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horepower Activities\Drupal\New rulemaking page\Excel files\"/>
    </mc:Choice>
  </mc:AlternateContent>
  <bookViews>
    <workbookView xWindow="0" yWindow="0" windowWidth="20490" windowHeight="6285" tabRatio="881" firstSheet="6" activeTab="11"/>
  </bookViews>
  <sheets>
    <sheet name="Cover" sheetId="31" r:id="rId1"/>
    <sheet name="Contents" sheetId="1" r:id="rId2"/>
    <sheet name="Summary" sheetId="2" r:id="rId3"/>
    <sheet name="Relative Costs" sheetId="30" r:id="rId4"/>
    <sheet name="Cost Inputs" sheetId="3" r:id="rId5"/>
    <sheet name="Electricity &amp; Fuel" sheetId="4" r:id="rId6"/>
    <sheet name="Growth" sheetId="5" r:id="rId7"/>
    <sheet name="Apportion" sheetId="17" r:id="rId8"/>
    <sheet name="Berths, Terminals, Vessels" sheetId="6" r:id="rId9"/>
    <sheet name="Flexibility" sheetId="18" r:id="rId10"/>
    <sheet name="Vessel Visits" sheetId="27" r:id="rId11"/>
    <sheet name="C&amp;C" sheetId="8" r:id="rId12"/>
    <sheet name="SP Berth Retrofit" sheetId="9" r:id="rId13"/>
    <sheet name="SP Vessel Retrofit" sheetId="10" r:id="rId14"/>
    <sheet name="SP Labor &amp; Energy" sheetId="11" r:id="rId15"/>
    <sheet name="Admin" sheetId="12" r:id="rId16"/>
    <sheet name="Remediation" sheetId="29" r:id="rId17"/>
  </sheets>
  <definedNames>
    <definedName name="_xlnm.Print_Area" localSheetId="1">Contents!$A$1:$C$19</definedName>
    <definedName name="_xlnm.Print_Area" localSheetId="2">Summary!$A$1:$F$55</definedName>
    <definedName name="_xlnm.Print_Titles" localSheetId="10">'Vessel Visits'!$A:$A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7" i="8" l="1"/>
  <c r="B22" i="8"/>
  <c r="C22" i="8"/>
  <c r="A3" i="1"/>
  <c r="B6" i="30"/>
  <c r="C6" i="30"/>
  <c r="D6" i="30"/>
  <c r="E6" i="30"/>
  <c r="F6" i="30"/>
  <c r="C181" i="8"/>
  <c r="D181" i="8"/>
  <c r="B181" i="8"/>
  <c r="B180" i="8"/>
  <c r="B174" i="8"/>
  <c r="B169" i="8"/>
  <c r="C7" i="3" l="1"/>
  <c r="I81" i="6" l="1"/>
  <c r="C30" i="3"/>
  <c r="C15" i="30" l="1"/>
  <c r="B15" i="30"/>
  <c r="B14" i="30"/>
  <c r="C187" i="8"/>
  <c r="D187" i="8"/>
  <c r="E187" i="8"/>
  <c r="L187" i="8"/>
  <c r="M187" i="8"/>
  <c r="N187" i="8"/>
  <c r="O187" i="8"/>
  <c r="C17" i="30"/>
  <c r="B17" i="30"/>
  <c r="B16" i="30"/>
  <c r="C13" i="30"/>
  <c r="B13" i="30"/>
  <c r="G12" i="30"/>
  <c r="F12" i="30"/>
  <c r="E12" i="30"/>
  <c r="D12" i="30"/>
  <c r="C12" i="30"/>
  <c r="B12" i="30"/>
  <c r="G11" i="30"/>
  <c r="F11" i="30"/>
  <c r="E11" i="30"/>
  <c r="D11" i="30"/>
  <c r="C11" i="30"/>
  <c r="B11" i="30"/>
  <c r="O10" i="30"/>
  <c r="N10" i="30"/>
  <c r="M10" i="30"/>
  <c r="L10" i="30"/>
  <c r="B10" i="30"/>
  <c r="O9" i="30"/>
  <c r="N9" i="30"/>
  <c r="M9" i="30"/>
  <c r="L9" i="30"/>
  <c r="B9" i="30"/>
  <c r="G8" i="30"/>
  <c r="F8" i="30"/>
  <c r="E8" i="30"/>
  <c r="D8" i="30"/>
  <c r="C8" i="30"/>
  <c r="B8" i="30"/>
  <c r="G7" i="30"/>
  <c r="F7" i="30"/>
  <c r="E7" i="30"/>
  <c r="D7" i="30"/>
  <c r="C7" i="30"/>
  <c r="B7" i="30"/>
  <c r="B43" i="9"/>
  <c r="C43" i="9" s="1"/>
  <c r="B42" i="9"/>
  <c r="C42" i="9" s="1"/>
  <c r="D42" i="9" s="1"/>
  <c r="D54" i="9"/>
  <c r="D53" i="9"/>
  <c r="C54" i="9"/>
  <c r="C53" i="9"/>
  <c r="B54" i="9"/>
  <c r="B53" i="9"/>
  <c r="B33" i="9"/>
  <c r="C33" i="9" s="1"/>
  <c r="B32" i="9"/>
  <c r="C32" i="9" s="1"/>
  <c r="D32" i="9" s="1"/>
  <c r="B18" i="10"/>
  <c r="B17" i="10"/>
  <c r="B27" i="30" l="1"/>
  <c r="B193" i="27"/>
  <c r="B192" i="27"/>
  <c r="B191" i="27"/>
  <c r="B155" i="27"/>
  <c r="B154" i="27"/>
  <c r="B119" i="27"/>
  <c r="B118" i="27"/>
  <c r="B117" i="27"/>
  <c r="B116" i="27"/>
  <c r="B115" i="27"/>
  <c r="B114" i="27"/>
  <c r="B113" i="27"/>
  <c r="D73" i="27"/>
  <c r="C73" i="27"/>
  <c r="B73" i="27"/>
  <c r="D72" i="27"/>
  <c r="C72" i="27"/>
  <c r="B72" i="27"/>
  <c r="D71" i="27"/>
  <c r="C71" i="27"/>
  <c r="B71" i="27"/>
  <c r="D70" i="27"/>
  <c r="C70" i="27"/>
  <c r="B70" i="27"/>
  <c r="I79" i="6"/>
  <c r="B180" i="27" l="1"/>
  <c r="B190" i="27" s="1"/>
  <c r="C179" i="8" l="1"/>
  <c r="D179" i="8"/>
  <c r="E179" i="8"/>
  <c r="F179" i="8"/>
  <c r="B179" i="8"/>
  <c r="B41" i="8"/>
  <c r="C41" i="8"/>
  <c r="C20" i="27" l="1"/>
  <c r="D20" i="27"/>
  <c r="C62" i="3" l="1"/>
  <c r="C61" i="3"/>
  <c r="C55" i="3" l="1"/>
  <c r="C54" i="3"/>
  <c r="B9" i="9"/>
  <c r="C9" i="9"/>
  <c r="E55" i="8"/>
  <c r="E53" i="8"/>
  <c r="E54" i="8"/>
  <c r="E52" i="8"/>
  <c r="I83" i="6"/>
  <c r="I82" i="6"/>
  <c r="I80" i="6"/>
  <c r="D55" i="8" s="1"/>
  <c r="I78" i="6"/>
  <c r="D54" i="8" s="1"/>
  <c r="C60" i="3"/>
  <c r="C59" i="3"/>
  <c r="I84" i="6" l="1"/>
  <c r="B8" i="10"/>
  <c r="C8" i="10"/>
  <c r="B9" i="10"/>
  <c r="C9" i="10"/>
  <c r="C22" i="27" l="1"/>
  <c r="D21" i="27"/>
  <c r="C63" i="2" l="1"/>
  <c r="G47" i="8"/>
  <c r="F47" i="8"/>
  <c r="C47" i="8"/>
  <c r="C48" i="8"/>
  <c r="B48" i="8"/>
  <c r="B47" i="8"/>
  <c r="B11" i="9" l="1"/>
  <c r="C11" i="9"/>
  <c r="B21" i="8"/>
  <c r="C21" i="8"/>
  <c r="C13" i="8" l="1"/>
  <c r="C14" i="8"/>
  <c r="B13" i="8"/>
  <c r="B14" i="8"/>
  <c r="C27" i="8" l="1"/>
  <c r="F29" i="4"/>
  <c r="F28" i="4"/>
  <c r="F27" i="4"/>
  <c r="F26" i="4"/>
  <c r="F21" i="4"/>
  <c r="F20" i="4"/>
  <c r="C25" i="4"/>
  <c r="C22" i="4"/>
  <c r="C21" i="4"/>
  <c r="C20" i="4"/>
  <c r="E28" i="4"/>
  <c r="E29" i="4"/>
  <c r="D25" i="4" l="1"/>
  <c r="G27" i="4"/>
  <c r="G29" i="4"/>
  <c r="G26" i="4"/>
  <c r="G21" i="4"/>
  <c r="G20" i="4"/>
  <c r="G28" i="4"/>
  <c r="D21" i="4"/>
  <c r="D22" i="4"/>
  <c r="D20" i="4"/>
  <c r="B12" i="4" l="1"/>
  <c r="C17" i="11" s="1"/>
  <c r="G30" i="4"/>
  <c r="D30" i="4"/>
  <c r="B9" i="4"/>
  <c r="B35" i="9" l="1"/>
  <c r="B19" i="9"/>
  <c r="B36" i="9"/>
  <c r="B20" i="9"/>
  <c r="B37" i="9"/>
  <c r="B21" i="9"/>
  <c r="B38" i="9"/>
  <c r="B23" i="9"/>
  <c r="B39" i="9"/>
  <c r="B24" i="9"/>
  <c r="C7" i="9"/>
  <c r="C12" i="9"/>
  <c r="F7" i="5"/>
  <c r="F8" i="5" s="1"/>
  <c r="C19" i="9"/>
  <c r="C20" i="9"/>
  <c r="C21" i="9"/>
  <c r="C23" i="9"/>
  <c r="C24" i="9"/>
  <c r="D19" i="9"/>
  <c r="D20" i="9"/>
  <c r="D21" i="9"/>
  <c r="D23" i="9"/>
  <c r="D24" i="9"/>
  <c r="C14" i="9"/>
  <c r="E19" i="9"/>
  <c r="E20" i="9"/>
  <c r="E21" i="9"/>
  <c r="E23" i="9"/>
  <c r="E24" i="9"/>
  <c r="C35" i="9"/>
  <c r="C36" i="9"/>
  <c r="C37" i="9"/>
  <c r="C38" i="9"/>
  <c r="C39" i="9"/>
  <c r="C8" i="9"/>
  <c r="D35" i="9"/>
  <c r="D36" i="9"/>
  <c r="D37" i="9"/>
  <c r="D38" i="9"/>
  <c r="D39" i="9"/>
  <c r="C13" i="9"/>
  <c r="C8" i="12"/>
  <c r="C9" i="12"/>
  <c r="B14" i="27"/>
  <c r="C19" i="29" s="1"/>
  <c r="C10" i="12"/>
  <c r="C11" i="12"/>
  <c r="B9" i="6"/>
  <c r="C15" i="10"/>
  <c r="C7" i="10"/>
  <c r="C11" i="10"/>
  <c r="C12" i="10"/>
  <c r="F9" i="27"/>
  <c r="G9" i="27"/>
  <c r="H9" i="27"/>
  <c r="I9" i="27"/>
  <c r="J9" i="27"/>
  <c r="K9" i="27"/>
  <c r="F10" i="27"/>
  <c r="G10" i="27"/>
  <c r="H10" i="27"/>
  <c r="I10" i="27"/>
  <c r="J10" i="27"/>
  <c r="K10" i="27"/>
  <c r="F11" i="27"/>
  <c r="G11" i="27"/>
  <c r="H11" i="27"/>
  <c r="I11" i="27"/>
  <c r="J11" i="27"/>
  <c r="K11" i="27"/>
  <c r="F12" i="27"/>
  <c r="G12" i="27"/>
  <c r="H12" i="27"/>
  <c r="I12" i="27"/>
  <c r="J12" i="27"/>
  <c r="K12" i="27"/>
  <c r="F13" i="27"/>
  <c r="G13" i="27"/>
  <c r="H13" i="27"/>
  <c r="I13" i="27"/>
  <c r="J13" i="27"/>
  <c r="K13" i="27"/>
  <c r="C8" i="11"/>
  <c r="C14" i="11"/>
  <c r="F44" i="4"/>
  <c r="D80" i="11" s="1"/>
  <c r="D28" i="11"/>
  <c r="D29" i="11"/>
  <c r="D30" i="11"/>
  <c r="D32" i="11"/>
  <c r="Q13" i="27"/>
  <c r="D47" i="11" s="1"/>
  <c r="D33" i="11"/>
  <c r="C24" i="11"/>
  <c r="E28" i="11"/>
  <c r="E29" i="11"/>
  <c r="E30" i="11"/>
  <c r="E32" i="11"/>
  <c r="E33" i="11"/>
  <c r="C20" i="11"/>
  <c r="C93" i="4"/>
  <c r="C94" i="4"/>
  <c r="C95" i="4"/>
  <c r="C96" i="4"/>
  <c r="C97" i="4"/>
  <c r="C98" i="4"/>
  <c r="D82" i="11"/>
  <c r="C21" i="11"/>
  <c r="C13" i="29"/>
  <c r="C7" i="29"/>
  <c r="B7" i="29"/>
  <c r="B20" i="27"/>
  <c r="H20" i="27" s="1"/>
  <c r="B21" i="27"/>
  <c r="G21" i="27" s="1"/>
  <c r="C21" i="27"/>
  <c r="B22" i="27"/>
  <c r="G22" i="27" s="1"/>
  <c r="B23" i="27"/>
  <c r="G23" i="27" s="1"/>
  <c r="C23" i="27"/>
  <c r="B24" i="27"/>
  <c r="G24" i="27" s="1"/>
  <c r="C24" i="27"/>
  <c r="F45" i="4"/>
  <c r="E80" i="11" s="1"/>
  <c r="E20" i="27"/>
  <c r="E21" i="27"/>
  <c r="E22" i="27"/>
  <c r="E23" i="27"/>
  <c r="E24" i="27"/>
  <c r="C99" i="4"/>
  <c r="E82" i="11"/>
  <c r="F46" i="4"/>
  <c r="F80" i="11" s="1"/>
  <c r="C100" i="4"/>
  <c r="F82" i="11"/>
  <c r="F47" i="4"/>
  <c r="G80" i="11" s="1"/>
  <c r="C101" i="4"/>
  <c r="G82" i="11"/>
  <c r="F48" i="4"/>
  <c r="H80" i="11" s="1"/>
  <c r="C102" i="4"/>
  <c r="H82" i="11"/>
  <c r="G26" i="29"/>
  <c r="F49" i="4"/>
  <c r="I80" i="11" s="1"/>
  <c r="C103" i="4"/>
  <c r="I82" i="11"/>
  <c r="H19" i="29"/>
  <c r="F50" i="4"/>
  <c r="J80" i="11" s="1"/>
  <c r="C104" i="4"/>
  <c r="J82" i="11"/>
  <c r="F51" i="4"/>
  <c r="K80" i="11" s="1"/>
  <c r="C105" i="4"/>
  <c r="K82" i="11"/>
  <c r="J19" i="29"/>
  <c r="F52" i="4"/>
  <c r="L80" i="11" s="1"/>
  <c r="C106" i="4"/>
  <c r="L82" i="11"/>
  <c r="F41" i="4"/>
  <c r="C107" i="4"/>
  <c r="M82" i="11"/>
  <c r="C108" i="4"/>
  <c r="N82" i="11"/>
  <c r="M46" i="18"/>
  <c r="N46" i="18" s="1"/>
  <c r="O46" i="18" s="1"/>
  <c r="P46" i="18" s="1"/>
  <c r="Q46" i="18" s="1"/>
  <c r="R46" i="18" s="1"/>
  <c r="S46" i="18" s="1"/>
  <c r="T46" i="18" s="1"/>
  <c r="U46" i="18" s="1"/>
  <c r="V46" i="18" s="1"/>
  <c r="M56" i="18"/>
  <c r="B45" i="9"/>
  <c r="B46" i="9"/>
  <c r="B47" i="9"/>
  <c r="B22" i="9"/>
  <c r="B48" i="9"/>
  <c r="G7" i="5"/>
  <c r="G8" i="5" s="1"/>
  <c r="G9" i="5" s="1"/>
  <c r="C22" i="9"/>
  <c r="D22" i="9"/>
  <c r="E22" i="9"/>
  <c r="C45" i="9"/>
  <c r="C46" i="9"/>
  <c r="C47" i="9"/>
  <c r="C48" i="9"/>
  <c r="D45" i="9"/>
  <c r="D46" i="9"/>
  <c r="D47" i="9"/>
  <c r="D48" i="9"/>
  <c r="C64" i="27"/>
  <c r="B37" i="6"/>
  <c r="B16" i="10" s="1"/>
  <c r="C16" i="10" s="1"/>
  <c r="E60" i="27"/>
  <c r="F60" i="27"/>
  <c r="G60" i="27"/>
  <c r="H60" i="27"/>
  <c r="I60" i="27"/>
  <c r="J60" i="27"/>
  <c r="E61" i="27"/>
  <c r="F61" i="27"/>
  <c r="G61" i="27"/>
  <c r="H61" i="27"/>
  <c r="I61" i="27"/>
  <c r="J61" i="27"/>
  <c r="E62" i="27"/>
  <c r="F62" i="27"/>
  <c r="G62" i="27"/>
  <c r="H62" i="27"/>
  <c r="I62" i="27"/>
  <c r="J62" i="27"/>
  <c r="E63" i="27"/>
  <c r="F63" i="27"/>
  <c r="G63" i="27"/>
  <c r="H63" i="27"/>
  <c r="I63" i="27"/>
  <c r="J63" i="27"/>
  <c r="C9" i="11"/>
  <c r="C15" i="11"/>
  <c r="D31" i="11"/>
  <c r="E31" i="11"/>
  <c r="B64" i="27"/>
  <c r="D20" i="29" s="1"/>
  <c r="C14" i="29"/>
  <c r="C8" i="29"/>
  <c r="C27" i="29"/>
  <c r="B8" i="29"/>
  <c r="E70" i="27"/>
  <c r="F70" i="27"/>
  <c r="G70" i="27"/>
  <c r="H70" i="27"/>
  <c r="I70" i="27"/>
  <c r="J70" i="27"/>
  <c r="E71" i="27"/>
  <c r="F71" i="27"/>
  <c r="G71" i="27"/>
  <c r="H71" i="27"/>
  <c r="I71" i="27"/>
  <c r="J71" i="27"/>
  <c r="E72" i="27"/>
  <c r="F72" i="27"/>
  <c r="G72" i="27"/>
  <c r="H72" i="27"/>
  <c r="I72" i="27"/>
  <c r="J72" i="27"/>
  <c r="E73" i="27"/>
  <c r="F73" i="27"/>
  <c r="G73" i="27"/>
  <c r="H73" i="27"/>
  <c r="I73" i="27"/>
  <c r="J73" i="27"/>
  <c r="M47" i="18"/>
  <c r="N47" i="18" s="1"/>
  <c r="O47" i="18" s="1"/>
  <c r="P47" i="18" s="1"/>
  <c r="Q47" i="18" s="1"/>
  <c r="R47" i="18" s="1"/>
  <c r="S47" i="18" s="1"/>
  <c r="T47" i="18" s="1"/>
  <c r="U47" i="18" s="1"/>
  <c r="V47" i="18" s="1"/>
  <c r="M57" i="18"/>
  <c r="H7" i="5"/>
  <c r="H8" i="5" s="1"/>
  <c r="H9" i="5" s="1"/>
  <c r="C15" i="29"/>
  <c r="C9" i="29"/>
  <c r="B9" i="29"/>
  <c r="E58" i="6"/>
  <c r="B56" i="9" s="1"/>
  <c r="F19" i="9"/>
  <c r="E59" i="6"/>
  <c r="B57" i="9" s="1"/>
  <c r="F20" i="9"/>
  <c r="E60" i="6"/>
  <c r="B58" i="9" s="1"/>
  <c r="F22" i="9"/>
  <c r="E61" i="6"/>
  <c r="B59" i="9" s="1"/>
  <c r="F23" i="9"/>
  <c r="E62" i="6"/>
  <c r="B61" i="9" s="1"/>
  <c r="F24" i="9"/>
  <c r="E63" i="6"/>
  <c r="B62" i="9" s="1"/>
  <c r="F26" i="9"/>
  <c r="G19" i="9"/>
  <c r="G20" i="9"/>
  <c r="G22" i="9"/>
  <c r="G23" i="9"/>
  <c r="G24" i="9"/>
  <c r="G26" i="9"/>
  <c r="H19" i="9"/>
  <c r="H20" i="9"/>
  <c r="H22" i="9"/>
  <c r="H23" i="9"/>
  <c r="H24" i="9"/>
  <c r="H26" i="9"/>
  <c r="I19" i="9"/>
  <c r="I20" i="9"/>
  <c r="I22" i="9"/>
  <c r="I23" i="9"/>
  <c r="I24" i="9"/>
  <c r="I26" i="9"/>
  <c r="G24" i="12"/>
  <c r="B86" i="3"/>
  <c r="H28" i="12" s="1"/>
  <c r="B53" i="6"/>
  <c r="C17" i="10" s="1"/>
  <c r="C100" i="27"/>
  <c r="D100" i="27"/>
  <c r="E100" i="27"/>
  <c r="F100" i="27"/>
  <c r="G100" i="27"/>
  <c r="H100" i="27"/>
  <c r="C101" i="27"/>
  <c r="D101" i="27"/>
  <c r="E101" i="27"/>
  <c r="F101" i="27"/>
  <c r="G101" i="27"/>
  <c r="H101" i="27"/>
  <c r="C102" i="27"/>
  <c r="D102" i="27"/>
  <c r="E102" i="27"/>
  <c r="F102" i="27"/>
  <c r="G102" i="27"/>
  <c r="H102" i="27"/>
  <c r="C103" i="27"/>
  <c r="D103" i="27"/>
  <c r="E103" i="27"/>
  <c r="F103" i="27"/>
  <c r="G103" i="27"/>
  <c r="H103" i="27"/>
  <c r="C104" i="27"/>
  <c r="D104" i="27"/>
  <c r="E104" i="27"/>
  <c r="F104" i="27"/>
  <c r="G104" i="27"/>
  <c r="H104" i="27"/>
  <c r="C105" i="27"/>
  <c r="D105" i="27"/>
  <c r="E105" i="27"/>
  <c r="F105" i="27"/>
  <c r="G105" i="27"/>
  <c r="H105" i="27"/>
  <c r="C106" i="27"/>
  <c r="D106" i="27"/>
  <c r="E106" i="27"/>
  <c r="F106" i="27"/>
  <c r="G106" i="27"/>
  <c r="H106" i="27"/>
  <c r="C10" i="11"/>
  <c r="C16" i="11"/>
  <c r="D35" i="11"/>
  <c r="D36" i="11"/>
  <c r="E35" i="11"/>
  <c r="E36" i="11"/>
  <c r="B107" i="27"/>
  <c r="F21" i="29" s="1"/>
  <c r="C113" i="27"/>
  <c r="D113" i="27"/>
  <c r="E113" i="27"/>
  <c r="F113" i="27"/>
  <c r="G113" i="27"/>
  <c r="H113" i="27"/>
  <c r="C114" i="27"/>
  <c r="D114" i="27"/>
  <c r="E114" i="27"/>
  <c r="F114" i="27"/>
  <c r="G114" i="27"/>
  <c r="H114" i="27"/>
  <c r="C115" i="27"/>
  <c r="D115" i="27"/>
  <c r="E115" i="27"/>
  <c r="F115" i="27"/>
  <c r="G115" i="27"/>
  <c r="H115" i="27"/>
  <c r="C116" i="27"/>
  <c r="D116" i="27"/>
  <c r="E116" i="27"/>
  <c r="F116" i="27"/>
  <c r="G116" i="27"/>
  <c r="H116" i="27"/>
  <c r="C117" i="27"/>
  <c r="D117" i="27"/>
  <c r="E117" i="27"/>
  <c r="F117" i="27"/>
  <c r="G117" i="27"/>
  <c r="H117" i="27"/>
  <c r="C118" i="27"/>
  <c r="D118" i="27"/>
  <c r="E118" i="27"/>
  <c r="F118" i="27"/>
  <c r="G118" i="27"/>
  <c r="H118" i="27"/>
  <c r="C119" i="27"/>
  <c r="D119" i="27"/>
  <c r="E119" i="27"/>
  <c r="F119" i="27"/>
  <c r="G119" i="27"/>
  <c r="H119" i="27"/>
  <c r="M48" i="18"/>
  <c r="M58" i="18"/>
  <c r="N58" i="18" s="1"/>
  <c r="O58" i="18" s="1"/>
  <c r="P58" i="18" s="1"/>
  <c r="Q58" i="18" s="1"/>
  <c r="R58" i="18" s="1"/>
  <c r="S58" i="18" s="1"/>
  <c r="T58" i="18" s="1"/>
  <c r="U58" i="18" s="1"/>
  <c r="V58" i="18" s="1"/>
  <c r="I7" i="5"/>
  <c r="I8" i="5"/>
  <c r="D24" i="10" s="1"/>
  <c r="C16" i="29"/>
  <c r="C10" i="29"/>
  <c r="B10" i="29"/>
  <c r="I25" i="12"/>
  <c r="B87" i="3"/>
  <c r="E78" i="6"/>
  <c r="C56" i="9" s="1"/>
  <c r="E79" i="6"/>
  <c r="C57" i="9" s="1"/>
  <c r="C10" i="9"/>
  <c r="B73" i="6"/>
  <c r="C18" i="10" s="1"/>
  <c r="C10" i="10"/>
  <c r="K25" i="12"/>
  <c r="B88" i="3"/>
  <c r="B148" i="27"/>
  <c r="B92" i="3" s="1"/>
  <c r="L34" i="12" s="1"/>
  <c r="C146" i="27"/>
  <c r="D146" i="27"/>
  <c r="E146" i="27"/>
  <c r="F146" i="27"/>
  <c r="G146" i="27"/>
  <c r="H146" i="27"/>
  <c r="C147" i="27"/>
  <c r="D147" i="27"/>
  <c r="E147" i="27"/>
  <c r="F147" i="27"/>
  <c r="G147" i="27"/>
  <c r="H147" i="27"/>
  <c r="C11" i="11"/>
  <c r="E80" i="6"/>
  <c r="D60" i="9" s="1"/>
  <c r="F25" i="9"/>
  <c r="E81" i="6"/>
  <c r="D62" i="9" s="1"/>
  <c r="E82" i="6"/>
  <c r="D63" i="9" s="1"/>
  <c r="F27" i="9"/>
  <c r="E83" i="6"/>
  <c r="D64" i="9"/>
  <c r="F28" i="9"/>
  <c r="G25" i="9"/>
  <c r="G27" i="9"/>
  <c r="G28" i="9"/>
  <c r="C154" i="27"/>
  <c r="D154" i="27"/>
  <c r="E154" i="27"/>
  <c r="F154" i="27"/>
  <c r="G154" i="27"/>
  <c r="H154" i="27"/>
  <c r="C155" i="27"/>
  <c r="D155" i="27"/>
  <c r="E155" i="27"/>
  <c r="F155" i="27"/>
  <c r="G155" i="27"/>
  <c r="H155" i="27"/>
  <c r="B184" i="27"/>
  <c r="J30" i="29" s="1"/>
  <c r="C180" i="27"/>
  <c r="D180" i="27"/>
  <c r="E180" i="27"/>
  <c r="F180" i="27"/>
  <c r="G180" i="27"/>
  <c r="H180" i="27"/>
  <c r="C181" i="27"/>
  <c r="D181" i="27"/>
  <c r="E181" i="27"/>
  <c r="F181" i="27"/>
  <c r="G181" i="27"/>
  <c r="H181" i="27"/>
  <c r="C182" i="27"/>
  <c r="D182" i="27"/>
  <c r="E182" i="27"/>
  <c r="F182" i="27"/>
  <c r="G182" i="27"/>
  <c r="H182" i="27"/>
  <c r="C183" i="27"/>
  <c r="D183" i="27"/>
  <c r="E183" i="27"/>
  <c r="F183" i="27"/>
  <c r="G183" i="27"/>
  <c r="H183" i="27"/>
  <c r="D34" i="11"/>
  <c r="D37" i="11"/>
  <c r="E34" i="11"/>
  <c r="E37" i="11"/>
  <c r="C190" i="27"/>
  <c r="D190" i="27"/>
  <c r="E190" i="27"/>
  <c r="F190" i="27"/>
  <c r="G190" i="27"/>
  <c r="H190" i="27"/>
  <c r="C191" i="27"/>
  <c r="D191" i="27"/>
  <c r="E191" i="27"/>
  <c r="F191" i="27"/>
  <c r="G191" i="27"/>
  <c r="H191" i="27"/>
  <c r="C192" i="27"/>
  <c r="D192" i="27"/>
  <c r="E192" i="27"/>
  <c r="F192" i="27"/>
  <c r="G192" i="27"/>
  <c r="H192" i="27"/>
  <c r="C193" i="27"/>
  <c r="D193" i="27"/>
  <c r="E193" i="27"/>
  <c r="F193" i="27"/>
  <c r="G193" i="27"/>
  <c r="H193" i="27"/>
  <c r="M49" i="18"/>
  <c r="M59" i="18"/>
  <c r="M50" i="18"/>
  <c r="N50" i="18" s="1"/>
  <c r="O50" i="18" s="1"/>
  <c r="P50" i="18" s="1"/>
  <c r="Q50" i="18" s="1"/>
  <c r="R50" i="18" s="1"/>
  <c r="S50" i="18" s="1"/>
  <c r="T50" i="18" s="1"/>
  <c r="U50" i="18" s="1"/>
  <c r="V50" i="18" s="1"/>
  <c r="M60" i="18"/>
  <c r="F43" i="4"/>
  <c r="C80" i="11" s="1"/>
  <c r="C82" i="11"/>
  <c r="B19" i="29"/>
  <c r="D23" i="12"/>
  <c r="B85" i="3"/>
  <c r="D27" i="12" s="1"/>
  <c r="D22" i="12"/>
  <c r="B84" i="3"/>
  <c r="D26" i="12" s="1"/>
  <c r="B8" i="6"/>
  <c r="B15" i="10" s="1"/>
  <c r="B28" i="11"/>
  <c r="B29" i="11"/>
  <c r="B30" i="11"/>
  <c r="B32" i="11"/>
  <c r="B33" i="11"/>
  <c r="C28" i="11"/>
  <c r="C29" i="11"/>
  <c r="C30" i="11"/>
  <c r="C32" i="11"/>
  <c r="C33" i="11"/>
  <c r="R9" i="27"/>
  <c r="R10" i="27"/>
  <c r="C15" i="8"/>
  <c r="C25" i="8"/>
  <c r="D22" i="27"/>
  <c r="D23" i="27"/>
  <c r="D24" i="27"/>
  <c r="R20" i="27"/>
  <c r="R21" i="27"/>
  <c r="B31" i="11"/>
  <c r="C31" i="11"/>
  <c r="F65" i="6"/>
  <c r="D51" i="8" s="1"/>
  <c r="C34" i="8"/>
  <c r="C42" i="8"/>
  <c r="C26" i="8"/>
  <c r="C39" i="8"/>
  <c r="C38" i="8"/>
  <c r="C43" i="8"/>
  <c r="G78" i="6"/>
  <c r="G79" i="6"/>
  <c r="C35" i="8"/>
  <c r="C36" i="8"/>
  <c r="C37" i="8"/>
  <c r="G80" i="6"/>
  <c r="G81" i="6"/>
  <c r="G82" i="6"/>
  <c r="G83" i="6"/>
  <c r="E41" i="12"/>
  <c r="C12" i="12"/>
  <c r="C13" i="12"/>
  <c r="C14" i="12"/>
  <c r="E44" i="12"/>
  <c r="C15" i="12"/>
  <c r="F42" i="12"/>
  <c r="F44" i="12"/>
  <c r="G42" i="12"/>
  <c r="G44" i="12"/>
  <c r="H42" i="12"/>
  <c r="H44" i="12"/>
  <c r="I42" i="12"/>
  <c r="I44" i="12"/>
  <c r="J42" i="12"/>
  <c r="J44" i="12"/>
  <c r="K42" i="12"/>
  <c r="K44" i="12"/>
  <c r="L42" i="12"/>
  <c r="L44" i="12"/>
  <c r="M42" i="12"/>
  <c r="M44" i="12"/>
  <c r="N42" i="12"/>
  <c r="N44" i="12"/>
  <c r="O42" i="12"/>
  <c r="O44" i="12"/>
  <c r="P42" i="12"/>
  <c r="P44" i="12"/>
  <c r="E45" i="12"/>
  <c r="D108" i="3"/>
  <c r="C16" i="12" s="1"/>
  <c r="E108" i="3"/>
  <c r="C17" i="12" s="1"/>
  <c r="E47" i="12"/>
  <c r="D109" i="3"/>
  <c r="C18" i="12" s="1"/>
  <c r="E109" i="3"/>
  <c r="C19" i="12" s="1"/>
  <c r="F46" i="12"/>
  <c r="F48" i="12"/>
  <c r="G46" i="12"/>
  <c r="G48" i="12"/>
  <c r="H46" i="12"/>
  <c r="H48" i="12"/>
  <c r="I46" i="12"/>
  <c r="I48" i="12"/>
  <c r="J46" i="12"/>
  <c r="J48" i="12"/>
  <c r="K46" i="12"/>
  <c r="K48" i="12"/>
  <c r="L46" i="12"/>
  <c r="L48" i="12"/>
  <c r="M46" i="12"/>
  <c r="M48" i="12"/>
  <c r="N46" i="12"/>
  <c r="N48" i="12"/>
  <c r="O46" i="12"/>
  <c r="O48" i="12"/>
  <c r="P46" i="12"/>
  <c r="P48" i="12"/>
  <c r="D43" i="12"/>
  <c r="B64" i="10"/>
  <c r="B10" i="10"/>
  <c r="C64" i="2"/>
  <c r="C78" i="2" s="1"/>
  <c r="B178" i="8"/>
  <c r="B168" i="8"/>
  <c r="B37" i="8"/>
  <c r="B34" i="8"/>
  <c r="H77" i="8"/>
  <c r="G77" i="8"/>
  <c r="H78" i="8"/>
  <c r="G78" i="8"/>
  <c r="L78" i="8"/>
  <c r="K78" i="8"/>
  <c r="J78" i="8"/>
  <c r="I78" i="8"/>
  <c r="D77" i="8"/>
  <c r="C77" i="8"/>
  <c r="E64" i="6"/>
  <c r="H80" i="6"/>
  <c r="H81" i="6"/>
  <c r="H82" i="6"/>
  <c r="H83" i="6"/>
  <c r="H78" i="6"/>
  <c r="H79" i="6"/>
  <c r="E45" i="6"/>
  <c r="F84" i="6"/>
  <c r="A6" i="29"/>
  <c r="C178" i="8"/>
  <c r="D55" i="2"/>
  <c r="B164" i="11"/>
  <c r="B171" i="11"/>
  <c r="C164" i="11"/>
  <c r="C171" i="11"/>
  <c r="D164" i="11"/>
  <c r="D171" i="11"/>
  <c r="E164" i="11"/>
  <c r="E171" i="11"/>
  <c r="B165" i="11"/>
  <c r="B172" i="11"/>
  <c r="C165" i="11"/>
  <c r="C172" i="11"/>
  <c r="D165" i="11"/>
  <c r="D172" i="11"/>
  <c r="E165" i="11"/>
  <c r="E172" i="11"/>
  <c r="F165" i="11"/>
  <c r="F172" i="11"/>
  <c r="G165" i="11"/>
  <c r="G172" i="11"/>
  <c r="C62" i="2"/>
  <c r="D5" i="2" s="1"/>
  <c r="B68" i="10"/>
  <c r="B70" i="10" s="1"/>
  <c r="B69" i="10"/>
  <c r="C64" i="10"/>
  <c r="D64" i="10"/>
  <c r="E64" i="10"/>
  <c r="F64" i="10"/>
  <c r="G64" i="10"/>
  <c r="H64" i="10"/>
  <c r="B63" i="10"/>
  <c r="C63" i="10"/>
  <c r="D63" i="10"/>
  <c r="E63" i="10"/>
  <c r="F63" i="10"/>
  <c r="B61" i="10"/>
  <c r="B62" i="10"/>
  <c r="B56" i="10"/>
  <c r="B57" i="10"/>
  <c r="B50" i="10"/>
  <c r="B51" i="10"/>
  <c r="C173" i="8"/>
  <c r="B173" i="8"/>
  <c r="C168" i="8"/>
  <c r="B24" i="11"/>
  <c r="B21" i="11"/>
  <c r="B20" i="11"/>
  <c r="C57" i="10"/>
  <c r="B52" i="10"/>
  <c r="B58" i="10"/>
  <c r="D18" i="10"/>
  <c r="D17" i="10"/>
  <c r="D16" i="10"/>
  <c r="D15" i="10"/>
  <c r="C24" i="10"/>
  <c r="C23" i="10"/>
  <c r="C22" i="10"/>
  <c r="C21" i="10"/>
  <c r="B12" i="10"/>
  <c r="B11" i="10"/>
  <c r="B7" i="10"/>
  <c r="B142" i="9"/>
  <c r="B141" i="9"/>
  <c r="B143" i="9" s="1"/>
  <c r="C136" i="9"/>
  <c r="D136" i="9"/>
  <c r="E136" i="9"/>
  <c r="F136" i="9"/>
  <c r="C137" i="9"/>
  <c r="D137" i="9"/>
  <c r="E137" i="9"/>
  <c r="F137" i="9"/>
  <c r="B134" i="9"/>
  <c r="C68" i="2" s="1"/>
  <c r="B23" i="2" s="1"/>
  <c r="B135" i="9"/>
  <c r="B136" i="9"/>
  <c r="B137" i="9"/>
  <c r="C71" i="2" s="1"/>
  <c r="E23" i="2" s="1"/>
  <c r="B124" i="9"/>
  <c r="B123" i="9"/>
  <c r="B129" i="9"/>
  <c r="B130" i="9"/>
  <c r="B131" i="9" s="1"/>
  <c r="B118" i="9"/>
  <c r="B120" i="9" s="1"/>
  <c r="B119" i="9"/>
  <c r="B8" i="9"/>
  <c r="A63" i="9"/>
  <c r="A64" i="9"/>
  <c r="A60" i="9"/>
  <c r="A57" i="9"/>
  <c r="A58" i="9"/>
  <c r="A59" i="9"/>
  <c r="A61" i="9"/>
  <c r="A62" i="9"/>
  <c r="A56" i="9"/>
  <c r="A46" i="9"/>
  <c r="A47" i="9"/>
  <c r="A48" i="9"/>
  <c r="A45" i="9"/>
  <c r="A36" i="9"/>
  <c r="A37" i="9"/>
  <c r="A38" i="9"/>
  <c r="A39" i="9"/>
  <c r="A35" i="9"/>
  <c r="D18" i="6"/>
  <c r="E51" i="8"/>
  <c r="D31" i="8"/>
  <c r="H65" i="6"/>
  <c r="C31" i="8" s="1"/>
  <c r="D30" i="8"/>
  <c r="B194" i="27"/>
  <c r="B156" i="27"/>
  <c r="B120" i="27"/>
  <c r="B74" i="27"/>
  <c r="D74" i="27"/>
  <c r="C74" i="27"/>
  <c r="D64" i="27"/>
  <c r="F45" i="6"/>
  <c r="D45" i="6"/>
  <c r="F18" i="6"/>
  <c r="E18" i="6"/>
  <c r="B10" i="9"/>
  <c r="B12" i="9"/>
  <c r="B13" i="9"/>
  <c r="B14" i="9"/>
  <c r="B7" i="9"/>
  <c r="I28" i="9"/>
  <c r="H28" i="9"/>
  <c r="I27" i="9"/>
  <c r="H27" i="9"/>
  <c r="I25" i="9"/>
  <c r="H25" i="9"/>
  <c r="I21" i="9"/>
  <c r="H21" i="9"/>
  <c r="G21" i="9"/>
  <c r="F21" i="9"/>
  <c r="C70" i="8"/>
  <c r="C65" i="8"/>
  <c r="C60" i="8"/>
  <c r="J18" i="6"/>
  <c r="C30" i="8" s="1"/>
  <c r="C16" i="8"/>
  <c r="C8" i="8"/>
  <c r="C20" i="8"/>
  <c r="C19" i="8"/>
  <c r="E14" i="27"/>
  <c r="B36" i="8"/>
  <c r="B38" i="8"/>
  <c r="B39" i="8"/>
  <c r="B40" i="8"/>
  <c r="B42" i="8"/>
  <c r="B43" i="8"/>
  <c r="B35" i="8"/>
  <c r="B9" i="8"/>
  <c r="B10" i="8"/>
  <c r="B11" i="8"/>
  <c r="B12" i="8"/>
  <c r="B15" i="8"/>
  <c r="B16" i="8"/>
  <c r="B17" i="8"/>
  <c r="B18" i="8"/>
  <c r="B19" i="8"/>
  <c r="B20" i="8"/>
  <c r="B8" i="8"/>
  <c r="C9" i="8"/>
  <c r="C10" i="8"/>
  <c r="C11" i="8"/>
  <c r="C12" i="8"/>
  <c r="C17" i="8"/>
  <c r="C18" i="8"/>
  <c r="C40" i="8"/>
  <c r="D14" i="27"/>
  <c r="C14" i="27"/>
  <c r="M22" i="18"/>
  <c r="N22" i="18" s="1"/>
  <c r="O22" i="18" s="1"/>
  <c r="P22" i="18" s="1"/>
  <c r="Q22" i="18" s="1"/>
  <c r="R22" i="18" s="1"/>
  <c r="S22" i="18" s="1"/>
  <c r="T22" i="18" s="1"/>
  <c r="U22" i="18" s="1"/>
  <c r="V22" i="18" s="1"/>
  <c r="M21" i="18"/>
  <c r="N21" i="18" s="1"/>
  <c r="O21" i="18" s="1"/>
  <c r="P21" i="18" s="1"/>
  <c r="Q21" i="18" s="1"/>
  <c r="R21" i="18" s="1"/>
  <c r="S21" i="18" s="1"/>
  <c r="T21" i="18" s="1"/>
  <c r="U21" i="18" s="1"/>
  <c r="V21" i="18" s="1"/>
  <c r="M20" i="18"/>
  <c r="N20" i="18" s="1"/>
  <c r="O20" i="18" s="1"/>
  <c r="P20" i="18" s="1"/>
  <c r="Q20" i="18" s="1"/>
  <c r="R20" i="18" s="1"/>
  <c r="S20" i="18" s="1"/>
  <c r="T20" i="18" s="1"/>
  <c r="U20" i="18" s="1"/>
  <c r="V20" i="18" s="1"/>
  <c r="M19" i="18"/>
  <c r="N19" i="18" s="1"/>
  <c r="O19" i="18" s="1"/>
  <c r="P19" i="18" s="1"/>
  <c r="Q19" i="18" s="1"/>
  <c r="R19" i="18" s="1"/>
  <c r="S19" i="18" s="1"/>
  <c r="T19" i="18" s="1"/>
  <c r="U19" i="18" s="1"/>
  <c r="V19" i="18" s="1"/>
  <c r="M18" i="18"/>
  <c r="N18" i="18"/>
  <c r="O18" i="18" s="1"/>
  <c r="P18" i="18" s="1"/>
  <c r="Q18" i="18" s="1"/>
  <c r="R18" i="18" s="1"/>
  <c r="S18" i="18" s="1"/>
  <c r="T18" i="18" s="1"/>
  <c r="U18" i="18" s="1"/>
  <c r="V18" i="18" s="1"/>
  <c r="N49" i="18"/>
  <c r="O49" i="18" s="1"/>
  <c r="P49" i="18" s="1"/>
  <c r="Q49" i="18" s="1"/>
  <c r="R49" i="18" s="1"/>
  <c r="S49" i="18" s="1"/>
  <c r="T49" i="18" s="1"/>
  <c r="U49" i="18" s="1"/>
  <c r="V49" i="18" s="1"/>
  <c r="N48" i="18"/>
  <c r="O48" i="18" s="1"/>
  <c r="P48" i="18" s="1"/>
  <c r="Q48" i="18" s="1"/>
  <c r="R48" i="18" s="1"/>
  <c r="S48" i="18" s="1"/>
  <c r="T48" i="18" s="1"/>
  <c r="U48" i="18" s="1"/>
  <c r="V48" i="18" s="1"/>
  <c r="N60" i="18"/>
  <c r="O60" i="18" s="1"/>
  <c r="P60" i="18" s="1"/>
  <c r="Q60" i="18" s="1"/>
  <c r="R60" i="18" s="1"/>
  <c r="S60" i="18" s="1"/>
  <c r="T60" i="18" s="1"/>
  <c r="U60" i="18" s="1"/>
  <c r="V60" i="18" s="1"/>
  <c r="N59" i="18"/>
  <c r="O59" i="18" s="1"/>
  <c r="P59" i="18" s="1"/>
  <c r="Q59" i="18" s="1"/>
  <c r="R59" i="18" s="1"/>
  <c r="S59" i="18" s="1"/>
  <c r="T59" i="18" s="1"/>
  <c r="U59" i="18" s="1"/>
  <c r="V59" i="18" s="1"/>
  <c r="N57" i="18"/>
  <c r="O57" i="18" s="1"/>
  <c r="P57" i="18" s="1"/>
  <c r="Q57" i="18" s="1"/>
  <c r="R57" i="18" s="1"/>
  <c r="S57" i="18" s="1"/>
  <c r="T57" i="18" s="1"/>
  <c r="U57" i="18" s="1"/>
  <c r="V57" i="18" s="1"/>
  <c r="N56" i="18"/>
  <c r="O56" i="18" s="1"/>
  <c r="P56" i="18" s="1"/>
  <c r="Q56" i="18" s="1"/>
  <c r="R56" i="18" s="1"/>
  <c r="S56" i="18" s="1"/>
  <c r="T56" i="18" s="1"/>
  <c r="U56" i="18" s="1"/>
  <c r="V56" i="18" s="1"/>
  <c r="M41" i="18"/>
  <c r="N41" i="18" s="1"/>
  <c r="O41" i="18" s="1"/>
  <c r="P41" i="18" s="1"/>
  <c r="Q41" i="18" s="1"/>
  <c r="R41" i="18" s="1"/>
  <c r="S41" i="18" s="1"/>
  <c r="T41" i="18" s="1"/>
  <c r="U41" i="18" s="1"/>
  <c r="V41" i="18" s="1"/>
  <c r="M40" i="18"/>
  <c r="N40" i="18" s="1"/>
  <c r="O40" i="18" s="1"/>
  <c r="P40" i="18" s="1"/>
  <c r="Q40" i="18" s="1"/>
  <c r="R40" i="18" s="1"/>
  <c r="S40" i="18" s="1"/>
  <c r="T40" i="18" s="1"/>
  <c r="U40" i="18" s="1"/>
  <c r="V40" i="18" s="1"/>
  <c r="M39" i="18"/>
  <c r="N39" i="18" s="1"/>
  <c r="O39" i="18" s="1"/>
  <c r="P39" i="18" s="1"/>
  <c r="Q39" i="18" s="1"/>
  <c r="R39" i="18" s="1"/>
  <c r="S39" i="18" s="1"/>
  <c r="T39" i="18" s="1"/>
  <c r="U39" i="18" s="1"/>
  <c r="V39" i="18" s="1"/>
  <c r="M38" i="18"/>
  <c r="N38" i="18"/>
  <c r="O38" i="18" s="1"/>
  <c r="P38" i="18" s="1"/>
  <c r="Q38" i="18" s="1"/>
  <c r="R38" i="18" s="1"/>
  <c r="S38" i="18" s="1"/>
  <c r="T38" i="18" s="1"/>
  <c r="U38" i="18" s="1"/>
  <c r="V38" i="18" s="1"/>
  <c r="M37" i="18"/>
  <c r="N37" i="18" s="1"/>
  <c r="O37" i="18" s="1"/>
  <c r="P37" i="18" s="1"/>
  <c r="Q37" i="18" s="1"/>
  <c r="R37" i="18" s="1"/>
  <c r="S37" i="18" s="1"/>
  <c r="T37" i="18" s="1"/>
  <c r="U37" i="18" s="1"/>
  <c r="V37" i="18" s="1"/>
  <c r="M32" i="18"/>
  <c r="N32" i="18"/>
  <c r="O32" i="18" s="1"/>
  <c r="P32" i="18" s="1"/>
  <c r="Q32" i="18" s="1"/>
  <c r="R32" i="18" s="1"/>
  <c r="S32" i="18" s="1"/>
  <c r="T32" i="18" s="1"/>
  <c r="U32" i="18" s="1"/>
  <c r="V32" i="18" s="1"/>
  <c r="M31" i="18"/>
  <c r="N31" i="18" s="1"/>
  <c r="O31" i="18" s="1"/>
  <c r="P31" i="18" s="1"/>
  <c r="Q31" i="18" s="1"/>
  <c r="R31" i="18" s="1"/>
  <c r="S31" i="18" s="1"/>
  <c r="T31" i="18" s="1"/>
  <c r="U31" i="18" s="1"/>
  <c r="V31" i="18" s="1"/>
  <c r="M30" i="18"/>
  <c r="N30" i="18" s="1"/>
  <c r="O30" i="18" s="1"/>
  <c r="P30" i="18" s="1"/>
  <c r="Q30" i="18" s="1"/>
  <c r="R30" i="18" s="1"/>
  <c r="S30" i="18" s="1"/>
  <c r="T30" i="18" s="1"/>
  <c r="U30" i="18" s="1"/>
  <c r="V30" i="18" s="1"/>
  <c r="M29" i="18"/>
  <c r="N29" i="18" s="1"/>
  <c r="O29" i="18" s="1"/>
  <c r="P29" i="18" s="1"/>
  <c r="Q29" i="18" s="1"/>
  <c r="R29" i="18" s="1"/>
  <c r="S29" i="18" s="1"/>
  <c r="T29" i="18" s="1"/>
  <c r="U29" i="18" s="1"/>
  <c r="V29" i="18" s="1"/>
  <c r="M28" i="18"/>
  <c r="N28" i="18" s="1"/>
  <c r="O28" i="18" s="1"/>
  <c r="P28" i="18" s="1"/>
  <c r="Q28" i="18" s="1"/>
  <c r="R28" i="18" s="1"/>
  <c r="S28" i="18" s="1"/>
  <c r="T28" i="18" s="1"/>
  <c r="U28" i="18" s="1"/>
  <c r="V28" i="18" s="1"/>
  <c r="M8" i="18"/>
  <c r="N8" i="18" s="1"/>
  <c r="O8" i="18" s="1"/>
  <c r="P8" i="18" s="1"/>
  <c r="Q8" i="18" s="1"/>
  <c r="R8" i="18" s="1"/>
  <c r="S8" i="18" s="1"/>
  <c r="T8" i="18" s="1"/>
  <c r="U8" i="18" s="1"/>
  <c r="V8" i="18" s="1"/>
  <c r="M9" i="18"/>
  <c r="N9" i="18" s="1"/>
  <c r="O9" i="18" s="1"/>
  <c r="P9" i="18" s="1"/>
  <c r="Q9" i="18" s="1"/>
  <c r="R9" i="18" s="1"/>
  <c r="S9" i="18" s="1"/>
  <c r="T9" i="18" s="1"/>
  <c r="U9" i="18" s="1"/>
  <c r="V9" i="18" s="1"/>
  <c r="M10" i="18"/>
  <c r="N10" i="18" s="1"/>
  <c r="O10" i="18" s="1"/>
  <c r="P10" i="18" s="1"/>
  <c r="Q10" i="18" s="1"/>
  <c r="R10" i="18" s="1"/>
  <c r="S10" i="18" s="1"/>
  <c r="T10" i="18" s="1"/>
  <c r="U10" i="18" s="1"/>
  <c r="V10" i="18" s="1"/>
  <c r="M11" i="18"/>
  <c r="N11" i="18" s="1"/>
  <c r="O11" i="18" s="1"/>
  <c r="P11" i="18" s="1"/>
  <c r="Q11" i="18" s="1"/>
  <c r="R11" i="18" s="1"/>
  <c r="S11" i="18" s="1"/>
  <c r="T11" i="18" s="1"/>
  <c r="U11" i="18" s="1"/>
  <c r="V11" i="18" s="1"/>
  <c r="M12" i="18"/>
  <c r="N12" i="18" s="1"/>
  <c r="O12" i="18" s="1"/>
  <c r="P12" i="18" s="1"/>
  <c r="Q12" i="18" s="1"/>
  <c r="R12" i="18" s="1"/>
  <c r="S12" i="18" s="1"/>
  <c r="T12" i="18" s="1"/>
  <c r="U12" i="18" s="1"/>
  <c r="V12" i="18" s="1"/>
  <c r="G65" i="6"/>
  <c r="I18" i="6"/>
  <c r="C84" i="6"/>
  <c r="B84" i="6"/>
  <c r="C65" i="6"/>
  <c r="B65" i="6"/>
  <c r="B45" i="6"/>
  <c r="C45" i="6"/>
  <c r="C18" i="6"/>
  <c r="H18" i="6"/>
  <c r="B18" i="6"/>
  <c r="F42" i="4"/>
  <c r="C68" i="9" l="1"/>
  <c r="F9" i="5"/>
  <c r="D21" i="10"/>
  <c r="D35" i="10" s="1"/>
  <c r="D60" i="8"/>
  <c r="E86" i="8" s="1"/>
  <c r="D52" i="8"/>
  <c r="C70" i="2"/>
  <c r="D23" i="2" s="1"/>
  <c r="I9" i="5"/>
  <c r="C20" i="29"/>
  <c r="C69" i="2"/>
  <c r="C23" i="2" s="1"/>
  <c r="D22" i="10"/>
  <c r="D36" i="10" s="1"/>
  <c r="C62" i="10" s="1"/>
  <c r="C71" i="9"/>
  <c r="D70" i="8"/>
  <c r="E60" i="8"/>
  <c r="F96" i="8" s="1"/>
  <c r="I10" i="5"/>
  <c r="B89" i="3"/>
  <c r="P31" i="12" s="1"/>
  <c r="L21" i="29"/>
  <c r="J20" i="27"/>
  <c r="J23" i="29"/>
  <c r="F21" i="27"/>
  <c r="D53" i="8"/>
  <c r="E47" i="8" s="1"/>
  <c r="H138" i="8" s="1"/>
  <c r="P13" i="27"/>
  <c r="B47" i="11" s="1"/>
  <c r="L29" i="29"/>
  <c r="K180" i="27"/>
  <c r="M180" i="27" s="1"/>
  <c r="D73" i="11" s="1"/>
  <c r="B65" i="10"/>
  <c r="B125" i="9"/>
  <c r="C60" i="2"/>
  <c r="C75" i="2" s="1"/>
  <c r="B41" i="2" s="1"/>
  <c r="B138" i="9"/>
  <c r="C61" i="2"/>
  <c r="C76" i="2" s="1"/>
  <c r="C41" i="2" s="1"/>
  <c r="E65" i="6"/>
  <c r="Q10" i="27"/>
  <c r="D44" i="11" s="1"/>
  <c r="J24" i="27"/>
  <c r="I20" i="27"/>
  <c r="B27" i="5"/>
  <c r="D27" i="5" s="1"/>
  <c r="H194" i="27"/>
  <c r="J27" i="29"/>
  <c r="I24" i="27"/>
  <c r="G20" i="27"/>
  <c r="G25" i="27" s="1"/>
  <c r="C26" i="29"/>
  <c r="J20" i="29"/>
  <c r="F24" i="27"/>
  <c r="K20" i="27"/>
  <c r="F20" i="27"/>
  <c r="K100" i="27"/>
  <c r="L11" i="27"/>
  <c r="M11" i="27" s="1"/>
  <c r="R25" i="27"/>
  <c r="G59" i="8" s="1"/>
  <c r="C156" i="27"/>
  <c r="K118" i="27"/>
  <c r="D25" i="27"/>
  <c r="N9" i="27"/>
  <c r="O9" i="27"/>
  <c r="Q9" i="27"/>
  <c r="D43" i="11" s="1"/>
  <c r="P9" i="27"/>
  <c r="B43" i="11" s="1"/>
  <c r="J21" i="29"/>
  <c r="O12" i="27"/>
  <c r="N12" i="27"/>
  <c r="K146" i="27"/>
  <c r="F27" i="29"/>
  <c r="G19" i="29"/>
  <c r="F26" i="29"/>
  <c r="D26" i="29"/>
  <c r="B28" i="5"/>
  <c r="O10" i="27"/>
  <c r="N10" i="27"/>
  <c r="F14" i="27"/>
  <c r="R14" i="27"/>
  <c r="N115" i="27"/>
  <c r="E60" i="11" s="1"/>
  <c r="K106" i="27"/>
  <c r="L104" i="27"/>
  <c r="F20" i="29"/>
  <c r="O13" i="27"/>
  <c r="N13" i="27"/>
  <c r="N11" i="27"/>
  <c r="O11" i="27"/>
  <c r="N73" i="27"/>
  <c r="E54" i="11" s="1"/>
  <c r="N71" i="27"/>
  <c r="E52" i="11" s="1"/>
  <c r="H14" i="27"/>
  <c r="J74" i="27"/>
  <c r="H64" i="27"/>
  <c r="H21" i="29"/>
  <c r="I106" i="27"/>
  <c r="M106" i="27" s="1"/>
  <c r="H64" i="11" s="1"/>
  <c r="N105" i="27"/>
  <c r="D63" i="11" s="1"/>
  <c r="N103" i="27"/>
  <c r="D61" i="11" s="1"/>
  <c r="L27" i="29"/>
  <c r="H27" i="29"/>
  <c r="D27" i="29"/>
  <c r="N119" i="27"/>
  <c r="E64" i="11" s="1"/>
  <c r="M27" i="29"/>
  <c r="L20" i="29"/>
  <c r="H20" i="29"/>
  <c r="I117" i="27"/>
  <c r="M117" i="27" s="1"/>
  <c r="I62" i="11" s="1"/>
  <c r="I105" i="27"/>
  <c r="M105" i="27" s="1"/>
  <c r="H63" i="11" s="1"/>
  <c r="E107" i="27"/>
  <c r="M62" i="27"/>
  <c r="H53" i="11" s="1"/>
  <c r="P10" i="27"/>
  <c r="B44" i="11" s="1"/>
  <c r="L9" i="27"/>
  <c r="M9" i="27" s="1"/>
  <c r="E74" i="27"/>
  <c r="N118" i="27"/>
  <c r="E63" i="11" s="1"/>
  <c r="M73" i="27"/>
  <c r="G54" i="11" s="1"/>
  <c r="N70" i="27"/>
  <c r="E51" i="11" s="1"/>
  <c r="N63" i="27"/>
  <c r="B54" i="11" s="1"/>
  <c r="E194" i="27"/>
  <c r="F107" i="27"/>
  <c r="K14" i="27"/>
  <c r="E120" i="27"/>
  <c r="L103" i="27"/>
  <c r="M60" i="27"/>
  <c r="H51" i="11" s="1"/>
  <c r="J14" i="27"/>
  <c r="F148" i="27"/>
  <c r="I118" i="27"/>
  <c r="M118" i="27" s="1"/>
  <c r="I63" i="11" s="1"/>
  <c r="N72" i="27"/>
  <c r="C53" i="11" s="1"/>
  <c r="I74" i="27"/>
  <c r="C25" i="27"/>
  <c r="I64" i="27"/>
  <c r="I14" i="27"/>
  <c r="L117" i="27"/>
  <c r="M29" i="29"/>
  <c r="F194" i="27"/>
  <c r="K28" i="29"/>
  <c r="G28" i="29"/>
  <c r="I101" i="27"/>
  <c r="M101" i="27" s="1"/>
  <c r="H59" i="11" s="1"/>
  <c r="K73" i="27"/>
  <c r="L73" i="27" s="1"/>
  <c r="J64" i="27"/>
  <c r="J22" i="27"/>
  <c r="B25" i="27"/>
  <c r="F74" i="27"/>
  <c r="K101" i="27"/>
  <c r="G194" i="27"/>
  <c r="K21" i="29"/>
  <c r="I21" i="29"/>
  <c r="G21" i="29"/>
  <c r="G120" i="27"/>
  <c r="L114" i="27"/>
  <c r="F28" i="29"/>
  <c r="H107" i="27"/>
  <c r="N102" i="27"/>
  <c r="D60" i="11" s="1"/>
  <c r="K72" i="27"/>
  <c r="L72" i="27" s="1"/>
  <c r="H74" i="27"/>
  <c r="M63" i="27"/>
  <c r="H54" i="11" s="1"/>
  <c r="G64" i="27"/>
  <c r="M61" i="27"/>
  <c r="F52" i="11" s="1"/>
  <c r="D19" i="29"/>
  <c r="I23" i="27"/>
  <c r="I22" i="27"/>
  <c r="J21" i="27"/>
  <c r="K70" i="27"/>
  <c r="L70" i="27" s="1"/>
  <c r="I193" i="27"/>
  <c r="L193" i="27" s="1"/>
  <c r="I76" i="11" s="1"/>
  <c r="M21" i="29"/>
  <c r="I28" i="29"/>
  <c r="B91" i="3"/>
  <c r="B96" i="3" s="1"/>
  <c r="N38" i="12" s="1"/>
  <c r="G107" i="27"/>
  <c r="M71" i="27"/>
  <c r="I52" i="11" s="1"/>
  <c r="J23" i="27"/>
  <c r="K119" i="27"/>
  <c r="B26" i="29"/>
  <c r="K181" i="27"/>
  <c r="M181" i="27" s="1"/>
  <c r="D74" i="11" s="1"/>
  <c r="E184" i="27"/>
  <c r="I29" i="29"/>
  <c r="E156" i="27"/>
  <c r="G156" i="27"/>
  <c r="M28" i="29"/>
  <c r="L28" i="29"/>
  <c r="J28" i="29"/>
  <c r="H28" i="29"/>
  <c r="I119" i="27"/>
  <c r="M119" i="27" s="1"/>
  <c r="I64" i="11" s="1"/>
  <c r="N117" i="27"/>
  <c r="E62" i="11" s="1"/>
  <c r="H120" i="27"/>
  <c r="D120" i="27"/>
  <c r="N104" i="27"/>
  <c r="D62" i="11" s="1"/>
  <c r="I102" i="27"/>
  <c r="M102" i="27" s="1"/>
  <c r="H60" i="11" s="1"/>
  <c r="G74" i="27"/>
  <c r="E20" i="29"/>
  <c r="B90" i="3"/>
  <c r="B95" i="3" s="1"/>
  <c r="F37" i="12" s="1"/>
  <c r="M26" i="29"/>
  <c r="K19" i="29"/>
  <c r="J26" i="29"/>
  <c r="E25" i="27"/>
  <c r="F23" i="27"/>
  <c r="F22" i="27"/>
  <c r="I21" i="27"/>
  <c r="C49" i="9"/>
  <c r="D65" i="9"/>
  <c r="D29" i="10"/>
  <c r="C51" i="10" s="1"/>
  <c r="F59" i="8"/>
  <c r="E59" i="8"/>
  <c r="K61" i="27"/>
  <c r="L61" i="27" s="1"/>
  <c r="E64" i="27"/>
  <c r="K63" i="27"/>
  <c r="L63" i="27" s="1"/>
  <c r="I191" i="27"/>
  <c r="J191" i="27" s="1"/>
  <c r="I22" i="29"/>
  <c r="N101" i="27"/>
  <c r="D59" i="11" s="1"/>
  <c r="M72" i="27"/>
  <c r="M70" i="27"/>
  <c r="G51" i="11" s="1"/>
  <c r="N62" i="27"/>
  <c r="B53" i="11" s="1"/>
  <c r="F120" i="27"/>
  <c r="L22" i="29"/>
  <c r="J29" i="29"/>
  <c r="H29" i="29"/>
  <c r="K60" i="27"/>
  <c r="L60" i="27" s="1"/>
  <c r="F64" i="27"/>
  <c r="L101" i="27"/>
  <c r="B29" i="5"/>
  <c r="D29" i="5" s="1"/>
  <c r="B26" i="5"/>
  <c r="D26" i="5" s="1"/>
  <c r="K105" i="27"/>
  <c r="B27" i="29"/>
  <c r="M22" i="29"/>
  <c r="K29" i="29"/>
  <c r="D194" i="27"/>
  <c r="J22" i="29"/>
  <c r="I182" i="27"/>
  <c r="J182" i="27" s="1"/>
  <c r="H156" i="27"/>
  <c r="F156" i="27"/>
  <c r="H22" i="29"/>
  <c r="H148" i="27"/>
  <c r="D148" i="27"/>
  <c r="I115" i="27"/>
  <c r="M115" i="27" s="1"/>
  <c r="I60" i="11" s="1"/>
  <c r="I113" i="27"/>
  <c r="M113" i="27" s="1"/>
  <c r="I58" i="11" s="1"/>
  <c r="N106" i="27"/>
  <c r="D64" i="11" s="1"/>
  <c r="C107" i="27"/>
  <c r="M20" i="29"/>
  <c r="K27" i="29"/>
  <c r="I27" i="29"/>
  <c r="G27" i="29"/>
  <c r="E27" i="29"/>
  <c r="K71" i="27"/>
  <c r="L71" i="27" s="1"/>
  <c r="N61" i="27"/>
  <c r="M19" i="29"/>
  <c r="L26" i="29"/>
  <c r="I26" i="29"/>
  <c r="F19" i="29"/>
  <c r="E26" i="29"/>
  <c r="H24" i="27"/>
  <c r="H23" i="27"/>
  <c r="H22" i="27"/>
  <c r="H21" i="27"/>
  <c r="L116" i="27"/>
  <c r="G14" i="27"/>
  <c r="K102" i="27"/>
  <c r="B20" i="29"/>
  <c r="K22" i="29"/>
  <c r="K192" i="27"/>
  <c r="M192" i="27" s="1"/>
  <c r="E75" i="11" s="1"/>
  <c r="I190" i="27"/>
  <c r="L190" i="27" s="1"/>
  <c r="I73" i="11" s="1"/>
  <c r="H184" i="27"/>
  <c r="F184" i="27"/>
  <c r="E148" i="27"/>
  <c r="G148" i="27"/>
  <c r="I116" i="27"/>
  <c r="J116" i="27" s="1"/>
  <c r="I104" i="27"/>
  <c r="J104" i="27" s="1"/>
  <c r="K20" i="29"/>
  <c r="I20" i="29"/>
  <c r="G20" i="29"/>
  <c r="N60" i="27"/>
  <c r="L19" i="29"/>
  <c r="K26" i="29"/>
  <c r="I19" i="29"/>
  <c r="H26" i="29"/>
  <c r="E19" i="29"/>
  <c r="K24" i="27"/>
  <c r="K23" i="27"/>
  <c r="K22" i="27"/>
  <c r="K21" i="27"/>
  <c r="B40" i="9"/>
  <c r="E84" i="6"/>
  <c r="I155" i="27"/>
  <c r="J155" i="27" s="1"/>
  <c r="B93" i="3"/>
  <c r="M35" i="12" s="1"/>
  <c r="C184" i="27"/>
  <c r="M23" i="29"/>
  <c r="K23" i="29"/>
  <c r="I183" i="27"/>
  <c r="L183" i="27" s="1"/>
  <c r="H76" i="11" s="1"/>
  <c r="G184" i="27"/>
  <c r="B30" i="5"/>
  <c r="L23" i="29"/>
  <c r="I181" i="27"/>
  <c r="L181" i="27" s="1"/>
  <c r="H74" i="11" s="1"/>
  <c r="M30" i="29"/>
  <c r="L30" i="29"/>
  <c r="K30" i="29"/>
  <c r="K154" i="27"/>
  <c r="M154" i="27" s="1"/>
  <c r="K155" i="27"/>
  <c r="M155" i="27" s="1"/>
  <c r="E69" i="11" s="1"/>
  <c r="I154" i="27"/>
  <c r="L154" i="27" s="1"/>
  <c r="I68" i="11" s="1"/>
  <c r="C148" i="27"/>
  <c r="I147" i="27"/>
  <c r="J147" i="27" s="1"/>
  <c r="H84" i="6"/>
  <c r="G84" i="6"/>
  <c r="C65" i="9"/>
  <c r="D47" i="8"/>
  <c r="C194" i="27"/>
  <c r="K191" i="27"/>
  <c r="M191" i="27" s="1"/>
  <c r="E74" i="11" s="1"/>
  <c r="I192" i="27"/>
  <c r="L192" i="27" s="1"/>
  <c r="I75" i="11" s="1"/>
  <c r="K182" i="27"/>
  <c r="M182" i="27" s="1"/>
  <c r="D75" i="11" s="1"/>
  <c r="K190" i="27"/>
  <c r="M190" i="27" s="1"/>
  <c r="E73" i="11" s="1"/>
  <c r="K183" i="27"/>
  <c r="M183" i="27" s="1"/>
  <c r="D76" i="11" s="1"/>
  <c r="I180" i="27"/>
  <c r="I146" i="27"/>
  <c r="L146" i="27" s="1"/>
  <c r="K115" i="27"/>
  <c r="K114" i="27"/>
  <c r="N114" i="27"/>
  <c r="E59" i="11" s="1"/>
  <c r="I114" i="27"/>
  <c r="N100" i="27"/>
  <c r="D58" i="11" s="1"/>
  <c r="I103" i="27"/>
  <c r="M103" i="27" s="1"/>
  <c r="H61" i="11" s="1"/>
  <c r="C120" i="27"/>
  <c r="K113" i="27"/>
  <c r="N113" i="27"/>
  <c r="E58" i="11" s="1"/>
  <c r="I100" i="27"/>
  <c r="J100" i="27" s="1"/>
  <c r="K193" i="27"/>
  <c r="M193" i="27" s="1"/>
  <c r="E76" i="11" s="1"/>
  <c r="D184" i="27"/>
  <c r="K147" i="27"/>
  <c r="M147" i="27" s="1"/>
  <c r="D69" i="11" s="1"/>
  <c r="D156" i="27"/>
  <c r="D107" i="27"/>
  <c r="N116" i="27"/>
  <c r="E61" i="11" s="1"/>
  <c r="K116" i="27"/>
  <c r="K103" i="27"/>
  <c r="L13" i="27"/>
  <c r="M13" i="27" s="1"/>
  <c r="P11" i="27"/>
  <c r="B45" i="11" s="1"/>
  <c r="Q11" i="27"/>
  <c r="D45" i="11" s="1"/>
  <c r="L10" i="27"/>
  <c r="M10" i="27" s="1"/>
  <c r="K62" i="27"/>
  <c r="L62" i="27" s="1"/>
  <c r="L12" i="27"/>
  <c r="M12" i="27" s="1"/>
  <c r="P12" i="27"/>
  <c r="B46" i="11" s="1"/>
  <c r="Q12" i="27"/>
  <c r="D46" i="11" s="1"/>
  <c r="C77" i="2"/>
  <c r="E41" i="2" s="1"/>
  <c r="E5" i="2"/>
  <c r="D49" i="9"/>
  <c r="B49" i="9"/>
  <c r="B65" i="9"/>
  <c r="D40" i="9"/>
  <c r="C40" i="9"/>
  <c r="C72" i="2"/>
  <c r="B97" i="3"/>
  <c r="N39" i="12" s="1"/>
  <c r="B170" i="8"/>
  <c r="B175" i="8"/>
  <c r="D88" i="8"/>
  <c r="C73" i="8"/>
  <c r="B182" i="8"/>
  <c r="E23" i="10"/>
  <c r="H10" i="5"/>
  <c r="E65" i="8"/>
  <c r="D70" i="9"/>
  <c r="D51" i="12" s="1"/>
  <c r="G10" i="5"/>
  <c r="E22" i="10"/>
  <c r="E31" i="10" s="1"/>
  <c r="D69" i="9"/>
  <c r="E88" i="9" s="1"/>
  <c r="D65" i="8"/>
  <c r="D23" i="10"/>
  <c r="C69" i="9"/>
  <c r="C70" i="9"/>
  <c r="D68" i="9"/>
  <c r="E83" i="9" s="1"/>
  <c r="F53" i="4"/>
  <c r="F54" i="4" s="1"/>
  <c r="N80" i="11" s="1"/>
  <c r="O34" i="12"/>
  <c r="C69" i="10"/>
  <c r="N34" i="12"/>
  <c r="P34" i="12"/>
  <c r="K30" i="12"/>
  <c r="L30" i="12"/>
  <c r="K34" i="12"/>
  <c r="M34" i="12"/>
  <c r="I29" i="12"/>
  <c r="J29" i="12"/>
  <c r="G28" i="12"/>
  <c r="D93" i="4"/>
  <c r="D94" i="4" s="1"/>
  <c r="D95" i="4" s="1"/>
  <c r="D96" i="4" s="1"/>
  <c r="D97" i="4" s="1"/>
  <c r="C81" i="11" s="1"/>
  <c r="F23" i="2" l="1"/>
  <c r="D28" i="10"/>
  <c r="E88" i="8"/>
  <c r="C186" i="8" s="1"/>
  <c r="C188" i="8" s="1"/>
  <c r="E70" i="8"/>
  <c r="D71" i="9"/>
  <c r="D52" i="12" s="1"/>
  <c r="E24" i="10"/>
  <c r="E21" i="10"/>
  <c r="F10" i="5"/>
  <c r="B186" i="8"/>
  <c r="B188" i="8" s="1"/>
  <c r="F98" i="8"/>
  <c r="F97" i="8"/>
  <c r="K31" i="12"/>
  <c r="F31" i="12"/>
  <c r="I31" i="12"/>
  <c r="F90" i="8"/>
  <c r="F95" i="8"/>
  <c r="F86" i="8"/>
  <c r="F82" i="8"/>
  <c r="D13" i="30" s="1"/>
  <c r="E31" i="12"/>
  <c r="L31" i="12"/>
  <c r="N31" i="12"/>
  <c r="J31" i="12"/>
  <c r="G31" i="12"/>
  <c r="B94" i="3"/>
  <c r="I36" i="12" s="1"/>
  <c r="H31" i="12"/>
  <c r="O31" i="12"/>
  <c r="M31" i="12"/>
  <c r="C16" i="30"/>
  <c r="I11" i="5"/>
  <c r="F70" i="8"/>
  <c r="C86" i="11"/>
  <c r="B36" i="29" s="1"/>
  <c r="B51" i="29" s="1"/>
  <c r="E71" i="9"/>
  <c r="E52" i="12" s="1"/>
  <c r="E77" i="12" s="1"/>
  <c r="F24" i="10"/>
  <c r="F51" i="11"/>
  <c r="B43" i="29"/>
  <c r="E36" i="10"/>
  <c r="B5" i="2"/>
  <c r="E29" i="10"/>
  <c r="D51" i="10" s="1"/>
  <c r="C5" i="2"/>
  <c r="F41" i="2"/>
  <c r="C65" i="2"/>
  <c r="E76" i="9"/>
  <c r="E78" i="9"/>
  <c r="C79" i="2"/>
  <c r="M80" i="11"/>
  <c r="G139" i="8"/>
  <c r="E139" i="8"/>
  <c r="Q24" i="27"/>
  <c r="E47" i="11" s="1"/>
  <c r="O20" i="27"/>
  <c r="P20" i="27"/>
  <c r="C43" i="11" s="1"/>
  <c r="L20" i="27"/>
  <c r="M20" i="27" s="1"/>
  <c r="N20" i="27"/>
  <c r="I43" i="11" s="1"/>
  <c r="L59" i="8"/>
  <c r="E53" i="11"/>
  <c r="C52" i="11"/>
  <c r="I54" i="11"/>
  <c r="Q20" i="27"/>
  <c r="E43" i="11" s="1"/>
  <c r="J146" i="27"/>
  <c r="I59" i="8"/>
  <c r="J117" i="27"/>
  <c r="K59" i="8"/>
  <c r="P59" i="8"/>
  <c r="M59" i="8"/>
  <c r="O59" i="8"/>
  <c r="J59" i="8"/>
  <c r="E55" i="11"/>
  <c r="M100" i="27"/>
  <c r="H58" i="11" s="1"/>
  <c r="H59" i="8"/>
  <c r="N59" i="8"/>
  <c r="J101" i="27"/>
  <c r="M116" i="27"/>
  <c r="I61" i="11" s="1"/>
  <c r="D54" i="11"/>
  <c r="Q21" i="27"/>
  <c r="E44" i="11" s="1"/>
  <c r="J106" i="27"/>
  <c r="J105" i="27"/>
  <c r="G52" i="11"/>
  <c r="H52" i="11"/>
  <c r="O24" i="27"/>
  <c r="O14" i="27"/>
  <c r="F43" i="11"/>
  <c r="H43" i="11"/>
  <c r="H46" i="11"/>
  <c r="F46" i="11"/>
  <c r="G43" i="11"/>
  <c r="D48" i="11"/>
  <c r="C54" i="11"/>
  <c r="O21" i="27"/>
  <c r="C51" i="11"/>
  <c r="F47" i="11"/>
  <c r="H47" i="11"/>
  <c r="H44" i="11"/>
  <c r="F44" i="11"/>
  <c r="O23" i="27"/>
  <c r="Q23" i="27"/>
  <c r="E46" i="11" s="1"/>
  <c r="N74" i="27"/>
  <c r="N21" i="27"/>
  <c r="I44" i="11" s="1"/>
  <c r="H45" i="11"/>
  <c r="F45" i="11"/>
  <c r="D53" i="11"/>
  <c r="N23" i="27"/>
  <c r="G46" i="11" s="1"/>
  <c r="I32" i="12"/>
  <c r="M37" i="12"/>
  <c r="H37" i="12"/>
  <c r="K37" i="12"/>
  <c r="M33" i="12"/>
  <c r="J181" i="27"/>
  <c r="L182" i="27"/>
  <c r="H75" i="11" s="1"/>
  <c r="L107" i="27"/>
  <c r="I64" i="8" s="1"/>
  <c r="N22" i="27"/>
  <c r="O22" i="27"/>
  <c r="N24" i="27"/>
  <c r="I47" i="11" s="1"/>
  <c r="N32" i="12"/>
  <c r="F53" i="11"/>
  <c r="L38" i="12"/>
  <c r="P32" i="12"/>
  <c r="I33" i="12"/>
  <c r="O38" i="12"/>
  <c r="P37" i="12"/>
  <c r="J38" i="12"/>
  <c r="E37" i="12"/>
  <c r="E32" i="12"/>
  <c r="G37" i="12"/>
  <c r="K38" i="12"/>
  <c r="N37" i="12"/>
  <c r="J32" i="12"/>
  <c r="P33" i="12"/>
  <c r="L33" i="12"/>
  <c r="N33" i="12"/>
  <c r="L32" i="12"/>
  <c r="J33" i="12"/>
  <c r="J119" i="27"/>
  <c r="L191" i="27"/>
  <c r="I74" i="11" s="1"/>
  <c r="I77" i="11" s="1"/>
  <c r="F25" i="27"/>
  <c r="F32" i="12"/>
  <c r="I37" i="12"/>
  <c r="M38" i="12"/>
  <c r="M32" i="12"/>
  <c r="I25" i="27"/>
  <c r="J37" i="12"/>
  <c r="I38" i="12"/>
  <c r="G32" i="12"/>
  <c r="O37" i="12"/>
  <c r="L37" i="12"/>
  <c r="O32" i="12"/>
  <c r="P38" i="12"/>
  <c r="O33" i="12"/>
  <c r="K32" i="12"/>
  <c r="H32" i="12"/>
  <c r="F54" i="11"/>
  <c r="J115" i="27"/>
  <c r="M104" i="27"/>
  <c r="H62" i="11" s="1"/>
  <c r="I156" i="27"/>
  <c r="J156" i="27" s="1"/>
  <c r="J154" i="27"/>
  <c r="J118" i="27"/>
  <c r="P23" i="27"/>
  <c r="C46" i="11" s="1"/>
  <c r="I120" i="27"/>
  <c r="J120" i="27" s="1"/>
  <c r="H55" i="11"/>
  <c r="K33" i="12"/>
  <c r="J25" i="27"/>
  <c r="L120" i="27"/>
  <c r="L64" i="8" s="1"/>
  <c r="L23" i="27"/>
  <c r="M23" i="27" s="1"/>
  <c r="J102" i="27"/>
  <c r="L155" i="27"/>
  <c r="I69" i="11" s="1"/>
  <c r="I70" i="11" s="1"/>
  <c r="J183" i="27"/>
  <c r="J193" i="27"/>
  <c r="D65" i="11"/>
  <c r="P21" i="27"/>
  <c r="L21" i="27"/>
  <c r="M21" i="27" s="1"/>
  <c r="N14" i="27"/>
  <c r="J113" i="27"/>
  <c r="Q14" i="27"/>
  <c r="K74" i="27"/>
  <c r="L74" i="27" s="1"/>
  <c r="J192" i="27"/>
  <c r="K156" i="27"/>
  <c r="P68" i="8" s="1"/>
  <c r="P22" i="27"/>
  <c r="C45" i="11" s="1"/>
  <c r="N64" i="27"/>
  <c r="L22" i="27"/>
  <c r="M22" i="27" s="1"/>
  <c r="M64" i="27"/>
  <c r="K138" i="8"/>
  <c r="G138" i="8"/>
  <c r="L138" i="8"/>
  <c r="E84" i="9"/>
  <c r="M140" i="8"/>
  <c r="I138" i="8"/>
  <c r="G140" i="8"/>
  <c r="M138" i="8"/>
  <c r="K140" i="8"/>
  <c r="J138" i="8"/>
  <c r="L140" i="8"/>
  <c r="J139" i="8"/>
  <c r="P35" i="12"/>
  <c r="B98" i="3"/>
  <c r="P40" i="12" s="1"/>
  <c r="O35" i="12"/>
  <c r="N35" i="12"/>
  <c r="O39" i="12"/>
  <c r="J140" i="8"/>
  <c r="I140" i="8"/>
  <c r="H140" i="8"/>
  <c r="F181" i="8" s="1"/>
  <c r="K25" i="27"/>
  <c r="B51" i="11"/>
  <c r="K107" i="27"/>
  <c r="I63" i="8" s="1"/>
  <c r="I194" i="27"/>
  <c r="J194" i="27" s="1"/>
  <c r="B52" i="11"/>
  <c r="D52" i="11"/>
  <c r="Q22" i="27"/>
  <c r="E45" i="11" s="1"/>
  <c r="D51" i="11"/>
  <c r="K120" i="27"/>
  <c r="N63" i="8" s="1"/>
  <c r="J190" i="27"/>
  <c r="M74" i="27"/>
  <c r="I51" i="11"/>
  <c r="L24" i="27"/>
  <c r="M24" i="27" s="1"/>
  <c r="P24" i="27"/>
  <c r="C47" i="11" s="1"/>
  <c r="H25" i="27"/>
  <c r="B48" i="11"/>
  <c r="K64" i="27"/>
  <c r="L64" i="27" s="1"/>
  <c r="N107" i="27"/>
  <c r="G53" i="11"/>
  <c r="I53" i="11"/>
  <c r="I148" i="27"/>
  <c r="J148" i="27" s="1"/>
  <c r="I184" i="27"/>
  <c r="J184" i="27" s="1"/>
  <c r="D30" i="5"/>
  <c r="B31" i="5"/>
  <c r="J180" i="27"/>
  <c r="L180" i="27"/>
  <c r="L39" i="12"/>
  <c r="M39" i="12"/>
  <c r="L147" i="27"/>
  <c r="H69" i="11" s="1"/>
  <c r="F139" i="8"/>
  <c r="G137" i="8"/>
  <c r="E74" i="8"/>
  <c r="J137" i="8"/>
  <c r="I137" i="8"/>
  <c r="K139" i="8"/>
  <c r="I139" i="8"/>
  <c r="K137" i="8"/>
  <c r="C74" i="8"/>
  <c r="H137" i="8"/>
  <c r="D74" i="8"/>
  <c r="F137" i="8"/>
  <c r="E137" i="8"/>
  <c r="H139" i="8"/>
  <c r="K194" i="27"/>
  <c r="O69" i="8" s="1"/>
  <c r="D77" i="11"/>
  <c r="K184" i="27"/>
  <c r="M69" i="8" s="1"/>
  <c r="M184" i="27"/>
  <c r="I107" i="27"/>
  <c r="J107" i="27" s="1"/>
  <c r="J103" i="27"/>
  <c r="E65" i="11"/>
  <c r="M114" i="27"/>
  <c r="I59" i="11" s="1"/>
  <c r="J114" i="27"/>
  <c r="M194" i="27"/>
  <c r="E77" i="11"/>
  <c r="E68" i="11"/>
  <c r="E70" i="11" s="1"/>
  <c r="M156" i="27"/>
  <c r="M146" i="27"/>
  <c r="K148" i="27"/>
  <c r="K68" i="8" s="1"/>
  <c r="H68" i="11"/>
  <c r="M63" i="8"/>
  <c r="N120" i="27"/>
  <c r="I46" i="11"/>
  <c r="P14" i="27"/>
  <c r="L14" i="27"/>
  <c r="M14" i="27" s="1"/>
  <c r="G44" i="11"/>
  <c r="E75" i="9"/>
  <c r="E86" i="9"/>
  <c r="E85" i="9"/>
  <c r="E87" i="9"/>
  <c r="E77" i="9"/>
  <c r="P39" i="12"/>
  <c r="K39" i="12"/>
  <c r="F94" i="8"/>
  <c r="C68" i="10"/>
  <c r="C70" i="10" s="1"/>
  <c r="F91" i="8"/>
  <c r="F93" i="8"/>
  <c r="F92" i="8"/>
  <c r="D73" i="8"/>
  <c r="E73" i="8"/>
  <c r="D60" i="12"/>
  <c r="D65" i="12"/>
  <c r="D70" i="12"/>
  <c r="D75" i="12"/>
  <c r="E40" i="10"/>
  <c r="B44" i="29"/>
  <c r="F22" i="10"/>
  <c r="E69" i="9"/>
  <c r="G11" i="5"/>
  <c r="C84" i="11"/>
  <c r="F65" i="8"/>
  <c r="E70" i="9"/>
  <c r="E51" i="12" s="1"/>
  <c r="F23" i="10"/>
  <c r="H11" i="5"/>
  <c r="C85" i="11"/>
  <c r="B35" i="29" s="1"/>
  <c r="D49" i="12"/>
  <c r="D50" i="12"/>
  <c r="C56" i="10"/>
  <c r="C58" i="10" s="1"/>
  <c r="C50" i="10"/>
  <c r="C52" i="10" s="1"/>
  <c r="N36" i="12"/>
  <c r="G36" i="12"/>
  <c r="O36" i="12"/>
  <c r="C61" i="10"/>
  <c r="C65" i="10" s="1"/>
  <c r="D98" i="4"/>
  <c r="D81" i="11" s="1"/>
  <c r="E67" i="12" l="1"/>
  <c r="E76" i="12"/>
  <c r="E72" i="12"/>
  <c r="C102" i="12" s="1"/>
  <c r="E64" i="2" s="1"/>
  <c r="E78" i="2" s="1"/>
  <c r="B50" i="29"/>
  <c r="E28" i="10"/>
  <c r="E35" i="10"/>
  <c r="E39" i="10"/>
  <c r="D69" i="10" s="1"/>
  <c r="E30" i="10"/>
  <c r="D72" i="12"/>
  <c r="D66" i="12"/>
  <c r="D71" i="12"/>
  <c r="D67" i="12"/>
  <c r="D77" i="12"/>
  <c r="D76" i="12"/>
  <c r="D61" i="12"/>
  <c r="F11" i="5"/>
  <c r="F60" i="8"/>
  <c r="G94" i="8" s="1"/>
  <c r="C83" i="11"/>
  <c r="E68" i="9"/>
  <c r="F21" i="10"/>
  <c r="D186" i="8"/>
  <c r="D188" i="8" s="1"/>
  <c r="B62" i="29"/>
  <c r="J36" i="12"/>
  <c r="H36" i="12"/>
  <c r="P36" i="12"/>
  <c r="K36" i="12"/>
  <c r="F36" i="12"/>
  <c r="M36" i="12"/>
  <c r="L36" i="12"/>
  <c r="E36" i="12"/>
  <c r="H181" i="8"/>
  <c r="D173" i="8"/>
  <c r="D168" i="8"/>
  <c r="F74" i="8"/>
  <c r="D178" i="8"/>
  <c r="D9" i="30"/>
  <c r="D169" i="8"/>
  <c r="D174" i="8"/>
  <c r="D180" i="8"/>
  <c r="F9" i="30"/>
  <c r="F180" i="8"/>
  <c r="F174" i="8"/>
  <c r="F169" i="8"/>
  <c r="E180" i="8"/>
  <c r="E174" i="8"/>
  <c r="E169" i="8"/>
  <c r="G181" i="8"/>
  <c r="C9" i="30"/>
  <c r="C174" i="8"/>
  <c r="C175" i="8" s="1"/>
  <c r="C169" i="8"/>
  <c r="C170" i="8" s="1"/>
  <c r="C180" i="8"/>
  <c r="C182" i="8" s="1"/>
  <c r="E181" i="8"/>
  <c r="G10" i="30"/>
  <c r="F10" i="30"/>
  <c r="E9" i="30"/>
  <c r="G9" i="30"/>
  <c r="H9" i="30"/>
  <c r="E61" i="12"/>
  <c r="E66" i="12"/>
  <c r="E71" i="12"/>
  <c r="D16" i="30"/>
  <c r="G24" i="10"/>
  <c r="G70" i="8"/>
  <c r="I12" i="5"/>
  <c r="F71" i="9"/>
  <c r="F52" i="12" s="1"/>
  <c r="D86" i="11"/>
  <c r="C36" i="29" s="1"/>
  <c r="I9" i="30"/>
  <c r="H10" i="30"/>
  <c r="E10" i="30"/>
  <c r="K10" i="30"/>
  <c r="I10" i="30"/>
  <c r="D10" i="30"/>
  <c r="J10" i="30"/>
  <c r="F5" i="2"/>
  <c r="J9" i="30"/>
  <c r="K9" i="30"/>
  <c r="C10" i="30"/>
  <c r="L194" i="27"/>
  <c r="C14" i="30"/>
  <c r="B61" i="29"/>
  <c r="D58" i="12"/>
  <c r="D63" i="12"/>
  <c r="D122" i="11"/>
  <c r="F31" i="10"/>
  <c r="F29" i="10"/>
  <c r="F36" i="10"/>
  <c r="F78" i="9"/>
  <c r="F76" i="9"/>
  <c r="M107" i="27"/>
  <c r="L63" i="8"/>
  <c r="K63" i="8"/>
  <c r="L68" i="8"/>
  <c r="C55" i="11"/>
  <c r="G55" i="11"/>
  <c r="L184" i="27"/>
  <c r="I65" i="11"/>
  <c r="Q25" i="27"/>
  <c r="P63" i="8"/>
  <c r="J63" i="8"/>
  <c r="B55" i="11"/>
  <c r="H48" i="11"/>
  <c r="H70" i="11"/>
  <c r="N69" i="8"/>
  <c r="H65" i="11"/>
  <c r="O25" i="27"/>
  <c r="N68" i="8"/>
  <c r="O68" i="8"/>
  <c r="F48" i="11"/>
  <c r="F55" i="11"/>
  <c r="D99" i="11" s="1"/>
  <c r="M68" i="8"/>
  <c r="P25" i="27"/>
  <c r="N64" i="8"/>
  <c r="C44" i="11"/>
  <c r="P64" i="8"/>
  <c r="J64" i="8"/>
  <c r="M64" i="8"/>
  <c r="O64" i="8"/>
  <c r="E48" i="11"/>
  <c r="K64" i="8"/>
  <c r="L156" i="27"/>
  <c r="G47" i="11"/>
  <c r="O63" i="8"/>
  <c r="H73" i="11"/>
  <c r="H77" i="11" s="1"/>
  <c r="N40" i="12"/>
  <c r="M40" i="12"/>
  <c r="O40" i="12"/>
  <c r="P69" i="8"/>
  <c r="I45" i="11"/>
  <c r="G45" i="11"/>
  <c r="N25" i="27"/>
  <c r="L25" i="27"/>
  <c r="M25" i="27" s="1"/>
  <c r="M120" i="27"/>
  <c r="I55" i="11"/>
  <c r="D55" i="11"/>
  <c r="L148" i="27"/>
  <c r="C26" i="5"/>
  <c r="C29" i="5"/>
  <c r="C28" i="5"/>
  <c r="C30" i="5"/>
  <c r="C27" i="5"/>
  <c r="D31" i="5"/>
  <c r="E30" i="5" s="1"/>
  <c r="D68" i="11"/>
  <c r="D70" i="11" s="1"/>
  <c r="M148" i="27"/>
  <c r="I48" i="11"/>
  <c r="D56" i="10"/>
  <c r="C141" i="9"/>
  <c r="C134" i="9"/>
  <c r="C118" i="9"/>
  <c r="C129" i="9"/>
  <c r="B100" i="12"/>
  <c r="D70" i="2" s="1"/>
  <c r="D24" i="2" s="1"/>
  <c r="D62" i="10"/>
  <c r="C124" i="9"/>
  <c r="C123" i="9"/>
  <c r="G91" i="8"/>
  <c r="G93" i="8"/>
  <c r="F73" i="8"/>
  <c r="D68" i="12"/>
  <c r="D73" i="12"/>
  <c r="E60" i="12"/>
  <c r="E65" i="12"/>
  <c r="E70" i="12"/>
  <c r="E75" i="12"/>
  <c r="E50" i="12"/>
  <c r="F80" i="9"/>
  <c r="F82" i="9"/>
  <c r="F88" i="9"/>
  <c r="F84" i="9"/>
  <c r="F86" i="9"/>
  <c r="C135" i="9"/>
  <c r="D69" i="12"/>
  <c r="D74" i="12"/>
  <c r="D59" i="12"/>
  <c r="D64" i="12"/>
  <c r="B49" i="29"/>
  <c r="B42" i="29"/>
  <c r="F40" i="10"/>
  <c r="D68" i="10"/>
  <c r="C130" i="9"/>
  <c r="C142" i="9"/>
  <c r="C119" i="9"/>
  <c r="D85" i="11"/>
  <c r="C35" i="29" s="1"/>
  <c r="G23" i="10"/>
  <c r="H12" i="5"/>
  <c r="F70" i="9"/>
  <c r="F51" i="12" s="1"/>
  <c r="D110" i="11"/>
  <c r="B34" i="29"/>
  <c r="D115" i="11"/>
  <c r="D93" i="11"/>
  <c r="D95" i="11"/>
  <c r="D105" i="11"/>
  <c r="D127" i="11"/>
  <c r="D84" i="11"/>
  <c r="E122" i="11" s="1"/>
  <c r="G12" i="5"/>
  <c r="G22" i="10"/>
  <c r="G65" i="8"/>
  <c r="H145" i="8" s="1"/>
  <c r="F187" i="8" s="1"/>
  <c r="F69" i="9"/>
  <c r="D99" i="4"/>
  <c r="E81" i="11" s="1"/>
  <c r="B101" i="12" l="1"/>
  <c r="G92" i="8"/>
  <c r="D98" i="11"/>
  <c r="D61" i="10"/>
  <c r="D65" i="10" s="1"/>
  <c r="D50" i="10"/>
  <c r="D52" i="10" s="1"/>
  <c r="D70" i="10"/>
  <c r="D109" i="11"/>
  <c r="D114" i="11"/>
  <c r="B177" i="11" s="1"/>
  <c r="B33" i="29"/>
  <c r="D92" i="11"/>
  <c r="D94" i="11"/>
  <c r="G98" i="8"/>
  <c r="G97" i="8"/>
  <c r="G96" i="8"/>
  <c r="G82" i="8"/>
  <c r="G95" i="8"/>
  <c r="G86" i="8"/>
  <c r="G90" i="8"/>
  <c r="F39" i="10"/>
  <c r="F30" i="10"/>
  <c r="E57" i="10" s="1"/>
  <c r="F28" i="10"/>
  <c r="E56" i="10" s="1"/>
  <c r="F35" i="10"/>
  <c r="E68" i="10" s="1"/>
  <c r="F12" i="5"/>
  <c r="D83" i="11"/>
  <c r="E126" i="11" s="1"/>
  <c r="G60" i="8"/>
  <c r="H92" i="8" s="1"/>
  <c r="G21" i="10"/>
  <c r="F68" i="9"/>
  <c r="B102" i="12"/>
  <c r="D17" i="30"/>
  <c r="D57" i="10"/>
  <c r="D58" i="10" s="1"/>
  <c r="F85" i="9"/>
  <c r="F81" i="9"/>
  <c r="F79" i="9"/>
  <c r="F75" i="9"/>
  <c r="F87" i="9"/>
  <c r="E49" i="12"/>
  <c r="F83" i="9"/>
  <c r="F77" i="9"/>
  <c r="D175" i="8"/>
  <c r="D170" i="8"/>
  <c r="C101" i="12"/>
  <c r="E71" i="2" s="1"/>
  <c r="E25" i="2" s="1"/>
  <c r="D182" i="8"/>
  <c r="C44" i="29"/>
  <c r="C50" i="29"/>
  <c r="C43" i="29"/>
  <c r="C51" i="29"/>
  <c r="F61" i="12"/>
  <c r="F67" i="12"/>
  <c r="F66" i="12"/>
  <c r="F76" i="12"/>
  <c r="F71" i="12"/>
  <c r="F77" i="12"/>
  <c r="F72" i="12"/>
  <c r="G71" i="9"/>
  <c r="G52" i="12" s="1"/>
  <c r="H70" i="8"/>
  <c r="I13" i="5"/>
  <c r="H24" i="10"/>
  <c r="E86" i="11"/>
  <c r="D36" i="29" s="1"/>
  <c r="C22" i="30"/>
  <c r="C23" i="30"/>
  <c r="P9" i="30"/>
  <c r="P10" i="30"/>
  <c r="D19" i="30"/>
  <c r="D20" i="30"/>
  <c r="D104" i="11"/>
  <c r="D126" i="11"/>
  <c r="B182" i="11" s="1"/>
  <c r="G31" i="10"/>
  <c r="G29" i="10"/>
  <c r="G36" i="10"/>
  <c r="G78" i="9"/>
  <c r="G76" i="9"/>
  <c r="D121" i="11"/>
  <c r="B181" i="11" s="1"/>
  <c r="B157" i="11"/>
  <c r="E90" i="11"/>
  <c r="D100" i="11"/>
  <c r="D90" i="11"/>
  <c r="D101" i="11"/>
  <c r="B148" i="11" s="1"/>
  <c r="D91" i="11"/>
  <c r="B142" i="11" s="1"/>
  <c r="G48" i="11"/>
  <c r="C48" i="11"/>
  <c r="D63" i="2"/>
  <c r="D77" i="2" s="1"/>
  <c r="D35" i="5"/>
  <c r="F53" i="12" s="1"/>
  <c r="E81" i="12" s="1"/>
  <c r="E26" i="5"/>
  <c r="E27" i="5"/>
  <c r="E29" i="5"/>
  <c r="E28" i="5"/>
  <c r="C31" i="5"/>
  <c r="A35" i="5"/>
  <c r="B35" i="5"/>
  <c r="D53" i="12" s="1"/>
  <c r="C81" i="12" s="1"/>
  <c r="C35" i="5"/>
  <c r="E53" i="12" s="1"/>
  <c r="C120" i="9"/>
  <c r="C143" i="9"/>
  <c r="C125" i="9"/>
  <c r="D62" i="2"/>
  <c r="D6" i="2" s="1"/>
  <c r="C131" i="9"/>
  <c r="B153" i="11"/>
  <c r="B99" i="12"/>
  <c r="D61" i="2" s="1"/>
  <c r="D76" i="2" s="1"/>
  <c r="C42" i="2" s="1"/>
  <c r="H89" i="8"/>
  <c r="H93" i="8"/>
  <c r="G74" i="8"/>
  <c r="G73" i="8"/>
  <c r="G88" i="9"/>
  <c r="G86" i="9"/>
  <c r="G84" i="9"/>
  <c r="F50" i="12"/>
  <c r="G80" i="9"/>
  <c r="G82" i="9"/>
  <c r="E84" i="11"/>
  <c r="F122" i="11" s="1"/>
  <c r="G13" i="5"/>
  <c r="G69" i="9"/>
  <c r="H22" i="10"/>
  <c r="E35" i="5"/>
  <c r="G53" i="12" s="1"/>
  <c r="E51" i="10"/>
  <c r="E115" i="11"/>
  <c r="E105" i="11"/>
  <c r="C34" i="29"/>
  <c r="E127" i="11"/>
  <c r="C170" i="11" s="1"/>
  <c r="E95" i="11"/>
  <c r="E93" i="11"/>
  <c r="E101" i="11"/>
  <c r="E110" i="11"/>
  <c r="E91" i="11"/>
  <c r="B170" i="11"/>
  <c r="B163" i="11"/>
  <c r="C42" i="29"/>
  <c r="C49" i="29"/>
  <c r="E64" i="12"/>
  <c r="E59" i="12"/>
  <c r="E69" i="12"/>
  <c r="E74" i="12"/>
  <c r="B116" i="12"/>
  <c r="B109" i="12"/>
  <c r="E99" i="11"/>
  <c r="C138" i="9"/>
  <c r="F75" i="12"/>
  <c r="F65" i="12"/>
  <c r="F60" i="12"/>
  <c r="F70" i="12"/>
  <c r="D135" i="9"/>
  <c r="D124" i="9"/>
  <c r="C100" i="12"/>
  <c r="B114" i="12"/>
  <c r="B107" i="12"/>
  <c r="B98" i="12"/>
  <c r="B110" i="12"/>
  <c r="B117" i="12"/>
  <c r="G40" i="10"/>
  <c r="B48" i="29"/>
  <c r="B41" i="29"/>
  <c r="E85" i="11"/>
  <c r="D35" i="29" s="1"/>
  <c r="H13" i="5"/>
  <c r="G70" i="9"/>
  <c r="G51" i="12" s="1"/>
  <c r="H23" i="10"/>
  <c r="H37" i="10" s="1"/>
  <c r="H65" i="8"/>
  <c r="I145" i="8" s="1"/>
  <c r="G187" i="8" s="1"/>
  <c r="E62" i="10"/>
  <c r="E69" i="10"/>
  <c r="B60" i="29"/>
  <c r="B115" i="12"/>
  <c r="B108" i="12"/>
  <c r="D100" i="4"/>
  <c r="D101" i="4" s="1"/>
  <c r="H94" i="8" l="1"/>
  <c r="H91" i="8"/>
  <c r="E17" i="30"/>
  <c r="E186" i="8"/>
  <c r="E188" i="8" s="1"/>
  <c r="D15" i="30"/>
  <c r="F99" i="11"/>
  <c r="E70" i="10"/>
  <c r="D14" i="30"/>
  <c r="D129" i="9"/>
  <c r="B162" i="11"/>
  <c r="D141" i="9"/>
  <c r="D119" i="9"/>
  <c r="D142" i="9"/>
  <c r="E58" i="12"/>
  <c r="C107" i="12" s="1"/>
  <c r="E68" i="12"/>
  <c r="C109" i="12" s="1"/>
  <c r="E73" i="12"/>
  <c r="D24" i="30" s="1"/>
  <c r="E63" i="12"/>
  <c r="C108" i="12" s="1"/>
  <c r="F49" i="12"/>
  <c r="G83" i="9"/>
  <c r="G87" i="9"/>
  <c r="G75" i="9"/>
  <c r="G79" i="9"/>
  <c r="G77" i="9"/>
  <c r="G85" i="9"/>
  <c r="G81" i="9"/>
  <c r="F13" i="5"/>
  <c r="H60" i="8"/>
  <c r="E83" i="11"/>
  <c r="F100" i="11" s="1"/>
  <c r="G68" i="9"/>
  <c r="H21" i="10"/>
  <c r="E13" i="30"/>
  <c r="E178" i="8"/>
  <c r="E182" i="8" s="1"/>
  <c r="E173" i="8"/>
  <c r="E175" i="8" s="1"/>
  <c r="E168" i="8"/>
  <c r="E170" i="8" s="1"/>
  <c r="D64" i="2"/>
  <c r="D78" i="2" s="1"/>
  <c r="E42" i="2" s="1"/>
  <c r="D71" i="2"/>
  <c r="E24" i="2" s="1"/>
  <c r="E109" i="11"/>
  <c r="E92" i="11"/>
  <c r="C33" i="29"/>
  <c r="E94" i="11"/>
  <c r="C153" i="11" s="1"/>
  <c r="E114" i="11"/>
  <c r="B40" i="29"/>
  <c r="B66" i="29" s="1"/>
  <c r="B47" i="29"/>
  <c r="B67" i="29" s="1"/>
  <c r="D118" i="9"/>
  <c r="F35" i="5"/>
  <c r="E100" i="11"/>
  <c r="E21" i="30" s="1"/>
  <c r="E98" i="11"/>
  <c r="E20" i="30" s="1"/>
  <c r="G30" i="10"/>
  <c r="F17" i="30" s="1"/>
  <c r="G39" i="10"/>
  <c r="G35" i="10"/>
  <c r="G28" i="10"/>
  <c r="F56" i="10" s="1"/>
  <c r="E61" i="10"/>
  <c r="E65" i="10" s="1"/>
  <c r="F69" i="10"/>
  <c r="C114" i="12"/>
  <c r="D25" i="30"/>
  <c r="D130" i="9"/>
  <c r="D131" i="9" s="1"/>
  <c r="E121" i="11"/>
  <c r="C181" i="11" s="1"/>
  <c r="E104" i="11"/>
  <c r="D134" i="9"/>
  <c r="D138" i="9" s="1"/>
  <c r="D123" i="9"/>
  <c r="D125" i="9" s="1"/>
  <c r="H86" i="8"/>
  <c r="H96" i="8"/>
  <c r="H82" i="8"/>
  <c r="H95" i="8"/>
  <c r="H90" i="8"/>
  <c r="H98" i="8"/>
  <c r="H97" i="8"/>
  <c r="E50" i="10"/>
  <c r="E52" i="10" s="1"/>
  <c r="E16" i="30"/>
  <c r="C61" i="29"/>
  <c r="E58" i="10"/>
  <c r="E63" i="2"/>
  <c r="E77" i="2" s="1"/>
  <c r="E43" i="2" s="1"/>
  <c r="C27" i="30"/>
  <c r="D51" i="29"/>
  <c r="D43" i="29"/>
  <c r="D44" i="29"/>
  <c r="D50" i="29"/>
  <c r="G67" i="12"/>
  <c r="G76" i="12"/>
  <c r="G72" i="12"/>
  <c r="G71" i="12"/>
  <c r="G66" i="12"/>
  <c r="G77" i="12"/>
  <c r="G61" i="12"/>
  <c r="D102" i="12"/>
  <c r="I14" i="5"/>
  <c r="H71" i="9"/>
  <c r="F86" i="11"/>
  <c r="E36" i="29" s="1"/>
  <c r="I70" i="8"/>
  <c r="I24" i="10"/>
  <c r="D101" i="12"/>
  <c r="I127" i="8"/>
  <c r="I125" i="8"/>
  <c r="I126" i="8"/>
  <c r="C62" i="29"/>
  <c r="D22" i="30"/>
  <c r="C148" i="11"/>
  <c r="E18" i="30"/>
  <c r="B176" i="11"/>
  <c r="B178" i="11" s="1"/>
  <c r="D26" i="30"/>
  <c r="B147" i="11"/>
  <c r="B149" i="11" s="1"/>
  <c r="D21" i="30"/>
  <c r="B166" i="11"/>
  <c r="D18" i="30"/>
  <c r="H31" i="10"/>
  <c r="H29" i="10"/>
  <c r="H36" i="10"/>
  <c r="H76" i="9"/>
  <c r="H78" i="9"/>
  <c r="B183" i="11"/>
  <c r="C182" i="11"/>
  <c r="B169" i="11"/>
  <c r="B173" i="11" s="1"/>
  <c r="B158" i="11"/>
  <c r="B159" i="11" s="1"/>
  <c r="B141" i="11"/>
  <c r="B152" i="11"/>
  <c r="B154" i="11" s="1"/>
  <c r="E82" i="12"/>
  <c r="E30" i="30" s="1"/>
  <c r="C60" i="29"/>
  <c r="F70" i="2" s="1"/>
  <c r="D26" i="2" s="1"/>
  <c r="B59" i="29"/>
  <c r="E39" i="5"/>
  <c r="G54" i="12" s="1"/>
  <c r="F86" i="12" s="1"/>
  <c r="A39" i="5"/>
  <c r="D82" i="12"/>
  <c r="D81" i="12"/>
  <c r="C82" i="12"/>
  <c r="C30" i="30" s="1"/>
  <c r="C39" i="5"/>
  <c r="E54" i="12" s="1"/>
  <c r="E31" i="5"/>
  <c r="B39" i="5"/>
  <c r="D54" i="12" s="1"/>
  <c r="D39" i="5"/>
  <c r="F54" i="12" s="1"/>
  <c r="D69" i="2"/>
  <c r="C24" i="2" s="1"/>
  <c r="C6" i="2"/>
  <c r="I94" i="8"/>
  <c r="I93" i="8"/>
  <c r="I91" i="8"/>
  <c r="I92" i="8"/>
  <c r="I87" i="8"/>
  <c r="I89" i="8"/>
  <c r="I118" i="8"/>
  <c r="H74" i="8"/>
  <c r="H73" i="8"/>
  <c r="D42" i="29"/>
  <c r="D49" i="29"/>
  <c r="F51" i="10"/>
  <c r="B103" i="12"/>
  <c r="D68" i="2"/>
  <c r="D60" i="2"/>
  <c r="C163" i="11"/>
  <c r="C176" i="11"/>
  <c r="H40" i="10"/>
  <c r="E62" i="2"/>
  <c r="D7" i="2" s="1"/>
  <c r="E70" i="2"/>
  <c r="D25" i="2" s="1"/>
  <c r="H41" i="10"/>
  <c r="C116" i="12"/>
  <c r="C142" i="11"/>
  <c r="C152" i="11"/>
  <c r="H80" i="9"/>
  <c r="H88" i="9"/>
  <c r="H86" i="9"/>
  <c r="H84" i="9"/>
  <c r="H82" i="9"/>
  <c r="G50" i="12"/>
  <c r="E142" i="9"/>
  <c r="G70" i="12"/>
  <c r="G75" i="12"/>
  <c r="G60" i="12"/>
  <c r="G65" i="12"/>
  <c r="F62" i="10"/>
  <c r="B118" i="12"/>
  <c r="C99" i="12"/>
  <c r="F82" i="12"/>
  <c r="F81" i="12"/>
  <c r="H69" i="9"/>
  <c r="F84" i="11"/>
  <c r="I22" i="10"/>
  <c r="G14" i="5"/>
  <c r="F39" i="5"/>
  <c r="H54" i="12" s="1"/>
  <c r="H53" i="12"/>
  <c r="F69" i="12"/>
  <c r="F64" i="12"/>
  <c r="F59" i="12"/>
  <c r="F74" i="12"/>
  <c r="E124" i="9"/>
  <c r="E135" i="9"/>
  <c r="H70" i="9"/>
  <c r="F85" i="11"/>
  <c r="E35" i="29" s="1"/>
  <c r="I23" i="10"/>
  <c r="I37" i="10" s="1"/>
  <c r="I65" i="8"/>
  <c r="H14" i="5"/>
  <c r="B111" i="12"/>
  <c r="D100" i="12"/>
  <c r="C41" i="29"/>
  <c r="C48" i="29"/>
  <c r="F110" i="11"/>
  <c r="F95" i="11"/>
  <c r="F91" i="11"/>
  <c r="F93" i="11"/>
  <c r="F115" i="11"/>
  <c r="F101" i="11"/>
  <c r="F127" i="11"/>
  <c r="D34" i="29"/>
  <c r="F105" i="11"/>
  <c r="F81" i="11"/>
  <c r="D102" i="4"/>
  <c r="G81" i="11"/>
  <c r="E6" i="2" l="1"/>
  <c r="C110" i="12"/>
  <c r="F50" i="10"/>
  <c r="F52" i="10" s="1"/>
  <c r="C117" i="12"/>
  <c r="F57" i="10"/>
  <c r="C141" i="11"/>
  <c r="F61" i="10"/>
  <c r="F65" i="10" s="1"/>
  <c r="D158" i="11"/>
  <c r="F98" i="11"/>
  <c r="F90" i="11"/>
  <c r="D152" i="11" s="1"/>
  <c r="E19" i="30"/>
  <c r="C157" i="11"/>
  <c r="F186" i="8"/>
  <c r="F188" i="8" s="1"/>
  <c r="D143" i="9"/>
  <c r="E14" i="30"/>
  <c r="C177" i="11"/>
  <c r="C178" i="11" s="1"/>
  <c r="E130" i="9"/>
  <c r="E118" i="9"/>
  <c r="D120" i="9"/>
  <c r="B68" i="29"/>
  <c r="F63" i="2"/>
  <c r="F77" i="2" s="1"/>
  <c r="D61" i="29"/>
  <c r="B58" i="29"/>
  <c r="B63" i="29" s="1"/>
  <c r="H77" i="9"/>
  <c r="G49" i="12"/>
  <c r="H83" i="9"/>
  <c r="H75" i="9"/>
  <c r="H85" i="9"/>
  <c r="H81" i="9"/>
  <c r="H79" i="9"/>
  <c r="H87" i="9"/>
  <c r="E119" i="9"/>
  <c r="E120" i="9" s="1"/>
  <c r="C147" i="11"/>
  <c r="C169" i="11"/>
  <c r="C173" i="11" s="1"/>
  <c r="E15" i="30"/>
  <c r="F13" i="30"/>
  <c r="F173" i="8"/>
  <c r="F175" i="8" s="1"/>
  <c r="F178" i="8"/>
  <c r="F182" i="8" s="1"/>
  <c r="F168" i="8"/>
  <c r="F170" i="8" s="1"/>
  <c r="D33" i="29"/>
  <c r="F114" i="11"/>
  <c r="F109" i="11"/>
  <c r="F92" i="11"/>
  <c r="F121" i="11"/>
  <c r="F94" i="11"/>
  <c r="F126" i="11"/>
  <c r="D182" i="11" s="1"/>
  <c r="F104" i="11"/>
  <c r="E123" i="9"/>
  <c r="E125" i="9" s="1"/>
  <c r="E134" i="9"/>
  <c r="E138" i="9" s="1"/>
  <c r="E141" i="9"/>
  <c r="E143" i="9" s="1"/>
  <c r="F68" i="10"/>
  <c r="F70" i="10" s="1"/>
  <c r="C115" i="12"/>
  <c r="C118" i="12" s="1"/>
  <c r="C158" i="11"/>
  <c r="C183" i="11"/>
  <c r="D23" i="30"/>
  <c r="D27" i="30" s="1"/>
  <c r="F16" i="30"/>
  <c r="C40" i="29"/>
  <c r="C47" i="29"/>
  <c r="C67" i="29" s="1"/>
  <c r="I90" i="8"/>
  <c r="I97" i="8"/>
  <c r="I98" i="8"/>
  <c r="I95" i="8"/>
  <c r="I86" i="8"/>
  <c r="I96" i="8"/>
  <c r="I82" i="8"/>
  <c r="E129" i="9"/>
  <c r="C162" i="11"/>
  <c r="C166" i="11" s="1"/>
  <c r="H39" i="10"/>
  <c r="G69" i="10" s="1"/>
  <c r="H28" i="10"/>
  <c r="G16" i="30" s="1"/>
  <c r="H35" i="10"/>
  <c r="H30" i="10"/>
  <c r="G57" i="10" s="1"/>
  <c r="F14" i="5"/>
  <c r="F83" i="11"/>
  <c r="G98" i="11" s="1"/>
  <c r="I60" i="8"/>
  <c r="H68" i="9"/>
  <c r="I21" i="10"/>
  <c r="F58" i="12"/>
  <c r="D114" i="12" s="1"/>
  <c r="F63" i="12"/>
  <c r="E23" i="30" s="1"/>
  <c r="F68" i="12"/>
  <c r="E25" i="30" s="1"/>
  <c r="F73" i="12"/>
  <c r="D110" i="12" s="1"/>
  <c r="C98" i="12"/>
  <c r="C103" i="12" s="1"/>
  <c r="J97" i="8"/>
  <c r="J98" i="8"/>
  <c r="J123" i="8"/>
  <c r="H12" i="30" s="1"/>
  <c r="E7" i="2"/>
  <c r="F58" i="10"/>
  <c r="F30" i="30"/>
  <c r="D30" i="30"/>
  <c r="G169" i="8"/>
  <c r="G6" i="30"/>
  <c r="G174" i="8"/>
  <c r="G180" i="8"/>
  <c r="G86" i="11"/>
  <c r="F36" i="29" s="1"/>
  <c r="J24" i="10"/>
  <c r="I71" i="9"/>
  <c r="I15" i="5"/>
  <c r="J70" i="8"/>
  <c r="J127" i="8"/>
  <c r="J146" i="8"/>
  <c r="H187" i="8" s="1"/>
  <c r="J126" i="8"/>
  <c r="J125" i="8"/>
  <c r="F64" i="2"/>
  <c r="F78" i="2" s="1"/>
  <c r="E102" i="12"/>
  <c r="E51" i="29"/>
  <c r="E44" i="29"/>
  <c r="E50" i="29"/>
  <c r="E43" i="29"/>
  <c r="G39" i="5"/>
  <c r="I54" i="12" s="1"/>
  <c r="F71" i="2"/>
  <c r="E26" i="2" s="1"/>
  <c r="H52" i="12"/>
  <c r="I96" i="9"/>
  <c r="I93" i="9"/>
  <c r="E101" i="12"/>
  <c r="D62" i="29"/>
  <c r="C143" i="11"/>
  <c r="F18" i="30"/>
  <c r="D147" i="11"/>
  <c r="F20" i="30"/>
  <c r="F21" i="30"/>
  <c r="C149" i="11"/>
  <c r="I31" i="10"/>
  <c r="I29" i="10"/>
  <c r="I36" i="10"/>
  <c r="I78" i="9"/>
  <c r="I76" i="9"/>
  <c r="G179" i="8"/>
  <c r="D157" i="11"/>
  <c r="B143" i="11"/>
  <c r="C111" i="12"/>
  <c r="C154" i="11"/>
  <c r="D60" i="29"/>
  <c r="G70" i="2" s="1"/>
  <c r="D27" i="2" s="1"/>
  <c r="G121" i="11"/>
  <c r="F85" i="12"/>
  <c r="E85" i="12"/>
  <c r="E86" i="12"/>
  <c r="D86" i="12"/>
  <c r="D85" i="12"/>
  <c r="C86" i="12"/>
  <c r="C85" i="12"/>
  <c r="E61" i="2"/>
  <c r="E76" i="2" s="1"/>
  <c r="C43" i="2" s="1"/>
  <c r="G63" i="10"/>
  <c r="G122" i="11"/>
  <c r="G99" i="11"/>
  <c r="J87" i="8"/>
  <c r="J92" i="8"/>
  <c r="J91" i="8"/>
  <c r="J90" i="8"/>
  <c r="J93" i="8"/>
  <c r="J96" i="8"/>
  <c r="J95" i="8"/>
  <c r="J94" i="8"/>
  <c r="I74" i="8"/>
  <c r="I73" i="8"/>
  <c r="D142" i="11"/>
  <c r="J121" i="8"/>
  <c r="J120" i="8"/>
  <c r="H8" i="30" s="1"/>
  <c r="J84" i="8"/>
  <c r="J119" i="8"/>
  <c r="J118" i="8"/>
  <c r="D170" i="11"/>
  <c r="D115" i="12"/>
  <c r="G84" i="11"/>
  <c r="I69" i="9"/>
  <c r="G15" i="5"/>
  <c r="J22" i="10"/>
  <c r="G68" i="10"/>
  <c r="G62" i="10"/>
  <c r="I41" i="10"/>
  <c r="D109" i="12"/>
  <c r="D116" i="12"/>
  <c r="E100" i="12"/>
  <c r="G51" i="10"/>
  <c r="G56" i="10"/>
  <c r="D75" i="2"/>
  <c r="B6" i="2"/>
  <c r="F6" i="2" s="1"/>
  <c r="D65" i="2"/>
  <c r="D163" i="11"/>
  <c r="D176" i="11"/>
  <c r="C59" i="29"/>
  <c r="E49" i="29"/>
  <c r="E42" i="29"/>
  <c r="D148" i="11"/>
  <c r="G82" i="12"/>
  <c r="G81" i="12"/>
  <c r="E34" i="29"/>
  <c r="G110" i="11"/>
  <c r="G95" i="11"/>
  <c r="G93" i="11"/>
  <c r="G115" i="11"/>
  <c r="G101" i="11"/>
  <c r="G127" i="11"/>
  <c r="G91" i="11"/>
  <c r="G105" i="11"/>
  <c r="F135" i="9"/>
  <c r="F124" i="9"/>
  <c r="E69" i="2"/>
  <c r="D72" i="2"/>
  <c r="B24" i="2"/>
  <c r="F24" i="2" s="1"/>
  <c r="I40" i="10"/>
  <c r="D41" i="29"/>
  <c r="D48" i="29"/>
  <c r="F62" i="2"/>
  <c r="D8" i="2" s="1"/>
  <c r="H15" i="5"/>
  <c r="J23" i="10"/>
  <c r="J37" i="10" s="1"/>
  <c r="I70" i="9"/>
  <c r="J65" i="8"/>
  <c r="G85" i="11"/>
  <c r="H123" i="11" s="1"/>
  <c r="H51" i="12"/>
  <c r="I95" i="9"/>
  <c r="I92" i="9"/>
  <c r="D99" i="12"/>
  <c r="G85" i="12"/>
  <c r="G86" i="12"/>
  <c r="H50" i="12"/>
  <c r="I86" i="9"/>
  <c r="I88" i="9"/>
  <c r="I82" i="9"/>
  <c r="I84" i="9"/>
  <c r="I80" i="9"/>
  <c r="G74" i="12"/>
  <c r="G64" i="12"/>
  <c r="G59" i="12"/>
  <c r="G69" i="12"/>
  <c r="H99" i="11"/>
  <c r="H81" i="11"/>
  <c r="D103" i="4"/>
  <c r="D108" i="12" l="1"/>
  <c r="D159" i="11"/>
  <c r="C159" i="11"/>
  <c r="D141" i="11"/>
  <c r="D143" i="11" s="1"/>
  <c r="D107" i="12"/>
  <c r="D111" i="12" s="1"/>
  <c r="E22" i="30"/>
  <c r="E44" i="2"/>
  <c r="E131" i="9"/>
  <c r="D98" i="12"/>
  <c r="G186" i="8"/>
  <c r="G188" i="8" s="1"/>
  <c r="F19" i="30"/>
  <c r="D153" i="11"/>
  <c r="D154" i="11" s="1"/>
  <c r="G50" i="10"/>
  <c r="G52" i="10" s="1"/>
  <c r="F142" i="9"/>
  <c r="D177" i="11"/>
  <c r="D178" i="11" s="1"/>
  <c r="F129" i="9"/>
  <c r="F14" i="30"/>
  <c r="F15" i="30"/>
  <c r="D162" i="11"/>
  <c r="D166" i="11" s="1"/>
  <c r="E60" i="2"/>
  <c r="E75" i="2" s="1"/>
  <c r="B43" i="2" s="1"/>
  <c r="F43" i="2" s="1"/>
  <c r="E68" i="2"/>
  <c r="B25" i="2" s="1"/>
  <c r="C58" i="29"/>
  <c r="E26" i="30"/>
  <c r="F15" i="5"/>
  <c r="G83" i="11"/>
  <c r="J60" i="8"/>
  <c r="K98" i="8" s="1"/>
  <c r="I68" i="9"/>
  <c r="J21" i="10"/>
  <c r="D103" i="12"/>
  <c r="F130" i="9"/>
  <c r="F141" i="9"/>
  <c r="D117" i="12"/>
  <c r="D118" i="12" s="1"/>
  <c r="E157" i="11"/>
  <c r="G35" i="5"/>
  <c r="I53" i="12" s="1"/>
  <c r="H82" i="12" s="1"/>
  <c r="H49" i="12"/>
  <c r="I75" i="9"/>
  <c r="I83" i="9"/>
  <c r="I77" i="9"/>
  <c r="I79" i="9"/>
  <c r="I85" i="9"/>
  <c r="I81" i="9"/>
  <c r="I87" i="9"/>
  <c r="G63" i="12"/>
  <c r="E108" i="12" s="1"/>
  <c r="G68" i="12"/>
  <c r="F25" i="30" s="1"/>
  <c r="G73" i="12"/>
  <c r="E110" i="12" s="1"/>
  <c r="G58" i="12"/>
  <c r="I35" i="10"/>
  <c r="H68" i="10" s="1"/>
  <c r="I28" i="10"/>
  <c r="H56" i="10" s="1"/>
  <c r="I39" i="10"/>
  <c r="H69" i="10" s="1"/>
  <c r="I30" i="10"/>
  <c r="H57" i="10" s="1"/>
  <c r="G13" i="30"/>
  <c r="G168" i="8"/>
  <c r="G170" i="8" s="1"/>
  <c r="G178" i="8"/>
  <c r="G182" i="8" s="1"/>
  <c r="G173" i="8"/>
  <c r="G175" i="8" s="1"/>
  <c r="D169" i="11"/>
  <c r="D173" i="11" s="1"/>
  <c r="D181" i="11"/>
  <c r="D183" i="11" s="1"/>
  <c r="D40" i="29"/>
  <c r="D47" i="29"/>
  <c r="D67" i="29" s="1"/>
  <c r="F119" i="9"/>
  <c r="F118" i="9"/>
  <c r="C66" i="29"/>
  <c r="C68" i="29" s="1"/>
  <c r="H17" i="30"/>
  <c r="E24" i="30"/>
  <c r="J86" i="8"/>
  <c r="H186" i="8" s="1"/>
  <c r="H188" i="8" s="1"/>
  <c r="J82" i="8"/>
  <c r="H13" i="30" s="1"/>
  <c r="G61" i="10"/>
  <c r="G65" i="10" s="1"/>
  <c r="E62" i="29"/>
  <c r="E33" i="29"/>
  <c r="G114" i="11"/>
  <c r="E177" i="11" s="1"/>
  <c r="G109" i="11"/>
  <c r="G126" i="11"/>
  <c r="E169" i="11" s="1"/>
  <c r="G94" i="11"/>
  <c r="G92" i="11"/>
  <c r="G104" i="11"/>
  <c r="E176" i="11" s="1"/>
  <c r="G90" i="11"/>
  <c r="G18" i="30" s="1"/>
  <c r="G100" i="11"/>
  <c r="E147" i="11" s="1"/>
  <c r="F134" i="9"/>
  <c r="F123" i="9"/>
  <c r="F125" i="9" s="1"/>
  <c r="G17" i="30"/>
  <c r="K97" i="8"/>
  <c r="G64" i="2"/>
  <c r="G78" i="2" s="1"/>
  <c r="K123" i="8"/>
  <c r="I12" i="30" s="1"/>
  <c r="G58" i="10"/>
  <c r="G137" i="9"/>
  <c r="G30" i="30"/>
  <c r="H6" i="30"/>
  <c r="H169" i="8"/>
  <c r="H174" i="8"/>
  <c r="H180" i="8"/>
  <c r="E8" i="2"/>
  <c r="J38" i="10"/>
  <c r="J42" i="10"/>
  <c r="F51" i="29"/>
  <c r="F43" i="29"/>
  <c r="F44" i="29"/>
  <c r="F50" i="29"/>
  <c r="H66" i="12"/>
  <c r="H72" i="12"/>
  <c r="H67" i="12"/>
  <c r="H77" i="12"/>
  <c r="H76" i="12"/>
  <c r="H71" i="12"/>
  <c r="H61" i="12"/>
  <c r="I16" i="5"/>
  <c r="K70" i="8"/>
  <c r="K24" i="10"/>
  <c r="J71" i="9"/>
  <c r="H86" i="11"/>
  <c r="G36" i="29" s="1"/>
  <c r="K128" i="8"/>
  <c r="K127" i="8"/>
  <c r="K130" i="8"/>
  <c r="K129" i="8"/>
  <c r="K125" i="8"/>
  <c r="K146" i="8"/>
  <c r="I187" i="8" s="1"/>
  <c r="K126" i="8"/>
  <c r="G63" i="2"/>
  <c r="G71" i="2"/>
  <c r="E27" i="2" s="1"/>
  <c r="E61" i="29"/>
  <c r="I52" i="12"/>
  <c r="J96" i="9"/>
  <c r="J93" i="9"/>
  <c r="F22" i="30"/>
  <c r="H11" i="30"/>
  <c r="H7" i="30"/>
  <c r="F24" i="30"/>
  <c r="G20" i="30"/>
  <c r="J31" i="10"/>
  <c r="J29" i="10"/>
  <c r="J36" i="10"/>
  <c r="J76" i="9"/>
  <c r="J78" i="9"/>
  <c r="G62" i="2"/>
  <c r="D9" i="2" s="1"/>
  <c r="H179" i="8"/>
  <c r="E60" i="29"/>
  <c r="E181" i="11"/>
  <c r="H63" i="10"/>
  <c r="C7" i="2"/>
  <c r="K87" i="8"/>
  <c r="K96" i="8"/>
  <c r="K93" i="8"/>
  <c r="K95" i="8"/>
  <c r="K91" i="8"/>
  <c r="K92" i="8"/>
  <c r="K90" i="8"/>
  <c r="K94" i="8"/>
  <c r="J74" i="8"/>
  <c r="J73" i="8"/>
  <c r="B42" i="2"/>
  <c r="F42" i="2" s="1"/>
  <c r="D79" i="2"/>
  <c r="H86" i="12"/>
  <c r="H85" i="12"/>
  <c r="I50" i="12"/>
  <c r="J88" i="9"/>
  <c r="J86" i="9"/>
  <c r="J82" i="9"/>
  <c r="J84" i="9"/>
  <c r="J80" i="9"/>
  <c r="J101" i="9"/>
  <c r="J98" i="9"/>
  <c r="I51" i="12"/>
  <c r="J95" i="9"/>
  <c r="J92" i="9"/>
  <c r="E148" i="11"/>
  <c r="H81" i="12"/>
  <c r="F34" i="29"/>
  <c r="H101" i="11"/>
  <c r="H95" i="11"/>
  <c r="H91" i="11"/>
  <c r="H93" i="11"/>
  <c r="H105" i="11"/>
  <c r="H110" i="11"/>
  <c r="H127" i="11"/>
  <c r="H115" i="11"/>
  <c r="H122" i="11"/>
  <c r="E99" i="12"/>
  <c r="E114" i="12"/>
  <c r="G135" i="9"/>
  <c r="G124" i="9"/>
  <c r="G136" i="9"/>
  <c r="H65" i="12"/>
  <c r="H75" i="12"/>
  <c r="H70" i="12"/>
  <c r="H60" i="12"/>
  <c r="J41" i="10"/>
  <c r="H62" i="10"/>
  <c r="E163" i="11"/>
  <c r="E48" i="29"/>
  <c r="E41" i="29"/>
  <c r="F61" i="2"/>
  <c r="J40" i="10"/>
  <c r="H64" i="12"/>
  <c r="H59" i="12"/>
  <c r="H69" i="12"/>
  <c r="H74" i="12"/>
  <c r="K119" i="8"/>
  <c r="K120" i="8"/>
  <c r="I8" i="30" s="1"/>
  <c r="K121" i="8"/>
  <c r="K118" i="8"/>
  <c r="K84" i="8"/>
  <c r="D59" i="29"/>
  <c r="C25" i="2"/>
  <c r="F69" i="2"/>
  <c r="D149" i="11"/>
  <c r="H111" i="11"/>
  <c r="F35" i="29"/>
  <c r="H116" i="11"/>
  <c r="H106" i="11"/>
  <c r="H128" i="11"/>
  <c r="F171" i="11" s="1"/>
  <c r="J70" i="9"/>
  <c r="H16" i="5"/>
  <c r="K65" i="8"/>
  <c r="H85" i="11"/>
  <c r="I123" i="11" s="1"/>
  <c r="K23" i="10"/>
  <c r="K37" i="10" s="1"/>
  <c r="H51" i="10"/>
  <c r="E170" i="11"/>
  <c r="E142" i="11"/>
  <c r="G70" i="10"/>
  <c r="H84" i="11"/>
  <c r="I99" i="11" s="1"/>
  <c r="K22" i="10"/>
  <c r="J69" i="9"/>
  <c r="G16" i="5"/>
  <c r="I81" i="11"/>
  <c r="D104" i="4"/>
  <c r="F143" i="9" l="1"/>
  <c r="E117" i="12"/>
  <c r="F60" i="2"/>
  <c r="B8" i="2" s="1"/>
  <c r="G15" i="30"/>
  <c r="E72" i="2"/>
  <c r="F25" i="2"/>
  <c r="H168" i="8"/>
  <c r="B7" i="2"/>
  <c r="F7" i="2" s="1"/>
  <c r="F23" i="30"/>
  <c r="E115" i="12"/>
  <c r="G130" i="9"/>
  <c r="G142" i="9"/>
  <c r="F131" i="9"/>
  <c r="G141" i="9"/>
  <c r="E79" i="2"/>
  <c r="E65" i="2"/>
  <c r="E98" i="12"/>
  <c r="E116" i="12"/>
  <c r="E109" i="12"/>
  <c r="G19" i="30"/>
  <c r="G119" i="9"/>
  <c r="C63" i="29"/>
  <c r="F68" i="2"/>
  <c r="B26" i="2" s="1"/>
  <c r="H50" i="10"/>
  <c r="H52" i="10" s="1"/>
  <c r="E153" i="11"/>
  <c r="G118" i="9"/>
  <c r="G14" i="30"/>
  <c r="F120" i="9"/>
  <c r="E27" i="30"/>
  <c r="E152" i="11"/>
  <c r="E182" i="11"/>
  <c r="E183" i="11" s="1"/>
  <c r="D58" i="29"/>
  <c r="E173" i="11"/>
  <c r="F16" i="5"/>
  <c r="K60" i="8"/>
  <c r="H83" i="11"/>
  <c r="K21" i="10"/>
  <c r="J68" i="9"/>
  <c r="F26" i="30"/>
  <c r="G129" i="9"/>
  <c r="E158" i="11"/>
  <c r="E159" i="11" s="1"/>
  <c r="E162" i="11"/>
  <c r="E166" i="11" s="1"/>
  <c r="G21" i="30"/>
  <c r="H63" i="12"/>
  <c r="F115" i="12" s="1"/>
  <c r="H58" i="12"/>
  <c r="G22" i="30" s="1"/>
  <c r="H68" i="12"/>
  <c r="G25" i="30" s="1"/>
  <c r="H73" i="12"/>
  <c r="F110" i="12" s="1"/>
  <c r="F33" i="29"/>
  <c r="H114" i="11"/>
  <c r="H109" i="11"/>
  <c r="H92" i="11"/>
  <c r="H126" i="11"/>
  <c r="F182" i="11" s="1"/>
  <c r="H104" i="11"/>
  <c r="F176" i="11" s="1"/>
  <c r="H94" i="11"/>
  <c r="F153" i="11" s="1"/>
  <c r="H100" i="11"/>
  <c r="F158" i="11" s="1"/>
  <c r="H90" i="11"/>
  <c r="H121" i="11"/>
  <c r="H98" i="11"/>
  <c r="H39" i="5"/>
  <c r="J54" i="12" s="1"/>
  <c r="E107" i="12"/>
  <c r="E47" i="29"/>
  <c r="E67" i="29" s="1"/>
  <c r="E40" i="29"/>
  <c r="E66" i="29" s="1"/>
  <c r="J79" i="9"/>
  <c r="J77" i="9"/>
  <c r="J75" i="9"/>
  <c r="J81" i="9"/>
  <c r="J85" i="9"/>
  <c r="J83" i="9"/>
  <c r="I49" i="12"/>
  <c r="J87" i="9"/>
  <c r="E149" i="11"/>
  <c r="K97" i="9"/>
  <c r="K94" i="9"/>
  <c r="J30" i="10"/>
  <c r="I17" i="30" s="1"/>
  <c r="J28" i="10"/>
  <c r="I16" i="30" s="1"/>
  <c r="J39" i="10"/>
  <c r="I69" i="10" s="1"/>
  <c r="J35" i="10"/>
  <c r="I68" i="10" s="1"/>
  <c r="D66" i="29"/>
  <c r="D68" i="29" s="1"/>
  <c r="H35" i="5"/>
  <c r="J53" i="12" s="1"/>
  <c r="I82" i="12" s="1"/>
  <c r="E103" i="12"/>
  <c r="E141" i="11"/>
  <c r="E143" i="11" s="1"/>
  <c r="F138" i="9"/>
  <c r="H178" i="8"/>
  <c r="H173" i="8"/>
  <c r="H175" i="8" s="1"/>
  <c r="H61" i="10"/>
  <c r="H65" i="10" s="1"/>
  <c r="G134" i="9"/>
  <c r="G138" i="9" s="1"/>
  <c r="G123" i="9"/>
  <c r="H16" i="30"/>
  <c r="K86" i="8"/>
  <c r="I186" i="8" s="1"/>
  <c r="I188" i="8" s="1"/>
  <c r="K82" i="8"/>
  <c r="L97" i="8"/>
  <c r="F61" i="29"/>
  <c r="L123" i="8"/>
  <c r="H30" i="30"/>
  <c r="H58" i="10"/>
  <c r="I181" i="8"/>
  <c r="I6" i="30"/>
  <c r="I169" i="8"/>
  <c r="I180" i="8"/>
  <c r="I174" i="8"/>
  <c r="I71" i="12"/>
  <c r="I61" i="12"/>
  <c r="I72" i="12"/>
  <c r="I66" i="12"/>
  <c r="I77" i="12"/>
  <c r="I67" i="12"/>
  <c r="I76" i="12"/>
  <c r="G44" i="29"/>
  <c r="G51" i="29"/>
  <c r="G43" i="29"/>
  <c r="G50" i="29"/>
  <c r="K71" i="9"/>
  <c r="L70" i="8"/>
  <c r="I86" i="11"/>
  <c r="I17" i="5"/>
  <c r="L24" i="10"/>
  <c r="G77" i="2"/>
  <c r="E45" i="2" s="1"/>
  <c r="E9" i="2"/>
  <c r="K96" i="9"/>
  <c r="K93" i="9"/>
  <c r="J52" i="12"/>
  <c r="F101" i="12"/>
  <c r="F102" i="12"/>
  <c r="H64" i="2" s="1"/>
  <c r="H78" i="2" s="1"/>
  <c r="L142" i="8"/>
  <c r="L129" i="8"/>
  <c r="L132" i="8"/>
  <c r="L146" i="8"/>
  <c r="J187" i="8" s="1"/>
  <c r="L133" i="8"/>
  <c r="L127" i="8"/>
  <c r="L128" i="8"/>
  <c r="L130" i="8"/>
  <c r="L131" i="8"/>
  <c r="L126" i="8"/>
  <c r="L125" i="8"/>
  <c r="H137" i="9"/>
  <c r="K38" i="10"/>
  <c r="K42" i="10"/>
  <c r="F62" i="29"/>
  <c r="I64" i="10"/>
  <c r="I11" i="30"/>
  <c r="I7" i="30"/>
  <c r="H70" i="10"/>
  <c r="K31" i="10"/>
  <c r="K36" i="10"/>
  <c r="K29" i="10"/>
  <c r="K78" i="9"/>
  <c r="K76" i="9"/>
  <c r="H70" i="2"/>
  <c r="D28" i="2" s="1"/>
  <c r="I179" i="8"/>
  <c r="G61" i="2"/>
  <c r="E178" i="11"/>
  <c r="G120" i="9"/>
  <c r="H136" i="9"/>
  <c r="I63" i="10"/>
  <c r="E118" i="12"/>
  <c r="G69" i="2"/>
  <c r="C27" i="2" s="1"/>
  <c r="L87" i="8"/>
  <c r="L95" i="8"/>
  <c r="L90" i="8"/>
  <c r="L94" i="8"/>
  <c r="L96" i="8"/>
  <c r="L91" i="8"/>
  <c r="K74" i="8"/>
  <c r="K73" i="8"/>
  <c r="K40" i="10"/>
  <c r="C26" i="2"/>
  <c r="F142" i="11"/>
  <c r="H124" i="9"/>
  <c r="H135" i="9"/>
  <c r="I74" i="12"/>
  <c r="I64" i="12"/>
  <c r="I59" i="12"/>
  <c r="I69" i="12"/>
  <c r="F164" i="11"/>
  <c r="F99" i="12"/>
  <c r="G17" i="5"/>
  <c r="L22" i="10"/>
  <c r="K69" i="9"/>
  <c r="I84" i="11"/>
  <c r="J99" i="11" s="1"/>
  <c r="I35" i="5"/>
  <c r="K53" i="12" s="1"/>
  <c r="I39" i="5"/>
  <c r="K54" i="12" s="1"/>
  <c r="K70" i="9"/>
  <c r="L23" i="10"/>
  <c r="L37" i="10" s="1"/>
  <c r="H17" i="5"/>
  <c r="L65" i="8"/>
  <c r="I85" i="11"/>
  <c r="J123" i="11" s="1"/>
  <c r="I168" i="8"/>
  <c r="I62" i="10"/>
  <c r="E59" i="29"/>
  <c r="F100" i="12"/>
  <c r="H62" i="2" s="1"/>
  <c r="D10" i="2" s="1"/>
  <c r="H170" i="8"/>
  <c r="F163" i="11"/>
  <c r="I60" i="12"/>
  <c r="I65" i="12"/>
  <c r="I75" i="12"/>
  <c r="I70" i="12"/>
  <c r="I85" i="12"/>
  <c r="I86" i="12"/>
  <c r="I111" i="11"/>
  <c r="I116" i="11"/>
  <c r="G35" i="29"/>
  <c r="I106" i="11"/>
  <c r="I128" i="11"/>
  <c r="G171" i="11" s="1"/>
  <c r="I81" i="12"/>
  <c r="I115" i="11"/>
  <c r="I101" i="11"/>
  <c r="G34" i="29"/>
  <c r="I127" i="11"/>
  <c r="I95" i="11"/>
  <c r="I105" i="11"/>
  <c r="I110" i="11"/>
  <c r="I93" i="11"/>
  <c r="I91" i="11"/>
  <c r="L119" i="8"/>
  <c r="L120" i="8"/>
  <c r="L84" i="8"/>
  <c r="L118" i="8"/>
  <c r="L121" i="8"/>
  <c r="I51" i="10"/>
  <c r="I122" i="11"/>
  <c r="K84" i="9"/>
  <c r="K88" i="9"/>
  <c r="K86" i="9"/>
  <c r="J50" i="12"/>
  <c r="K80" i="9"/>
  <c r="K82" i="9"/>
  <c r="K41" i="10"/>
  <c r="J63" i="10" s="1"/>
  <c r="K95" i="9"/>
  <c r="K101" i="9"/>
  <c r="K98" i="9"/>
  <c r="J51" i="12"/>
  <c r="K92" i="9"/>
  <c r="F42" i="29"/>
  <c r="F49" i="29"/>
  <c r="F117" i="12"/>
  <c r="C8" i="2"/>
  <c r="F8" i="2" s="1"/>
  <c r="F76" i="2"/>
  <c r="F170" i="11"/>
  <c r="F41" i="29"/>
  <c r="F48" i="29"/>
  <c r="F148" i="11"/>
  <c r="D105" i="4"/>
  <c r="J81" i="11"/>
  <c r="F65" i="2" l="1"/>
  <c r="F109" i="12"/>
  <c r="G131" i="9"/>
  <c r="H130" i="9"/>
  <c r="G143" i="9"/>
  <c r="G24" i="30"/>
  <c r="F108" i="12"/>
  <c r="F75" i="2"/>
  <c r="B44" i="2" s="1"/>
  <c r="F114" i="12"/>
  <c r="E111" i="12"/>
  <c r="F116" i="12"/>
  <c r="F27" i="30"/>
  <c r="H119" i="9"/>
  <c r="H15" i="30"/>
  <c r="I57" i="10"/>
  <c r="H142" i="9"/>
  <c r="F26" i="2"/>
  <c r="F72" i="2"/>
  <c r="E154" i="11"/>
  <c r="F177" i="11"/>
  <c r="G68" i="2"/>
  <c r="B27" i="2" s="1"/>
  <c r="F27" i="2" s="1"/>
  <c r="F107" i="12"/>
  <c r="H21" i="30"/>
  <c r="H14" i="30"/>
  <c r="I50" i="10"/>
  <c r="I52" i="10" s="1"/>
  <c r="H19" i="30"/>
  <c r="H141" i="9"/>
  <c r="H143" i="9" s="1"/>
  <c r="F141" i="11"/>
  <c r="F143" i="11" s="1"/>
  <c r="G26" i="30"/>
  <c r="G60" i="2"/>
  <c r="D63" i="29"/>
  <c r="H182" i="8"/>
  <c r="H118" i="9"/>
  <c r="H120" i="9" s="1"/>
  <c r="L97" i="9"/>
  <c r="L94" i="9"/>
  <c r="I178" i="8"/>
  <c r="I173" i="8"/>
  <c r="I175" i="8" s="1"/>
  <c r="F98" i="12"/>
  <c r="I13" i="30"/>
  <c r="L86" i="8"/>
  <c r="L82" i="8"/>
  <c r="J13" i="30" s="1"/>
  <c r="F40" i="29"/>
  <c r="F47" i="29"/>
  <c r="F67" i="29" s="1"/>
  <c r="G33" i="29"/>
  <c r="I114" i="11"/>
  <c r="I109" i="11"/>
  <c r="I94" i="11"/>
  <c r="I104" i="11"/>
  <c r="G176" i="11" s="1"/>
  <c r="I126" i="11"/>
  <c r="G182" i="11" s="1"/>
  <c r="I92" i="11"/>
  <c r="I90" i="11"/>
  <c r="I100" i="11"/>
  <c r="I21" i="30" s="1"/>
  <c r="I98" i="11"/>
  <c r="I121" i="11"/>
  <c r="G181" i="11" s="1"/>
  <c r="F152" i="11"/>
  <c r="F154" i="11" s="1"/>
  <c r="I56" i="10"/>
  <c r="H129" i="9"/>
  <c r="H131" i="9" s="1"/>
  <c r="L93" i="8"/>
  <c r="L92" i="8"/>
  <c r="G23" i="30"/>
  <c r="E58" i="29"/>
  <c r="E63" i="29" s="1"/>
  <c r="G125" i="9"/>
  <c r="H20" i="30"/>
  <c r="F147" i="11"/>
  <c r="F149" i="11" s="1"/>
  <c r="F157" i="11"/>
  <c r="F159" i="11" s="1"/>
  <c r="K81" i="9"/>
  <c r="K85" i="9"/>
  <c r="J49" i="12"/>
  <c r="K77" i="9"/>
  <c r="K83" i="9"/>
  <c r="K75" i="9"/>
  <c r="K79" i="9"/>
  <c r="K87" i="9"/>
  <c r="F17" i="5"/>
  <c r="L60" i="8"/>
  <c r="K68" i="9"/>
  <c r="I83" i="11"/>
  <c r="L21" i="10"/>
  <c r="H18" i="30"/>
  <c r="L98" i="8"/>
  <c r="I61" i="10"/>
  <c r="I63" i="12"/>
  <c r="G108" i="12" s="1"/>
  <c r="I68" i="12"/>
  <c r="G109" i="12" s="1"/>
  <c r="I58" i="12"/>
  <c r="G107" i="12" s="1"/>
  <c r="I73" i="12"/>
  <c r="H24" i="30" s="1"/>
  <c r="H123" i="9"/>
  <c r="H125" i="9" s="1"/>
  <c r="H134" i="9"/>
  <c r="F169" i="11"/>
  <c r="F173" i="11" s="1"/>
  <c r="F162" i="11"/>
  <c r="F166" i="11" s="1"/>
  <c r="F181" i="11"/>
  <c r="F183" i="11" s="1"/>
  <c r="K30" i="10"/>
  <c r="J57" i="10" s="1"/>
  <c r="K35" i="10"/>
  <c r="K28" i="10"/>
  <c r="J16" i="30" s="1"/>
  <c r="K39" i="10"/>
  <c r="J69" i="10" s="1"/>
  <c r="M98" i="8"/>
  <c r="G61" i="29"/>
  <c r="J12" i="30"/>
  <c r="M123" i="8"/>
  <c r="I30" i="30"/>
  <c r="J181" i="8"/>
  <c r="J8" i="30"/>
  <c r="J180" i="8"/>
  <c r="J174" i="8"/>
  <c r="J169" i="8"/>
  <c r="J6" i="30"/>
  <c r="H63" i="2"/>
  <c r="H71" i="2"/>
  <c r="E28" i="2" s="1"/>
  <c r="J64" i="10"/>
  <c r="J72" i="12"/>
  <c r="J71" i="12"/>
  <c r="J66" i="12"/>
  <c r="J61" i="12"/>
  <c r="J77" i="12"/>
  <c r="J67" i="12"/>
  <c r="J76" i="12"/>
  <c r="M142" i="8"/>
  <c r="M127" i="8"/>
  <c r="M146" i="8"/>
  <c r="K187" i="8" s="1"/>
  <c r="M132" i="8"/>
  <c r="M129" i="8"/>
  <c r="M126" i="8"/>
  <c r="M130" i="8"/>
  <c r="M133" i="8"/>
  <c r="M125" i="8"/>
  <c r="M131" i="8"/>
  <c r="M128" i="8"/>
  <c r="L42" i="10"/>
  <c r="L38" i="10"/>
  <c r="K52" i="12"/>
  <c r="L99" i="9"/>
  <c r="L102" i="9"/>
  <c r="L93" i="9"/>
  <c r="L96" i="9"/>
  <c r="G62" i="29"/>
  <c r="J107" i="11"/>
  <c r="J117" i="11"/>
  <c r="H36" i="29"/>
  <c r="J129" i="11"/>
  <c r="J112" i="11"/>
  <c r="J124" i="11"/>
  <c r="I137" i="9"/>
  <c r="L71" i="9"/>
  <c r="M70" i="8"/>
  <c r="I18" i="5"/>
  <c r="M24" i="10"/>
  <c r="J86" i="11"/>
  <c r="G101" i="12"/>
  <c r="I63" i="2" s="1"/>
  <c r="G102" i="12"/>
  <c r="I64" i="2" s="1"/>
  <c r="I78" i="2" s="1"/>
  <c r="J11" i="30"/>
  <c r="J7" i="30"/>
  <c r="L31" i="10"/>
  <c r="L29" i="10"/>
  <c r="L36" i="10"/>
  <c r="L78" i="9"/>
  <c r="L76" i="9"/>
  <c r="J179" i="8"/>
  <c r="G76" i="2"/>
  <c r="C45" i="2" s="1"/>
  <c r="G170" i="11"/>
  <c r="E68" i="29"/>
  <c r="C9" i="2"/>
  <c r="F60" i="29"/>
  <c r="I70" i="2" s="1"/>
  <c r="D29" i="2" s="1"/>
  <c r="I170" i="8"/>
  <c r="G164" i="11"/>
  <c r="I70" i="10"/>
  <c r="G72" i="2"/>
  <c r="I65" i="10"/>
  <c r="M87" i="8"/>
  <c r="M93" i="8"/>
  <c r="M91" i="8"/>
  <c r="L74" i="8"/>
  <c r="F59" i="29"/>
  <c r="J60" i="12"/>
  <c r="J75" i="12"/>
  <c r="J65" i="12"/>
  <c r="J70" i="12"/>
  <c r="G48" i="29"/>
  <c r="G41" i="29"/>
  <c r="I182" i="8"/>
  <c r="H34" i="29"/>
  <c r="J91" i="11"/>
  <c r="J115" i="11"/>
  <c r="J105" i="11"/>
  <c r="J110" i="11"/>
  <c r="J127" i="11"/>
  <c r="J93" i="11"/>
  <c r="J95" i="11"/>
  <c r="J101" i="11"/>
  <c r="G163" i="11"/>
  <c r="J128" i="11"/>
  <c r="H171" i="11" s="1"/>
  <c r="J106" i="11"/>
  <c r="J111" i="11"/>
  <c r="J116" i="11"/>
  <c r="H35" i="29"/>
  <c r="L82" i="9"/>
  <c r="L84" i="9"/>
  <c r="K50" i="12"/>
  <c r="L80" i="9"/>
  <c r="L88" i="9"/>
  <c r="L86" i="9"/>
  <c r="J122" i="11"/>
  <c r="H69" i="2"/>
  <c r="G142" i="11"/>
  <c r="G100" i="12"/>
  <c r="M84" i="8"/>
  <c r="M120" i="8"/>
  <c r="M118" i="8"/>
  <c r="M121" i="8"/>
  <c r="M119" i="8"/>
  <c r="J85" i="12"/>
  <c r="J86" i="12"/>
  <c r="L40" i="10"/>
  <c r="G117" i="12"/>
  <c r="J56" i="10"/>
  <c r="J51" i="10"/>
  <c r="C44" i="2"/>
  <c r="F79" i="2"/>
  <c r="F178" i="11"/>
  <c r="L41" i="10"/>
  <c r="G99" i="12"/>
  <c r="I135" i="9"/>
  <c r="I124" i="9"/>
  <c r="G42" i="29"/>
  <c r="G49" i="29"/>
  <c r="K51" i="12"/>
  <c r="L95" i="9"/>
  <c r="L101" i="9"/>
  <c r="L92" i="9"/>
  <c r="L98" i="9"/>
  <c r="J62" i="10"/>
  <c r="I136" i="9"/>
  <c r="J64" i="12"/>
  <c r="J59" i="12"/>
  <c r="J74" i="12"/>
  <c r="J69" i="12"/>
  <c r="G148" i="11"/>
  <c r="H61" i="2"/>
  <c r="L70" i="9"/>
  <c r="M65" i="8"/>
  <c r="H18" i="5"/>
  <c r="M23" i="10"/>
  <c r="M37" i="10" s="1"/>
  <c r="J85" i="11"/>
  <c r="K123" i="11" s="1"/>
  <c r="J82" i="12"/>
  <c r="J81" i="12"/>
  <c r="M22" i="10"/>
  <c r="G18" i="5"/>
  <c r="L69" i="9"/>
  <c r="J84" i="11"/>
  <c r="K122" i="11" s="1"/>
  <c r="J39" i="5"/>
  <c r="L54" i="12" s="1"/>
  <c r="K99" i="11"/>
  <c r="K124" i="11"/>
  <c r="D106" i="4"/>
  <c r="K81" i="11"/>
  <c r="F44" i="2" l="1"/>
  <c r="F111" i="12"/>
  <c r="G110" i="12"/>
  <c r="F118" i="12"/>
  <c r="I58" i="10"/>
  <c r="I15" i="30"/>
  <c r="J168" i="8"/>
  <c r="G115" i="12"/>
  <c r="H172" i="11"/>
  <c r="H23" i="30"/>
  <c r="G98" i="12"/>
  <c r="G103" i="12" s="1"/>
  <c r="G27" i="30"/>
  <c r="G153" i="11"/>
  <c r="G177" i="11"/>
  <c r="J186" i="8"/>
  <c r="J188" i="8" s="1"/>
  <c r="I130" i="9"/>
  <c r="I119" i="9"/>
  <c r="J61" i="10"/>
  <c r="J65" i="10" s="1"/>
  <c r="I129" i="9"/>
  <c r="I14" i="30"/>
  <c r="G141" i="11"/>
  <c r="G143" i="11" s="1"/>
  <c r="I19" i="30"/>
  <c r="H26" i="30"/>
  <c r="G158" i="11"/>
  <c r="G183" i="11"/>
  <c r="H60" i="2"/>
  <c r="H75" i="2" s="1"/>
  <c r="B46" i="2" s="1"/>
  <c r="G75" i="2"/>
  <c r="B45" i="2" s="1"/>
  <c r="F45" i="2" s="1"/>
  <c r="B9" i="2"/>
  <c r="F9" i="2" s="1"/>
  <c r="G169" i="11"/>
  <c r="G173" i="11" s="1"/>
  <c r="G65" i="2"/>
  <c r="M86" i="8"/>
  <c r="M82" i="8"/>
  <c r="K13" i="30" s="1"/>
  <c r="G114" i="12"/>
  <c r="L73" i="8"/>
  <c r="M96" i="8"/>
  <c r="L30" i="10"/>
  <c r="K57" i="10" s="1"/>
  <c r="L35" i="10"/>
  <c r="L39" i="10"/>
  <c r="K69" i="10" s="1"/>
  <c r="L28" i="10"/>
  <c r="K16" i="30" s="1"/>
  <c r="F58" i="29"/>
  <c r="J173" i="8"/>
  <c r="J175" i="8" s="1"/>
  <c r="J178" i="8"/>
  <c r="J182" i="8" s="1"/>
  <c r="H68" i="2"/>
  <c r="B28" i="2" s="1"/>
  <c r="G116" i="12"/>
  <c r="G152" i="11"/>
  <c r="G154" i="11" s="1"/>
  <c r="I142" i="9"/>
  <c r="F103" i="12"/>
  <c r="M90" i="8"/>
  <c r="H25" i="30"/>
  <c r="M97" i="9"/>
  <c r="M94" i="9"/>
  <c r="J17" i="30"/>
  <c r="J94" i="11"/>
  <c r="J126" i="11"/>
  <c r="H182" i="11" s="1"/>
  <c r="H33" i="29"/>
  <c r="J114" i="11"/>
  <c r="J104" i="11"/>
  <c r="H176" i="11" s="1"/>
  <c r="J109" i="11"/>
  <c r="J92" i="11"/>
  <c r="J90" i="11"/>
  <c r="J100" i="11"/>
  <c r="J21" i="30" s="1"/>
  <c r="J121" i="11"/>
  <c r="H169" i="11" s="1"/>
  <c r="J98" i="11"/>
  <c r="I20" i="30"/>
  <c r="G147" i="11"/>
  <c r="G149" i="11" s="1"/>
  <c r="G157" i="11"/>
  <c r="G159" i="11" s="1"/>
  <c r="J58" i="10"/>
  <c r="I134" i="9"/>
  <c r="I123" i="9"/>
  <c r="I125" i="9" s="1"/>
  <c r="M92" i="8"/>
  <c r="I18" i="30"/>
  <c r="M97" i="8"/>
  <c r="F18" i="5"/>
  <c r="M60" i="8"/>
  <c r="N98" i="8" s="1"/>
  <c r="L68" i="9"/>
  <c r="J83" i="11"/>
  <c r="M21" i="10"/>
  <c r="J35" i="5"/>
  <c r="L53" i="12" s="1"/>
  <c r="K82" i="12" s="1"/>
  <c r="J68" i="10"/>
  <c r="J70" i="10" s="1"/>
  <c r="I118" i="9"/>
  <c r="F66" i="29"/>
  <c r="F68" i="29" s="1"/>
  <c r="M94" i="8"/>
  <c r="M95" i="8"/>
  <c r="I141" i="9"/>
  <c r="H138" i="9"/>
  <c r="H22" i="30"/>
  <c r="J50" i="10"/>
  <c r="J52" i="10" s="1"/>
  <c r="K49" i="12"/>
  <c r="L83" i="9"/>
  <c r="L81" i="9"/>
  <c r="L77" i="9"/>
  <c r="L85" i="9"/>
  <c r="L79" i="9"/>
  <c r="J15" i="30" s="1"/>
  <c r="L87" i="9"/>
  <c r="L75" i="9"/>
  <c r="J73" i="12"/>
  <c r="I24" i="30" s="1"/>
  <c r="J63" i="12"/>
  <c r="I23" i="30" s="1"/>
  <c r="J68" i="12"/>
  <c r="H116" i="12" s="1"/>
  <c r="J58" i="12"/>
  <c r="G162" i="11"/>
  <c r="G166" i="11" s="1"/>
  <c r="G40" i="29"/>
  <c r="G66" i="29" s="1"/>
  <c r="G47" i="29"/>
  <c r="G67" i="29" s="1"/>
  <c r="K12" i="30"/>
  <c r="N123" i="8"/>
  <c r="H101" i="12"/>
  <c r="J63" i="2" s="1"/>
  <c r="J77" i="2" s="1"/>
  <c r="J30" i="30"/>
  <c r="K181" i="8"/>
  <c r="K8" i="30"/>
  <c r="K169" i="8"/>
  <c r="K6" i="30"/>
  <c r="K174" i="8"/>
  <c r="K180" i="8"/>
  <c r="I77" i="2"/>
  <c r="E47" i="2" s="1"/>
  <c r="E11" i="2"/>
  <c r="N130" i="8"/>
  <c r="N132" i="8"/>
  <c r="N131" i="8"/>
  <c r="N126" i="8"/>
  <c r="N133" i="8"/>
  <c r="N128" i="8"/>
  <c r="N143" i="8"/>
  <c r="N136" i="8"/>
  <c r="N125" i="8"/>
  <c r="N129" i="8"/>
  <c r="N142" i="8"/>
  <c r="N135" i="8"/>
  <c r="N127" i="8"/>
  <c r="N134" i="8"/>
  <c r="H51" i="29"/>
  <c r="H50" i="29"/>
  <c r="H43" i="29"/>
  <c r="H44" i="29"/>
  <c r="M42" i="10"/>
  <c r="M38" i="10"/>
  <c r="H165" i="11"/>
  <c r="K72" i="12"/>
  <c r="K66" i="12"/>
  <c r="K67" i="12"/>
  <c r="K77" i="12"/>
  <c r="K71" i="12"/>
  <c r="K61" i="12"/>
  <c r="K76" i="12"/>
  <c r="K112" i="11"/>
  <c r="I36" i="29"/>
  <c r="K117" i="11"/>
  <c r="K129" i="11"/>
  <c r="I172" i="11" s="1"/>
  <c r="K107" i="11"/>
  <c r="M102" i="9"/>
  <c r="M93" i="9"/>
  <c r="M99" i="9"/>
  <c r="L52" i="12"/>
  <c r="M96" i="9"/>
  <c r="J137" i="9"/>
  <c r="M71" i="9"/>
  <c r="I19" i="5"/>
  <c r="N70" i="8"/>
  <c r="K86" i="11"/>
  <c r="L125" i="11" s="1"/>
  <c r="N24" i="10"/>
  <c r="I71" i="2"/>
  <c r="E29" i="2" s="1"/>
  <c r="K64" i="10"/>
  <c r="H102" i="12"/>
  <c r="J64" i="2" s="1"/>
  <c r="J78" i="2" s="1"/>
  <c r="H77" i="2"/>
  <c r="E46" i="2" s="1"/>
  <c r="E10" i="2"/>
  <c r="K7" i="30"/>
  <c r="K11" i="30"/>
  <c r="J18" i="30"/>
  <c r="M31" i="10"/>
  <c r="M29" i="10"/>
  <c r="M36" i="10"/>
  <c r="M78" i="9"/>
  <c r="M76" i="9"/>
  <c r="K179" i="8"/>
  <c r="F63" i="29"/>
  <c r="I62" i="2"/>
  <c r="D11" i="2" s="1"/>
  <c r="H170" i="11"/>
  <c r="K63" i="10"/>
  <c r="G178" i="11"/>
  <c r="J136" i="9"/>
  <c r="N87" i="8"/>
  <c r="N91" i="8"/>
  <c r="N95" i="8"/>
  <c r="M74" i="8"/>
  <c r="M73" i="8"/>
  <c r="J170" i="8"/>
  <c r="H76" i="2"/>
  <c r="C10" i="2"/>
  <c r="I138" i="9"/>
  <c r="M40" i="10"/>
  <c r="H163" i="11"/>
  <c r="M70" i="9"/>
  <c r="K85" i="11"/>
  <c r="N65" i="8"/>
  <c r="N23" i="10"/>
  <c r="N37" i="10" s="1"/>
  <c r="H19" i="5"/>
  <c r="H117" i="12"/>
  <c r="I69" i="2"/>
  <c r="J124" i="9"/>
  <c r="J135" i="9"/>
  <c r="M88" i="9"/>
  <c r="M80" i="9"/>
  <c r="M82" i="9"/>
  <c r="L50" i="12"/>
  <c r="M84" i="9"/>
  <c r="M86" i="9"/>
  <c r="N121" i="8"/>
  <c r="N118" i="8"/>
  <c r="N84" i="8"/>
  <c r="N119" i="8"/>
  <c r="N120" i="8"/>
  <c r="H99" i="12"/>
  <c r="H114" i="12"/>
  <c r="I61" i="2"/>
  <c r="H164" i="11"/>
  <c r="H142" i="11"/>
  <c r="H152" i="11"/>
  <c r="G59" i="29"/>
  <c r="H148" i="11"/>
  <c r="M41" i="10"/>
  <c r="K62" i="10"/>
  <c r="K168" i="8"/>
  <c r="C28" i="2"/>
  <c r="K110" i="11"/>
  <c r="K91" i="11"/>
  <c r="K115" i="11"/>
  <c r="I34" i="29"/>
  <c r="K93" i="11"/>
  <c r="K101" i="11"/>
  <c r="K95" i="11"/>
  <c r="K127" i="11"/>
  <c r="K105" i="11"/>
  <c r="G60" i="29"/>
  <c r="J70" i="2" s="1"/>
  <c r="D30" i="2" s="1"/>
  <c r="K86" i="12"/>
  <c r="K85" i="12"/>
  <c r="G19" i="5"/>
  <c r="K84" i="11"/>
  <c r="L122" i="11" s="1"/>
  <c r="N22" i="10"/>
  <c r="M69" i="9"/>
  <c r="K35" i="5"/>
  <c r="M53" i="12" s="1"/>
  <c r="K128" i="11"/>
  <c r="I171" i="11" s="1"/>
  <c r="K106" i="11"/>
  <c r="I35" i="29"/>
  <c r="K111" i="11"/>
  <c r="K116" i="11"/>
  <c r="M98" i="9"/>
  <c r="M92" i="9"/>
  <c r="M101" i="9"/>
  <c r="L51" i="12"/>
  <c r="M95" i="9"/>
  <c r="K70" i="12"/>
  <c r="K75" i="12"/>
  <c r="K65" i="12"/>
  <c r="K60" i="12"/>
  <c r="G111" i="12"/>
  <c r="K51" i="10"/>
  <c r="K69" i="12"/>
  <c r="K59" i="12"/>
  <c r="K74" i="12"/>
  <c r="K64" i="12"/>
  <c r="H49" i="29"/>
  <c r="H42" i="29"/>
  <c r="H48" i="29"/>
  <c r="H41" i="29"/>
  <c r="H100" i="12"/>
  <c r="L124" i="11"/>
  <c r="D107" i="4"/>
  <c r="L81" i="11"/>
  <c r="I120" i="9" l="1"/>
  <c r="K17" i="30"/>
  <c r="H158" i="11"/>
  <c r="K56" i="10"/>
  <c r="I68" i="2"/>
  <c r="B29" i="2" s="1"/>
  <c r="I131" i="9"/>
  <c r="J141" i="9"/>
  <c r="I143" i="9"/>
  <c r="K81" i="12"/>
  <c r="K30" i="30" s="1"/>
  <c r="N90" i="8"/>
  <c r="N94" i="8"/>
  <c r="N97" i="8"/>
  <c r="N96" i="8"/>
  <c r="N92" i="8"/>
  <c r="N93" i="8"/>
  <c r="G118" i="12"/>
  <c r="H109" i="12"/>
  <c r="I25" i="30"/>
  <c r="L12" i="30"/>
  <c r="H177" i="11"/>
  <c r="H27" i="30"/>
  <c r="H108" i="12"/>
  <c r="H115" i="12"/>
  <c r="H118" i="12" s="1"/>
  <c r="J14" i="30"/>
  <c r="J119" i="9"/>
  <c r="J19" i="30"/>
  <c r="J130" i="9"/>
  <c r="H153" i="11"/>
  <c r="H154" i="11" s="1"/>
  <c r="J142" i="9"/>
  <c r="H72" i="2"/>
  <c r="J129" i="9"/>
  <c r="J131" i="9" s="1"/>
  <c r="B10" i="2"/>
  <c r="F10" i="2" s="1"/>
  <c r="I26" i="30"/>
  <c r="H65" i="2"/>
  <c r="G79" i="2"/>
  <c r="K186" i="8"/>
  <c r="K188" i="8" s="1"/>
  <c r="I60" i="2"/>
  <c r="B11" i="2" s="1"/>
  <c r="F28" i="2"/>
  <c r="N60" i="8"/>
  <c r="F19" i="5"/>
  <c r="M68" i="9"/>
  <c r="K83" i="11"/>
  <c r="N21" i="10"/>
  <c r="J118" i="9"/>
  <c r="J120" i="9" s="1"/>
  <c r="H98" i="12"/>
  <c r="H103" i="12" s="1"/>
  <c r="J123" i="9"/>
  <c r="J134" i="9"/>
  <c r="K61" i="10"/>
  <c r="H107" i="12"/>
  <c r="M81" i="9"/>
  <c r="M85" i="9"/>
  <c r="M75" i="9"/>
  <c r="L49" i="12"/>
  <c r="M79" i="9"/>
  <c r="M87" i="9"/>
  <c r="M83" i="9"/>
  <c r="M77" i="9"/>
  <c r="H162" i="11"/>
  <c r="H166" i="11" s="1"/>
  <c r="K73" i="12"/>
  <c r="I117" i="12" s="1"/>
  <c r="K63" i="12"/>
  <c r="J23" i="30" s="1"/>
  <c r="K58" i="12"/>
  <c r="J22" i="30" s="1"/>
  <c r="K68" i="12"/>
  <c r="I116" i="12" s="1"/>
  <c r="M30" i="10"/>
  <c r="L17" i="30" s="1"/>
  <c r="M28" i="10"/>
  <c r="M35" i="10"/>
  <c r="M39" i="10"/>
  <c r="L69" i="10" s="1"/>
  <c r="H157" i="11"/>
  <c r="H159" i="11" s="1"/>
  <c r="J20" i="30"/>
  <c r="H147" i="11"/>
  <c r="H149" i="11" s="1"/>
  <c r="H47" i="29"/>
  <c r="H40" i="29"/>
  <c r="H66" i="29" s="1"/>
  <c r="K58" i="10"/>
  <c r="H110" i="12"/>
  <c r="N97" i="9"/>
  <c r="N94" i="9"/>
  <c r="K114" i="11"/>
  <c r="K109" i="11"/>
  <c r="K100" i="11"/>
  <c r="K21" i="30" s="1"/>
  <c r="K92" i="11"/>
  <c r="K90" i="11"/>
  <c r="K104" i="11"/>
  <c r="I33" i="29"/>
  <c r="K94" i="11"/>
  <c r="K126" i="11"/>
  <c r="I182" i="11" s="1"/>
  <c r="K121" i="11"/>
  <c r="K98" i="11"/>
  <c r="K39" i="5"/>
  <c r="M54" i="12" s="1"/>
  <c r="L86" i="12" s="1"/>
  <c r="K68" i="10"/>
  <c r="H181" i="11"/>
  <c r="H183" i="11" s="1"/>
  <c r="J125" i="9"/>
  <c r="H173" i="11"/>
  <c r="I22" i="30"/>
  <c r="G58" i="29"/>
  <c r="J68" i="2" s="1"/>
  <c r="B30" i="2" s="1"/>
  <c r="N86" i="8"/>
  <c r="N82" i="8"/>
  <c r="L168" i="8" s="1"/>
  <c r="H141" i="11"/>
  <c r="H143" i="11" s="1"/>
  <c r="K50" i="10"/>
  <c r="K52" i="10" s="1"/>
  <c r="K173" i="8"/>
  <c r="K175" i="8" s="1"/>
  <c r="K178" i="8"/>
  <c r="K182" i="8" s="1"/>
  <c r="O98" i="8"/>
  <c r="O123" i="8"/>
  <c r="L64" i="10"/>
  <c r="L6" i="30"/>
  <c r="L169" i="8"/>
  <c r="L8" i="30"/>
  <c r="L181" i="8"/>
  <c r="L174" i="8"/>
  <c r="L180" i="8"/>
  <c r="L86" i="11"/>
  <c r="O24" i="10"/>
  <c r="N71" i="9"/>
  <c r="I20" i="5"/>
  <c r="O70" i="8"/>
  <c r="K137" i="9"/>
  <c r="N102" i="9"/>
  <c r="N93" i="9"/>
  <c r="N96" i="9"/>
  <c r="N103" i="9"/>
  <c r="M52" i="12"/>
  <c r="N100" i="9"/>
  <c r="N99" i="9"/>
  <c r="I102" i="12"/>
  <c r="H62" i="29"/>
  <c r="L117" i="11"/>
  <c r="L130" i="11"/>
  <c r="L118" i="11"/>
  <c r="L112" i="11"/>
  <c r="L113" i="11"/>
  <c r="J36" i="29"/>
  <c r="L129" i="11"/>
  <c r="L108" i="11"/>
  <c r="L107" i="11"/>
  <c r="L72" i="12"/>
  <c r="L76" i="12"/>
  <c r="L61" i="12"/>
  <c r="L77" i="12"/>
  <c r="L66" i="12"/>
  <c r="L71" i="12"/>
  <c r="L67" i="12"/>
  <c r="I51" i="29"/>
  <c r="I44" i="29"/>
  <c r="I50" i="29"/>
  <c r="I43" i="29"/>
  <c r="I101" i="12"/>
  <c r="H61" i="29"/>
  <c r="N42" i="10"/>
  <c r="N38" i="10"/>
  <c r="E12" i="2"/>
  <c r="O130" i="8"/>
  <c r="O136" i="8"/>
  <c r="O135" i="8"/>
  <c r="O132" i="8"/>
  <c r="O127" i="8"/>
  <c r="O126" i="8"/>
  <c r="O142" i="8"/>
  <c r="O133" i="8"/>
  <c r="O128" i="8"/>
  <c r="O129" i="8"/>
  <c r="O143" i="8"/>
  <c r="O125" i="8"/>
  <c r="O131" i="8"/>
  <c r="O134" i="8"/>
  <c r="I165" i="11"/>
  <c r="J71" i="2"/>
  <c r="E30" i="2" s="1"/>
  <c r="L99" i="11"/>
  <c r="L11" i="30"/>
  <c r="L7" i="30"/>
  <c r="K19" i="30"/>
  <c r="N31" i="10"/>
  <c r="N36" i="10"/>
  <c r="N29" i="10"/>
  <c r="N76" i="9"/>
  <c r="N78" i="9"/>
  <c r="L179" i="8"/>
  <c r="H60" i="29"/>
  <c r="K70" i="2" s="1"/>
  <c r="D31" i="2" s="1"/>
  <c r="J61" i="2"/>
  <c r="J76" i="2" s="1"/>
  <c r="C48" i="2" s="1"/>
  <c r="J62" i="2"/>
  <c r="D12" i="2" s="1"/>
  <c r="K65" i="10"/>
  <c r="K70" i="10"/>
  <c r="I100" i="12"/>
  <c r="K136" i="9"/>
  <c r="O87" i="8"/>
  <c r="O93" i="8"/>
  <c r="O90" i="8"/>
  <c r="N74" i="8"/>
  <c r="I42" i="29"/>
  <c r="I49" i="29"/>
  <c r="I110" i="12"/>
  <c r="N82" i="9"/>
  <c r="N88" i="9"/>
  <c r="N86" i="9"/>
  <c r="N84" i="9"/>
  <c r="M50" i="12"/>
  <c r="N80" i="9"/>
  <c r="I163" i="11"/>
  <c r="L63" i="10"/>
  <c r="C11" i="2"/>
  <c r="I76" i="2"/>
  <c r="H20" i="5"/>
  <c r="N70" i="9"/>
  <c r="O23" i="10"/>
  <c r="O37" i="10" s="1"/>
  <c r="O65" i="8"/>
  <c r="L85" i="11"/>
  <c r="M123" i="11" s="1"/>
  <c r="N98" i="9"/>
  <c r="N92" i="9"/>
  <c r="M51" i="12"/>
  <c r="N95" i="9"/>
  <c r="N101" i="9"/>
  <c r="O22" i="10"/>
  <c r="N69" i="9"/>
  <c r="G20" i="5"/>
  <c r="L84" i="11"/>
  <c r="M122" i="11" s="1"/>
  <c r="L39" i="5"/>
  <c r="N54" i="12" s="1"/>
  <c r="L35" i="5"/>
  <c r="N53" i="12" s="1"/>
  <c r="I99" i="12"/>
  <c r="L70" i="12"/>
  <c r="L60" i="12"/>
  <c r="L75" i="12"/>
  <c r="L65" i="12"/>
  <c r="N40" i="10"/>
  <c r="I41" i="29"/>
  <c r="I48" i="29"/>
  <c r="G68" i="29"/>
  <c r="K170" i="8"/>
  <c r="C29" i="2"/>
  <c r="I72" i="2"/>
  <c r="N41" i="10"/>
  <c r="I148" i="11"/>
  <c r="L51" i="10"/>
  <c r="L81" i="12"/>
  <c r="L82" i="12"/>
  <c r="I142" i="11"/>
  <c r="L111" i="11"/>
  <c r="J35" i="29"/>
  <c r="L116" i="11"/>
  <c r="L128" i="11"/>
  <c r="L106" i="11"/>
  <c r="L123" i="11"/>
  <c r="H59" i="29"/>
  <c r="I109" i="12"/>
  <c r="I164" i="11"/>
  <c r="L85" i="12"/>
  <c r="L110" i="11"/>
  <c r="L91" i="11"/>
  <c r="L105" i="11"/>
  <c r="L95" i="11"/>
  <c r="L115" i="11"/>
  <c r="L101" i="11"/>
  <c r="L93" i="11"/>
  <c r="J34" i="29"/>
  <c r="L127" i="11"/>
  <c r="I153" i="11"/>
  <c r="J69" i="2"/>
  <c r="L69" i="12"/>
  <c r="L59" i="12"/>
  <c r="L64" i="12"/>
  <c r="L74" i="12"/>
  <c r="K124" i="9"/>
  <c r="K135" i="9"/>
  <c r="O121" i="8"/>
  <c r="O119" i="8"/>
  <c r="O120" i="8"/>
  <c r="O84" i="8"/>
  <c r="O118" i="8"/>
  <c r="H178" i="11"/>
  <c r="L62" i="10"/>
  <c r="C46" i="2"/>
  <c r="F46" i="2" s="1"/>
  <c r="H79" i="2"/>
  <c r="I170" i="11"/>
  <c r="E48" i="2"/>
  <c r="M81" i="11"/>
  <c r="D108" i="4"/>
  <c r="N81" i="11" s="1"/>
  <c r="M99" i="11"/>
  <c r="M124" i="11"/>
  <c r="M125" i="11"/>
  <c r="I115" i="12" l="1"/>
  <c r="F29" i="2"/>
  <c r="J143" i="9"/>
  <c r="J24" i="30"/>
  <c r="L186" i="8"/>
  <c r="L188" i="8" s="1"/>
  <c r="I177" i="11"/>
  <c r="K14" i="30"/>
  <c r="K142" i="9"/>
  <c r="K119" i="9"/>
  <c r="J25" i="30"/>
  <c r="K129" i="9"/>
  <c r="L61" i="10"/>
  <c r="L65" i="10" s="1"/>
  <c r="L57" i="10"/>
  <c r="I98" i="12"/>
  <c r="H111" i="12"/>
  <c r="I27" i="30"/>
  <c r="I141" i="11"/>
  <c r="I143" i="11" s="1"/>
  <c r="L50" i="10"/>
  <c r="L52" i="10" s="1"/>
  <c r="I65" i="2"/>
  <c r="I162" i="11"/>
  <c r="I166" i="11" s="1"/>
  <c r="J26" i="30"/>
  <c r="K15" i="30"/>
  <c r="K141" i="9"/>
  <c r="K130" i="9"/>
  <c r="I75" i="2"/>
  <c r="B47" i="2" s="1"/>
  <c r="H67" i="29"/>
  <c r="H68" i="29" s="1"/>
  <c r="I158" i="11"/>
  <c r="J172" i="11"/>
  <c r="H58" i="29"/>
  <c r="H63" i="29" s="1"/>
  <c r="J60" i="2"/>
  <c r="B12" i="2" s="1"/>
  <c r="K64" i="2"/>
  <c r="K78" i="2" s="1"/>
  <c r="I176" i="11"/>
  <c r="I181" i="11"/>
  <c r="I183" i="11" s="1"/>
  <c r="I169" i="11"/>
  <c r="I173" i="11" s="1"/>
  <c r="O86" i="8"/>
  <c r="O82" i="8"/>
  <c r="M13" i="30" s="1"/>
  <c r="G63" i="29"/>
  <c r="N73" i="8"/>
  <c r="O96" i="8"/>
  <c r="O97" i="8"/>
  <c r="L109" i="11"/>
  <c r="L104" i="11"/>
  <c r="J176" i="11" s="1"/>
  <c r="L114" i="11"/>
  <c r="J33" i="29"/>
  <c r="L100" i="11"/>
  <c r="L21" i="30" s="1"/>
  <c r="L90" i="11"/>
  <c r="L18" i="30" s="1"/>
  <c r="L92" i="11"/>
  <c r="L126" i="11"/>
  <c r="J182" i="11" s="1"/>
  <c r="L94" i="11"/>
  <c r="L98" i="11"/>
  <c r="L121" i="11"/>
  <c r="J181" i="11" s="1"/>
  <c r="I107" i="12"/>
  <c r="F11" i="2"/>
  <c r="O94" i="8"/>
  <c r="K18" i="30"/>
  <c r="L173" i="8"/>
  <c r="L175" i="8" s="1"/>
  <c r="L178" i="8"/>
  <c r="L182" i="8" s="1"/>
  <c r="L16" i="30"/>
  <c r="N75" i="9"/>
  <c r="N79" i="9"/>
  <c r="N85" i="9"/>
  <c r="N77" i="9"/>
  <c r="N83" i="9"/>
  <c r="N81" i="9"/>
  <c r="N87" i="9"/>
  <c r="M49" i="12"/>
  <c r="K123" i="9"/>
  <c r="K125" i="9" s="1"/>
  <c r="K134" i="9"/>
  <c r="N30" i="10"/>
  <c r="M17" i="30" s="1"/>
  <c r="N35" i="10"/>
  <c r="M68" i="10" s="1"/>
  <c r="N39" i="10"/>
  <c r="M69" i="10" s="1"/>
  <c r="N28" i="10"/>
  <c r="M16" i="30" s="1"/>
  <c r="K118" i="9"/>
  <c r="I114" i="12"/>
  <c r="I118" i="12" s="1"/>
  <c r="O92" i="8"/>
  <c r="L68" i="10"/>
  <c r="L70" i="10" s="1"/>
  <c r="I152" i="11"/>
  <c r="L56" i="10"/>
  <c r="I108" i="12"/>
  <c r="O91" i="8"/>
  <c r="O95" i="8"/>
  <c r="J138" i="9"/>
  <c r="O94" i="9"/>
  <c r="O97" i="9"/>
  <c r="K20" i="30"/>
  <c r="I147" i="11"/>
  <c r="I149" i="11" s="1"/>
  <c r="I157" i="11"/>
  <c r="I47" i="29"/>
  <c r="I67" i="29" s="1"/>
  <c r="I40" i="29"/>
  <c r="I66" i="29" s="1"/>
  <c r="L73" i="12"/>
  <c r="J117" i="12" s="1"/>
  <c r="L63" i="12"/>
  <c r="K23" i="30" s="1"/>
  <c r="L68" i="12"/>
  <c r="J109" i="12" s="1"/>
  <c r="L58" i="12"/>
  <c r="J107" i="12" s="1"/>
  <c r="L13" i="30"/>
  <c r="O60" i="8"/>
  <c r="P98" i="8" s="1"/>
  <c r="L83" i="11"/>
  <c r="N68" i="9"/>
  <c r="F20" i="5"/>
  <c r="M39" i="5" s="1"/>
  <c r="O54" i="12" s="1"/>
  <c r="O21" i="10"/>
  <c r="I62" i="29"/>
  <c r="P123" i="8"/>
  <c r="L30" i="30"/>
  <c r="M12" i="30"/>
  <c r="M6" i="30"/>
  <c r="M169" i="8"/>
  <c r="M181" i="8"/>
  <c r="M8" i="30"/>
  <c r="M180" i="8"/>
  <c r="M174" i="8"/>
  <c r="J51" i="29"/>
  <c r="J50" i="29"/>
  <c r="J44" i="29"/>
  <c r="J43" i="29"/>
  <c r="O93" i="9"/>
  <c r="O103" i="9"/>
  <c r="O99" i="9"/>
  <c r="O96" i="9"/>
  <c r="O102" i="9"/>
  <c r="N52" i="12"/>
  <c r="O100" i="9"/>
  <c r="K71" i="2"/>
  <c r="E31" i="2" s="1"/>
  <c r="K63" i="2"/>
  <c r="J165" i="11"/>
  <c r="O42" i="10"/>
  <c r="O38" i="10"/>
  <c r="O71" i="9"/>
  <c r="I21" i="5"/>
  <c r="P24" i="10"/>
  <c r="P70" i="8"/>
  <c r="M86" i="11"/>
  <c r="N124" i="11" s="1"/>
  <c r="M64" i="10"/>
  <c r="I61" i="29"/>
  <c r="J102" i="12"/>
  <c r="J101" i="12"/>
  <c r="M72" i="12"/>
  <c r="M66" i="12"/>
  <c r="M77" i="12"/>
  <c r="M61" i="12"/>
  <c r="M76" i="12"/>
  <c r="M71" i="12"/>
  <c r="M67" i="12"/>
  <c r="L137" i="9"/>
  <c r="P127" i="8"/>
  <c r="P131" i="8"/>
  <c r="P128" i="8"/>
  <c r="P134" i="8"/>
  <c r="P132" i="8"/>
  <c r="P135" i="8"/>
  <c r="P130" i="8"/>
  <c r="P133" i="8"/>
  <c r="P136" i="8"/>
  <c r="P125" i="8"/>
  <c r="P143" i="8"/>
  <c r="P129" i="8"/>
  <c r="P142" i="8"/>
  <c r="P126" i="8"/>
  <c r="M117" i="11"/>
  <c r="M108" i="11"/>
  <c r="M112" i="11"/>
  <c r="M107" i="11"/>
  <c r="M118" i="11"/>
  <c r="K36" i="29"/>
  <c r="M129" i="11"/>
  <c r="M130" i="11"/>
  <c r="M113" i="11"/>
  <c r="M11" i="30"/>
  <c r="M7" i="30"/>
  <c r="O31" i="10"/>
  <c r="O36" i="10"/>
  <c r="O29" i="10"/>
  <c r="O76" i="9"/>
  <c r="O78" i="9"/>
  <c r="M179" i="8"/>
  <c r="K62" i="2"/>
  <c r="D13" i="2" s="1"/>
  <c r="C12" i="2"/>
  <c r="I60" i="29"/>
  <c r="L70" i="2" s="1"/>
  <c r="D32" i="2" s="1"/>
  <c r="J171" i="11"/>
  <c r="I103" i="12"/>
  <c r="J100" i="12"/>
  <c r="I154" i="11"/>
  <c r="P87" i="8"/>
  <c r="P94" i="8"/>
  <c r="P92" i="8"/>
  <c r="P96" i="8"/>
  <c r="P93" i="8"/>
  <c r="P95" i="8"/>
  <c r="P91" i="8"/>
  <c r="P90" i="8"/>
  <c r="L170" i="8"/>
  <c r="O74" i="8"/>
  <c r="O73" i="8"/>
  <c r="J115" i="12"/>
  <c r="J163" i="11"/>
  <c r="J99" i="12"/>
  <c r="J142" i="11"/>
  <c r="J170" i="11"/>
  <c r="J164" i="11"/>
  <c r="J148" i="11"/>
  <c r="M63" i="10"/>
  <c r="M51" i="10"/>
  <c r="M85" i="12"/>
  <c r="M86" i="12"/>
  <c r="O40" i="10"/>
  <c r="M106" i="11"/>
  <c r="K35" i="29"/>
  <c r="M128" i="11"/>
  <c r="K171" i="11" s="1"/>
  <c r="M111" i="11"/>
  <c r="M116" i="11"/>
  <c r="M85" i="11"/>
  <c r="H21" i="5"/>
  <c r="P65" i="8"/>
  <c r="P23" i="10"/>
  <c r="P37" i="10" s="1"/>
  <c r="O70" i="9"/>
  <c r="M74" i="12"/>
  <c r="M64" i="12"/>
  <c r="M59" i="12"/>
  <c r="M69" i="12"/>
  <c r="O80" i="9"/>
  <c r="O86" i="9"/>
  <c r="O84" i="9"/>
  <c r="O82" i="9"/>
  <c r="N50" i="12"/>
  <c r="O88" i="9"/>
  <c r="K61" i="2"/>
  <c r="M62" i="10"/>
  <c r="M93" i="11"/>
  <c r="M127" i="11"/>
  <c r="M101" i="11"/>
  <c r="M91" i="11"/>
  <c r="K34" i="29"/>
  <c r="M95" i="11"/>
  <c r="M105" i="11"/>
  <c r="M110" i="11"/>
  <c r="M115" i="11"/>
  <c r="M70" i="12"/>
  <c r="M75" i="12"/>
  <c r="M60" i="12"/>
  <c r="M65" i="12"/>
  <c r="P84" i="8"/>
  <c r="P119" i="8"/>
  <c r="P121" i="8"/>
  <c r="P118" i="8"/>
  <c r="P120" i="8"/>
  <c r="K69" i="2"/>
  <c r="C47" i="2"/>
  <c r="L124" i="9"/>
  <c r="L135" i="9"/>
  <c r="J42" i="29"/>
  <c r="J49" i="29"/>
  <c r="I59" i="29"/>
  <c r="M82" i="12"/>
  <c r="M81" i="12"/>
  <c r="O98" i="9"/>
  <c r="O95" i="9"/>
  <c r="N51" i="12"/>
  <c r="O92" i="9"/>
  <c r="O101" i="9"/>
  <c r="C30" i="2"/>
  <c r="F30" i="2" s="1"/>
  <c r="J72" i="2"/>
  <c r="J48" i="29"/>
  <c r="J41" i="29"/>
  <c r="P22" i="10"/>
  <c r="G21" i="5"/>
  <c r="O69" i="9"/>
  <c r="M84" i="11"/>
  <c r="N122" i="11" s="1"/>
  <c r="L136" i="9"/>
  <c r="O41" i="10"/>
  <c r="N125" i="11"/>
  <c r="L119" i="9" l="1"/>
  <c r="J108" i="12"/>
  <c r="I111" i="12"/>
  <c r="J116" i="12"/>
  <c r="J27" i="30"/>
  <c r="L19" i="30"/>
  <c r="J158" i="11"/>
  <c r="L58" i="10"/>
  <c r="K143" i="9"/>
  <c r="K120" i="9"/>
  <c r="I159" i="11"/>
  <c r="K25" i="30"/>
  <c r="K22" i="30"/>
  <c r="M57" i="10"/>
  <c r="I178" i="11"/>
  <c r="K131" i="9"/>
  <c r="M168" i="8"/>
  <c r="J153" i="11"/>
  <c r="K60" i="2"/>
  <c r="B13" i="2" s="1"/>
  <c r="J65" i="2"/>
  <c r="K26" i="30"/>
  <c r="M50" i="10"/>
  <c r="M52" i="10" s="1"/>
  <c r="L129" i="9"/>
  <c r="L118" i="9"/>
  <c r="L120" i="9" s="1"/>
  <c r="L15" i="30"/>
  <c r="J177" i="11"/>
  <c r="I79" i="2"/>
  <c r="F47" i="2"/>
  <c r="K68" i="2"/>
  <c r="B31" i="2" s="1"/>
  <c r="J152" i="11"/>
  <c r="J154" i="11" s="1"/>
  <c r="J183" i="11"/>
  <c r="J75" i="2"/>
  <c r="B48" i="2" s="1"/>
  <c r="F48" i="2" s="1"/>
  <c r="F12" i="2"/>
  <c r="M186" i="8"/>
  <c r="M188" i="8" s="1"/>
  <c r="I58" i="29"/>
  <c r="I63" i="29" s="1"/>
  <c r="J110" i="12"/>
  <c r="J111" i="12" s="1"/>
  <c r="L142" i="9"/>
  <c r="K172" i="11"/>
  <c r="O75" i="9"/>
  <c r="N49" i="12"/>
  <c r="O81" i="9"/>
  <c r="O77" i="9"/>
  <c r="O83" i="9"/>
  <c r="O79" i="9"/>
  <c r="O87" i="9"/>
  <c r="O85" i="9"/>
  <c r="L123" i="9"/>
  <c r="L125" i="9" s="1"/>
  <c r="L134" i="9"/>
  <c r="L138" i="9" s="1"/>
  <c r="L130" i="9"/>
  <c r="L141" i="9"/>
  <c r="K138" i="9"/>
  <c r="L64" i="2"/>
  <c r="L78" i="2" s="1"/>
  <c r="O30" i="10"/>
  <c r="N57" i="10" s="1"/>
  <c r="O28" i="10"/>
  <c r="N56" i="10" s="1"/>
  <c r="O35" i="10"/>
  <c r="N68" i="10" s="1"/>
  <c r="O39" i="10"/>
  <c r="N69" i="10" s="1"/>
  <c r="P86" i="8"/>
  <c r="P82" i="8"/>
  <c r="N13" i="30" s="1"/>
  <c r="O68" i="9"/>
  <c r="M83" i="11"/>
  <c r="P21" i="10"/>
  <c r="P60" i="8"/>
  <c r="F21" i="5"/>
  <c r="J47" i="29"/>
  <c r="J67" i="29" s="1"/>
  <c r="J40" i="29"/>
  <c r="K24" i="30"/>
  <c r="J98" i="12"/>
  <c r="J103" i="12" s="1"/>
  <c r="J169" i="11"/>
  <c r="J173" i="11" s="1"/>
  <c r="N99" i="11"/>
  <c r="M35" i="5"/>
  <c r="O53" i="12" s="1"/>
  <c r="M56" i="10"/>
  <c r="J114" i="12"/>
  <c r="J118" i="12" s="1"/>
  <c r="N17" i="30"/>
  <c r="L14" i="30"/>
  <c r="P97" i="9"/>
  <c r="P94" i="9"/>
  <c r="P97" i="8"/>
  <c r="N186" i="8" s="1"/>
  <c r="N188" i="8" s="1"/>
  <c r="M94" i="11"/>
  <c r="M126" i="11"/>
  <c r="K182" i="11" s="1"/>
  <c r="M114" i="11"/>
  <c r="M109" i="11"/>
  <c r="K33" i="29"/>
  <c r="M104" i="11"/>
  <c r="K176" i="11" s="1"/>
  <c r="M90" i="11"/>
  <c r="M92" i="11"/>
  <c r="M100" i="11"/>
  <c r="M21" i="30" s="1"/>
  <c r="M121" i="11"/>
  <c r="M98" i="11"/>
  <c r="M61" i="10"/>
  <c r="M65" i="10" s="1"/>
  <c r="M63" i="12"/>
  <c r="K115" i="12" s="1"/>
  <c r="M58" i="12"/>
  <c r="M68" i="12"/>
  <c r="K109" i="12" s="1"/>
  <c r="M73" i="12"/>
  <c r="K110" i="12" s="1"/>
  <c r="J147" i="11"/>
  <c r="J149" i="11" s="1"/>
  <c r="J157" i="11"/>
  <c r="J159" i="11" s="1"/>
  <c r="J141" i="11"/>
  <c r="J143" i="11" s="1"/>
  <c r="J162" i="11"/>
  <c r="J166" i="11" s="1"/>
  <c r="L20" i="30"/>
  <c r="M173" i="8"/>
  <c r="M175" i="8" s="1"/>
  <c r="M178" i="8"/>
  <c r="M182" i="8" s="1"/>
  <c r="Q97" i="8"/>
  <c r="Q98" i="8"/>
  <c r="I68" i="29"/>
  <c r="J61" i="29"/>
  <c r="Q123" i="8"/>
  <c r="M30" i="30"/>
  <c r="N180" i="8"/>
  <c r="N174" i="8"/>
  <c r="N169" i="8"/>
  <c r="N6" i="30"/>
  <c r="N181" i="8"/>
  <c r="N8" i="30"/>
  <c r="N12" i="30"/>
  <c r="M137" i="9"/>
  <c r="K165" i="11"/>
  <c r="K101" i="12"/>
  <c r="L63" i="2"/>
  <c r="L36" i="29"/>
  <c r="N108" i="11"/>
  <c r="N118" i="11"/>
  <c r="N130" i="11"/>
  <c r="N117" i="11"/>
  <c r="N112" i="11"/>
  <c r="N129" i="11"/>
  <c r="N107" i="11"/>
  <c r="N113" i="11"/>
  <c r="P100" i="9"/>
  <c r="O52" i="12"/>
  <c r="P96" i="9"/>
  <c r="P102" i="9"/>
  <c r="P99" i="9"/>
  <c r="P93" i="9"/>
  <c r="P103" i="9"/>
  <c r="E13" i="2"/>
  <c r="K77" i="2"/>
  <c r="E49" i="2" s="1"/>
  <c r="N67" i="12"/>
  <c r="N77" i="12"/>
  <c r="N61" i="12"/>
  <c r="N71" i="12"/>
  <c r="N76" i="12"/>
  <c r="N72" i="12"/>
  <c r="N66" i="12"/>
  <c r="J62" i="29"/>
  <c r="K43" i="29"/>
  <c r="K50" i="29"/>
  <c r="K44" i="29"/>
  <c r="K51" i="29"/>
  <c r="P42" i="10"/>
  <c r="P38" i="10"/>
  <c r="P71" i="9"/>
  <c r="N86" i="11"/>
  <c r="K102" i="12"/>
  <c r="Q129" i="8"/>
  <c r="Q126" i="8"/>
  <c r="Q128" i="8"/>
  <c r="Q125" i="8"/>
  <c r="Q142" i="8"/>
  <c r="Q133" i="8"/>
  <c r="Q135" i="8"/>
  <c r="Q143" i="8"/>
  <c r="Q127" i="8"/>
  <c r="Q136" i="8"/>
  <c r="Q131" i="8"/>
  <c r="Q130" i="8"/>
  <c r="Q134" i="8"/>
  <c r="Q132" i="8"/>
  <c r="N64" i="10"/>
  <c r="L71" i="2"/>
  <c r="E32" i="2" s="1"/>
  <c r="N11" i="30"/>
  <c r="N7" i="30"/>
  <c r="P31" i="10"/>
  <c r="P36" i="10"/>
  <c r="P29" i="10"/>
  <c r="P76" i="9"/>
  <c r="P78" i="9"/>
  <c r="L62" i="2"/>
  <c r="D14" i="2" s="1"/>
  <c r="N179" i="8"/>
  <c r="M70" i="10"/>
  <c r="K148" i="11"/>
  <c r="M170" i="8"/>
  <c r="N63" i="10"/>
  <c r="K100" i="12"/>
  <c r="Q87" i="8"/>
  <c r="Q96" i="8"/>
  <c r="Q90" i="8"/>
  <c r="Q95" i="8"/>
  <c r="Q92" i="8"/>
  <c r="Q94" i="8"/>
  <c r="Q91" i="8"/>
  <c r="Q93" i="8"/>
  <c r="P74" i="8"/>
  <c r="P73" i="8"/>
  <c r="N86" i="12"/>
  <c r="N85" i="12"/>
  <c r="P40" i="10"/>
  <c r="M136" i="9"/>
  <c r="K170" i="11"/>
  <c r="P101" i="9"/>
  <c r="P95" i="9"/>
  <c r="P92" i="9"/>
  <c r="O51" i="12"/>
  <c r="P98" i="9"/>
  <c r="L35" i="29"/>
  <c r="N106" i="11"/>
  <c r="N116" i="11"/>
  <c r="N111" i="11"/>
  <c r="N128" i="11"/>
  <c r="K42" i="29"/>
  <c r="K49" i="29"/>
  <c r="N51" i="10"/>
  <c r="N123" i="11"/>
  <c r="N93" i="11"/>
  <c r="N91" i="11"/>
  <c r="N101" i="11"/>
  <c r="N115" i="11"/>
  <c r="N95" i="11"/>
  <c r="N105" i="11"/>
  <c r="L34" i="29"/>
  <c r="N110" i="11"/>
  <c r="N127" i="11"/>
  <c r="L170" i="11" s="1"/>
  <c r="N65" i="12"/>
  <c r="N75" i="12"/>
  <c r="N70" i="12"/>
  <c r="N60" i="12"/>
  <c r="J60" i="29"/>
  <c r="K48" i="29"/>
  <c r="K41" i="29"/>
  <c r="L69" i="2"/>
  <c r="C13" i="2"/>
  <c r="K76" i="2"/>
  <c r="K99" i="12"/>
  <c r="K114" i="12"/>
  <c r="P41" i="10"/>
  <c r="K164" i="11"/>
  <c r="P82" i="9"/>
  <c r="P86" i="9"/>
  <c r="P84" i="9"/>
  <c r="P88" i="9"/>
  <c r="P80" i="9"/>
  <c r="O50" i="12"/>
  <c r="J59" i="29"/>
  <c r="K142" i="11"/>
  <c r="Q119" i="8"/>
  <c r="Q84" i="8"/>
  <c r="Q120" i="8"/>
  <c r="Q121" i="8"/>
  <c r="Q118" i="8"/>
  <c r="N62" i="10"/>
  <c r="J178" i="11"/>
  <c r="N82" i="12"/>
  <c r="N81" i="12"/>
  <c r="N84" i="11"/>
  <c r="P69" i="9"/>
  <c r="N39" i="5"/>
  <c r="P54" i="12" s="1"/>
  <c r="N35" i="5"/>
  <c r="P53" i="12" s="1"/>
  <c r="C31" i="2"/>
  <c r="K163" i="11"/>
  <c r="N64" i="12"/>
  <c r="N74" i="12"/>
  <c r="N69" i="12"/>
  <c r="N59" i="12"/>
  <c r="M124" i="9"/>
  <c r="M135" i="9"/>
  <c r="L61" i="2"/>
  <c r="P70" i="9"/>
  <c r="N85" i="11"/>
  <c r="K116" i="12" l="1"/>
  <c r="K108" i="12"/>
  <c r="L25" i="30"/>
  <c r="M58" i="10"/>
  <c r="K27" i="30"/>
  <c r="K65" i="2"/>
  <c r="K75" i="2"/>
  <c r="B49" i="2" s="1"/>
  <c r="L131" i="9"/>
  <c r="K117" i="12"/>
  <c r="K118" i="12" s="1"/>
  <c r="L24" i="30"/>
  <c r="K72" i="2"/>
  <c r="L23" i="30"/>
  <c r="F31" i="2"/>
  <c r="N168" i="8"/>
  <c r="M19" i="30"/>
  <c r="N50" i="10"/>
  <c r="N52" i="10" s="1"/>
  <c r="L68" i="2"/>
  <c r="B32" i="2" s="1"/>
  <c r="K153" i="11"/>
  <c r="K141" i="11"/>
  <c r="K143" i="11" s="1"/>
  <c r="K177" i="11"/>
  <c r="K178" i="11" s="1"/>
  <c r="M129" i="9"/>
  <c r="M142" i="9"/>
  <c r="M118" i="9"/>
  <c r="M14" i="30"/>
  <c r="M119" i="9"/>
  <c r="L143" i="9"/>
  <c r="J79" i="2"/>
  <c r="K158" i="11"/>
  <c r="J58" i="29"/>
  <c r="P30" i="10"/>
  <c r="O17" i="30" s="1"/>
  <c r="P17" i="30" s="1"/>
  <c r="P39" i="10"/>
  <c r="O69" i="10" s="1"/>
  <c r="P35" i="10"/>
  <c r="P28" i="10"/>
  <c r="O16" i="30" s="1"/>
  <c r="K152" i="11"/>
  <c r="Q97" i="9"/>
  <c r="Q94" i="9"/>
  <c r="K98" i="12"/>
  <c r="K103" i="12" s="1"/>
  <c r="K162" i="11"/>
  <c r="K166" i="11" s="1"/>
  <c r="N92" i="11"/>
  <c r="N104" i="11"/>
  <c r="N94" i="11"/>
  <c r="N114" i="11"/>
  <c r="N90" i="11"/>
  <c r="N109" i="11"/>
  <c r="N100" i="11"/>
  <c r="N21" i="30" s="1"/>
  <c r="L33" i="29"/>
  <c r="N126" i="11"/>
  <c r="L182" i="11" s="1"/>
  <c r="N98" i="11"/>
  <c r="N121" i="11"/>
  <c r="L181" i="11" s="1"/>
  <c r="L60" i="2"/>
  <c r="L65" i="2" s="1"/>
  <c r="M134" i="9"/>
  <c r="M123" i="9"/>
  <c r="M130" i="9"/>
  <c r="M15" i="30"/>
  <c r="L22" i="30"/>
  <c r="M141" i="9"/>
  <c r="J66" i="29"/>
  <c r="K107" i="12"/>
  <c r="K111" i="12" s="1"/>
  <c r="M18" i="30"/>
  <c r="Q82" i="8"/>
  <c r="O168" i="8" s="1"/>
  <c r="Q86" i="8"/>
  <c r="N16" i="30"/>
  <c r="K157" i="11"/>
  <c r="K147" i="11"/>
  <c r="K149" i="11" s="1"/>
  <c r="M20" i="30"/>
  <c r="N73" i="12"/>
  <c r="L110" i="12" s="1"/>
  <c r="N63" i="12"/>
  <c r="N58" i="12"/>
  <c r="M22" i="30" s="1"/>
  <c r="N68" i="12"/>
  <c r="L109" i="12" s="1"/>
  <c r="L26" i="30"/>
  <c r="K169" i="11"/>
  <c r="K173" i="11" s="1"/>
  <c r="K181" i="11"/>
  <c r="K183" i="11" s="1"/>
  <c r="N61" i="10"/>
  <c r="N65" i="10" s="1"/>
  <c r="K40" i="29"/>
  <c r="K66" i="29" s="1"/>
  <c r="K47" i="29"/>
  <c r="K67" i="29" s="1"/>
  <c r="N83" i="11"/>
  <c r="P68" i="9"/>
  <c r="P77" i="9"/>
  <c r="P81" i="9"/>
  <c r="P85" i="9"/>
  <c r="P75" i="9"/>
  <c r="P79" i="9"/>
  <c r="P83" i="9"/>
  <c r="P87" i="9"/>
  <c r="O49" i="12"/>
  <c r="N178" i="8"/>
  <c r="N173" i="8"/>
  <c r="N175" i="8" s="1"/>
  <c r="K62" i="29"/>
  <c r="O186" i="8"/>
  <c r="R186" i="8" s="1"/>
  <c r="M64" i="2"/>
  <c r="M78" i="2" s="1"/>
  <c r="L172" i="11"/>
  <c r="N30" i="30"/>
  <c r="O174" i="8"/>
  <c r="O180" i="8"/>
  <c r="O181" i="8"/>
  <c r="O169" i="8"/>
  <c r="O6" i="30"/>
  <c r="P6" i="30" s="1"/>
  <c r="N58" i="10"/>
  <c r="L101" i="12"/>
  <c r="O8" i="30"/>
  <c r="P8" i="30" s="1"/>
  <c r="O12" i="30"/>
  <c r="P12" i="30" s="1"/>
  <c r="M63" i="2"/>
  <c r="M71" i="2"/>
  <c r="E33" i="2" s="1"/>
  <c r="F13" i="2"/>
  <c r="Q99" i="9"/>
  <c r="Q102" i="9"/>
  <c r="Q93" i="9"/>
  <c r="Q100" i="9"/>
  <c r="Q103" i="9"/>
  <c r="P52" i="12"/>
  <c r="Q96" i="9"/>
  <c r="K61" i="29"/>
  <c r="L102" i="12"/>
  <c r="N137" i="9"/>
  <c r="O77" i="12"/>
  <c r="O71" i="12"/>
  <c r="O61" i="12"/>
  <c r="O76" i="12"/>
  <c r="O67" i="12"/>
  <c r="O72" i="12"/>
  <c r="O66" i="12"/>
  <c r="L44" i="29"/>
  <c r="L43" i="29"/>
  <c r="L50" i="29"/>
  <c r="L51" i="29"/>
  <c r="M36" i="29"/>
  <c r="O112" i="11"/>
  <c r="O118" i="11"/>
  <c r="O124" i="11"/>
  <c r="O129" i="11"/>
  <c r="O108" i="11"/>
  <c r="O107" i="11"/>
  <c r="O130" i="11"/>
  <c r="O117" i="11"/>
  <c r="O113" i="11"/>
  <c r="O125" i="11"/>
  <c r="O64" i="10"/>
  <c r="L165" i="11"/>
  <c r="L77" i="2"/>
  <c r="E50" i="2" s="1"/>
  <c r="E14" i="2"/>
  <c r="M23" i="30"/>
  <c r="O11" i="30"/>
  <c r="P11" i="30" s="1"/>
  <c r="O7" i="30"/>
  <c r="Q76" i="9"/>
  <c r="Q78" i="9"/>
  <c r="O179" i="8"/>
  <c r="J68" i="29"/>
  <c r="K60" i="29"/>
  <c r="N70" i="2" s="1"/>
  <c r="D34" i="2" s="1"/>
  <c r="L148" i="11"/>
  <c r="N70" i="10"/>
  <c r="M62" i="2"/>
  <c r="D15" i="2" s="1"/>
  <c r="O63" i="10"/>
  <c r="N170" i="8"/>
  <c r="O116" i="11"/>
  <c r="O111" i="11"/>
  <c r="M35" i="29"/>
  <c r="O128" i="11"/>
  <c r="O106" i="11"/>
  <c r="O123" i="11"/>
  <c r="O85" i="12"/>
  <c r="O86" i="12"/>
  <c r="C32" i="2"/>
  <c r="O51" i="10"/>
  <c r="L48" i="29"/>
  <c r="L41" i="29"/>
  <c r="L171" i="11"/>
  <c r="N182" i="8"/>
  <c r="C14" i="2"/>
  <c r="L76" i="2"/>
  <c r="L42" i="29"/>
  <c r="L49" i="29"/>
  <c r="Q101" i="9"/>
  <c r="Q92" i="9"/>
  <c r="P51" i="12"/>
  <c r="Q95" i="9"/>
  <c r="Q98" i="9"/>
  <c r="L99" i="12"/>
  <c r="M34" i="29"/>
  <c r="O127" i="11"/>
  <c r="O105" i="11"/>
  <c r="O101" i="11"/>
  <c r="O93" i="11"/>
  <c r="O91" i="11"/>
  <c r="O95" i="11"/>
  <c r="O115" i="11"/>
  <c r="O110" i="11"/>
  <c r="O99" i="11"/>
  <c r="O122" i="11"/>
  <c r="N135" i="9"/>
  <c r="N124" i="9"/>
  <c r="M69" i="2"/>
  <c r="C49" i="2"/>
  <c r="K59" i="29"/>
  <c r="L163" i="11"/>
  <c r="L142" i="11"/>
  <c r="O65" i="12"/>
  <c r="O70" i="12"/>
  <c r="O75" i="12"/>
  <c r="O60" i="12"/>
  <c r="O62" i="10"/>
  <c r="L108" i="12"/>
  <c r="L115" i="12"/>
  <c r="Q82" i="9"/>
  <c r="Q88" i="9"/>
  <c r="Q86" i="9"/>
  <c r="Q80" i="9"/>
  <c r="Q84" i="9"/>
  <c r="P50" i="12"/>
  <c r="M61" i="2"/>
  <c r="O81" i="12"/>
  <c r="O82" i="12"/>
  <c r="O64" i="12"/>
  <c r="O59" i="12"/>
  <c r="O74" i="12"/>
  <c r="O69" i="12"/>
  <c r="L100" i="12"/>
  <c r="L164" i="11"/>
  <c r="N136" i="9"/>
  <c r="M70" i="2"/>
  <c r="M25" i="30" l="1"/>
  <c r="M24" i="30"/>
  <c r="L117" i="12"/>
  <c r="F32" i="2"/>
  <c r="K79" i="2"/>
  <c r="F49" i="2"/>
  <c r="M131" i="9"/>
  <c r="M26" i="30"/>
  <c r="L116" i="12"/>
  <c r="O56" i="10"/>
  <c r="M120" i="9"/>
  <c r="L72" i="2"/>
  <c r="O188" i="8"/>
  <c r="K154" i="11"/>
  <c r="L114" i="12"/>
  <c r="R168" i="8"/>
  <c r="M143" i="9"/>
  <c r="L177" i="11"/>
  <c r="O61" i="10"/>
  <c r="O65" i="10" s="1"/>
  <c r="O57" i="10"/>
  <c r="M68" i="2"/>
  <c r="B33" i="2" s="1"/>
  <c r="N19" i="30"/>
  <c r="K159" i="11"/>
  <c r="N130" i="9"/>
  <c r="N141" i="9"/>
  <c r="N118" i="9"/>
  <c r="N14" i="30"/>
  <c r="N142" i="9"/>
  <c r="L141" i="11"/>
  <c r="L143" i="11" s="1"/>
  <c r="L153" i="11"/>
  <c r="L158" i="11"/>
  <c r="J63" i="29"/>
  <c r="M60" i="2"/>
  <c r="M75" i="2" s="1"/>
  <c r="B51" i="2" s="1"/>
  <c r="L152" i="11"/>
  <c r="L154" i="11" s="1"/>
  <c r="L183" i="11"/>
  <c r="L27" i="30"/>
  <c r="N64" i="2"/>
  <c r="N78" i="2" s="1"/>
  <c r="O114" i="11"/>
  <c r="M33" i="29"/>
  <c r="O90" i="11"/>
  <c r="O104" i="11"/>
  <c r="O94" i="11"/>
  <c r="O100" i="11"/>
  <c r="O21" i="30" s="1"/>
  <c r="P21" i="30" s="1"/>
  <c r="O92" i="11"/>
  <c r="O126" i="11"/>
  <c r="M182" i="11" s="1"/>
  <c r="O109" i="11"/>
  <c r="M177" i="11" s="1"/>
  <c r="O98" i="11"/>
  <c r="M147" i="11" s="1"/>
  <c r="O121" i="11"/>
  <c r="M181" i="11" s="1"/>
  <c r="N20" i="30"/>
  <c r="L147" i="11"/>
  <c r="L149" i="11" s="1"/>
  <c r="L157" i="11"/>
  <c r="L159" i="11" s="1"/>
  <c r="L162" i="11"/>
  <c r="L166" i="11" s="1"/>
  <c r="N129" i="9"/>
  <c r="L98" i="12"/>
  <c r="N119" i="9"/>
  <c r="L176" i="11"/>
  <c r="L107" i="12"/>
  <c r="L111" i="12" s="1"/>
  <c r="N15" i="30"/>
  <c r="K58" i="29"/>
  <c r="L75" i="2"/>
  <c r="B50" i="2" s="1"/>
  <c r="B14" i="2"/>
  <c r="F14" i="2" s="1"/>
  <c r="L40" i="29"/>
  <c r="L47" i="29"/>
  <c r="L67" i="29" s="1"/>
  <c r="O68" i="10"/>
  <c r="O70" i="10" s="1"/>
  <c r="M138" i="9"/>
  <c r="N18" i="30"/>
  <c r="L62" i="29"/>
  <c r="O73" i="12"/>
  <c r="M110" i="12" s="1"/>
  <c r="O63" i="12"/>
  <c r="M115" i="12" s="1"/>
  <c r="O58" i="12"/>
  <c r="O68" i="12"/>
  <c r="N25" i="30" s="1"/>
  <c r="N123" i="9"/>
  <c r="N125" i="9" s="1"/>
  <c r="N134" i="9"/>
  <c r="N138" i="9" s="1"/>
  <c r="Q75" i="9"/>
  <c r="Q81" i="9"/>
  <c r="Q87" i="9"/>
  <c r="P49" i="12"/>
  <c r="Q85" i="9"/>
  <c r="Q83" i="9"/>
  <c r="Q77" i="9"/>
  <c r="Q79" i="9"/>
  <c r="O178" i="8"/>
  <c r="O182" i="8" s="1"/>
  <c r="O173" i="8"/>
  <c r="O175" i="8" s="1"/>
  <c r="P16" i="30"/>
  <c r="M125" i="9"/>
  <c r="L169" i="11"/>
  <c r="L173" i="11" s="1"/>
  <c r="O50" i="10"/>
  <c r="O52" i="10" s="1"/>
  <c r="O13" i="30"/>
  <c r="P13" i="30" s="1"/>
  <c r="L61" i="29"/>
  <c r="M102" i="12"/>
  <c r="O30" i="30"/>
  <c r="P30" i="30" s="1"/>
  <c r="M27" i="30"/>
  <c r="P7" i="30"/>
  <c r="N63" i="2"/>
  <c r="M172" i="11"/>
  <c r="M101" i="12"/>
  <c r="P72" i="12"/>
  <c r="P71" i="12"/>
  <c r="P76" i="12"/>
  <c r="P61" i="12"/>
  <c r="P66" i="12"/>
  <c r="P77" i="12"/>
  <c r="P67" i="12"/>
  <c r="O137" i="9"/>
  <c r="M77" i="2"/>
  <c r="E51" i="2" s="1"/>
  <c r="E15" i="2"/>
  <c r="M51" i="29"/>
  <c r="M43" i="29"/>
  <c r="M50" i="29"/>
  <c r="M44" i="29"/>
  <c r="M165" i="11"/>
  <c r="N71" i="2"/>
  <c r="E34" i="2" s="1"/>
  <c r="K68" i="29"/>
  <c r="N62" i="2"/>
  <c r="D16" i="2" s="1"/>
  <c r="L60" i="29"/>
  <c r="O70" i="2" s="1"/>
  <c r="D35" i="2" s="1"/>
  <c r="N69" i="2"/>
  <c r="C34" i="2" s="1"/>
  <c r="O170" i="8"/>
  <c r="N61" i="2"/>
  <c r="M164" i="11"/>
  <c r="M76" i="2"/>
  <c r="C15" i="2"/>
  <c r="D33" i="2"/>
  <c r="M100" i="12"/>
  <c r="C33" i="2"/>
  <c r="M170" i="11"/>
  <c r="M163" i="11"/>
  <c r="P65" i="12"/>
  <c r="P75" i="12"/>
  <c r="P60" i="12"/>
  <c r="P70" i="12"/>
  <c r="M171" i="11"/>
  <c r="M116" i="12"/>
  <c r="M42" i="29"/>
  <c r="M49" i="29"/>
  <c r="M99" i="12"/>
  <c r="M114" i="12"/>
  <c r="O124" i="9"/>
  <c r="O135" i="9"/>
  <c r="M148" i="11"/>
  <c r="M142" i="11"/>
  <c r="L103" i="12"/>
  <c r="O136" i="9"/>
  <c r="C50" i="2"/>
  <c r="L59" i="29"/>
  <c r="P74" i="12"/>
  <c r="P59" i="12"/>
  <c r="P69" i="12"/>
  <c r="P64" i="12"/>
  <c r="M48" i="29"/>
  <c r="M41" i="29"/>
  <c r="L118" i="12" l="1"/>
  <c r="L178" i="11"/>
  <c r="O58" i="10"/>
  <c r="N120" i="9"/>
  <c r="M157" i="11"/>
  <c r="M159" i="11" s="1"/>
  <c r="N24" i="30"/>
  <c r="N60" i="2"/>
  <c r="B16" i="2" s="1"/>
  <c r="N143" i="9"/>
  <c r="N23" i="30"/>
  <c r="M117" i="12"/>
  <c r="M72" i="2"/>
  <c r="M109" i="12"/>
  <c r="O130" i="9"/>
  <c r="O14" i="30"/>
  <c r="P14" i="30" s="1"/>
  <c r="M153" i="11"/>
  <c r="M98" i="12"/>
  <c r="M103" i="12" s="1"/>
  <c r="N131" i="9"/>
  <c r="O19" i="30"/>
  <c r="P19" i="30" s="1"/>
  <c r="O15" i="30"/>
  <c r="P15" i="30" s="1"/>
  <c r="O119" i="9"/>
  <c r="O118" i="9"/>
  <c r="M162" i="11"/>
  <c r="M166" i="11" s="1"/>
  <c r="B15" i="2"/>
  <c r="F15" i="2" s="1"/>
  <c r="M65" i="2"/>
  <c r="O64" i="2"/>
  <c r="O78" i="2" s="1"/>
  <c r="M158" i="11"/>
  <c r="K63" i="29"/>
  <c r="E16" i="2"/>
  <c r="L58" i="29"/>
  <c r="N68" i="2"/>
  <c r="B34" i="2" s="1"/>
  <c r="F34" i="2" s="1"/>
  <c r="O63" i="2"/>
  <c r="O77" i="2" s="1"/>
  <c r="L66" i="29"/>
  <c r="L68" i="29" s="1"/>
  <c r="O20" i="30"/>
  <c r="P20" i="30" s="1"/>
  <c r="L79" i="2"/>
  <c r="F50" i="2"/>
  <c r="P68" i="12"/>
  <c r="O25" i="30" s="1"/>
  <c r="P25" i="30" s="1"/>
  <c r="P63" i="12"/>
  <c r="N108" i="12" s="1"/>
  <c r="P73" i="12"/>
  <c r="O24" i="30" s="1"/>
  <c r="P24" i="30" s="1"/>
  <c r="P58" i="12"/>
  <c r="N114" i="12" s="1"/>
  <c r="M169" i="11"/>
  <c r="M173" i="11" s="1"/>
  <c r="M141" i="11"/>
  <c r="M143" i="11" s="1"/>
  <c r="M108" i="12"/>
  <c r="O142" i="9"/>
  <c r="O18" i="30"/>
  <c r="P18" i="30" s="1"/>
  <c r="N22" i="30"/>
  <c r="M47" i="29"/>
  <c r="M67" i="29" s="1"/>
  <c r="M40" i="29"/>
  <c r="O123" i="9"/>
  <c r="O125" i="9" s="1"/>
  <c r="O134" i="9"/>
  <c r="O138" i="9" s="1"/>
  <c r="M107" i="12"/>
  <c r="N26" i="30"/>
  <c r="M152" i="11"/>
  <c r="O129" i="9"/>
  <c r="O141" i="9"/>
  <c r="M176" i="11"/>
  <c r="M178" i="11" s="1"/>
  <c r="N77" i="2"/>
  <c r="E52" i="2" s="1"/>
  <c r="N101" i="12"/>
  <c r="N102" i="12"/>
  <c r="M61" i="29"/>
  <c r="M62" i="29"/>
  <c r="O71" i="2"/>
  <c r="E35" i="2" s="1"/>
  <c r="O62" i="2"/>
  <c r="D17" i="2" s="1"/>
  <c r="M183" i="11"/>
  <c r="F33" i="2"/>
  <c r="N76" i="2"/>
  <c r="C52" i="2" s="1"/>
  <c r="C16" i="2"/>
  <c r="O61" i="2"/>
  <c r="M149" i="11"/>
  <c r="N100" i="12"/>
  <c r="M59" i="29"/>
  <c r="M118" i="12"/>
  <c r="M60" i="29"/>
  <c r="P70" i="2" s="1"/>
  <c r="N99" i="12"/>
  <c r="O69" i="2"/>
  <c r="C51" i="2"/>
  <c r="F51" i="2" s="1"/>
  <c r="M79" i="2"/>
  <c r="O22" i="30" l="1"/>
  <c r="M111" i="12"/>
  <c r="N65" i="2"/>
  <c r="N107" i="12"/>
  <c r="N116" i="12"/>
  <c r="N75" i="2"/>
  <c r="B52" i="2" s="1"/>
  <c r="F52" i="2" s="1"/>
  <c r="O131" i="9"/>
  <c r="M154" i="11"/>
  <c r="N115" i="12"/>
  <c r="O23" i="30"/>
  <c r="P23" i="30" s="1"/>
  <c r="O143" i="9"/>
  <c r="O60" i="2"/>
  <c r="O75" i="2" s="1"/>
  <c r="L63" i="29"/>
  <c r="O120" i="9"/>
  <c r="E53" i="2"/>
  <c r="M58" i="29"/>
  <c r="N72" i="2"/>
  <c r="E17" i="2"/>
  <c r="O68" i="2"/>
  <c r="O72" i="2" s="1"/>
  <c r="O26" i="30"/>
  <c r="P26" i="30" s="1"/>
  <c r="M66" i="29"/>
  <c r="M68" i="29" s="1"/>
  <c r="N27" i="30"/>
  <c r="N117" i="12"/>
  <c r="F16" i="2"/>
  <c r="N110" i="12"/>
  <c r="N109" i="12"/>
  <c r="N98" i="12"/>
  <c r="P22" i="30"/>
  <c r="P64" i="2"/>
  <c r="P78" i="2" s="1"/>
  <c r="Q78" i="2" s="1"/>
  <c r="P71" i="2"/>
  <c r="E36" i="2" s="1"/>
  <c r="E37" i="2" s="1"/>
  <c r="P63" i="2"/>
  <c r="P69" i="2"/>
  <c r="Q69" i="2" s="1"/>
  <c r="O76" i="2"/>
  <c r="C17" i="2"/>
  <c r="P61" i="2"/>
  <c r="C18" i="2" s="1"/>
  <c r="D36" i="2"/>
  <c r="D37" i="2" s="1"/>
  <c r="Q70" i="2"/>
  <c r="M63" i="29"/>
  <c r="C35" i="2"/>
  <c r="P62" i="2"/>
  <c r="N79" i="2" l="1"/>
  <c r="N118" i="12"/>
  <c r="N111" i="12"/>
  <c r="P27" i="30"/>
  <c r="Q26" i="30" s="1"/>
  <c r="O65" i="2"/>
  <c r="B17" i="2"/>
  <c r="F17" i="2" s="1"/>
  <c r="P60" i="2"/>
  <c r="Q60" i="2" s="1"/>
  <c r="B35" i="2"/>
  <c r="F35" i="2" s="1"/>
  <c r="O27" i="30"/>
  <c r="O28" i="30" s="1"/>
  <c r="P31" i="30" s="1"/>
  <c r="N103" i="12"/>
  <c r="B53" i="2"/>
  <c r="P68" i="2"/>
  <c r="P72" i="2" s="1"/>
  <c r="Q64" i="2"/>
  <c r="Q63" i="2"/>
  <c r="P77" i="2"/>
  <c r="E18" i="2"/>
  <c r="E19" i="2" s="1"/>
  <c r="Q71" i="2"/>
  <c r="C36" i="2"/>
  <c r="C37" i="2" s="1"/>
  <c r="P76" i="2"/>
  <c r="C54" i="2" s="1"/>
  <c r="C53" i="2"/>
  <c r="O79" i="2"/>
  <c r="Q61" i="2"/>
  <c r="D18" i="2"/>
  <c r="D19" i="2" s="1"/>
  <c r="Q62" i="2"/>
  <c r="C19" i="2"/>
  <c r="Q19" i="30" l="1"/>
  <c r="Q6" i="30"/>
  <c r="Q24" i="30"/>
  <c r="Q21" i="30"/>
  <c r="Q22" i="30"/>
  <c r="Q23" i="30"/>
  <c r="Q8" i="30"/>
  <c r="Q17" i="30"/>
  <c r="Q9" i="30"/>
  <c r="Q16" i="30"/>
  <c r="Q11" i="30"/>
  <c r="Q12" i="30"/>
  <c r="Q10" i="30"/>
  <c r="Q15" i="30"/>
  <c r="Q18" i="30"/>
  <c r="Q20" i="30"/>
  <c r="Q13" i="30"/>
  <c r="Q14" i="30"/>
  <c r="Q25" i="30"/>
  <c r="Q7" i="30"/>
  <c r="P75" i="2"/>
  <c r="B54" i="2" s="1"/>
  <c r="B55" i="2" s="1"/>
  <c r="P65" i="2"/>
  <c r="B18" i="2"/>
  <c r="B19" i="2" s="1"/>
  <c r="F53" i="2"/>
  <c r="B36" i="2"/>
  <c r="B37" i="2" s="1"/>
  <c r="Q68" i="2"/>
  <c r="Q72" i="2" s="1"/>
  <c r="E54" i="2"/>
  <c r="E55" i="2" s="1"/>
  <c r="Q77" i="2"/>
  <c r="Q76" i="2"/>
  <c r="Q65" i="2"/>
  <c r="C55" i="2"/>
  <c r="P79" i="2" l="1"/>
  <c r="Q27" i="30"/>
  <c r="F18" i="2"/>
  <c r="F19" i="2" s="1"/>
  <c r="O29" i="30" s="1"/>
  <c r="Q75" i="2"/>
  <c r="Q79" i="2" s="1"/>
  <c r="F36" i="2"/>
  <c r="F37" i="2" s="1"/>
  <c r="F54" i="2"/>
  <c r="F55" i="2" s="1"/>
  <c r="P29" i="30" l="1"/>
</calcChain>
</file>

<file path=xl/comments1.xml><?xml version="1.0" encoding="utf-8"?>
<comments xmlns="http://schemas.openxmlformats.org/spreadsheetml/2006/main">
  <authors>
    <author>Haynes, Tracy@ARB</author>
  </authors>
  <commentList>
    <comment ref="B19" authorId="0" shapeId="0">
      <text>
        <r>
          <rPr>
            <b/>
            <sz val="9"/>
            <color indexed="81"/>
            <rFont val="Tahoma"/>
            <family val="2"/>
          </rPr>
          <t>Haynes, Tracy@ARB:</t>
        </r>
        <r>
          <rPr>
            <sz val="9"/>
            <color indexed="81"/>
            <rFont val="Tahoma"/>
            <family val="2"/>
          </rPr>
          <t xml:space="preserve">
Russell Furey (CARB) email to Tracy Haynes (CARB) 4/19/19</t>
        </r>
      </text>
    </comment>
  </commentList>
</comments>
</file>

<file path=xl/comments2.xml><?xml version="1.0" encoding="utf-8"?>
<comments xmlns="http://schemas.openxmlformats.org/spreadsheetml/2006/main">
  <authors>
    <author>Haynes, Tracy@ARB</author>
  </authors>
  <commentList>
    <comment ref="B5" authorId="0" shapeId="0">
      <text>
        <r>
          <rPr>
            <b/>
            <sz val="9"/>
            <color indexed="81"/>
            <rFont val="Tahoma"/>
            <family val="2"/>
          </rPr>
          <t>Haynes, Tracy@ARB:</t>
        </r>
        <r>
          <rPr>
            <sz val="9"/>
            <color indexed="81"/>
            <rFont val="Tahoma"/>
            <family val="2"/>
          </rPr>
          <t xml:space="preserve">
Russell Furey (CARB) email to Tracy Haynes (CARB) 10/3/18</t>
        </r>
      </text>
    </comment>
    <comment ref="C5" authorId="0" shapeId="0">
      <text>
        <r>
          <rPr>
            <b/>
            <sz val="9"/>
            <color indexed="81"/>
            <rFont val="Tahoma"/>
            <family val="2"/>
          </rPr>
          <t>Haynes, Tracy@ARB:</t>
        </r>
        <r>
          <rPr>
            <sz val="9"/>
            <color indexed="81"/>
            <rFont val="Tahoma"/>
            <family val="2"/>
          </rPr>
          <t xml:space="preserve">
Russell Furey (CARB) email to Tracy Haynes (CARB) 10/3/18</t>
        </r>
      </text>
    </comment>
    <comment ref="D5" authorId="0" shapeId="0">
      <text>
        <r>
          <rPr>
            <b/>
            <sz val="9"/>
            <color indexed="81"/>
            <rFont val="Tahoma"/>
            <family val="2"/>
          </rPr>
          <t>Haynes, Tracy@ARB:</t>
        </r>
        <r>
          <rPr>
            <sz val="9"/>
            <color indexed="81"/>
            <rFont val="Tahoma"/>
            <family val="2"/>
          </rPr>
          <t xml:space="preserve">
Russell Furey (CARB) email to Tracy Haynes (CARB) 10/3/18</t>
        </r>
      </text>
    </comment>
    <comment ref="E5" authorId="0" shapeId="0">
      <text>
        <r>
          <rPr>
            <b/>
            <sz val="9"/>
            <color indexed="81"/>
            <rFont val="Tahoma"/>
            <family val="2"/>
          </rPr>
          <t>Haynes, Tracy@ARB:</t>
        </r>
        <r>
          <rPr>
            <sz val="9"/>
            <color indexed="81"/>
            <rFont val="Tahoma"/>
            <family val="2"/>
          </rPr>
          <t xml:space="preserve">
Russell Furey (CARB) email to Tracy Haynes (CARB) 10/3/18</t>
        </r>
      </text>
    </comment>
  </commentList>
</comments>
</file>

<file path=xl/sharedStrings.xml><?xml version="1.0" encoding="utf-8"?>
<sst xmlns="http://schemas.openxmlformats.org/spreadsheetml/2006/main" count="2266" uniqueCount="857">
  <si>
    <t>Los Angeles</t>
  </si>
  <si>
    <t>Long Beach</t>
  </si>
  <si>
    <t>Oakland</t>
  </si>
  <si>
    <t>San Francisco</t>
  </si>
  <si>
    <t>San Diego</t>
  </si>
  <si>
    <t>Hueneme</t>
  </si>
  <si>
    <t># Land-Based Capture &amp; Control Systems</t>
  </si>
  <si>
    <t># Barge-Based Capture &amp; Control Systems</t>
  </si>
  <si>
    <t>Total</t>
  </si>
  <si>
    <t># New Shoreside Cable Reels</t>
  </si>
  <si>
    <t>% of Costs Borne by Port</t>
  </si>
  <si>
    <t>% of Costs Borne by Terminal</t>
  </si>
  <si>
    <t>Shore Power Labor Costs</t>
  </si>
  <si>
    <t>Container/ Reefer</t>
  </si>
  <si>
    <t>Cruise</t>
  </si>
  <si>
    <t>Auto/RoRo</t>
  </si>
  <si>
    <t>Units</t>
  </si>
  <si>
    <t>$ per vessel visit</t>
  </si>
  <si>
    <t>Shore Power Electricity Costs</t>
  </si>
  <si>
    <t>Shore Power Fuel Savings</t>
  </si>
  <si>
    <t>Shore Power Vessel Retrofit Capital Costs</t>
  </si>
  <si>
    <t>Shore Power Vessel Retrofit Maintenance Costs</t>
  </si>
  <si>
    <t>Cost Incurred by</t>
  </si>
  <si>
    <t>#</t>
  </si>
  <si>
    <t>Annual Inputs</t>
  </si>
  <si>
    <t>Fixed Inputs</t>
  </si>
  <si>
    <t>Value</t>
  </si>
  <si>
    <t>Labor Costs</t>
  </si>
  <si>
    <t>%</t>
  </si>
  <si>
    <t>CRF (5%, 10 years) for vessels</t>
  </si>
  <si>
    <t>Capture &amp; Control Costs</t>
  </si>
  <si>
    <t>Vessel Operator</t>
  </si>
  <si>
    <t>Terminal</t>
  </si>
  <si>
    <t>Technology Developer</t>
  </si>
  <si>
    <t>years</t>
  </si>
  <si>
    <t>SP Berth Retrofit Maintenance Costs</t>
  </si>
  <si>
    <t>Ports</t>
  </si>
  <si>
    <t>Terminals</t>
  </si>
  <si>
    <t>Alternative 1</t>
  </si>
  <si>
    <t>Alternative 2</t>
  </si>
  <si>
    <t>Shore Power Berth Retrofit Costs</t>
  </si>
  <si>
    <t>Shore Power Vessel Retrofit Costs</t>
  </si>
  <si>
    <t>Administrative Costs</t>
  </si>
  <si>
    <t>Costs (All Adjusted for Annual Growth)
Alternative 1</t>
  </si>
  <si>
    <t>Costs (All Adjusted for Annual Growth)
Alternative 2</t>
  </si>
  <si>
    <t>Average Container/Reefer Vessel Power</t>
  </si>
  <si>
    <t>Average Cruise Vessel Power</t>
  </si>
  <si>
    <t>Average Auto/RoRo Vessel Power</t>
  </si>
  <si>
    <t>g/kW-hr</t>
  </si>
  <si>
    <t>$/MT</t>
  </si>
  <si>
    <t>$/kW-hr</t>
  </si>
  <si>
    <t>Cost Savings Incurred by</t>
  </si>
  <si>
    <t>Shore Power Labor and Energy Costs and Cost Savings</t>
  </si>
  <si>
    <t>Port Plan Unit Cost</t>
  </si>
  <si>
    <t>Terminal Plan Unit Cost</t>
  </si>
  <si>
    <t>$ per plan</t>
  </si>
  <si>
    <t>$ per PY</t>
  </si>
  <si>
    <t>CARB</t>
  </si>
  <si>
    <t>Cost of Port Plans</t>
  </si>
  <si>
    <t>Cost of Terminal Plans</t>
  </si>
  <si>
    <t>Cost of Vessel Reporting</t>
  </si>
  <si>
    <t>Cost of Terminal Reporting</t>
  </si>
  <si>
    <t>Port</t>
  </si>
  <si>
    <t>Content</t>
  </si>
  <si>
    <t>Tab</t>
  </si>
  <si>
    <t>Description</t>
  </si>
  <si>
    <t>Summary Tables</t>
  </si>
  <si>
    <t>Data Inputs</t>
  </si>
  <si>
    <t>Summary</t>
  </si>
  <si>
    <t>Cost Inputs</t>
  </si>
  <si>
    <t>Electricity &amp; Fuel</t>
  </si>
  <si>
    <t>Growth</t>
  </si>
  <si>
    <t>C&amp;C</t>
  </si>
  <si>
    <t>SP Labor &amp; Energy</t>
  </si>
  <si>
    <t>Admin</t>
  </si>
  <si>
    <t>Annual industry growth factors by vessel type</t>
  </si>
  <si>
    <t>Shore power berth retrofit capital and maintenance costs</t>
  </si>
  <si>
    <t>Shore power vessel retrofit capital and maintenance costs</t>
  </si>
  <si>
    <t>Shore power labor &amp; energy costs and cost savings</t>
  </si>
  <si>
    <t>Total:</t>
  </si>
  <si>
    <t>Summary of Annualized Costs by Vessel Type</t>
  </si>
  <si>
    <t>Vessel Type</t>
  </si>
  <si>
    <t>Cruise Vessels</t>
  </si>
  <si>
    <t>--</t>
  </si>
  <si>
    <t>Year</t>
  </si>
  <si>
    <t>Container/Reefer</t>
  </si>
  <si>
    <t>Crude Tankers</t>
  </si>
  <si>
    <t>Product Tankers</t>
  </si>
  <si>
    <t>Total - All Vessel Types</t>
  </si>
  <si>
    <t>Electricity and Fuel Inputs</t>
  </si>
  <si>
    <t>Electricity Rate Growth Projections</t>
  </si>
  <si>
    <t>Future Electricity Rate Assumption $/kWh</t>
  </si>
  <si>
    <t>PG&amp;E</t>
  </si>
  <si>
    <t>LADWP</t>
  </si>
  <si>
    <t>SDG&amp;E</t>
  </si>
  <si>
    <t>SCE</t>
  </si>
  <si>
    <t>LCFS Credit for Shore Power</t>
  </si>
  <si>
    <t>percent</t>
  </si>
  <si>
    <t>MGO Price Growth Projections</t>
  </si>
  <si>
    <t>Current Fuel Price Assumption $/MT</t>
  </si>
  <si>
    <t>Annual Growth</t>
  </si>
  <si>
    <t>Future Fuel Price Assumption $/MT</t>
  </si>
  <si>
    <t>Industry Growth Factors</t>
  </si>
  <si>
    <t>Annual Growth Rates</t>
  </si>
  <si>
    <t>Compound Growth Rates</t>
  </si>
  <si>
    <t>Tanker</t>
  </si>
  <si>
    <t>Compound Growth Factors Weighted by Vessel Visits - Alternative 2</t>
  </si>
  <si>
    <t># Terminals Subject to Terminal Threshold</t>
  </si>
  <si>
    <t># Berths Subject to Terminal Threshold</t>
  </si>
  <si>
    <t>Tankers</t>
  </si>
  <si>
    <t>All</t>
  </si>
  <si>
    <t>Cost Apportionment</t>
  </si>
  <si>
    <t>Apportion</t>
  </si>
  <si>
    <t>Percentage of capital costs apportioned to ports and terminals</t>
  </si>
  <si>
    <t>Vessel Visits</t>
  </si>
  <si>
    <t>Flexibility</t>
  </si>
  <si>
    <t>RoRo</t>
  </si>
  <si>
    <t>Barge-Based Capture and Control</t>
  </si>
  <si>
    <t>Unit</t>
  </si>
  <si>
    <t>Land-Based Capture and Control</t>
  </si>
  <si>
    <t>Cost per system ($)</t>
  </si>
  <si>
    <t>Cost per hour ($)</t>
  </si>
  <si>
    <t>Cost per approval ($)</t>
  </si>
  <si>
    <t>Passenger Cruise</t>
  </si>
  <si>
    <t>Administrative Cost Inputs</t>
  </si>
  <si>
    <t>Port Plans - Container/Reefer</t>
  </si>
  <si>
    <t>Port Plans - Cruise</t>
  </si>
  <si>
    <t>Port Plans - Auto/Ro-Ro</t>
  </si>
  <si>
    <t>Terminal Plans - Container/Reefer</t>
  </si>
  <si>
    <t>Terminal Plans - Cruise</t>
  </si>
  <si>
    <t>Terminal Plans - Auto/Ro-Ro</t>
  </si>
  <si>
    <t>Terminal Reporting - Container/Reefer</t>
  </si>
  <si>
    <t>Terminal Reporting - Cruise</t>
  </si>
  <si>
    <t>Terminal Reporting - Auto/Ro-Ro</t>
  </si>
  <si>
    <t>Vessel Reporting - Container/Reefer</t>
  </si>
  <si>
    <t>Vessel Reporting - Cruise</t>
  </si>
  <si>
    <t>Vessel Reporting - Auto/Ro-Ro</t>
  </si>
  <si>
    <t>Number</t>
  </si>
  <si>
    <t>Cost</t>
  </si>
  <si>
    <t>Year(s)</t>
  </si>
  <si>
    <t>Assumptions</t>
  </si>
  <si>
    <t>Due Date</t>
  </si>
  <si>
    <t>Within 7 days after vessel visit</t>
  </si>
  <si>
    <t>Plan cost incurred in 2020, per terminal</t>
  </si>
  <si>
    <t>Plan cost incurred in 2023, per terminal</t>
  </si>
  <si>
    <t>Plan cost incurred in 2025, per terminal</t>
  </si>
  <si>
    <t>Plan cost incurred in 2027, per terminal</t>
  </si>
  <si>
    <t xml:space="preserve">Plan cost incurred in 2020, per berth </t>
  </si>
  <si>
    <t>Half of cost in 2023, half in 2024</t>
  </si>
  <si>
    <t>Half of cost in 2025, half in 2026</t>
  </si>
  <si>
    <t>Half of cost in 2028, half in 2029</t>
  </si>
  <si>
    <t>Annually for range of years listed</t>
  </si>
  <si>
    <t>2023/2024</t>
  </si>
  <si>
    <t>2025/2026</t>
  </si>
  <si>
    <t>2027/2028</t>
  </si>
  <si>
    <t>2021 - 2032</t>
  </si>
  <si>
    <t>2022 - 2032</t>
  </si>
  <si>
    <t>2025 - 2032</t>
  </si>
  <si>
    <t>2027 - 2032</t>
  </si>
  <si>
    <t>2029 - 2032</t>
  </si>
  <si>
    <t>Shore Power Labor Costs - Cruise</t>
  </si>
  <si>
    <t>Number of Port Plans - Container/Reefer</t>
  </si>
  <si>
    <t>Number of Port Plans - Cruise</t>
  </si>
  <si>
    <t>Number of Port Plans - Auto/RoRo</t>
  </si>
  <si>
    <t>Number of Terminal Plans - Container/Reefer</t>
  </si>
  <si>
    <t>Number of Terminal Plans - Cruise</t>
  </si>
  <si>
    <t>Number of Terminal Plans - Auto/RoRo</t>
  </si>
  <si>
    <t>Shore Power Berth Retrofit Maintenance Costs</t>
  </si>
  <si>
    <t>Shore Power Berth Retrofit Capital Costs</t>
  </si>
  <si>
    <t>Vessel Operators</t>
  </si>
  <si>
    <t>Hourly Barge-Based Capture and Control Usage Fees</t>
  </si>
  <si>
    <t>Land-Based Capture and Control Annualized Capital Costs</t>
  </si>
  <si>
    <t>Land-Based Capture and Control System Annual Performance Testing</t>
  </si>
  <si>
    <t>Land-Based Capture and Control System Maintenance Costs</t>
  </si>
  <si>
    <t>Shore Power LCFS Credit Value</t>
  </si>
  <si>
    <t>Remediation Fee Visit Costs</t>
  </si>
  <si>
    <t>Flexibility Inputs</t>
  </si>
  <si>
    <t>REMEDIATION FEE AMOUNTS</t>
  </si>
  <si>
    <t>Container, Reefer</t>
  </si>
  <si>
    <t>Total Land-Based Capture and Control Costs</t>
  </si>
  <si>
    <t>Total Barge-Based Capture and Control Costs</t>
  </si>
  <si>
    <t># Berth SP Retrofits Required for New Regulation</t>
  </si>
  <si>
    <t>Berth and Terminal Counts, Anticipated Infrastructure Needs, and Unique Vessel Counts</t>
  </si>
  <si>
    <t>Berths, Terminals, Vessels</t>
  </si>
  <si>
    <t>CRF (5%, 10 years) for berths</t>
  </si>
  <si>
    <t>Shore Power Infrastructure, Maintenance and Labor</t>
  </si>
  <si>
    <t>CONTAINER/REEFER</t>
  </si>
  <si>
    <t>CRUISE</t>
  </si>
  <si>
    <t>AUTO/RO-RO</t>
  </si>
  <si>
    <t>TANKERS</t>
  </si>
  <si>
    <t># Infra-structure Projects for Land-Based C&amp;C</t>
  </si>
  <si>
    <t>All Years</t>
  </si>
  <si>
    <t>Equations:</t>
  </si>
  <si>
    <t>ALTERNATIVE 1</t>
  </si>
  <si>
    <t>Monthly cost per barge ($)</t>
  </si>
  <si>
    <t>Hourly cost per barge ($)</t>
  </si>
  <si>
    <t>Annual cost per barge ($)</t>
  </si>
  <si>
    <t>fraction</t>
  </si>
  <si>
    <t>PERCENT OF VISITS TO A TERMINAL ALLOWED AS TERMINAL INCIDENT EVENTS (TIE)*</t>
  </si>
  <si>
    <t>PERCENT OF VISITS TO A TERMINAL ALLOWED AS VESSEL INCIDENT EVENTS (VIE)*</t>
  </si>
  <si>
    <t>PERCENT OF VISITS TO A TERMINAL ALLOWED AS A REMEDIATION FEE - VESSEL CONTROL EQUIPMENT REPAIR*</t>
  </si>
  <si>
    <t>PERCENT OF VISITS TO A TERMINAL ALLOWED AS A REMEDIATION FEE - TERMINAL UPGRADES/CONSTRUCTION*</t>
  </si>
  <si>
    <t xml:space="preserve">*Based on Staff analysis of Enforcement data for year 2017. In 2017, 21 out of 2,929 container/reefer vessel visits and 0 out of 495 cruise vessel visits were reported as safety exceptions. </t>
  </si>
  <si>
    <t>*Based on Staff analysis of Enforcement data for year 2017.</t>
  </si>
  <si>
    <t>Staff expects that most incidents related to vessel-side equipment would use VIEs. Based on 2017 data, only one So. Cal. tanker visit would have been expected to use the remediation fee.</t>
  </si>
  <si>
    <t>1. Visits Removed for Safety Exceptions</t>
  </si>
  <si>
    <t>2. Visits Removed for Commis-sioning</t>
  </si>
  <si>
    <t>Annual Numbers for Years 2021 - 2022</t>
  </si>
  <si>
    <t>5. Visits Removed for Remedi-ation Fee Visits - Terminal Issues</t>
  </si>
  <si>
    <t>6. Visits Removed for Remedi-ation Fee Visits - Vessel Issues</t>
  </si>
  <si>
    <t>7. All Annual Vessel Visits - Adjusted</t>
  </si>
  <si>
    <t>8. Total Percent of Annual Visits Removed</t>
  </si>
  <si>
    <t>Annual Numbers for Years 2029 - 2030</t>
  </si>
  <si>
    <t>Annual Numbers for Years 2031 - 2032</t>
  </si>
  <si>
    <t>Scenario</t>
  </si>
  <si>
    <t>Annual Vessel Visits for Years 2021 - 2022</t>
  </si>
  <si>
    <t>Annual Vessel Visits for Years 2023 - 2032</t>
  </si>
  <si>
    <t>Data Assumptions:</t>
  </si>
  <si>
    <t>*TIEs and VIEs are calculated as a percent of the total vessel visits (all berths combined) for regulated vessel types to that terminal during the previous year (minimum one TIE and VIE)</t>
  </si>
  <si>
    <t>3. Visits Removed for TIEs*</t>
  </si>
  <si>
    <t>4. Visits Removed for VIEs*</t>
  </si>
  <si>
    <t>A. All Annual Vessel Visits</t>
  </si>
  <si>
    <t>B. Newly Regulated Annual Vessel Visits - Un-adjusted</t>
  </si>
  <si>
    <t>D. Same values as Data Input C. except 10 fewer visits at POLB and 1 fewer visit at Port of Oakland would be conducted by vessels not expected to install shore power (vessel assumptions stated on "Berths, Terminals, Vessels" tab</t>
  </si>
  <si>
    <t>Annual Vessel Visits</t>
  </si>
  <si>
    <t>Container/Reefer Compounded Growth Factors</t>
  </si>
  <si>
    <t>Auto/RoRo Compounded Growth Factors</t>
  </si>
  <si>
    <t>Tankers Compounded Growth Factors</t>
  </si>
  <si>
    <t>hours per visit</t>
  </si>
  <si>
    <t>Cost parameter not summed into total cost</t>
  </si>
  <si>
    <t>Barges Built in Year for Auto/RoRo Vessels (Alt. 2 only)</t>
  </si>
  <si>
    <t xml:space="preserve">Container/Reefer </t>
  </si>
  <si>
    <t>All Vessel Types</t>
  </si>
  <si>
    <t>Annual C&amp;C Vessel Visits - Container/Reefer</t>
  </si>
  <si>
    <t>Barge-Based Technology Approvals Conducted in Year</t>
  </si>
  <si>
    <t>Land-Based Technology Approvals Conducted in Year</t>
  </si>
  <si>
    <t>Shore Power Capital Costs</t>
  </si>
  <si>
    <t>Year Begin Construction</t>
  </si>
  <si>
    <t>Year Begin Construc-tion</t>
  </si>
  <si>
    <t>Year Begin Infra-structure Construc-tion</t>
  </si>
  <si>
    <t>SP labor costs</t>
  </si>
  <si>
    <t>SP energy costs and fuel savings</t>
  </si>
  <si>
    <t>C&amp;C visits</t>
  </si>
  <si>
    <r>
      <t xml:space="preserve">9. </t>
    </r>
    <r>
      <rPr>
        <b/>
        <i/>
        <sz val="11"/>
        <color theme="1"/>
        <rFont val="Avenir LT Std 55 Roman"/>
        <family val="2"/>
      </rPr>
      <t xml:space="preserve">All Scenarios </t>
    </r>
    <r>
      <rPr>
        <b/>
        <sz val="11"/>
        <color theme="1"/>
        <rFont val="Avenir LT Std 55 Roman"/>
        <family val="2"/>
      </rPr>
      <t>Newly Regulated Annual Vessel Visits - Adjusted for all Exceptions, Commis-sioning TIEs, VIEs and Remedi-ation Fee Uses</t>
    </r>
  </si>
  <si>
    <t>Vessel Visit Count Applies to:</t>
  </si>
  <si>
    <r>
      <t xml:space="preserve">C. </t>
    </r>
    <r>
      <rPr>
        <b/>
        <i/>
        <sz val="11"/>
        <color theme="1"/>
        <rFont val="Avenir LT Std 55 Roman"/>
        <family val="2"/>
      </rPr>
      <t>All Scenarios</t>
    </r>
    <r>
      <rPr>
        <b/>
        <sz val="11"/>
        <color theme="1"/>
        <rFont val="Avenir LT Std 55 Roman"/>
        <family val="2"/>
      </rPr>
      <t xml:space="preserve"> Annual Vessel Visits from Infrequent Vessels Not Antici-pated to Install Shore Power</t>
    </r>
  </si>
  <si>
    <r>
      <t xml:space="preserve">10. </t>
    </r>
    <r>
      <rPr>
        <b/>
        <i/>
        <sz val="11"/>
        <color theme="1"/>
        <rFont val="Avenir LT Std 55 Roman"/>
        <family val="2"/>
      </rPr>
      <t>All Scenarios</t>
    </r>
    <r>
      <rPr>
        <b/>
        <sz val="11"/>
        <color theme="1"/>
        <rFont val="Avenir LT Std 55 Roman"/>
        <family val="2"/>
      </rPr>
      <t xml:space="preserve"> Newly Regulated Annual Vessel Visits - Adjusted for Exceptions, Commis-sioning, and Remedi-ation Fee Uses Only</t>
    </r>
  </si>
  <si>
    <t>Annual Numbers for Years 2023 - 2032</t>
  </si>
  <si>
    <r>
      <t xml:space="preserve">10. </t>
    </r>
    <r>
      <rPr>
        <b/>
        <i/>
        <sz val="11"/>
        <color theme="1"/>
        <rFont val="Avenir LT Std 55 Roman"/>
        <family val="2"/>
      </rPr>
      <t xml:space="preserve">Alt. 1 </t>
    </r>
    <r>
      <rPr>
        <b/>
        <sz val="11"/>
        <color theme="1"/>
        <rFont val="Avenir LT Std 55 Roman"/>
        <family val="2"/>
      </rPr>
      <t>All Annual Vessel Visits - Adjusted for all Exceptions, Commis-sioning TIEs, VIEs and Remedi-ation Fee Uses</t>
    </r>
  </si>
  <si>
    <r>
      <t xml:space="preserve">11. </t>
    </r>
    <r>
      <rPr>
        <b/>
        <i/>
        <sz val="11"/>
        <color theme="1"/>
        <rFont val="Avenir LT Std 55 Roman"/>
        <family val="2"/>
      </rPr>
      <t xml:space="preserve">Alt. 1 </t>
    </r>
    <r>
      <rPr>
        <b/>
        <sz val="11"/>
        <color theme="1"/>
        <rFont val="Avenir LT Std 55 Roman"/>
        <family val="2"/>
      </rPr>
      <t>All Annual Vessel Visits - Adjusted for all Exceptions, Commis-sioning TIEs, VIEs and Remedi-ation Fee Uses</t>
    </r>
  </si>
  <si>
    <r>
      <t xml:space="preserve">11. </t>
    </r>
    <r>
      <rPr>
        <b/>
        <i/>
        <sz val="11"/>
        <color theme="1"/>
        <rFont val="Avenir LT Std 55 Roman"/>
        <family val="2"/>
      </rPr>
      <t xml:space="preserve">Alt. 1 </t>
    </r>
    <r>
      <rPr>
        <b/>
        <sz val="11"/>
        <color theme="1"/>
        <rFont val="Avenir LT Std 55 Roman"/>
        <family val="2"/>
      </rPr>
      <t>All Annual Vessel Visits - Adjusted for all Exceptions, Commis-sioning, and Remedi-ation Fee Uses</t>
    </r>
  </si>
  <si>
    <r>
      <t xml:space="preserve">12. </t>
    </r>
    <r>
      <rPr>
        <b/>
        <i/>
        <sz val="11"/>
        <color theme="1"/>
        <rFont val="Avenir LT Std 55 Roman"/>
        <family val="2"/>
      </rPr>
      <t xml:space="preserve">Alt. 1 </t>
    </r>
    <r>
      <rPr>
        <b/>
        <sz val="11"/>
        <color theme="1"/>
        <rFont val="Avenir LT Std 55 Roman"/>
        <family val="2"/>
      </rPr>
      <t>All Annual Vessel Visits - Adjusted for all Exceptions, Commis-sioning, and Remedi-ation Fee Uses</t>
    </r>
  </si>
  <si>
    <t>11. Equals calculation 7.</t>
  </si>
  <si>
    <t>10. Equals calculation 7.</t>
  </si>
  <si>
    <t>11. Equals calculation 9.</t>
  </si>
  <si>
    <t>Cost per berth ($)</t>
  </si>
  <si>
    <t># barges</t>
  </si>
  <si>
    <t># systems</t>
  </si>
  <si>
    <t># berths</t>
  </si>
  <si>
    <t>Units/Basis</t>
  </si>
  <si>
    <t>Land-Based Systems - Capital</t>
  </si>
  <si>
    <t>Barge Systems - Capital</t>
  </si>
  <si>
    <t>Annual C&amp;C Barge-Based Vessel Visits - Auto/RoRo</t>
  </si>
  <si>
    <t>Annual C&amp;C Land-Based Vessel Visits - Auto/RoRo</t>
  </si>
  <si>
    <t>1. Hourly Costs</t>
  </si>
  <si>
    <t>Equations</t>
  </si>
  <si>
    <t>1. Annualized Capital Costs- Emission Treatment Systems</t>
  </si>
  <si>
    <t>2. Performance Testing</t>
  </si>
  <si>
    <t>3. Labor Costs</t>
  </si>
  <si>
    <t>4. Maintenance Costs</t>
  </si>
  <si>
    <t>6. Annualized Capital Costs- Emission Treatment Systems</t>
  </si>
  <si>
    <t>7. Annualized Capital Costs - Berth-to-Shore Piping</t>
  </si>
  <si>
    <t>2. Hourly Costs</t>
  </si>
  <si>
    <t>5. Performance Testing</t>
  </si>
  <si>
    <t>6. Labor Costs</t>
  </si>
  <si>
    <t>7. Fuel Costs</t>
  </si>
  <si>
    <t>8. Tug Costs</t>
  </si>
  <si>
    <t>Hourly cost per system ($)</t>
  </si>
  <si>
    <t>Annual cost per system ($)</t>
  </si>
  <si>
    <t>1. Land-Based Emission Treatment Systems [#] x Land-Based Emission Treatment System Cost [$] x [1 + Compounded Growth Factor [%]] x CRF [fraction]</t>
  </si>
  <si>
    <t>Emission Control Time at Berth</t>
  </si>
  <si>
    <t>Tankers (Average)</t>
  </si>
  <si>
    <t>3. Annual Vessel Visits [#] x Emission Control Duration per Visit [hr] x [1 + Compounded Growth Factor [%]] x Hourly Labor Cost per System [$]</t>
  </si>
  <si>
    <t>SUBTOTALS:</t>
  </si>
  <si>
    <t>Cost per reel ($)</t>
  </si>
  <si>
    <t>Cost per visit ($)</t>
  </si>
  <si>
    <t>Cost per berth upgrade ($)</t>
  </si>
  <si>
    <t>Cost per vessel upgrade ($)</t>
  </si>
  <si>
    <t>Compound Growth Factor - Container/Reefer</t>
  </si>
  <si>
    <t>Compound Growth Factor - Cruise</t>
  </si>
  <si>
    <t>Compound Growth Factor - Auto/RoRo</t>
  </si>
  <si>
    <t>Compound Growth Factor - Tankers</t>
  </si>
  <si>
    <t>1. SP Berth Retrofit Capital Costs</t>
  </si>
  <si>
    <t>Annual Growth Factors</t>
  </si>
  <si>
    <t>2. SP Berth Retrofit Capital Costs</t>
  </si>
  <si>
    <t>3. SP Berth Retrofit Maintenance Costs</t>
  </si>
  <si>
    <t>4. SP Berth Retrofit Maintenance Costs</t>
  </si>
  <si>
    <t>Annual Cost per berth upgrade ($)</t>
  </si>
  <si>
    <t>Annual Cost per vessel upgrade ($)</t>
  </si>
  <si>
    <t>Berth Retrofits</t>
  </si>
  <si>
    <t>Year Construction Starts</t>
  </si>
  <si>
    <t>Year Maintenance Starts</t>
  </si>
  <si>
    <t>Terminal Cable Reels</t>
  </si>
  <si>
    <t>Shore Power Vaults</t>
  </si>
  <si>
    <t>n/a</t>
  </si>
  <si>
    <t># New Vaults Required for New Regulation</t>
  </si>
  <si>
    <t>Berth Retrofits - Auto/ RoRo</t>
  </si>
  <si>
    <t>5. Additional SP Vault Costs</t>
  </si>
  <si>
    <t>6. Additional SP Vault Costs</t>
  </si>
  <si>
    <t>7. Terminal Cable Reel Costs</t>
  </si>
  <si>
    <t>Cost per new vault ($)</t>
  </si>
  <si>
    <t>Alt. 1</t>
  </si>
  <si>
    <t>Costs (All Adjusted for Annual Growth)
All Scenarios for Container/Reefer and Cruise Vessels</t>
  </si>
  <si>
    <t>Costs (All Adjusted for Annual Growth)
Alternative 1 for Auto/RoRo and Tanker Vessels</t>
  </si>
  <si>
    <t>Annual Numbers for Year 2025</t>
  </si>
  <si>
    <t>Annual Numbers for Years 2026 - 2032</t>
  </si>
  <si>
    <t>Annual Numbers for Year 2027</t>
  </si>
  <si>
    <t>Annual Numbers for Years 2028 - 2032</t>
  </si>
  <si>
    <t>SP Berth Retrofit, New Vaults, and Cable Reel Capital Costs</t>
  </si>
  <si>
    <t>Costs by Vessel Type - Alternative 1</t>
  </si>
  <si>
    <t>CALCULATIONS:</t>
  </si>
  <si>
    <t>INPUTS:</t>
  </si>
  <si>
    <t>Number of Vessel SP Retrofits - Alt. 1</t>
  </si>
  <si>
    <t>SP Vessel Retrofit Capital Costs</t>
  </si>
  <si>
    <t>SP Vessel Retrofit Maintenance Costs</t>
  </si>
  <si>
    <t>1. Shore Power Vessel Retrofit Capital Costs
(Incurred by Vessel Operators)</t>
  </si>
  <si>
    <t>2. Shore Power Vessel Retrofit Maintenance Costs
(Incurred by Vessel Operators)</t>
  </si>
  <si>
    <t>Cost Apportionment - SP Labor</t>
  </si>
  <si>
    <t>Duration of Emission Control At Berth</t>
  </si>
  <si>
    <t>Vessel Auxiliary Engine Effective Power</t>
  </si>
  <si>
    <t>Average Tanker Vessel Power (Aux. Engines)</t>
  </si>
  <si>
    <t>Fuel Consumption/LCFS</t>
  </si>
  <si>
    <t>Auxiliary Engine Fuel Consumption</t>
  </si>
  <si>
    <t>Brake-Specific Fuel Consumption</t>
  </si>
  <si>
    <t>% LCFS Credits Claimed</t>
  </si>
  <si>
    <t>Projected Electricity Rates</t>
  </si>
  <si>
    <t>Projected MGO Fuel Prices</t>
  </si>
  <si>
    <t>1. Shore Power Electricity Costs</t>
  </si>
  <si>
    <t>2. Shore Power Labor Costs</t>
  </si>
  <si>
    <t>3. Shore Power Labor Costs</t>
  </si>
  <si>
    <t>4. Shore Power Fuel Savings</t>
  </si>
  <si>
    <t>5. LCFS Credit Value</t>
  </si>
  <si>
    <t>Cost Savings (All Adjusted for Annual Growth) Alternative 1</t>
  </si>
  <si>
    <t>2021-2022</t>
  </si>
  <si>
    <t>2023-2032</t>
  </si>
  <si>
    <t>Annual Vessel Visit Counts for Shore Power Labor</t>
  </si>
  <si>
    <t>Annual Vessel Visit Counts for Shore Power Energy</t>
  </si>
  <si>
    <t>Labor Cost</t>
  </si>
  <si>
    <t>hours/visit</t>
  </si>
  <si>
    <t>kW/vessel</t>
  </si>
  <si>
    <t>2026-2032</t>
  </si>
  <si>
    <t>2028-2032</t>
  </si>
  <si>
    <t>2030-2032</t>
  </si>
  <si>
    <t>Years:</t>
  </si>
  <si>
    <t>SP Electricity Costs</t>
  </si>
  <si>
    <t>SP Labor Costs</t>
  </si>
  <si>
    <t>SP Fuel Savings</t>
  </si>
  <si>
    <t>SP LCFS Credit Value</t>
  </si>
  <si>
    <t>Costs (All Adjusted for Annual Growth) Alternative 1</t>
  </si>
  <si>
    <t>Costs (All Adjusted for Annual Growth) Alternative 2</t>
  </si>
  <si>
    <t>Cost Savings (All Adjusted for Annual Growth) Alt. 1</t>
  </si>
  <si>
    <t>Cost Savings by Vessel Type - Alternative 1</t>
  </si>
  <si>
    <t>All Tankers</t>
  </si>
  <si>
    <t>*Under Alternative 2, no costs are incurred for Auto/RoRo.</t>
  </si>
  <si>
    <t>Projected LCFS Credit Value</t>
  </si>
  <si>
    <t>Annual Electricity and Fuel Inputs</t>
  </si>
  <si>
    <t>Remediation Fee</t>
  </si>
  <si>
    <t>Vessel Hourly Fee*</t>
  </si>
  <si>
    <t>Terminal Hourly Fee*</t>
  </si>
  <si>
    <t>*Based on Cost-Effectiveness of $100,000 per weighted ton of emissions</t>
  </si>
  <si>
    <t>Annual Vessel Visits Subject to Remediation Fee
Terminal Upgrades/Construction</t>
  </si>
  <si>
    <t>Annual Vessel Visits Subject to Remediation Fee
Vessel Control Equipment Repair</t>
  </si>
  <si>
    <t>Remediation Fee Costs - Terminal Upgrades/Construction
(All Adjusted for Annual Growth)
All Scenarios</t>
  </si>
  <si>
    <t>Remediation Fee Costs - Vessel Control Equipment Repair
(All Adjusted for Annual Growth)
All Scenarios</t>
  </si>
  <si>
    <t>Costs by Vessel Type - All Scenarios</t>
  </si>
  <si>
    <t>Costs - All Scenarios</t>
  </si>
  <si>
    <t>Remediation Fee Costs - Terminal</t>
  </si>
  <si>
    <t>Remediation Fee Costs - Vessel</t>
  </si>
  <si>
    <t>Annual estimated exceptions, Terminal Incident Events (TIEs) Vessel Incident Events (VIEs), remediation fee visits, and remediation fee amounts</t>
  </si>
  <si>
    <t>Total annual vessel visits by vessel type, and vessel visits adjusted for exceptions, TIEs, and remediation fee visits</t>
  </si>
  <si>
    <t>Calculations</t>
  </si>
  <si>
    <t>SP Berth Retrofit</t>
  </si>
  <si>
    <t>SP Vessel Retrofit</t>
  </si>
  <si>
    <t>Alt. 1 Only</t>
  </si>
  <si>
    <t>Year Begin Berth Infra-structure Construc-tion</t>
  </si>
  <si>
    <t>[B] Includes all tanker vessels that visited California in 2017 based on CSLC data.</t>
  </si>
  <si>
    <r>
      <t>All Scenarios</t>
    </r>
    <r>
      <rPr>
        <b/>
        <vertAlign val="superscript"/>
        <sz val="11"/>
        <color theme="1"/>
        <rFont val="Avenir LT Std 55 Roman"/>
        <family val="2"/>
      </rPr>
      <t>[C]</t>
    </r>
  </si>
  <si>
    <r>
      <t># New Shoreside Cable Reels</t>
    </r>
    <r>
      <rPr>
        <b/>
        <vertAlign val="superscript"/>
        <sz val="11"/>
        <color theme="1"/>
        <rFont val="Avenir LT Std 55 Roman"/>
        <family val="2"/>
      </rPr>
      <t>[D]</t>
    </r>
  </si>
  <si>
    <r>
      <t># Berth Infra-structure Projects for Land-Based C&amp;C</t>
    </r>
    <r>
      <rPr>
        <b/>
        <vertAlign val="superscript"/>
        <sz val="11"/>
        <rFont val="Avenir LT Std 55 Roman"/>
        <family val="2"/>
      </rPr>
      <t>[E]</t>
    </r>
  </si>
  <si>
    <t>[D] No shoreside cable reels assumed because Staff assumes original infrastructure design will maximize shore power flexibility.</t>
  </si>
  <si>
    <t>Year Begin Construction, Proposed Regulation and Alternative 2</t>
  </si>
  <si>
    <t>Year Begin Construction, Alternative 1</t>
  </si>
  <si>
    <r>
      <t>All Scenarios</t>
    </r>
    <r>
      <rPr>
        <b/>
        <vertAlign val="superscript"/>
        <sz val="11"/>
        <color theme="1"/>
        <rFont val="Avenir LT Std 55 Roman"/>
        <family val="2"/>
      </rPr>
      <t>[B]</t>
    </r>
  </si>
  <si>
    <r>
      <t># Additional Unique Vessels that would Install SP due to New Regulation</t>
    </r>
    <r>
      <rPr>
        <b/>
        <vertAlign val="superscript"/>
        <sz val="11"/>
        <color theme="1"/>
        <rFont val="Avenir LT Std 55 Roman"/>
        <family val="2"/>
      </rPr>
      <t>[A]</t>
    </r>
  </si>
  <si>
    <r>
      <t>All Scenarios</t>
    </r>
    <r>
      <rPr>
        <b/>
        <vertAlign val="superscript"/>
        <sz val="11"/>
        <color theme="1"/>
        <rFont val="Avenir LT Std 55 Roman"/>
        <family val="2"/>
      </rPr>
      <t>[</t>
    </r>
    <r>
      <rPr>
        <vertAlign val="superscript"/>
        <sz val="11"/>
        <color theme="1"/>
        <rFont val="Avenir LT Std 55 Roman"/>
        <family val="2"/>
      </rPr>
      <t>B]</t>
    </r>
  </si>
  <si>
    <t>[A] Assumptions:</t>
  </si>
  <si>
    <r>
      <t># Berth SP Retrofits Required for New Regulation</t>
    </r>
    <r>
      <rPr>
        <b/>
        <vertAlign val="superscript"/>
        <sz val="11"/>
        <rFont val="Avenir LT Std 55 Roman"/>
        <family val="2"/>
      </rPr>
      <t>[C]</t>
    </r>
  </si>
  <si>
    <r>
      <t># New Vaults Required for New Regulation</t>
    </r>
    <r>
      <rPr>
        <b/>
        <vertAlign val="superscript"/>
        <sz val="11"/>
        <rFont val="Avenir LT Std 55 Roman"/>
        <family val="2"/>
      </rPr>
      <t>[D]</t>
    </r>
  </si>
  <si>
    <t>Land-Based Emission Treatment Systems - Auto/RoRo Vessels</t>
  </si>
  <si>
    <t>Position</t>
  </si>
  <si>
    <t>Number of Positions</t>
  </si>
  <si>
    <t>Year Hired</t>
  </si>
  <si>
    <t>Cost
Year 1</t>
  </si>
  <si>
    <t>Air Pollution Specialist (Range C) - Enforcement</t>
  </si>
  <si>
    <t>Air Resources Engineer (Range D) - TTD</t>
  </si>
  <si>
    <t>Cost 
Subsequent</t>
  </si>
  <si>
    <t>Agency</t>
  </si>
  <si>
    <t>California State Lands Commission</t>
  </si>
  <si>
    <t>Other State and Local Agencies (combined)</t>
  </si>
  <si>
    <t>Year(s) of Approval(s)</t>
  </si>
  <si>
    <t># of Approvals</t>
  </si>
  <si>
    <t>Container/Reefer Vessels</t>
  </si>
  <si>
    <t>Auto/RoRo Vessels</t>
  </si>
  <si>
    <t>2019 - 2020</t>
  </si>
  <si>
    <t>2023 - 2024</t>
  </si>
  <si>
    <t>2025 - 2026</t>
  </si>
  <si>
    <t>2027 - 2028</t>
  </si>
  <si>
    <t>8. Annualized Capital Costs - Loading Arm</t>
  </si>
  <si>
    <t>Number of Annual Terminal Reports - Container/Reefer</t>
  </si>
  <si>
    <t>Number of Annual Terminal Reports - Cruise</t>
  </si>
  <si>
    <t>Number of Annual Terminal Reports - Auto/RoRo</t>
  </si>
  <si>
    <t>Number of Annual Vessel Reports - Container/Reefer</t>
  </si>
  <si>
    <t>Number of Annual Vessel Reports - Cruise</t>
  </si>
  <si>
    <t>Number of Annual Vessel Reports - Auto/RoRo</t>
  </si>
  <si>
    <t>All Scenarios</t>
  </si>
  <si>
    <t>Number of CARB PY - APS Range C (Enforcement) 1st Yr</t>
  </si>
  <si>
    <t>Number of CARB PY - ARE Range D (TTD) 1st Yr</t>
  </si>
  <si>
    <t>Number of CARB PY - APS Range C (Enforcement) subsequent</t>
  </si>
  <si>
    <t>Number of CARB PY - ARE Range D (TTD) subsequent</t>
  </si>
  <si>
    <t>Number of Other Agency PY - 1st Yr</t>
  </si>
  <si>
    <t>State and Local Agencies</t>
  </si>
  <si>
    <t>Cost per CARB PY - APS Range C (Enforcement) Cost - 1st Yr</t>
  </si>
  <si>
    <t>Cost per CARB PY - APS Range C (Enforcement) Cost - subsequent</t>
  </si>
  <si>
    <t>Cost per CARB PY - ARE Range D (TTD) Cost -1st Yr</t>
  </si>
  <si>
    <t>Cost per CARB PY - ARE Range D (TTD) Cost - subsequent</t>
  </si>
  <si>
    <t>Cost per Other Agency PY - 1st Yr</t>
  </si>
  <si>
    <t>Cost per Other Agency PY - subsequent</t>
  </si>
  <si>
    <t>Terminal Report Cost</t>
  </si>
  <si>
    <t>Vessel Report Cost</t>
  </si>
  <si>
    <t>Cost per CSLC PY - 1st Yr</t>
  </si>
  <si>
    <t>Cost per CSLC PY - subsequent</t>
  </si>
  <si>
    <t>Number of CSLC PY - 1st Yr</t>
  </si>
  <si>
    <t>Number of CSLC PY - subsequent</t>
  </si>
  <si>
    <t>Number of Other Agency PY - subsequent</t>
  </si>
  <si>
    <t>Costs (All Adjusted for Annual Growth)
All Scenarios*</t>
  </si>
  <si>
    <t>Auto/RoRo*</t>
  </si>
  <si>
    <t>Vessel Category</t>
  </si>
  <si>
    <t>Fraction of Total Vessel Visits</t>
  </si>
  <si>
    <t>Vessel Visits Alternative 2</t>
  </si>
  <si>
    <t>Compound Growth Factor Weighted by Vessel Type</t>
  </si>
  <si>
    <t>Alt. 2</t>
  </si>
  <si>
    <t>PY Costs - Alt. 2</t>
  </si>
  <si>
    <t>1. Cost of Port Plans</t>
  </si>
  <si>
    <t>2. Cost of Terminal Plans</t>
  </si>
  <si>
    <t>3. Cost of Terminal Reporting</t>
  </si>
  <si>
    <t>4. Cost of Vessel Reporting</t>
  </si>
  <si>
    <t>5. Cost for all new CARB PYs</t>
  </si>
  <si>
    <t>6. Cost for other agency PYs</t>
  </si>
  <si>
    <t>Costs by Vessel Type - All Scenarios*</t>
  </si>
  <si>
    <t>Original Input</t>
  </si>
  <si>
    <t>Calculation</t>
  </si>
  <si>
    <t>Tankers (all)</t>
  </si>
  <si>
    <t>Total Annual Vessel Visits</t>
  </si>
  <si>
    <t>Fraction Vessel Visits</t>
  </si>
  <si>
    <t>Value linked from another cell or tab</t>
  </si>
  <si>
    <r>
      <t xml:space="preserve">Auxiliary Engine Effective Power Values (kW/hr) and </t>
    </r>
    <r>
      <rPr>
        <b/>
        <sz val="12"/>
        <rFont val="Avenir LT Std 55 Roman"/>
        <family val="2"/>
      </rPr>
      <t>Duration of Emission Control At Berth</t>
    </r>
  </si>
  <si>
    <t xml:space="preserve"> </t>
  </si>
  <si>
    <t>Tug hours per vessel visit</t>
  </si>
  <si>
    <t>Daily cost per vessel visit</t>
  </si>
  <si>
    <t>9. Spacer Barge Costs</t>
  </si>
  <si>
    <t>10. Maintenance Costs</t>
  </si>
  <si>
    <t>11. Water Recycling Costs</t>
  </si>
  <si>
    <t>Weighted Average Growth Factors for Technology Approvals</t>
  </si>
  <si>
    <t>Barge-Based Capture-and-Control</t>
  </si>
  <si>
    <t>Land-Based Capture-and-Control</t>
  </si>
  <si>
    <t>3. Annualized Capital Costs, Container/Reefer</t>
  </si>
  <si>
    <t>3. Annualized Capital Costs, Auto/RoRo</t>
  </si>
  <si>
    <t>4. CARB Technology Approvals, Container/Reefer</t>
  </si>
  <si>
    <t>4. CARB Technology Approvals, Auto/RoRo</t>
  </si>
  <si>
    <t>3. # Barges [#] x Capital Cost per Barge [$] x CRF [fraction] x [1 + Compounded Growth Factor [fraction]]</t>
  </si>
  <si>
    <t>1. Annual C&amp;C Barge-Based Vessel Visits [#] x Emission Control Duration per Visit [hr] x Hourly Fee [$/hr] x [1 + Compounded Growth Factor [fraction]]</t>
  </si>
  <si>
    <t>2. Annual C&amp;C Barge-Based Vessel Visits [#] x Emission Control Duration per Visit [hr] x Hourly Fee [$/hr] x [1 + Compounded Growth Factor [fraction]]</t>
  </si>
  <si>
    <r>
      <t xml:space="preserve">7. Fuel Cost per Barge [$/hr] x </t>
    </r>
    <r>
      <rPr>
        <sz val="11"/>
        <color rgb="FF0070C0"/>
        <rFont val="Calibri"/>
        <family val="2"/>
      </rPr>
      <t>Σ</t>
    </r>
    <r>
      <rPr>
        <i/>
        <sz val="11"/>
        <color rgb="FF0070C0"/>
        <rFont val="Avenir LT Std 55 Roman"/>
        <family val="2"/>
      </rPr>
      <t>[Annual Vessel Visits [#] x Vessel Visit Duration [hr] x [1 + Compounded Growth Factor [fraction]]], vessel type</t>
    </r>
  </si>
  <si>
    <t>6. Labor Cost per Barge [$/hr] x Σ[Annual Vessel Visits [#] x Vessel Visit Duration [hr] x [1 + Compounded Growth Factor [fraction]]], vessel type</t>
  </si>
  <si>
    <r>
      <t xml:space="preserve">5. Annual Performance Testing Cost [$] x </t>
    </r>
    <r>
      <rPr>
        <sz val="11"/>
        <color rgb="FF0070C0"/>
        <rFont val="Calibri"/>
        <family val="2"/>
      </rPr>
      <t>Σ</t>
    </r>
    <r>
      <rPr>
        <i/>
        <sz val="11"/>
        <color rgb="FF0070C0"/>
        <rFont val="Avenir LT Std 55 Roman"/>
        <family val="2"/>
      </rPr>
      <t>[# Barges [#] x [1 + Compounded Growth Factor [fraction]]], vessel type</t>
    </r>
  </si>
  <si>
    <r>
      <t xml:space="preserve">4. Cost per Approval [$] x </t>
    </r>
    <r>
      <rPr>
        <sz val="11"/>
        <color rgb="FF0070C0"/>
        <rFont val="Calibri"/>
        <family val="2"/>
      </rPr>
      <t>Σ</t>
    </r>
    <r>
      <rPr>
        <i/>
        <sz val="11"/>
        <color rgb="FF0070C0"/>
        <rFont val="Avenir LT Std 55 Roman"/>
        <family val="2"/>
      </rPr>
      <t>[# Approvals [#] x [1 + Compounded Growth Factor [fraction]]], vessel type</t>
    </r>
  </si>
  <si>
    <r>
      <t xml:space="preserve">8. Tug Cost [$/hr] x Tug-Hours per Vessel Visit [hr] x </t>
    </r>
    <r>
      <rPr>
        <sz val="11"/>
        <color rgb="FF0070C0"/>
        <rFont val="Calibri"/>
        <family val="2"/>
      </rPr>
      <t>Σ</t>
    </r>
    <r>
      <rPr>
        <i/>
        <sz val="11"/>
        <color rgb="FF0070C0"/>
        <rFont val="Avenir LT Std 55 Roman"/>
        <family val="2"/>
      </rPr>
      <t>[Annual Vessel Visits [#] x [1 + Compounded Growth Factor [fraction]]], vessel type</t>
    </r>
  </si>
  <si>
    <r>
      <t xml:space="preserve">9. Spacer Barge Cost [$/day] x </t>
    </r>
    <r>
      <rPr>
        <sz val="11"/>
        <color rgb="FF0070C0"/>
        <rFont val="Calibri"/>
        <family val="2"/>
      </rPr>
      <t>Σ</t>
    </r>
    <r>
      <rPr>
        <i/>
        <sz val="11"/>
        <color rgb="FF0070C0"/>
        <rFont val="Avenir LT Std 55 Roman"/>
        <family val="2"/>
      </rPr>
      <t>[Annual Vessel Visits [#] x Vessel Visit Duration [hr] / 24 [hr/day] x [1 + Compounded Growth Factor [fraction]]], vessel type</t>
    </r>
  </si>
  <si>
    <r>
      <t xml:space="preserve">10. Annual Maintenance Cost per Barge [$] x </t>
    </r>
    <r>
      <rPr>
        <sz val="11"/>
        <color rgb="FF0070C0"/>
        <rFont val="Calibri"/>
        <family val="2"/>
      </rPr>
      <t>Σ</t>
    </r>
    <r>
      <rPr>
        <i/>
        <sz val="11"/>
        <color rgb="FF0070C0"/>
        <rFont val="Avenir LT Std 55 Roman"/>
        <family val="2"/>
      </rPr>
      <t>[# Barges [#] x [1 + Compounded Growth Factor [fraction]]], vessel type</t>
    </r>
  </si>
  <si>
    <r>
      <t xml:space="preserve">11. Annual Water Recycling Cost per Barge [$] x </t>
    </r>
    <r>
      <rPr>
        <sz val="11"/>
        <color rgb="FF0070C0"/>
        <rFont val="Calibri"/>
        <family val="2"/>
      </rPr>
      <t>Σ</t>
    </r>
    <r>
      <rPr>
        <i/>
        <sz val="11"/>
        <color rgb="FF0070C0"/>
        <rFont val="Avenir LT Std 55 Roman"/>
        <family val="2"/>
      </rPr>
      <t>[# Barges [#] x [1 + Compounded Growth Factor [fraction]]], vessel type</t>
    </r>
  </si>
  <si>
    <t xml:space="preserve">     After 10 years, cost is multiplied by factor of 50 percent to account for repairs and replacement of parts.</t>
  </si>
  <si>
    <t>5. Operational Costs</t>
  </si>
  <si>
    <t>4. Land-Based Emission Treatment Systems [#] x Annual Maintenance Cost per System [$] x [1 + Compounded Growth Factor [fraction]</t>
  </si>
  <si>
    <t>2. Land-Based Emission Treatment Systems [#] x Annual Performance Testing Cost per System [$] x [1 + Compounded Growth Factor [fraction]</t>
  </si>
  <si>
    <t>6. Land-Based Emission Treatment Systems [#] x Land-Based Emission Treatment System Cost [$] x [1 + Compounded Growth Factor [fraction]] x CRF [fraction]</t>
  </si>
  <si>
    <t>7. Berth-to-Shore Piping Systems [#] x Berth-to-Shore Piping System Cost [$] x [1 + Compounded Growth Factor [fraction]] x CRF [fraction]</t>
  </si>
  <si>
    <t>8. Loading Arms [#] x Cost per Loading Arm [$] x CRF [fraction] x [1 + Compounded Growth Factor [fraction]]</t>
  </si>
  <si>
    <t>Formatting Legend</t>
  </si>
  <si>
    <t xml:space="preserve">     After 20 years, cost is multiplied by factor of 50 percent to account for repairs and replacement of parts (only relevant if costs are calculated past 2039)</t>
  </si>
  <si>
    <t>Remediation</t>
  </si>
  <si>
    <t>Annual reporting and plan development costs, CARB PY costs, and other agency PY costs</t>
  </si>
  <si>
    <t>Remediation fee costs</t>
  </si>
  <si>
    <t>Engine effective power values, duration of emission control, electricity and fuel cost projections and LCFS credit value projections</t>
  </si>
  <si>
    <t>Inputs for capture and control system and infrastructure costs, shore power infrastructure costs, and administrative costs</t>
  </si>
  <si>
    <t>Feasibility Study Cost</t>
  </si>
  <si>
    <t>Engineering and Permitting Costs (Combined)</t>
  </si>
  <si>
    <t>per berth</t>
  </si>
  <si>
    <t>Feasibility, Engineering and Permitting Costs for Tanker Terminal Capture and Control Projects</t>
  </si>
  <si>
    <t>In 2017, there were 17 instances of terminal or port construction preventing shore power connection, out of 3,424 vessel visits from vessels that were shore power equipped.</t>
  </si>
  <si>
    <t xml:space="preserve">[E] Based on # of berths, since costs are estimated on a per-berth basis to account for scaled-up systems where more capacity is required. </t>
  </si>
  <si>
    <t>PERCENT OF VISITS TO A TERMINAL CATEGORIZED AS A SAFETY/EMERGENCY EXCEPTION*</t>
  </si>
  <si>
    <t>PERCENT OF VISITS TO A TERMINAL CATEGORIZED AS A COMMISSIONING EXCEPTION*</t>
  </si>
  <si>
    <t>Land-Based Capture and Control System Labor Costs</t>
  </si>
  <si>
    <t>Land-Based Capture and Control System Feasibility Study Costs</t>
  </si>
  <si>
    <t>Land-Based Capture and Control System Engineering &amp; Permitting Costs</t>
  </si>
  <si>
    <t>Land-Based Capture and Control Operational Costs</t>
  </si>
  <si>
    <t>Total 
2019 - 2032</t>
  </si>
  <si>
    <t>% of Total</t>
  </si>
  <si>
    <r>
      <t>Barge System Capital Cost</t>
    </r>
    <r>
      <rPr>
        <vertAlign val="superscript"/>
        <sz val="11"/>
        <color theme="1"/>
        <rFont val="Avenir LT Std 55 Roman"/>
        <family val="2"/>
      </rPr>
      <t>[A]</t>
    </r>
  </si>
  <si>
    <r>
      <t>Shore Power Cost for Additional Vault - Container/Reefer Berths</t>
    </r>
    <r>
      <rPr>
        <vertAlign val="superscript"/>
        <sz val="11"/>
        <color theme="1"/>
        <rFont val="Avenir LT Std 55 Roman"/>
        <family val="2"/>
      </rPr>
      <t>[A]</t>
    </r>
  </si>
  <si>
    <r>
      <t>Shore Power Infrastructure Repair Costs after 20 Years</t>
    </r>
    <r>
      <rPr>
        <vertAlign val="superscript"/>
        <sz val="11"/>
        <color theme="1"/>
        <rFont val="Avenir LT Std 55 Roman"/>
        <family val="2"/>
      </rPr>
      <t>[C]</t>
    </r>
  </si>
  <si>
    <r>
      <t xml:space="preserve">Land-Based Emission Treatment System Cost - Auto/RoRo Terminals </t>
    </r>
    <r>
      <rPr>
        <vertAlign val="superscript"/>
        <sz val="11"/>
        <color theme="1"/>
        <rFont val="Avenir LT Std 55 Roman"/>
        <family val="2"/>
      </rPr>
      <t>[A]</t>
    </r>
  </si>
  <si>
    <r>
      <t xml:space="preserve">Land-Based Emission Treatment System Cost - Tanker Terminals </t>
    </r>
    <r>
      <rPr>
        <vertAlign val="superscript"/>
        <sz val="11"/>
        <color theme="1"/>
        <rFont val="Avenir LT Std 55 Roman"/>
        <family val="2"/>
      </rPr>
      <t>[B]</t>
    </r>
  </si>
  <si>
    <r>
      <t xml:space="preserve">Terminal Infrastructure (Berth to Shore Shoreside Piping) Capital Cost - Tanker Terminals </t>
    </r>
    <r>
      <rPr>
        <vertAlign val="superscript"/>
        <sz val="11"/>
        <color theme="1"/>
        <rFont val="Avenir LT Std 55 Roman"/>
        <family val="2"/>
      </rPr>
      <t>[B]</t>
    </r>
  </si>
  <si>
    <r>
      <t xml:space="preserve">Timing of Capture and Control Technology CARB Approvals </t>
    </r>
    <r>
      <rPr>
        <b/>
        <vertAlign val="superscript"/>
        <sz val="12"/>
        <color theme="1"/>
        <rFont val="Avenir LT Std 55 Roman"/>
        <family val="2"/>
      </rPr>
      <t>[A]</t>
    </r>
  </si>
  <si>
    <r>
      <t xml:space="preserve">10. </t>
    </r>
    <r>
      <rPr>
        <b/>
        <i/>
        <sz val="11"/>
        <color theme="1"/>
        <rFont val="Avenir LT Std 55 Roman"/>
        <family val="2"/>
      </rPr>
      <t xml:space="preserve">Alt. 1 </t>
    </r>
    <r>
      <rPr>
        <b/>
        <sz val="11"/>
        <color theme="1"/>
        <rFont val="Avenir LT Std 55 Roman"/>
        <family val="2"/>
      </rPr>
      <t>Newly Regulated Annual Vessel Visits - Adjusted for non-SP vessels, all Exceptions, Commis-sioning TIEs, VIEs and Remedi-ation Fee Uses</t>
    </r>
  </si>
  <si>
    <t>[A] Staff assumption on number and timing of technology approvals, assume one per vessel type</t>
  </si>
  <si>
    <t>8. Annualized Capital Costs - Loading Arm Crane</t>
  </si>
  <si>
    <t>Cost parameter not summed into total annualized cost</t>
  </si>
  <si>
    <r>
      <t xml:space="preserve">12. </t>
    </r>
    <r>
      <rPr>
        <b/>
        <i/>
        <sz val="11"/>
        <color theme="1"/>
        <rFont val="Avenir LT Std 55 Roman"/>
        <family val="2"/>
      </rPr>
      <t>Alt. 1</t>
    </r>
    <r>
      <rPr>
        <b/>
        <sz val="11"/>
        <color theme="1"/>
        <rFont val="Avenir LT Std 55 Roman"/>
        <family val="2"/>
      </rPr>
      <t xml:space="preserve"> Newly Regulated Annual Vessel Visits - Adjusted for non-SP vessels, Exceptions, Commis-sioning, and Remedi-ation Fee Uses Only</t>
    </r>
  </si>
  <si>
    <t>11. Input B. [#] - Input C. [#] - Sum of calculations 1., 2., 5. and 6. [#] (Note if result is a negative # of vessel visits, then result is set to zero)</t>
  </si>
  <si>
    <t>12. Input B. [#] - Input D. [#] - Sum of calculations 1., 2., 5. and 6. [#] (Note if result is a negative # of vessel visits, then result is set to zero)</t>
  </si>
  <si>
    <t>9. Input B. [#] - Input C. [#] - Sum of calculations 1. through 6. [#] (Note if result is a negative # of vessel visits, then result is set equal to zero)</t>
  </si>
  <si>
    <t>10. Input B. [#] - Input D. [#] - Sum of calculations 1. through 6. [#] (Note if result is a negative # of vessel visits, then result is set equal to zero)</t>
  </si>
  <si>
    <t xml:space="preserve">1. Input A. [#] x Exception Rate [%] </t>
  </si>
  <si>
    <t xml:space="preserve">2. Input A. [#] x Exception Rate [%] </t>
  </si>
  <si>
    <t>3. Input A. [#] x TIE Rate [%]</t>
  </si>
  <si>
    <t>4. Input A. [#] x VIE Rate [%]</t>
  </si>
  <si>
    <t>7. Input A. [#] - Sum of calculations 1. through 6. [#]</t>
  </si>
  <si>
    <t>8. [Input A. [#] - Calculation 7.[#]] / [Input A. [#]]</t>
  </si>
  <si>
    <t>B. Values from Staff Berth Analysis</t>
  </si>
  <si>
    <t>A. Includes all vessel visits controlled under the proposed Regulation, including those controlled under the existing At Berth Regulation. Values from Staff Berth Analysis.</t>
  </si>
  <si>
    <t>9. Input B. [#] - Sum of calculations 1. through 6. [#] (Note if result is a negative # of vessel visits, then result is set equal to zero)</t>
  </si>
  <si>
    <t>A. Includes all vessel visits controlled under the proposed Regulation. Values from Staff Berth Analysis.</t>
  </si>
  <si>
    <t>8. [Input A.s [#] - Calculation 7.[#]] / [Input A. [#]]</t>
  </si>
  <si>
    <t>12. Input A. [#] - Sum of calculations 1., 2., 5. and 6. [#]</t>
  </si>
  <si>
    <t>C. Staff anticipates all non-SP-capable cruise vessels would install shore power.</t>
  </si>
  <si>
    <t>B. Includes vessel visits from fleets that are unregulated under the existing At-Berth Regulation, plus additional vessel visits conducted by non-SP-capable vessels from currently regulated fleets, according to the filters described on the "Berths, Terminals, Vessels" tab. Values from Staff Berth Analysis.</t>
  </si>
  <si>
    <t>9. Equals Input A. [#] - Sum of calculations 1., 2., 5. and 6. [#]</t>
  </si>
  <si>
    <t>8. [Input A.[#] - Calculation 7.[#]] / [Input A. [#]]</t>
  </si>
  <si>
    <t>[B] Estimate from Port of San Francisco staff received 5/1/19</t>
  </si>
  <si>
    <t xml:space="preserve">     Note that these do not match the total land-based systems identified in the Berth Analysis since this cost analysis applies a per-berth cost to these values.</t>
  </si>
  <si>
    <t>CRF (5%, 20 years) for land-side equipment</t>
  </si>
  <si>
    <t>5. Input A. [#] x Remediation Fee Visit Rate - Terminal Issues [%]</t>
  </si>
  <si>
    <t>6. Input A. [#] x Remediation Fee Visit Rate - Vessel Issues [%]</t>
  </si>
  <si>
    <t>5. Annual Vessel Visits [#] x Emission Control Duration per Visit [hr] x Hourly Operating Costs [$/hr] x [1 + Compounded Growth Factor [fraction]]</t>
  </si>
  <si>
    <t>Shore Power Infrastructure by Port/Area IMTs - ALT. 1</t>
  </si>
  <si>
    <t>Terminal and berth counts by port/Area IMTs, anticipated infrastructure needs, and unique vessel counts</t>
  </si>
  <si>
    <t>Control Measure for Ocean-Going Vessels Operating At Berth</t>
  </si>
  <si>
    <t>Barge-based and land-based capture and control system capital costs, operating costs, CARB approval costs, hourly fee costs, and feasibility, engineering and permitting costs</t>
  </si>
  <si>
    <t>Draft Regulation</t>
  </si>
  <si>
    <t>Compound Growth Factors Weighted by Vessel Visits - Draft Regulation and Alternative 1</t>
  </si>
  <si>
    <t>Vessel Visits Draft Reg./Alt. 1</t>
  </si>
  <si>
    <t>DRAFT REGULATION AND ALTERNATIVE 2</t>
  </si>
  <si>
    <t>[B] Terminal, berth, retrofit, vault, reel, and C&amp;C system counts from Staff Berth Analysis</t>
  </si>
  <si>
    <t>[B] Terminal, berth, retrofit, vault and reel counts from Staff Berth Analysis.</t>
  </si>
  <si>
    <t>[A] Assumes that all vessels that visited California in 2017 (CSLC data) one or more times that do not currently have shore power would install it due to the new regulation.</t>
  </si>
  <si>
    <t>[B] Terminal, berth, C&amp;C system and infrastructure project counts from Staff Berth Analysis.</t>
  </si>
  <si>
    <t>[C] Terminal and berth counts from Staff Berth Analysis.</t>
  </si>
  <si>
    <r>
      <t># of Berths with Land-Based Capture &amp; Control Systems</t>
    </r>
    <r>
      <rPr>
        <b/>
        <vertAlign val="superscript"/>
        <sz val="11"/>
        <color theme="1"/>
        <rFont val="Avenir LT Std 55 Roman"/>
        <family val="2"/>
      </rPr>
      <t>[E]</t>
    </r>
  </si>
  <si>
    <t>Draft Reg./Alternative 2</t>
  </si>
  <si>
    <r>
      <t>Draft Regulation and Alternative 2</t>
    </r>
    <r>
      <rPr>
        <b/>
        <vertAlign val="superscript"/>
        <sz val="11"/>
        <color theme="1"/>
        <rFont val="Avenir LT Std 55 Roman"/>
        <family val="2"/>
      </rPr>
      <t>[B]</t>
    </r>
  </si>
  <si>
    <r>
      <t xml:space="preserve">9. </t>
    </r>
    <r>
      <rPr>
        <b/>
        <i/>
        <sz val="11"/>
        <color theme="1"/>
        <rFont val="Avenir LT Std 55 Roman"/>
        <family val="2"/>
      </rPr>
      <t xml:space="preserve">Draft Reg. &amp; Alt. 2 </t>
    </r>
    <r>
      <rPr>
        <b/>
        <sz val="11"/>
        <color theme="1"/>
        <rFont val="Avenir LT Std 55 Roman"/>
        <family val="2"/>
      </rPr>
      <t>Newly Regulated Annual Vessel Visits - Adjusted for non-SP vessels, all Exceptions, Commis-sioning TIEs, VIEs and Remedi-ation Fee Uses</t>
    </r>
  </si>
  <si>
    <r>
      <t xml:space="preserve">11. </t>
    </r>
    <r>
      <rPr>
        <b/>
        <i/>
        <sz val="11"/>
        <color theme="1"/>
        <rFont val="Avenir LT Std 55 Roman"/>
        <family val="2"/>
      </rPr>
      <t>Draft Reg. &amp; Alt. 2</t>
    </r>
    <r>
      <rPr>
        <b/>
        <sz val="11"/>
        <color theme="1"/>
        <rFont val="Avenir LT Std 55 Roman"/>
        <family val="2"/>
      </rPr>
      <t xml:space="preserve"> Newly Regulated Annual Vessel Visits - Adjusted for non-SP vessels, Exceptions, Commis-sioning, and Remedi-ation Fee Uses Only</t>
    </r>
  </si>
  <si>
    <r>
      <t xml:space="preserve">13. </t>
    </r>
    <r>
      <rPr>
        <b/>
        <i/>
        <sz val="11"/>
        <color theme="1"/>
        <rFont val="Avenir LT Std 55 Roman"/>
        <family val="2"/>
      </rPr>
      <t>Draft Reg. &amp; Alt. 2</t>
    </r>
    <r>
      <rPr>
        <b/>
        <sz val="11"/>
        <color theme="1"/>
        <rFont val="Avenir LT Std 55 Roman"/>
        <family val="2"/>
      </rPr>
      <t xml:space="preserve"> Capture &amp; Control Barge-Based Visits**</t>
    </r>
  </si>
  <si>
    <r>
      <t xml:space="preserve">C. </t>
    </r>
    <r>
      <rPr>
        <b/>
        <i/>
        <sz val="11"/>
        <color theme="1"/>
        <rFont val="Avenir LT Std 55 Roman"/>
        <family val="2"/>
      </rPr>
      <t>Draft Reg. &amp; Alt. 2</t>
    </r>
    <r>
      <rPr>
        <b/>
        <sz val="11"/>
        <color theme="1"/>
        <rFont val="Avenir LT Std 55 Roman"/>
        <family val="2"/>
      </rPr>
      <t xml:space="preserve"> Annual Vessel Visits from Infrequent Vessels Not Antici-pated to Install Shore Power</t>
    </r>
  </si>
  <si>
    <r>
      <t xml:space="preserve">D. </t>
    </r>
    <r>
      <rPr>
        <b/>
        <i/>
        <sz val="11"/>
        <color theme="1"/>
        <rFont val="Avenir LT Std 55 Roman"/>
        <family val="2"/>
      </rPr>
      <t>Alt. 1</t>
    </r>
    <r>
      <rPr>
        <b/>
        <sz val="11"/>
        <color theme="1"/>
        <rFont val="Avenir LT Std 55 Roman"/>
        <family val="2"/>
      </rPr>
      <t xml:space="preserve"> Annual Vessel Visits from Infrequent Vessels Not Antici-pated to Install Shore Power</t>
    </r>
  </si>
  <si>
    <r>
      <t xml:space="preserve">9. </t>
    </r>
    <r>
      <rPr>
        <b/>
        <i/>
        <sz val="11"/>
        <rFont val="Avenir LT Std 55 Roman"/>
        <family val="2"/>
      </rPr>
      <t>Draft Reg.</t>
    </r>
    <r>
      <rPr>
        <b/>
        <sz val="11"/>
        <rFont val="Avenir LT Std 55 Roman"/>
        <family val="2"/>
      </rPr>
      <t xml:space="preserve"> Capture &amp; Control Barge-Based Visits</t>
    </r>
  </si>
  <si>
    <r>
      <t xml:space="preserve">10. </t>
    </r>
    <r>
      <rPr>
        <b/>
        <i/>
        <sz val="11"/>
        <rFont val="Avenir LT Std 55 Roman"/>
        <family val="2"/>
      </rPr>
      <t>Draft Reg.</t>
    </r>
    <r>
      <rPr>
        <b/>
        <sz val="11"/>
        <rFont val="Avenir LT Std 55 Roman"/>
        <family val="2"/>
      </rPr>
      <t xml:space="preserve"> Capture &amp; Control Land-Based Visits</t>
    </r>
  </si>
  <si>
    <r>
      <t xml:space="preserve">9. </t>
    </r>
    <r>
      <rPr>
        <b/>
        <i/>
        <sz val="11"/>
        <rFont val="Avenir LT Std 55 Roman"/>
        <family val="2"/>
      </rPr>
      <t>Draft. Reg./Alt. 2</t>
    </r>
    <r>
      <rPr>
        <b/>
        <sz val="11"/>
        <rFont val="Avenir LT Std 55 Roman"/>
        <family val="2"/>
      </rPr>
      <t xml:space="preserve"> Capture &amp; Control Land-Based Visits</t>
    </r>
  </si>
  <si>
    <r>
      <t xml:space="preserve">9. </t>
    </r>
    <r>
      <rPr>
        <b/>
        <i/>
        <sz val="11"/>
        <rFont val="Avenir LT Std 55 Roman"/>
        <family val="2"/>
      </rPr>
      <t>Draft Reg./Alt. 2</t>
    </r>
    <r>
      <rPr>
        <b/>
        <sz val="11"/>
        <rFont val="Avenir LT Std 55 Roman"/>
        <family val="2"/>
      </rPr>
      <t xml:space="preserve"> Capture &amp; Control Land-Based Visits</t>
    </r>
  </si>
  <si>
    <t>Draft Reg.</t>
  </si>
  <si>
    <t>Barges Built for Container/Reefer Vessels (Draft Reg./Alt.2)</t>
  </si>
  <si>
    <t>Barge-Based Capture &amp; Control Costs 
(All Adjusted for Annual Growth)
Draft Regulation/Alternative 2*</t>
  </si>
  <si>
    <t>*Auto/RoRo vessels are excluded from Alternative 2.</t>
  </si>
  <si>
    <t>Land-Based Capture &amp; Control Costs 
(All Adjusted for Annual Growth)
Draft Regulation/Alternative 2*</t>
  </si>
  <si>
    <t>Costs (All Adjusted for Annual Growth) Draft Regulation</t>
  </si>
  <si>
    <t>Costs by Vessel Type - Draft Regulation and Alternative 2*</t>
  </si>
  <si>
    <t>Draft Regulation &amp; Alternative 2</t>
  </si>
  <si>
    <t>Costs (All Adjusted for Annual Growth)
Draft Regulation</t>
  </si>
  <si>
    <t>*Under Alternative 2, no costs are incurred for Auto/RoRo. Under both the Draft Regulation and Alternative 2, Auto/RoRo and Tanker berths are not expected to install shore power.</t>
  </si>
  <si>
    <t>Costs (All Adjusted for Annual Growth)
Draft Regulation/Alternative 2*</t>
  </si>
  <si>
    <t>Costs by Vessel Type - Draft Regulation and Alt. 2*</t>
  </si>
  <si>
    <t>Costs (All Adjusted for Annual Growth) Draft Reg. / Alt. 2</t>
  </si>
  <si>
    <t>Draft Reg./Alt. 2</t>
  </si>
  <si>
    <t>*Under Alternative 2, no costs are incurred for Auto/RoRo. Under both the Draft Regulation and Alternative 2, Auto/RoRo and Tanker vessels are not expected to install shore power.</t>
  </si>
  <si>
    <t>Number of Vessel SP Retrofits - Draft Reg./Alt. 2</t>
  </si>
  <si>
    <t>Costs (All Adjusted for Annual Growth)
Draft Regulation/Alternative 2</t>
  </si>
  <si>
    <t>Cost Savings (All Adjusted for Annual Growth) Draft Regulation/Alternative 2</t>
  </si>
  <si>
    <t>Cost Savings by Vessel Type - Draft Regulation and Alt. 2</t>
  </si>
  <si>
    <t>Cost Savings (All Adjusted for Annual Growth) Draft Reg. / Alt. 2</t>
  </si>
  <si>
    <t>Draft Reg./Alt. 1</t>
  </si>
  <si>
    <t>Costs (All Adjusted for Annual Growth) Draft Reg. / Alt. 1</t>
  </si>
  <si>
    <t>PY Costs - Draft Reg./Alt. 1</t>
  </si>
  <si>
    <t>**Based on Berth Analysis, Staff does not anticipate land-based capture and control would be used at container/reefer terminals.</t>
  </si>
  <si>
    <t>C. Includes visits from vessels that do not currently have shore power and would not install it due to the new regulation because they do not meet the filters described in the "Berths, Terminals, Vessels" tab. Excludes visits from vessels that would be expected to install shore power due to the existing regulation. Values from Staff Berth Analysis.</t>
  </si>
  <si>
    <t>*Draft Regulation</t>
  </si>
  <si>
    <t>THESE INPUTS APPLY TO THE DRAFT REGULATION AND ALTERNATIVES 1 AND 2</t>
  </si>
  <si>
    <r>
      <rPr>
        <i/>
        <u/>
        <sz val="11"/>
        <color theme="1"/>
        <rFont val="Avenir LT Std 55 Roman"/>
        <family val="2"/>
      </rPr>
      <t>Proposed Regulation and Alternative 2</t>
    </r>
    <r>
      <rPr>
        <i/>
        <sz val="11"/>
        <color theme="1"/>
        <rFont val="Avenir LT Std 55 Roman"/>
        <family val="2"/>
      </rPr>
      <t xml:space="preserve">
1. Staff assumes that "Frequent vessels" to California that are not currently shore power-equipped will install shore power to meet the requirements of the existing At-Berth Regulation by 2020. A "frequent vessel" is defined as a vessel that visited any terminal in California four or more times in 2017, based on CSLC data.
2. "Infrequent vessels" that visited Port of Oakland one or more times in 2017 (CSLC data) will need to install shore power in response to the Proposed Regulation. Remaining vessels without shore power will need to use TIEs/VIEs.
3. "Infrequent vessels" that visited POLA or POLB three or more times in 2017 (CSLC data) will need to install shore power in response to the Proposed Regulation. Remaining vessels without shore power will need to use TIEs/VIEs or alternative emissions control.
</t>
    </r>
    <r>
      <rPr>
        <i/>
        <u/>
        <sz val="11"/>
        <color theme="1"/>
        <rFont val="Avenir LT Std 55 Roman"/>
        <family val="2"/>
      </rPr>
      <t>Alternative 1</t>
    </r>
    <r>
      <rPr>
        <i/>
        <sz val="11"/>
        <color theme="1"/>
        <rFont val="Avenir LT Std 55 Roman"/>
        <family val="2"/>
      </rPr>
      <t xml:space="preserve">
1. Same assumptions as above, except all vessels making 2+ visits in LA/LB will install shore power equipment.</t>
    </r>
  </si>
  <si>
    <t>Effective Power Value (kW/hr) Weighted Average for All Ports/IMTs</t>
  </si>
  <si>
    <t>Port/IMT</t>
  </si>
  <si>
    <t>5. Σ [SP Vaults [#],port x % capital cost incurred by port [%],port] x Capital Cost per SP Vault [$] x CRF [fraction] x [1 + Compounded Growth Factor [fraction]]</t>
  </si>
  <si>
    <r>
      <t xml:space="preserve">1. </t>
    </r>
    <r>
      <rPr>
        <sz val="11"/>
        <color theme="1"/>
        <rFont val="Calibri"/>
        <family val="2"/>
      </rPr>
      <t>Σ</t>
    </r>
    <r>
      <rPr>
        <i/>
        <sz val="11"/>
        <color theme="1"/>
        <rFont val="Avenir LT Std 55 Roman"/>
        <family val="2"/>
      </rPr>
      <t xml:space="preserve"> [SP Berth Retrofits [#],port x % capital cost incurred by port [%],port] x Capital Cost per Berth Retrofit [$] x CRF [fraction] x [1 + Compounded Growth Factor [fraction]]</t>
    </r>
  </si>
  <si>
    <r>
      <t xml:space="preserve">2. </t>
    </r>
    <r>
      <rPr>
        <sz val="11"/>
        <color theme="1"/>
        <rFont val="Calibri"/>
        <family val="2"/>
      </rPr>
      <t>Σ</t>
    </r>
    <r>
      <rPr>
        <i/>
        <sz val="11"/>
        <color theme="1"/>
        <rFont val="Avenir LT Std 55 Roman"/>
        <family val="2"/>
      </rPr>
      <t xml:space="preserve"> [SP Berth Retrofits [#],port x % capital cost incurred by terminal [%],port] x Capital Cost per Berth Retrofit [$] x CRF [fraction] x [1 + Compounded Growth Factor [fraction]]</t>
    </r>
  </si>
  <si>
    <r>
      <t xml:space="preserve">3. </t>
    </r>
    <r>
      <rPr>
        <sz val="11"/>
        <color theme="1"/>
        <rFont val="Calibri"/>
        <family val="2"/>
      </rPr>
      <t>Σ</t>
    </r>
    <r>
      <rPr>
        <i/>
        <sz val="11"/>
        <color theme="1"/>
        <rFont val="Avenir LT Std 55 Roman"/>
        <family val="2"/>
      </rPr>
      <t xml:space="preserve"> [SP Berth Retrofits [#],port x % maintenance cost incurred by port [%],port] x Capital Cost per Berth Retrofit [$] x CRF [fraction] x [1 + Compounded Growth Factor [fraction]]</t>
    </r>
  </si>
  <si>
    <r>
      <t xml:space="preserve">4. </t>
    </r>
    <r>
      <rPr>
        <sz val="11"/>
        <color theme="1"/>
        <rFont val="Calibri"/>
        <family val="2"/>
      </rPr>
      <t>Σ</t>
    </r>
    <r>
      <rPr>
        <i/>
        <sz val="11"/>
        <color theme="1"/>
        <rFont val="Avenir LT Std 55 Roman"/>
        <family val="2"/>
      </rPr>
      <t xml:space="preserve"> [SP Berth Retrofits [#],port x % maintenance cost incurred by terminal [%],port] x Capital Cost per Berth Retrofit [$] x CRF [fraction] x [1 + Compounded Growth Factor [fraction]]</t>
    </r>
  </si>
  <si>
    <t>6. Σ [SP Vaults [#],port x % capital cost incurred by terminal [%],port] x Capital Cost per SP Vault [$] x CRF [fraction] x [1 + Compounded Growth Factor [fraction]]</t>
  </si>
  <si>
    <t>6. Σ [Terminal Cable Reels [#],port x % capital cost incurred by terminal [%],port] x Capital Cost per Terminal Cable Reel [$] x CRF [fraction] x [1 + Compounded Growth Factor [fraction]]</t>
  </si>
  <si>
    <t>Port/IMT:</t>
  </si>
  <si>
    <t>[A] Staff does not anticipate vessel-side infrastructure will be needed for use of land-side capture and control systems.</t>
  </si>
  <si>
    <t>N/A</t>
  </si>
  <si>
    <t>[B] Includes all Auto/RoRo vessels that visited California in 2017 based on CSLC data.</t>
  </si>
  <si>
    <r>
      <t>Draft Regulation Only</t>
    </r>
    <r>
      <rPr>
        <b/>
        <vertAlign val="superscript"/>
        <sz val="11"/>
        <color theme="1"/>
        <rFont val="Avenir LT Std 55 Roman"/>
        <family val="2"/>
      </rPr>
      <t>[C]</t>
    </r>
  </si>
  <si>
    <r>
      <t>Unique Vessel Count for Vessel Modifications, Proposed Regulation and Alternative 2</t>
    </r>
    <r>
      <rPr>
        <vertAlign val="superscript"/>
        <sz val="11"/>
        <color theme="1"/>
        <rFont val="Avenir LT Std 55 Roman"/>
        <family val="2"/>
      </rPr>
      <t>[A]</t>
    </r>
  </si>
  <si>
    <r>
      <t>Unique Vessel Count for Vessel Modifications, Alternative 1</t>
    </r>
    <r>
      <rPr>
        <vertAlign val="superscript"/>
        <sz val="11"/>
        <color theme="1"/>
        <rFont val="Avenir LT Std 55 Roman"/>
        <family val="2"/>
      </rPr>
      <t>[B]</t>
    </r>
  </si>
  <si>
    <t>Shore Power Vessel Equipment Maintenance Costs</t>
  </si>
  <si>
    <t>Shore Power Cost for Additional Vault - Container/Reefer Berths</t>
  </si>
  <si>
    <t>Shore Power Infrastructure Repair Costs after 20 Years</t>
  </si>
  <si>
    <t>Terminal Cable Reel Capital Costs</t>
  </si>
  <si>
    <t>Shore Power Terminal Equipment Maintenance Costs</t>
  </si>
  <si>
    <t>year</t>
  </si>
  <si>
    <t>Barge System Capital Cost</t>
  </si>
  <si>
    <t>Fuel Costs</t>
  </si>
  <si>
    <t>Tug Costs</t>
  </si>
  <si>
    <t>Tug-Hours</t>
  </si>
  <si>
    <t>Spacer Barge</t>
  </si>
  <si>
    <t>Hourly Fee - Container/Reefer, Auto/Ro-Ro</t>
  </si>
  <si>
    <t>Annual Performance Testing</t>
  </si>
  <si>
    <t>Annual Maintenance Costs</t>
  </si>
  <si>
    <t>Water Recycling Costs</t>
  </si>
  <si>
    <t>Cost to Obtain initial CARB Technology Approval</t>
  </si>
  <si>
    <t>Barge Equipment Repair Costs after 10 Years</t>
  </si>
  <si>
    <t>Land-Based Emission Treatment System Cost - Auto/RoRo Terminals</t>
  </si>
  <si>
    <t>Land-Based Emission Treatment System Cost - Tanker Terminals</t>
  </si>
  <si>
    <t>Terminal Infrastructure (Berth to Shore Shoreside Piping) Capital Cost - Tanker Terminals</t>
  </si>
  <si>
    <t>Loading Arm (Crane) Cost - Tanker Terminals</t>
  </si>
  <si>
    <t>Cost to Obtain Initial CARB Technology Approval</t>
  </si>
  <si>
    <t>Annual Operating Costs</t>
  </si>
  <si>
    <t>Shore Power Connection Labor Costs</t>
  </si>
  <si>
    <t>1. Annual Vessel Visits [#] x Aux. Engine Effective Power [kW] x SP Connection Duration [hr] x Electricity Price [$/kW-hr] x [1 + Compounded Growth Factor [fraction]]</t>
  </si>
  <si>
    <r>
      <t xml:space="preserve">3. </t>
    </r>
    <r>
      <rPr>
        <sz val="11"/>
        <color theme="1"/>
        <rFont val="Calibri"/>
        <family val="2"/>
      </rPr>
      <t>Σ</t>
    </r>
    <r>
      <rPr>
        <i/>
        <sz val="11"/>
        <color theme="1"/>
        <rFont val="Avenir LT Std 55 Roman"/>
        <family val="2"/>
      </rPr>
      <t xml:space="preserve"> [Annual Vessel Visits [#],port x % capital cost incurred by terminal [%],port] x Shore Power Connection Cost per Visit [$] x [1 + Compounded Growth Factor [fraction]]</t>
    </r>
  </si>
  <si>
    <r>
      <t xml:space="preserve">2. </t>
    </r>
    <r>
      <rPr>
        <sz val="11"/>
        <color theme="1"/>
        <rFont val="Calibri"/>
        <family val="2"/>
      </rPr>
      <t>Σ</t>
    </r>
    <r>
      <rPr>
        <i/>
        <sz val="11"/>
        <color theme="1"/>
        <rFont val="Avenir LT Std 55 Roman"/>
        <family val="2"/>
      </rPr>
      <t xml:space="preserve"> [Annual Vessel Visits [#],port x % capital cost incurred by port [%],port] x Shore Power Connection Cost per Visit [$] x [1 + Compounded Growth Factor [fraction]]</t>
    </r>
  </si>
  <si>
    <t>4. Annual Vessel Visits [#] x SP Connection Duration [hr] x Aux. Engine Effective Power [kW] x Brake-Specific Fuel Consumption [g/kW-hr] x Fuel Price [$/MT] / 10^6 g/MT x [1 + Compounded Growth Factor [fraction]]</t>
  </si>
  <si>
    <t>5. Annual Vessel Visits [#] x SP Connection Duration [hr] x Aux. Engine Effective Power [kW] x Electricity Price [$/kW-hr] x Percent Credits Claimed [%] x [1 + Compounded Growth Factor [fraction]]</t>
  </si>
  <si>
    <t>1. Port Plans [#] x Cost per Port Plan [$] x [1 + Compounded Growth Factor [fraction]]</t>
  </si>
  <si>
    <t>2. Terminal Plans [#] x Cost per Terminal Plan [$] x [1 + Compounded Growth Factor [fraction]]</t>
  </si>
  <si>
    <t>3. Vessel Reports [#] x Cost per Vessel Report [$] x [1 + Compounded Growth Factor [fraction]]</t>
  </si>
  <si>
    <t>4. Terminal Reports [#] x Cost per Terminal Report [$] x [1 + Compounded Growth Factor [fraction]]</t>
  </si>
  <si>
    <r>
      <t xml:space="preserve">5. </t>
    </r>
    <r>
      <rPr>
        <sz val="11"/>
        <color rgb="FF0070C0"/>
        <rFont val="Calibri"/>
        <family val="2"/>
      </rPr>
      <t xml:space="preserve">Σ </t>
    </r>
    <r>
      <rPr>
        <i/>
        <sz val="11"/>
        <color rgb="FF0070C0"/>
        <rFont val="Avenir LT Std 55 Roman"/>
        <family val="2"/>
      </rPr>
      <t>[Number of PYs [#] x Cost per PY [$]] x [1 + Compounded Growth Factor [fraction]]</t>
    </r>
  </si>
  <si>
    <r>
      <t xml:space="preserve">6. </t>
    </r>
    <r>
      <rPr>
        <sz val="11"/>
        <color rgb="FF0070C0"/>
        <rFont val="Calibri"/>
        <family val="2"/>
      </rPr>
      <t xml:space="preserve">Σ </t>
    </r>
    <r>
      <rPr>
        <i/>
        <sz val="11"/>
        <color rgb="FF0070C0"/>
        <rFont val="Avenir LT Std 55 Roman"/>
        <family val="2"/>
      </rPr>
      <t>[Number of PYs [#] x Cost per PY [$]] x [1 + Compounded Growth Factor [fraction]]</t>
    </r>
  </si>
  <si>
    <t>Vessel Hourly Fee</t>
  </si>
  <si>
    <t>Terminal Hourly Fee</t>
  </si>
  <si>
    <t>Annual Vessel Visits Subject to Fee [#] x Duration of Visit [hr] x Hourly Fee [$] x [1 + Compounded Growth Factor [fraction]]</t>
  </si>
  <si>
    <t>Equation</t>
  </si>
  <si>
    <t>**Includes berths SCK 2-3, 7-8 and 9</t>
  </si>
  <si>
    <t>Costs to Technology Developers - Draft Regulation</t>
  </si>
  <si>
    <t>Summary of Relative Costs</t>
  </si>
  <si>
    <t>check:</t>
  </si>
  <si>
    <t>13. For ports where Staff expects capture and control would be used (LA and LB), equals all of the Annual Vessel Visits from Infrequent Vessels not Anticipated to Install Shore Power. Staff assumes that TIEs and VIEs would be used at Ports of Oakland, San Diego and Hueneme.</t>
  </si>
  <si>
    <t>Draft Reg/Alt. 2</t>
  </si>
  <si>
    <r>
      <t>Shore Power Retrofit Cost per Berth - Container/Reefer Berths</t>
    </r>
    <r>
      <rPr>
        <vertAlign val="superscript"/>
        <sz val="11"/>
        <color theme="1"/>
        <rFont val="Avenir LT Std 55 Roman"/>
        <family val="2"/>
      </rPr>
      <t>[A]</t>
    </r>
  </si>
  <si>
    <r>
      <t>Shore Power Retrofit Cost per Berth - Cruise Berths</t>
    </r>
    <r>
      <rPr>
        <vertAlign val="superscript"/>
        <sz val="11"/>
        <color theme="1"/>
        <rFont val="Avenir LT Std 55 Roman"/>
        <family val="2"/>
      </rPr>
      <t>[B]</t>
    </r>
  </si>
  <si>
    <t>Shore Power Retrofit Cost per Berth - Cruise Berths</t>
  </si>
  <si>
    <t>Shore Power Retrofit Cost per Berth - Container/Reefer Berths</t>
  </si>
  <si>
    <t>Shore Power Retrofit Cost per Vessel - Container/Reefer Vessels</t>
  </si>
  <si>
    <t>Shore Power Retrofit Cost per Vessel - Cruise Vessels</t>
  </si>
  <si>
    <t>Shore Power Retrofit Cost per Vessel - Auto/RoRo Vessels</t>
  </si>
  <si>
    <t>Shore Power Retrofit Cost per Vessel - Tanker Vessels</t>
  </si>
  <si>
    <t>1. Vessels to be Retrofit [#] x Cost per Retrofit [$] x CRF [fraction] x [1 + Compounded Growth Factor [fraction]]</t>
  </si>
  <si>
    <t>2. Vessels to be Retrofit [#] x Annual Maintenance Cost [$] x [1 + Compounded Growth Factor [fraction]]</t>
  </si>
  <si>
    <t>Cost Analysis for Standardized Regulatory Impact Assessment</t>
  </si>
  <si>
    <t>Relative Costs</t>
  </si>
  <si>
    <t>Summary of Costs as a Percentage of Total Costs</t>
  </si>
  <si>
    <t>Annual and total costs by vessel category for Draft Regulation and Alternatives</t>
  </si>
  <si>
    <t>Cost Parameter</t>
  </si>
  <si>
    <t>[A] Claimed confidential data obtained from industry sources that requested non-attribution</t>
  </si>
  <si>
    <t>PY Costs</t>
  </si>
  <si>
    <t>Alternative 1: Shore power required for all vessel types (no capture and control)</t>
  </si>
  <si>
    <t>Alternative 2: Same as Draft Regulation, except Auto/RoRo vessels not subject to emission control requirements</t>
  </si>
  <si>
    <t>Draft Regulation (version dated May 8, 2019)</t>
  </si>
  <si>
    <t>Revised: 5/10/19</t>
  </si>
  <si>
    <t>9. Performance Testing</t>
  </si>
  <si>
    <t>10. Labor Costs</t>
  </si>
  <si>
    <t>11. Maintenance Costs</t>
  </si>
  <si>
    <t>12. Feasibility Study Costs</t>
  </si>
  <si>
    <t>13. Engineering and Permitting Costs</t>
  </si>
  <si>
    <t>14. Operational Costs</t>
  </si>
  <si>
    <t>15. CARB Technology Approvals - Auto/RoRo</t>
  </si>
  <si>
    <t>15. CARB Technology Approvals - Tankers</t>
  </si>
  <si>
    <t>9. Land-Based Emission Treatment Systems [#] x Annual Performance Testing Cost per System [$] x [1 + Compounded Growth Factor [fraction]]</t>
  </si>
  <si>
    <t>10. Annual Vessel Visits [#] x Emission Control Duration per Visit [hr] x [1 + Compounded Growth Factor [fraction]] x Hourly Labor Cost per System [$]</t>
  </si>
  <si>
    <t>11. Land-Based Emission Treatment Systems [#] x Annual Maintenance Cost per System [$] x [1 + Compounded Growth Factor [fraction]]</t>
  </si>
  <si>
    <t>12. Feasibility Study Cost per Berth [$] x Number of Berths [#] /7 years</t>
  </si>
  <si>
    <t>13. Engineering and Permitting Cost per Berth [$] x Number of Berths [#] /7 years</t>
  </si>
  <si>
    <t>14. Annual Vessel Visits [#] x Emission Control Duration per Visit [hr] x Hourly Operating Costs [$/hr] x [1 + Compounded Growth Factor [fraction]]</t>
  </si>
  <si>
    <t>15. Cost per Approval [$] x Σ[# Approvals [#] x [1 + Compounded Growth Factor [fraction]]], vessel type</t>
  </si>
  <si>
    <t>All vessel types using barge-based capture and control</t>
  </si>
  <si>
    <t>12. Barge Leasing/Port Fees</t>
  </si>
  <si>
    <t>13. Barge Overhead Costs</t>
  </si>
  <si>
    <t>[B] Values for monthly port fees/estimates received from Advanced Environmental Group (AEG) and Clean Air Engineering-Maritime (CAEM)</t>
  </si>
  <si>
    <r>
      <t>Fuel Costs</t>
    </r>
    <r>
      <rPr>
        <vertAlign val="superscript"/>
        <sz val="11"/>
        <color theme="1"/>
        <rFont val="Avenir LT Std 55 Roman"/>
        <family val="2"/>
      </rPr>
      <t>[C]</t>
    </r>
  </si>
  <si>
    <t>[C] Emails from Ruben Garcia (AEG) to Angela Csondes (CARB)dated 3/27/19 and 4/3/19</t>
  </si>
  <si>
    <r>
      <t>Labor Costs</t>
    </r>
    <r>
      <rPr>
        <vertAlign val="superscript"/>
        <sz val="11"/>
        <color theme="1"/>
        <rFont val="Avenir LT Std 55 Roman"/>
        <family val="2"/>
      </rPr>
      <t>[C]</t>
    </r>
  </si>
  <si>
    <r>
      <t>Tug Costs</t>
    </r>
    <r>
      <rPr>
        <vertAlign val="superscript"/>
        <sz val="11"/>
        <color theme="1"/>
        <rFont val="Avenir LT Std 55 Roman"/>
        <family val="2"/>
      </rPr>
      <t>[C]</t>
    </r>
  </si>
  <si>
    <r>
      <t xml:space="preserve">Tug-Hours </t>
    </r>
    <r>
      <rPr>
        <vertAlign val="superscript"/>
        <sz val="11"/>
        <color theme="1"/>
        <rFont val="Avenir LT Std 55 Roman"/>
        <family val="2"/>
      </rPr>
      <t>[D]</t>
    </r>
  </si>
  <si>
    <t>[D] Staff assumption based on conversations with technology developers</t>
  </si>
  <si>
    <r>
      <t>Hourly Fee - Container/Reefer, Auto/Ro-Ro</t>
    </r>
    <r>
      <rPr>
        <vertAlign val="superscript"/>
        <sz val="11"/>
        <color theme="1"/>
        <rFont val="Avenir LT Std 55 Roman"/>
        <family val="2"/>
      </rPr>
      <t>[C]</t>
    </r>
  </si>
  <si>
    <r>
      <t>Annual Performance Testing</t>
    </r>
    <r>
      <rPr>
        <vertAlign val="superscript"/>
        <sz val="11"/>
        <color theme="1"/>
        <rFont val="Avenir LT Std 55 Roman"/>
        <family val="2"/>
      </rPr>
      <t>[C]</t>
    </r>
  </si>
  <si>
    <t>[E] Email from Nick Tonsich (CAEM) to Angela Csondes dated 10/17/18</t>
  </si>
  <si>
    <r>
      <t>Annual Maintenance Costs</t>
    </r>
    <r>
      <rPr>
        <vertAlign val="superscript"/>
        <sz val="11"/>
        <color theme="1"/>
        <rFont val="Avenir LT Std 55 Roman"/>
        <family val="2"/>
      </rPr>
      <t>[C],[E]</t>
    </r>
  </si>
  <si>
    <r>
      <t>Cost to Obtain initial CARB Technology Approval</t>
    </r>
    <r>
      <rPr>
        <vertAlign val="superscript"/>
        <sz val="11"/>
        <color theme="1"/>
        <rFont val="Avenir LT Std 55 Roman"/>
        <family val="2"/>
      </rPr>
      <t>[C],[E]</t>
    </r>
  </si>
  <si>
    <r>
      <t>Spacer Barge</t>
    </r>
    <r>
      <rPr>
        <vertAlign val="superscript"/>
        <sz val="11"/>
        <color theme="1"/>
        <rFont val="Avenir LT Std 55 Roman"/>
        <family val="2"/>
      </rPr>
      <t>[A]</t>
    </r>
  </si>
  <si>
    <t>[F] For transport and disposal of non-hazardous water at approved treatment, storage and disposal facility (TDSF)</t>
  </si>
  <si>
    <r>
      <t>Water Recycling Costs</t>
    </r>
    <r>
      <rPr>
        <vertAlign val="superscript"/>
        <sz val="11"/>
        <color theme="1"/>
        <rFont val="Avenir LT Std 55 Roman"/>
        <family val="2"/>
      </rPr>
      <t>[F]</t>
    </r>
  </si>
  <si>
    <r>
      <t>Barge Equipment Repair Costs after 10 Years</t>
    </r>
    <r>
      <rPr>
        <vertAlign val="superscript"/>
        <sz val="11"/>
        <color theme="1"/>
        <rFont val="Avenir LT Std 55 Roman"/>
        <family val="2"/>
      </rPr>
      <t>[D]</t>
    </r>
  </si>
  <si>
    <r>
      <t xml:space="preserve">Overhead Costs </t>
    </r>
    <r>
      <rPr>
        <vertAlign val="superscript"/>
        <sz val="11"/>
        <color theme="1"/>
        <rFont val="Avenir LT Std 55 Roman"/>
        <family val="2"/>
      </rPr>
      <t>[E]</t>
    </r>
  </si>
  <si>
    <r>
      <t>Leasing/Port Fees</t>
    </r>
    <r>
      <rPr>
        <vertAlign val="superscript"/>
        <sz val="11"/>
        <rFont val="Avenir LT Std 55 Roman"/>
        <family val="2"/>
      </rPr>
      <t>[B]</t>
    </r>
  </si>
  <si>
    <t>[B] Staff analysis of aggregated data from AEG Benicia RoRo AMECS project, ShoreKat project, and EU 2001 VOC control system cost estimates.</t>
  </si>
  <si>
    <t xml:space="preserve">    (Includes Staff assumption that each terminal's shore-side system would be sized equivalent to one 4.5 MW system per berth)</t>
  </si>
  <si>
    <r>
      <t xml:space="preserve">Loading Arm (Crane) Cost - Tanker Terminals </t>
    </r>
    <r>
      <rPr>
        <vertAlign val="superscript"/>
        <sz val="11"/>
        <color theme="1"/>
        <rFont val="Avenir LT Std 55 Roman"/>
        <family val="2"/>
      </rPr>
      <t>[A]</t>
    </r>
  </si>
  <si>
    <t>[C] According to Tri-Mer statements at 4/16/19 CARB meeting, no additional labor would be required to run capture-and-control system</t>
  </si>
  <si>
    <r>
      <t xml:space="preserve">Labor Costs </t>
    </r>
    <r>
      <rPr>
        <vertAlign val="superscript"/>
        <sz val="11"/>
        <color theme="1"/>
        <rFont val="Avenir LT Std 55 Roman"/>
        <family val="2"/>
      </rPr>
      <t>[C]</t>
    </r>
  </si>
  <si>
    <r>
      <t xml:space="preserve">Annual Performance Testing </t>
    </r>
    <r>
      <rPr>
        <vertAlign val="superscript"/>
        <sz val="11"/>
        <color theme="1"/>
        <rFont val="Avenir LT Std 55 Roman"/>
        <family val="2"/>
      </rPr>
      <t>[A]</t>
    </r>
  </si>
  <si>
    <r>
      <t xml:space="preserve">Cost to Obtain Initial CARB Technology Approval </t>
    </r>
    <r>
      <rPr>
        <vertAlign val="superscript"/>
        <sz val="11"/>
        <color theme="1"/>
        <rFont val="Avenir LT Std 55 Roman"/>
        <family val="2"/>
      </rPr>
      <t>[A]</t>
    </r>
  </si>
  <si>
    <r>
      <t xml:space="preserve">Annual Maintenance Costs </t>
    </r>
    <r>
      <rPr>
        <vertAlign val="superscript"/>
        <sz val="11"/>
        <color theme="1"/>
        <rFont val="Avenir LT Std 55 Roman"/>
        <family val="2"/>
      </rPr>
      <t>[A]</t>
    </r>
  </si>
  <si>
    <r>
      <t xml:space="preserve">Terminal Equipment Life </t>
    </r>
    <r>
      <rPr>
        <vertAlign val="superscript"/>
        <sz val="11"/>
        <color theme="1"/>
        <rFont val="Avenir LT Std 55 Roman"/>
        <family val="2"/>
      </rPr>
      <t>[A]</t>
    </r>
  </si>
  <si>
    <r>
      <t xml:space="preserve">Annual Operating Costs </t>
    </r>
    <r>
      <rPr>
        <vertAlign val="superscript"/>
        <sz val="11"/>
        <color theme="1"/>
        <rFont val="Avenir LT Std 55 Roman"/>
        <family val="2"/>
      </rPr>
      <t>[A]</t>
    </r>
  </si>
  <si>
    <t>Shore Power Retrofit Cost per Berth - Tanker Vessels</t>
  </si>
  <si>
    <t>Leasing/Port Fees</t>
  </si>
  <si>
    <t>[A] Average of June 2018 survey data (see Inputs and Assumptions document for details)</t>
  </si>
  <si>
    <r>
      <t xml:space="preserve">Shore Power Retrofit Cost per Berth - Tanker Vessels </t>
    </r>
    <r>
      <rPr>
        <vertAlign val="superscript"/>
        <sz val="11"/>
        <rFont val="Avenir LT Std 55 Roman"/>
        <family val="2"/>
      </rPr>
      <t>[A]</t>
    </r>
  </si>
  <si>
    <r>
      <t>Shore Power Retrofit Cost per Vessel - Container/Reefer Vessels</t>
    </r>
    <r>
      <rPr>
        <vertAlign val="superscript"/>
        <sz val="11"/>
        <color theme="1"/>
        <rFont val="Avenir LT Std 55 Roman"/>
        <family val="2"/>
      </rPr>
      <t>[A]</t>
    </r>
  </si>
  <si>
    <r>
      <t>Shore Power Retrofit Cost per Vessel - Cruise Vessels</t>
    </r>
    <r>
      <rPr>
        <vertAlign val="superscript"/>
        <sz val="11"/>
        <color theme="1"/>
        <rFont val="Avenir LT Std 55 Roman"/>
        <family val="2"/>
      </rPr>
      <t>[A]</t>
    </r>
  </si>
  <si>
    <r>
      <t>Shore Power Retrofit Cost per Vessel - Auto/RoRo Vessels</t>
    </r>
    <r>
      <rPr>
        <vertAlign val="superscript"/>
        <sz val="11"/>
        <color theme="1"/>
        <rFont val="Avenir LT Std 55 Roman"/>
        <family val="2"/>
      </rPr>
      <t>[A]</t>
    </r>
  </si>
  <si>
    <r>
      <t>Shore Power Retrofit Cost per Vessel - Tanker Vessels</t>
    </r>
    <r>
      <rPr>
        <vertAlign val="superscript"/>
        <sz val="11"/>
        <color theme="1"/>
        <rFont val="Avenir LT Std 55 Roman"/>
        <family val="2"/>
      </rPr>
      <t>[A]</t>
    </r>
  </si>
  <si>
    <r>
      <t>Terminal Cable Reel Capital Costs</t>
    </r>
    <r>
      <rPr>
        <vertAlign val="superscript"/>
        <sz val="11"/>
        <color theme="1"/>
        <rFont val="Avenir LT Std 55 Roman"/>
        <family val="2"/>
      </rPr>
      <t>[D]</t>
    </r>
  </si>
  <si>
    <t>[D] Based on Staff conversations with terminal operators</t>
  </si>
  <si>
    <r>
      <t>Shore Power Connection Labor Costs</t>
    </r>
    <r>
      <rPr>
        <vertAlign val="superscript"/>
        <sz val="11"/>
        <color theme="1"/>
        <rFont val="Avenir LT Std 55 Roman"/>
        <family val="2"/>
      </rPr>
      <t>[A]</t>
    </r>
  </si>
  <si>
    <r>
      <t>Shore Power Terminal Equipment Maintenance Costs</t>
    </r>
    <r>
      <rPr>
        <vertAlign val="superscript"/>
        <sz val="11"/>
        <color theme="1"/>
        <rFont val="Avenir LT Std 55 Roman"/>
        <family val="2"/>
      </rPr>
      <t>[A]</t>
    </r>
  </si>
  <si>
    <r>
      <t>Shore Power Vessel Equipment Maintenance Costs</t>
    </r>
    <r>
      <rPr>
        <vertAlign val="superscript"/>
        <sz val="11"/>
        <color theme="1"/>
        <rFont val="Avenir LT Std 55 Roman"/>
        <family val="2"/>
      </rPr>
      <t>[A]</t>
    </r>
  </si>
  <si>
    <r>
      <t xml:space="preserve">Year Maintenance Begins - Container/Reefer and Cruise </t>
    </r>
    <r>
      <rPr>
        <vertAlign val="superscript"/>
        <sz val="11"/>
        <color theme="1"/>
        <rFont val="Avenir LT Std 55 Roman"/>
        <family val="2"/>
      </rPr>
      <t>[C]</t>
    </r>
  </si>
  <si>
    <r>
      <t xml:space="preserve">Year Maintenance Begins - Auto/RoRo </t>
    </r>
    <r>
      <rPr>
        <vertAlign val="superscript"/>
        <sz val="11"/>
        <color theme="1"/>
        <rFont val="Avenir LT Std 55 Roman"/>
        <family val="2"/>
      </rPr>
      <t>[C]</t>
    </r>
  </si>
  <si>
    <r>
      <t xml:space="preserve">Year Maintenance Begins - POLA/POLB Tanker Terminals </t>
    </r>
    <r>
      <rPr>
        <vertAlign val="superscript"/>
        <sz val="11"/>
        <color theme="1"/>
        <rFont val="Avenir LT Std 55 Roman"/>
        <family val="2"/>
      </rPr>
      <t>[C]</t>
    </r>
  </si>
  <si>
    <r>
      <t xml:space="preserve">Year Maintenance Begins - All Other Tanker Terminals </t>
    </r>
    <r>
      <rPr>
        <vertAlign val="superscript"/>
        <sz val="11"/>
        <color theme="1"/>
        <rFont val="Avenir LT Std 55 Roman"/>
        <family val="2"/>
      </rPr>
      <t>[C]</t>
    </r>
  </si>
  <si>
    <t>Shore Power Infrastructure by Port/IMT - ALL SCENARIOS</t>
  </si>
  <si>
    <t>Berth Retrofits - POLA/POLB Tanker Terminals</t>
  </si>
  <si>
    <t>Berth Retrofits - All Other Tanker Terminals</t>
  </si>
  <si>
    <t>[C] Staff assumption</t>
  </si>
  <si>
    <r>
      <t xml:space="preserve">Feasibility Study Cost </t>
    </r>
    <r>
      <rPr>
        <vertAlign val="superscript"/>
        <sz val="11"/>
        <color theme="1"/>
        <rFont val="Avenir LT Std 55 Roman"/>
        <family val="2"/>
      </rPr>
      <t>[A]</t>
    </r>
  </si>
  <si>
    <t>[A] Tri-Mer statements at 4/16/19 CARB meeting</t>
  </si>
  <si>
    <r>
      <t xml:space="preserve">Engineering and Permitting Costs (Combined) </t>
    </r>
    <r>
      <rPr>
        <vertAlign val="superscript"/>
        <sz val="11"/>
        <color theme="1"/>
        <rFont val="Avenir LT Std 55 Roman"/>
        <family val="2"/>
      </rPr>
      <t>[B]</t>
    </r>
  </si>
  <si>
    <t>[B] Staff assumption based on feasibility study costs</t>
  </si>
  <si>
    <r>
      <t xml:space="preserve">CARB PYs </t>
    </r>
    <r>
      <rPr>
        <b/>
        <vertAlign val="superscript"/>
        <sz val="12"/>
        <color theme="1"/>
        <rFont val="Avenir LT Std 55 Roman"/>
        <family val="2"/>
      </rPr>
      <t>[A]</t>
    </r>
  </si>
  <si>
    <t>[A] PY cost sheet provided by CARB's Office of Economic Policy and Analysis (OEPA)</t>
  </si>
  <si>
    <t>[A] Staff estimate based on conversation with CSLC. Staff assumes PY costs similar to CARB ARE Range D</t>
  </si>
  <si>
    <t>13. Number of Barges in Operation [#] x Annual Overhead Costs x [1 + Compounded Growth Factor [fraction]]</t>
  </si>
  <si>
    <t>12. Number of Barges in Operation [#] x Monthly Leasing/Port Fee [$] 12 months/year x [1 + Compounded Growth Factor [fraction]]</t>
  </si>
  <si>
    <t>Annual Overhead Costs</t>
  </si>
  <si>
    <t>POLA/POLB Tankers</t>
  </si>
  <si>
    <t>All Other Tankers</t>
  </si>
  <si>
    <t>Port Plans - Tankers (POLA/POLB)</t>
  </si>
  <si>
    <t>Port Plans - Tankers (All Other Statewide)</t>
  </si>
  <si>
    <t>Terminal Plans - Tankers (POLA/POLB)</t>
  </si>
  <si>
    <t>Terminal Plans - Tankers (All Other Statewide)</t>
  </si>
  <si>
    <t>Terminal Reporting - Tankers (POLA/POLB)</t>
  </si>
  <si>
    <t>Terminal Reporting - Tankers (All Other Statewide)</t>
  </si>
  <si>
    <t>Vessel Reporting - Tankers (POLA/POLB)</t>
  </si>
  <si>
    <t>Vessel Reporting - Tankers (All Other Statewide)</t>
  </si>
  <si>
    <t>Stockton Area</t>
  </si>
  <si>
    <t>Richmond Area</t>
  </si>
  <si>
    <r>
      <t>Container/Reefer</t>
    </r>
    <r>
      <rPr>
        <vertAlign val="superscript"/>
        <sz val="11"/>
        <color theme="1"/>
        <rFont val="Avenir LT Std 55 Roman"/>
        <family val="2"/>
      </rPr>
      <t>[A]</t>
    </r>
  </si>
  <si>
    <r>
      <t xml:space="preserve">Auto/RoRo </t>
    </r>
    <r>
      <rPr>
        <vertAlign val="superscript"/>
        <sz val="11"/>
        <color theme="1"/>
        <rFont val="Avenir LT Std 55 Roman"/>
        <family val="2"/>
      </rPr>
      <t>[B]</t>
    </r>
  </si>
  <si>
    <r>
      <t xml:space="preserve">Tankers (all) </t>
    </r>
    <r>
      <rPr>
        <vertAlign val="superscript"/>
        <sz val="11"/>
        <color theme="1"/>
        <rFont val="Avenir LT Std 55 Roman"/>
        <family val="2"/>
      </rPr>
      <t>[A]</t>
    </r>
  </si>
  <si>
    <t>[A] Container/Reefer and Tanker effective power values calculated below</t>
  </si>
  <si>
    <t>[B] Value for Auto vessels used, due to high relative vessel visits compared to RoRo vessels</t>
  </si>
  <si>
    <t>[C] Container/Reefer and Cruise values are adjusted for actual shore power utilization times in 2016</t>
  </si>
  <si>
    <r>
      <t>Duration of Emission Control At Berth (hours)</t>
    </r>
    <r>
      <rPr>
        <b/>
        <vertAlign val="superscript"/>
        <sz val="11"/>
        <color theme="1"/>
        <rFont val="Avenir LT Std 55 Roman"/>
        <family val="2"/>
      </rPr>
      <t>[C]</t>
    </r>
  </si>
  <si>
    <r>
      <t xml:space="preserve">Weighted average kW/vessel </t>
    </r>
    <r>
      <rPr>
        <b/>
        <vertAlign val="superscript"/>
        <sz val="11"/>
        <color theme="1"/>
        <rFont val="Avenir LT Std 55 Roman"/>
        <family val="2"/>
      </rPr>
      <t>[A]</t>
    </r>
  </si>
  <si>
    <r>
      <t xml:space="preserve">Carquinez Area </t>
    </r>
    <r>
      <rPr>
        <vertAlign val="superscript"/>
        <sz val="11"/>
        <rFont val="Avenir LT Std 55 Roman"/>
        <family val="2"/>
      </rPr>
      <t>[B]</t>
    </r>
  </si>
  <si>
    <r>
      <t xml:space="preserve">Rodeo Area </t>
    </r>
    <r>
      <rPr>
        <vertAlign val="superscript"/>
        <sz val="11"/>
        <rFont val="Avenir LT Std 55 Roman"/>
        <family val="2"/>
      </rPr>
      <t>[C]</t>
    </r>
  </si>
  <si>
    <t>[A] Staff calculated weighted average per vessel type/port. Consistent with Draft Inventory Methodology, Table 7. https://www.arb.ca.gov/msei/ordiesel/draft2019ogvinv.pdf</t>
  </si>
  <si>
    <t>[B] Average kW of tanker vessels to Benicia, Martinez and Avon</t>
  </si>
  <si>
    <t>[C] Average kW of tanker vessels to Oleum and Selby terminals</t>
  </si>
  <si>
    <r>
      <t xml:space="preserve">Projected Electricity Rates in ¢/kWh </t>
    </r>
    <r>
      <rPr>
        <b/>
        <vertAlign val="superscript"/>
        <sz val="11"/>
        <color theme="1"/>
        <rFont val="Avenir LT Std 55 Roman"/>
        <family val="2"/>
      </rPr>
      <t>[A]</t>
    </r>
  </si>
  <si>
    <t>[A] Per email from Chris Kavalec (California Energy Commission) to Paul Milkey (CARB) dated 8/27/2018, rates for the four major utilities are taken from the Mid Case Revised Demand Forecast updated 2/21/2018 (form 2.3) for years 2019-2030. Values for 2031-32 are extrapolated.</t>
  </si>
  <si>
    <r>
      <t xml:space="preserve">Projected LCFS Credit Value 
($/kW-hr) </t>
    </r>
    <r>
      <rPr>
        <b/>
        <vertAlign val="superscript"/>
        <sz val="11"/>
        <color theme="1"/>
        <rFont val="Avenir LT Std 55 Roman"/>
        <family val="2"/>
      </rPr>
      <t>[A]</t>
    </r>
  </si>
  <si>
    <t>[A] LCFS Staff Analysis dated 4/12/19</t>
  </si>
  <si>
    <r>
      <t xml:space="preserve">% LCFS Credits Claimed </t>
    </r>
    <r>
      <rPr>
        <vertAlign val="superscript"/>
        <sz val="11"/>
        <color theme="1"/>
        <rFont val="Avenir LT Std 55 Roman"/>
        <family val="2"/>
      </rPr>
      <t>[B]</t>
    </r>
  </si>
  <si>
    <t>[B] Staff assumption</t>
  </si>
  <si>
    <r>
      <t xml:space="preserve">Brake-Specific Fuel Consumption </t>
    </r>
    <r>
      <rPr>
        <vertAlign val="superscript"/>
        <sz val="11"/>
        <color theme="1"/>
        <rFont val="Avenir LT Std 55 Roman"/>
        <family val="2"/>
      </rPr>
      <t>[A]</t>
    </r>
  </si>
  <si>
    <t xml:space="preserve">[A] CARB emission inventory methodology document Appendix A, fuel consumption factor for auxiliary engines at berth, distillate fuel. </t>
  </si>
  <si>
    <r>
      <t xml:space="preserve">4/25/2018 </t>
    </r>
    <r>
      <rPr>
        <vertAlign val="superscript"/>
        <sz val="11"/>
        <color theme="1"/>
        <rFont val="Avenir LT Std 55 Roman"/>
        <family val="2"/>
      </rPr>
      <t>[A]</t>
    </r>
  </si>
  <si>
    <t>[A] Reference: www.shipandbunker.com, accessed 4/26/19</t>
  </si>
  <si>
    <t>[B] Reference: https://www.eia.gov/outlooks/aeo/data/browser/#/?id=12-AEO2018&amp;cases=ref2018&amp;sourcekey=0</t>
  </si>
  <si>
    <r>
      <t xml:space="preserve">Projected Diesel Price $/gallon </t>
    </r>
    <r>
      <rPr>
        <b/>
        <vertAlign val="superscript"/>
        <sz val="11"/>
        <color theme="1"/>
        <rFont val="Avenir LT Std 55 Roman"/>
        <family val="2"/>
      </rPr>
      <t>[B]</t>
    </r>
  </si>
  <si>
    <r>
      <t xml:space="preserve">Auto/ RoRo </t>
    </r>
    <r>
      <rPr>
        <b/>
        <vertAlign val="superscript"/>
        <sz val="11"/>
        <color theme="1"/>
        <rFont val="Avenir LT Std 55 Roman"/>
        <family val="2"/>
      </rPr>
      <t>[B]</t>
    </r>
  </si>
  <si>
    <r>
      <t xml:space="preserve">Container /Reefer </t>
    </r>
    <r>
      <rPr>
        <b/>
        <vertAlign val="superscript"/>
        <sz val="11"/>
        <color theme="1"/>
        <rFont val="Avenir LT Std 55 Roman"/>
        <family val="2"/>
      </rPr>
      <t>[A]</t>
    </r>
  </si>
  <si>
    <t>[A] Container factor used, due to high activity relative to reefer vessels</t>
  </si>
  <si>
    <t>[B] Auto factor used, due to high activity relative to RoRo vessels</t>
  </si>
  <si>
    <t>Auto/ RoRo</t>
  </si>
  <si>
    <t>Carquinez Area</t>
  </si>
  <si>
    <t>Rodeo Area</t>
  </si>
  <si>
    <r>
      <t xml:space="preserve">Shore Power Capital Costs </t>
    </r>
    <r>
      <rPr>
        <b/>
        <vertAlign val="superscript"/>
        <sz val="11"/>
        <color theme="1"/>
        <rFont val="Avenir LT Std 55 Roman"/>
        <family val="2"/>
      </rPr>
      <t>[A],[B]</t>
    </r>
  </si>
  <si>
    <r>
      <t xml:space="preserve">Shore Power Maintenance Costs </t>
    </r>
    <r>
      <rPr>
        <b/>
        <vertAlign val="superscript"/>
        <sz val="11"/>
        <color theme="1"/>
        <rFont val="Avenir LT Std 55 Roman"/>
        <family val="2"/>
      </rPr>
      <t>[B]</t>
    </r>
  </si>
  <si>
    <r>
      <t xml:space="preserve">Shore Power Labor Costs </t>
    </r>
    <r>
      <rPr>
        <b/>
        <vertAlign val="superscript"/>
        <sz val="11"/>
        <color theme="1"/>
        <rFont val="Avenir LT Std 55 Roman"/>
        <family val="2"/>
      </rPr>
      <t>[B]</t>
    </r>
  </si>
  <si>
    <t>[A] Staff anticipates that only container and cruise terminals would use shore power, based on Staff Berth Analysis.</t>
  </si>
  <si>
    <t>[B] Cost apportionment based on Staff discussions with ports and terminals.</t>
  </si>
  <si>
    <t>Shore Power Maintenance Costs</t>
  </si>
  <si>
    <t>[D] "New Vaults" means installing additional vaults on a berth where shore power already exists.</t>
  </si>
  <si>
    <t>[C] "Berth Retrofit" means installing shore power on a berth where none currently exists.</t>
  </si>
  <si>
    <t>Draft Regulation and 
Alternative 2</t>
  </si>
  <si>
    <r>
      <t>Los Angeles</t>
    </r>
    <r>
      <rPr>
        <vertAlign val="superscript"/>
        <sz val="11"/>
        <color theme="1"/>
        <rFont val="Avenir LT Std 55 Roman"/>
        <family val="2"/>
      </rPr>
      <t>[G]</t>
    </r>
  </si>
  <si>
    <r>
      <t># Berth Loading Arm (Cranes) for Land-Based C&amp;C</t>
    </r>
    <r>
      <rPr>
        <b/>
        <vertAlign val="superscript"/>
        <sz val="11"/>
        <rFont val="Avenir LT Std 55 Roman"/>
        <family val="2"/>
      </rPr>
      <t>[E],[F]</t>
    </r>
  </si>
  <si>
    <t>[G] Excludes berths to be demolished (Kinder Morgan Berth 118 and Phillips 66 Berth 149) and accounts for one Shell berth at POLA (169).</t>
  </si>
  <si>
    <t xml:space="preserve">[F] Staff assumes 1 loading arm (crane) per berth at all terminals </t>
  </si>
  <si>
    <t>All Other Tankers Statewide</t>
  </si>
  <si>
    <t>ALL TANKERS - POLA/POLB</t>
  </si>
  <si>
    <t>ALL TANKERS - ALL OTHER STATEWIDE</t>
  </si>
  <si>
    <t>Stockton Area**</t>
  </si>
  <si>
    <t>POLA/POLB Land-Based Emission Treatment Systems, Berth to Shoreside Piping - Tanker Vessels</t>
  </si>
  <si>
    <t>All Other Statewide Land-Based Emission Treatment Systems, Berth to Shoreside Piping - Tanker Vessels</t>
  </si>
  <si>
    <t>POLA/POLB Land-Based Emission Treatment Systems, Loading Arm Cranes - Tanker Vessels</t>
  </si>
  <si>
    <t>All Other Statewide Land-Based Emission Treatment Systems, Loading Arm Cranes - Tanker Vessels</t>
  </si>
  <si>
    <t>Annual C&amp;C Land-Based Vessel Visits - POLA/POLB Tankers</t>
  </si>
  <si>
    <t>Annual C&amp;C Land-Based Vessel Visits - All Other Tankers Statewide</t>
  </si>
  <si>
    <t>Tankers POLA/POLB</t>
  </si>
  <si>
    <t>Tankers All Other Statewide</t>
  </si>
  <si>
    <t>All Tankers (Average of Product and Crude)</t>
  </si>
  <si>
    <r>
      <t xml:space="preserve">Other Agency PYs </t>
    </r>
    <r>
      <rPr>
        <b/>
        <vertAlign val="superscript"/>
        <sz val="12"/>
        <color theme="1"/>
        <rFont val="Avenir LT Std 55 Roman"/>
        <family val="2"/>
      </rPr>
      <t>[A]</t>
    </r>
  </si>
  <si>
    <t>9. For ports/IMTs where only barge-based C&amp;C systems would be used, = Input A. [#]. For ports/IMTs where barge-based and land-based systems may be used, = Input A. [#] - [Sum of calculations 1., 2., 5. and 6./2] [#]</t>
  </si>
  <si>
    <t>10. For ports/IMTs where only land-based C&amp;C systems would be used, = Input A. [#]. For ports/IMTs where barge-based and land-based systems may be used, = Input A. [#] - [Sum of calculations 1., 2., 5. and 6./2] [#]</t>
  </si>
  <si>
    <t>Number of Studies - POLA/ POLB</t>
  </si>
  <si>
    <t>Number of Studies - All Other Terminals</t>
  </si>
  <si>
    <t>Year Begin POLA/ POLB</t>
  </si>
  <si>
    <t>Year Begin All Other Terminals</t>
  </si>
  <si>
    <t>Number of Port Plans - POLA/POLB Tankers</t>
  </si>
  <si>
    <t>Number of Terminal Plans - POLA/POLB Tankers</t>
  </si>
  <si>
    <t>Number of Annual Terminal Reports - POLA/POLB Tankers</t>
  </si>
  <si>
    <t>Number of Annual Vessel Reports - POLA/POLB Tankers</t>
  </si>
  <si>
    <t>Number of Terminal Plans - All Other Tankers Statewide</t>
  </si>
  <si>
    <t>Number of Annual Terminal Reports - All Other Tankers Statewide</t>
  </si>
  <si>
    <t>Number of Annual Vessel Reports - All Other Tankers Statewide</t>
  </si>
  <si>
    <t>Start Year POLA/POLB</t>
  </si>
  <si>
    <t>Start Year All Other Terminals Statewide</t>
  </si>
  <si>
    <t>This document was prepared by California Air Resources Board (CARB) Staff to calculate preliminary cost estimates for the Draft Control Measure for Ocean-Going Vessels At Berth.
Staff is developing these cost estimates for the Standardized Regulatory Impact Assessment (SRIA), which is required by Senate Bill (SB) 617 for proposed regulations that have an economic impact exceeding $50 million.  These cost estimates, and the accompanying document of cost inputs and assumptions, are preliminary discussion drafts and are still under development.  To date, Staff has incorporated information received from various sources including many industry stakeholders, and continues to request additional data to further refine the cost analysis.  Staff requests that industry stakeholders submit any additional information to Staff by May 29, 2019 to be considered for the SRIA.</t>
  </si>
  <si>
    <t>Regulatory Scenarios Considered in Cost Analysis:</t>
  </si>
  <si>
    <t>Draft Reg./Alt.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</si>
</sst>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quot;$&quot;#,##0"/>
    <numFmt numFmtId="165" formatCode="&quot;$&quot;#,##0.00"/>
    <numFmt numFmtId="166" formatCode="0.0"/>
    <numFmt numFmtId="167" formatCode="0.0000"/>
    <numFmt numFmtId="168" formatCode="0.0%"/>
    <numFmt numFmtId="169" formatCode="_(&quot;$&quot;* #,##0_);_(&quot;$&quot;* \(#,##0\);_(&quot;$&quot;* &quot;-&quot;??_);_(@_)"/>
  </numFmts>
  <fonts count="49" x14ac:knownFonts="1">
    <font>
      <sz val="11"/>
      <color theme="1"/>
      <name val="Calibri"/>
      <family val="2"/>
      <scheme val="minor"/>
    </font>
    <font>
      <sz val="11"/>
      <color theme="1"/>
      <name val="Calibri"/>
      <family val="2"/>
      <scheme val="minor"/>
    </font>
    <font>
      <sz val="11"/>
      <color theme="1"/>
      <name val="Avenir LT Std 55 Roman"/>
      <family val="2"/>
    </font>
    <font>
      <b/>
      <sz val="14"/>
      <color theme="1"/>
      <name val="Avenir LT Std 55 Roman"/>
      <family val="2"/>
    </font>
    <font>
      <b/>
      <sz val="11"/>
      <color theme="1"/>
      <name val="Avenir LT Std 55 Roman"/>
      <family val="2"/>
    </font>
    <font>
      <sz val="10"/>
      <color theme="1"/>
      <name val="Avenir LT Std 55 Roman"/>
      <family val="2"/>
    </font>
    <font>
      <sz val="11"/>
      <color rgb="FFFF0000"/>
      <name val="Avenir LT Std 55 Roman"/>
      <family val="2"/>
    </font>
    <font>
      <sz val="11"/>
      <name val="Avenir LT Std 55 Roman"/>
      <family val="2"/>
    </font>
    <font>
      <b/>
      <sz val="11"/>
      <color rgb="FFFF0000"/>
      <name val="Avenir LT Std 55 Roman"/>
      <family val="2"/>
    </font>
    <font>
      <b/>
      <sz val="12"/>
      <color theme="1"/>
      <name val="Avenir LT Std 55 Roman"/>
      <family val="2"/>
    </font>
    <font>
      <b/>
      <u/>
      <sz val="11"/>
      <color theme="1"/>
      <name val="Avenir LT Std 55 Roman"/>
      <family val="2"/>
    </font>
    <font>
      <i/>
      <sz val="11"/>
      <color theme="1"/>
      <name val="Avenir LT Std 55 Roman"/>
      <family val="2"/>
    </font>
    <font>
      <b/>
      <sz val="9"/>
      <color indexed="81"/>
      <name val="Tahoma"/>
      <family val="2"/>
    </font>
    <font>
      <sz val="9"/>
      <color indexed="81"/>
      <name val="Tahoma"/>
      <family val="2"/>
    </font>
    <font>
      <b/>
      <sz val="11"/>
      <name val="Avenir LT Std 55 Roman"/>
      <family val="2"/>
    </font>
    <font>
      <b/>
      <sz val="13"/>
      <color theme="1"/>
      <name val="Avenir LT Std 55 Roman"/>
      <family val="2"/>
    </font>
    <font>
      <i/>
      <u/>
      <sz val="11"/>
      <color theme="1"/>
      <name val="Avenir LT Std 55 Roman"/>
      <family val="2"/>
    </font>
    <font>
      <i/>
      <sz val="11"/>
      <color rgb="FFFF0000"/>
      <name val="Avenir LT Std 55 Roman"/>
      <family val="2"/>
    </font>
    <font>
      <i/>
      <sz val="11"/>
      <name val="Avenir LT Std 55 Roman"/>
      <family val="2"/>
    </font>
    <font>
      <b/>
      <i/>
      <sz val="11"/>
      <color theme="1"/>
      <name val="Avenir LT Std 55 Roman"/>
      <family val="2"/>
    </font>
    <font>
      <sz val="11"/>
      <color rgb="FF0070C0"/>
      <name val="Avenir LT Std 55 Roman"/>
      <family val="2"/>
    </font>
    <font>
      <b/>
      <sz val="11"/>
      <color rgb="FF0070C0"/>
      <name val="Avenir LT Std 55 Roman"/>
      <family val="2"/>
    </font>
    <font>
      <b/>
      <i/>
      <sz val="11"/>
      <name val="Avenir LT Std 55 Roman"/>
      <family val="2"/>
    </font>
    <font>
      <i/>
      <u/>
      <sz val="11"/>
      <name val="Avenir LT Std 55 Roman"/>
      <family val="2"/>
    </font>
    <font>
      <i/>
      <sz val="11"/>
      <color rgb="FF0070C0"/>
      <name val="Avenir LT Std 55 Roman"/>
      <family val="2"/>
    </font>
    <font>
      <sz val="11"/>
      <color theme="1"/>
      <name val="Calibri"/>
      <family val="2"/>
    </font>
    <font>
      <b/>
      <sz val="11"/>
      <color theme="9" tint="-0.249977111117893"/>
      <name val="Avenir LT Std 55 Roman"/>
      <family val="2"/>
    </font>
    <font>
      <b/>
      <vertAlign val="superscript"/>
      <sz val="11"/>
      <color theme="1"/>
      <name val="Avenir LT Std 55 Roman"/>
      <family val="2"/>
    </font>
    <font>
      <b/>
      <vertAlign val="superscript"/>
      <sz val="11"/>
      <name val="Avenir LT Std 55 Roman"/>
      <family val="2"/>
    </font>
    <font>
      <vertAlign val="superscript"/>
      <sz val="11"/>
      <color theme="1"/>
      <name val="Avenir LT Std 55 Roman"/>
      <family val="2"/>
    </font>
    <font>
      <sz val="11"/>
      <color theme="0" tint="-0.499984740745262"/>
      <name val="Avenir LT Std 55 Roman"/>
      <family val="2"/>
    </font>
    <font>
      <b/>
      <sz val="11"/>
      <color theme="0" tint="-0.499984740745262"/>
      <name val="Avenir LT Std 55 Roman"/>
      <family val="2"/>
    </font>
    <font>
      <b/>
      <sz val="12"/>
      <name val="Avenir LT Std 55 Roman"/>
      <family val="2"/>
    </font>
    <font>
      <sz val="11"/>
      <color rgb="FF0070C0"/>
      <name val="Calibri"/>
      <family val="2"/>
    </font>
    <font>
      <i/>
      <sz val="11"/>
      <color theme="0" tint="-0.499984740745262"/>
      <name val="Avenir LT Std 55 Roman"/>
      <family val="2"/>
    </font>
    <font>
      <sz val="11"/>
      <color theme="9" tint="-0.249977111117893"/>
      <name val="Avenir LT Std 55 Roman"/>
      <family val="2"/>
    </font>
    <font>
      <b/>
      <vertAlign val="superscript"/>
      <sz val="12"/>
      <color theme="1"/>
      <name val="Avenir LT Std 55 Roman"/>
      <family val="2"/>
    </font>
    <font>
      <sz val="10"/>
      <name val="Avenir LT Std 55 Roman"/>
      <family val="2"/>
    </font>
    <font>
      <sz val="11"/>
      <color theme="5" tint="-0.249977111117893"/>
      <name val="Avenir LT Std 55 Roman"/>
      <family val="2"/>
    </font>
    <font>
      <b/>
      <sz val="13"/>
      <color theme="0" tint="-0.499984740745262"/>
      <name val="Avenir LT Std 55 Roman"/>
      <family val="2"/>
    </font>
    <font>
      <i/>
      <sz val="11"/>
      <color theme="0" tint="-0.34998626667073579"/>
      <name val="Avenir LT Std 55 Roman"/>
      <family val="2"/>
    </font>
    <font>
      <sz val="12"/>
      <name val="Avenir LT Std 55 Roman"/>
      <family val="2"/>
    </font>
    <font>
      <sz val="12"/>
      <color theme="1"/>
      <name val="Avenir LT Std 55 Roman"/>
      <family val="2"/>
    </font>
    <font>
      <u/>
      <sz val="12"/>
      <color theme="1"/>
      <name val="Avenir LT Std 55 Roman"/>
      <family val="2"/>
    </font>
    <font>
      <vertAlign val="superscript"/>
      <sz val="11"/>
      <name val="Avenir LT Std 55 Roman"/>
      <family val="2"/>
    </font>
    <font>
      <sz val="11"/>
      <color theme="9" tint="-0.499984740745262"/>
      <name val="Avenir LT Std 55 Roman"/>
      <family val="2"/>
    </font>
    <font>
      <i/>
      <sz val="11"/>
      <color theme="9" tint="-0.499984740745262"/>
      <name val="Avenir LT Std 55 Roman"/>
      <family val="2"/>
    </font>
    <font>
      <sz val="8"/>
      <name val="Calibri"/>
      <family val="2"/>
      <scheme val="minor"/>
    </font>
    <font>
      <b/>
      <u/>
      <sz val="11"/>
      <name val="Avenir LT Std 55 Roman"/>
      <family val="2"/>
    </font>
  </fonts>
  <fills count="8">
    <fill>
      <patternFill patternType="none"/>
    </fill>
    <fill>
      <patternFill patternType="gray125"/>
    </fill>
    <fill>
      <patternFill patternType="lightUp"/>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lightUp">
        <bgColor auto="1"/>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657">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applyAlignment="1">
      <alignment horizontal="center"/>
    </xf>
    <xf numFmtId="0" fontId="4" fillId="0" borderId="0" xfId="0" applyFont="1" applyAlignment="1">
      <alignment horizontal="center" wrapText="1"/>
    </xf>
    <xf numFmtId="0" fontId="2" fillId="0" borderId="1" xfId="0" applyFont="1" applyBorder="1"/>
    <xf numFmtId="0" fontId="5" fillId="0" borderId="0" xfId="0" applyFont="1"/>
    <xf numFmtId="0" fontId="4" fillId="0" borderId="1" xfId="0" applyFont="1" applyBorder="1" applyAlignment="1">
      <alignment wrapText="1"/>
    </xf>
    <xf numFmtId="0" fontId="6" fillId="0" borderId="0" xfId="0" applyFont="1"/>
    <xf numFmtId="0" fontId="2" fillId="0" borderId="0" xfId="0" applyFont="1" applyFill="1" applyBorder="1"/>
    <xf numFmtId="0" fontId="9" fillId="0" borderId="0" xfId="0" applyFont="1"/>
    <xf numFmtId="0" fontId="10" fillId="0" borderId="0" xfId="0" applyFont="1" applyBorder="1"/>
    <xf numFmtId="0" fontId="10" fillId="0" borderId="0" xfId="0" applyFont="1" applyBorder="1" applyAlignment="1">
      <alignment horizontal="center"/>
    </xf>
    <xf numFmtId="0" fontId="11" fillId="0" borderId="0" xfId="0" applyFont="1"/>
    <xf numFmtId="0" fontId="2" fillId="0" borderId="1" xfId="0" applyFont="1" applyFill="1" applyBorder="1" applyAlignment="1">
      <alignment horizontal="center"/>
    </xf>
    <xf numFmtId="0" fontId="2" fillId="0" borderId="0" xfId="0" applyFont="1" applyFill="1"/>
    <xf numFmtId="165" fontId="2" fillId="0" borderId="0" xfId="0" applyNumberFormat="1" applyFont="1" applyFill="1"/>
    <xf numFmtId="0" fontId="2" fillId="0" borderId="0" xfId="0" applyFont="1" applyFill="1" applyAlignment="1">
      <alignment vertical="top" wrapText="1"/>
    </xf>
    <xf numFmtId="0" fontId="2" fillId="0" borderId="0" xfId="0" applyFont="1" applyFill="1" applyAlignment="1">
      <alignment wrapText="1"/>
    </xf>
    <xf numFmtId="0" fontId="4" fillId="0" borderId="8" xfId="0" applyFont="1" applyFill="1" applyBorder="1" applyAlignment="1">
      <alignment wrapText="1"/>
    </xf>
    <xf numFmtId="0" fontId="4" fillId="0" borderId="4" xfId="0" applyFont="1" applyFill="1" applyBorder="1" applyAlignment="1">
      <alignment wrapText="1"/>
    </xf>
    <xf numFmtId="0" fontId="2" fillId="0" borderId="1" xfId="0" applyFont="1" applyFill="1" applyBorder="1" applyAlignment="1">
      <alignment wrapText="1"/>
    </xf>
    <xf numFmtId="0" fontId="2" fillId="4" borderId="1" xfId="0" applyFont="1" applyFill="1" applyBorder="1"/>
    <xf numFmtId="9" fontId="2" fillId="4" borderId="1" xfId="1" applyFont="1" applyFill="1" applyBorder="1" applyAlignment="1">
      <alignment horizontal="center" vertical="top" wrapText="1"/>
    </xf>
    <xf numFmtId="0" fontId="4" fillId="0" borderId="1" xfId="0" applyFont="1" applyBorder="1" applyAlignment="1">
      <alignment horizontal="center"/>
    </xf>
    <xf numFmtId="0" fontId="2" fillId="4" borderId="9" xfId="0" applyFont="1" applyFill="1" applyBorder="1"/>
    <xf numFmtId="0" fontId="2" fillId="0" borderId="2" xfId="0" applyFont="1" applyBorder="1"/>
    <xf numFmtId="164" fontId="2" fillId="4" borderId="1" xfId="0" applyNumberFormat="1" applyFont="1" applyFill="1" applyBorder="1"/>
    <xf numFmtId="0" fontId="2" fillId="0" borderId="0" xfId="0" applyFont="1" applyBorder="1"/>
    <xf numFmtId="0" fontId="2" fillId="4" borderId="1" xfId="0" applyFont="1" applyFill="1" applyBorder="1" applyAlignment="1">
      <alignment vertical="center"/>
    </xf>
    <xf numFmtId="0" fontId="4" fillId="0" borderId="0" xfId="0" applyFont="1" applyAlignment="1">
      <alignment horizontal="center"/>
    </xf>
    <xf numFmtId="0" fontId="4" fillId="0" borderId="7" xfId="0" applyFont="1" applyBorder="1" applyAlignment="1">
      <alignment horizontal="center"/>
    </xf>
    <xf numFmtId="0" fontId="2" fillId="0" borderId="5" xfId="0" applyFont="1" applyBorder="1"/>
    <xf numFmtId="0" fontId="9" fillId="0" borderId="5" xfId="0" applyFont="1" applyBorder="1" applyAlignment="1">
      <alignment horizontal="center"/>
    </xf>
    <xf numFmtId="0" fontId="4" fillId="0" borderId="5" xfId="0" applyFont="1" applyBorder="1" applyAlignment="1">
      <alignment horizontal="center" wrapText="1"/>
    </xf>
    <xf numFmtId="0" fontId="15" fillId="0" borderId="0" xfId="0" applyFont="1"/>
    <xf numFmtId="0" fontId="2" fillId="3" borderId="1" xfId="0" applyFont="1" applyFill="1" applyBorder="1"/>
    <xf numFmtId="0" fontId="2" fillId="0" borderId="0" xfId="0" applyFont="1" applyAlignment="1">
      <alignment wrapText="1"/>
    </xf>
    <xf numFmtId="164" fontId="2" fillId="3" borderId="1" xfId="0" applyNumberFormat="1" applyFont="1" applyFill="1" applyBorder="1"/>
    <xf numFmtId="164" fontId="2" fillId="0" borderId="7" xfId="0" applyNumberFormat="1" applyFont="1" applyBorder="1"/>
    <xf numFmtId="0" fontId="2" fillId="3" borderId="2" xfId="0" applyFont="1" applyFill="1" applyBorder="1"/>
    <xf numFmtId="0" fontId="7"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5" borderId="4" xfId="0" applyFont="1" applyFill="1" applyBorder="1" applyAlignment="1">
      <alignment vertical="center"/>
    </xf>
    <xf numFmtId="0" fontId="2" fillId="5" borderId="1" xfId="0" applyFont="1" applyFill="1" applyBorder="1" applyAlignment="1">
      <alignment vertical="center" wrapText="1"/>
    </xf>
    <xf numFmtId="0" fontId="2" fillId="4" borderId="5" xfId="0" applyFont="1" applyFill="1" applyBorder="1"/>
    <xf numFmtId="0" fontId="6" fillId="0" borderId="0" xfId="0" applyFont="1" applyAlignment="1">
      <alignment vertical="center"/>
    </xf>
    <xf numFmtId="0" fontId="14" fillId="0" borderId="1" xfId="0" applyFont="1" applyBorder="1" applyAlignment="1">
      <alignment horizontal="center" wrapText="1"/>
    </xf>
    <xf numFmtId="0" fontId="7" fillId="0" borderId="2" xfId="0" applyFont="1" applyBorder="1"/>
    <xf numFmtId="0" fontId="2" fillId="4" borderId="2" xfId="0" applyFont="1" applyFill="1" applyBorder="1"/>
    <xf numFmtId="0" fontId="2" fillId="4" borderId="8" xfId="0" applyFont="1" applyFill="1" applyBorder="1"/>
    <xf numFmtId="0" fontId="2" fillId="0" borderId="7" xfId="0" applyFont="1" applyFill="1" applyBorder="1" applyAlignment="1">
      <alignment horizontal="right"/>
    </xf>
    <xf numFmtId="0" fontId="2" fillId="0" borderId="20" xfId="0" applyFont="1" applyBorder="1"/>
    <xf numFmtId="0" fontId="2" fillId="4" borderId="38" xfId="0" applyFont="1" applyFill="1" applyBorder="1"/>
    <xf numFmtId="0" fontId="2" fillId="4" borderId="37" xfId="0" applyFont="1" applyFill="1" applyBorder="1"/>
    <xf numFmtId="0" fontId="16" fillId="0" borderId="0" xfId="0" applyFont="1"/>
    <xf numFmtId="0" fontId="2" fillId="0" borderId="17" xfId="0" applyFont="1" applyFill="1" applyBorder="1" applyAlignment="1">
      <alignment horizontal="right"/>
    </xf>
    <xf numFmtId="0" fontId="14" fillId="0" borderId="2" xfId="0" applyFont="1" applyBorder="1" applyAlignment="1">
      <alignment horizontal="center" wrapText="1"/>
    </xf>
    <xf numFmtId="0" fontId="2" fillId="4" borderId="42" xfId="0" applyFont="1" applyFill="1" applyBorder="1"/>
    <xf numFmtId="0" fontId="2" fillId="4" borderId="39" xfId="0" applyFont="1" applyFill="1" applyBorder="1"/>
    <xf numFmtId="0" fontId="2" fillId="0" borderId="37" xfId="0" applyFont="1" applyBorder="1"/>
    <xf numFmtId="0" fontId="2" fillId="0" borderId="15" xfId="0" applyFont="1" applyBorder="1"/>
    <xf numFmtId="0" fontId="11" fillId="0" borderId="0" xfId="0" applyFont="1" applyAlignment="1">
      <alignment wrapText="1"/>
    </xf>
    <xf numFmtId="0" fontId="18" fillId="0" borderId="0" xfId="0" applyFont="1"/>
    <xf numFmtId="0" fontId="14" fillId="0" borderId="3" xfId="0" applyFont="1" applyBorder="1" applyAlignment="1">
      <alignment horizontal="center" wrapText="1"/>
    </xf>
    <xf numFmtId="0" fontId="17" fillId="0" borderId="0" xfId="0" applyFont="1" applyAlignment="1"/>
    <xf numFmtId="0" fontId="2" fillId="4" borderId="20" xfId="0" applyFont="1" applyFill="1" applyBorder="1"/>
    <xf numFmtId="0" fontId="2" fillId="0" borderId="19" xfId="0" applyFont="1" applyFill="1" applyBorder="1" applyAlignment="1">
      <alignment horizontal="right"/>
    </xf>
    <xf numFmtId="0" fontId="2" fillId="0" borderId="0" xfId="0" applyFont="1" applyFill="1" applyBorder="1" applyAlignment="1">
      <alignment horizontal="right"/>
    </xf>
    <xf numFmtId="1" fontId="2" fillId="0" borderId="0" xfId="0" applyNumberFormat="1" applyFont="1" applyFill="1" applyBorder="1"/>
    <xf numFmtId="9" fontId="2" fillId="0" borderId="0" xfId="1" applyFont="1" applyFill="1" applyBorder="1"/>
    <xf numFmtId="0" fontId="4" fillId="3" borderId="1" xfId="0" applyFont="1" applyFill="1" applyBorder="1" applyAlignment="1">
      <alignment horizontal="center"/>
    </xf>
    <xf numFmtId="0" fontId="2" fillId="0" borderId="0" xfId="0" applyFont="1" applyAlignment="1">
      <alignment horizontal="center"/>
    </xf>
    <xf numFmtId="0" fontId="11" fillId="0" borderId="0" xfId="0" applyFont="1" applyBorder="1" applyAlignment="1">
      <alignment vertical="center" wrapText="1"/>
    </xf>
    <xf numFmtId="0" fontId="4" fillId="0" borderId="9" xfId="0" applyFont="1" applyBorder="1" applyAlignment="1">
      <alignment horizontal="center"/>
    </xf>
    <xf numFmtId="0" fontId="7" fillId="4" borderId="9" xfId="0" applyFont="1" applyFill="1" applyBorder="1"/>
    <xf numFmtId="0" fontId="16" fillId="0" borderId="0" xfId="0" applyFont="1" applyFill="1" applyBorder="1" applyAlignment="1">
      <alignment horizontal="left"/>
    </xf>
    <xf numFmtId="0" fontId="14" fillId="3" borderId="1" xfId="0" applyFont="1" applyFill="1" applyBorder="1" applyAlignment="1">
      <alignment horizontal="center"/>
    </xf>
    <xf numFmtId="164" fontId="2" fillId="0" borderId="1" xfId="0" applyNumberFormat="1" applyFont="1" applyBorder="1"/>
    <xf numFmtId="0" fontId="2" fillId="0" borderId="1" xfId="0" applyFont="1" applyFill="1" applyBorder="1" applyAlignment="1">
      <alignment horizontal="right" wrapText="1"/>
    </xf>
    <xf numFmtId="0" fontId="2" fillId="0" borderId="6" xfId="0" applyFont="1" applyFill="1" applyBorder="1" applyAlignment="1">
      <alignment vertical="center" wrapText="1"/>
    </xf>
    <xf numFmtId="0" fontId="20" fillId="0" borderId="0" xfId="0" applyFont="1"/>
    <xf numFmtId="0" fontId="14" fillId="0" borderId="1" xfId="0" applyFont="1" applyBorder="1" applyAlignment="1">
      <alignment horizontal="center"/>
    </xf>
    <xf numFmtId="0" fontId="4" fillId="0" borderId="47" xfId="0" applyFont="1" applyBorder="1" applyAlignment="1">
      <alignment horizontal="center" wrapText="1"/>
    </xf>
    <xf numFmtId="0" fontId="4" fillId="0" borderId="48" xfId="0" applyFont="1" applyBorder="1" applyAlignment="1">
      <alignment horizontal="center" wrapText="1"/>
    </xf>
    <xf numFmtId="0" fontId="4" fillId="0" borderId="49" xfId="0" applyFont="1" applyBorder="1" applyAlignment="1">
      <alignment horizontal="center" wrapText="1"/>
    </xf>
    <xf numFmtId="1" fontId="2" fillId="4" borderId="28" xfId="0" applyNumberFormat="1" applyFont="1" applyFill="1" applyBorder="1"/>
    <xf numFmtId="1" fontId="2" fillId="4" borderId="29" xfId="0" applyNumberFormat="1" applyFont="1" applyFill="1" applyBorder="1"/>
    <xf numFmtId="0" fontId="4" fillId="0" borderId="0" xfId="0" applyFont="1" applyBorder="1" applyAlignment="1">
      <alignment wrapText="1"/>
    </xf>
    <xf numFmtId="0" fontId="4" fillId="0" borderId="0" xfId="0" applyFont="1" applyBorder="1" applyAlignment="1">
      <alignment horizontal="center" wrapText="1"/>
    </xf>
    <xf numFmtId="0" fontId="4" fillId="0" borderId="57" xfId="0" applyFont="1" applyBorder="1" applyAlignment="1">
      <alignment horizontal="center" wrapText="1"/>
    </xf>
    <xf numFmtId="0" fontId="4" fillId="0" borderId="58" xfId="0" applyFont="1" applyBorder="1" applyAlignment="1">
      <alignment horizontal="center" wrapText="1"/>
    </xf>
    <xf numFmtId="0" fontId="4" fillId="0" borderId="28" xfId="0" applyFont="1" applyBorder="1" applyAlignment="1">
      <alignment horizontal="center" wrapText="1"/>
    </xf>
    <xf numFmtId="0" fontId="14" fillId="0" borderId="56" xfId="0" applyFont="1" applyBorder="1" applyAlignment="1">
      <alignment horizontal="center" wrapText="1"/>
    </xf>
    <xf numFmtId="1" fontId="2" fillId="4" borderId="1" xfId="0" applyNumberFormat="1" applyFont="1" applyFill="1" applyBorder="1"/>
    <xf numFmtId="1" fontId="2" fillId="4" borderId="49" xfId="0" applyNumberFormat="1" applyFont="1" applyFill="1" applyBorder="1"/>
    <xf numFmtId="1" fontId="2" fillId="4" borderId="5" xfId="0" applyNumberFormat="1" applyFont="1" applyFill="1" applyBorder="1"/>
    <xf numFmtId="1" fontId="2" fillId="0" borderId="59" xfId="0" applyNumberFormat="1" applyFont="1" applyFill="1" applyBorder="1"/>
    <xf numFmtId="0" fontId="14" fillId="0" borderId="49" xfId="0" applyFont="1" applyBorder="1" applyAlignment="1">
      <alignment horizontal="center" wrapText="1"/>
    </xf>
    <xf numFmtId="0" fontId="4" fillId="0" borderId="65" xfId="0" applyFont="1" applyBorder="1" applyAlignment="1">
      <alignment horizontal="center" wrapText="1"/>
    </xf>
    <xf numFmtId="0" fontId="2" fillId="0" borderId="1" xfId="0" applyFont="1" applyFill="1" applyBorder="1" applyAlignment="1">
      <alignment vertical="center" wrapText="1"/>
    </xf>
    <xf numFmtId="0" fontId="20" fillId="0" borderId="13" xfId="0" applyFont="1" applyBorder="1"/>
    <xf numFmtId="0" fontId="20" fillId="0" borderId="25" xfId="0" applyFont="1" applyFill="1" applyBorder="1"/>
    <xf numFmtId="0" fontId="6" fillId="0" borderId="0" xfId="0" applyFont="1" applyFill="1" applyBorder="1"/>
    <xf numFmtId="0" fontId="20" fillId="0" borderId="0" xfId="0" applyFont="1" applyFill="1" applyBorder="1"/>
    <xf numFmtId="0" fontId="20" fillId="0" borderId="18" xfId="0" applyFont="1" applyBorder="1"/>
    <xf numFmtId="168" fontId="2" fillId="3" borderId="1" xfId="1" applyNumberFormat="1" applyFont="1" applyFill="1" applyBorder="1"/>
    <xf numFmtId="0" fontId="2" fillId="0" borderId="0" xfId="0" applyFont="1" applyFill="1" applyBorder="1" applyAlignment="1"/>
    <xf numFmtId="0" fontId="11" fillId="0" borderId="7" xfId="0" applyFont="1" applyFill="1" applyBorder="1" applyAlignment="1">
      <alignment horizontal="right" wrapText="1"/>
    </xf>
    <xf numFmtId="0" fontId="4" fillId="0" borderId="25" xfId="0" applyFont="1" applyFill="1" applyBorder="1" applyAlignment="1">
      <alignment horizontal="center" wrapText="1"/>
    </xf>
    <xf numFmtId="0" fontId="4" fillId="0" borderId="0" xfId="0" applyFont="1" applyFill="1" applyBorder="1" applyAlignment="1">
      <alignment horizontal="center" wrapText="1"/>
    </xf>
    <xf numFmtId="0" fontId="4" fillId="0" borderId="1" xfId="0" applyFont="1" applyFill="1" applyBorder="1" applyAlignment="1">
      <alignment wrapText="1"/>
    </xf>
    <xf numFmtId="0" fontId="2" fillId="0" borderId="0" xfId="0" applyFont="1" applyFill="1" applyAlignment="1">
      <alignment horizontal="left" vertical="top" wrapText="1"/>
    </xf>
    <xf numFmtId="0" fontId="2" fillId="3" borderId="1" xfId="0" applyFont="1" applyFill="1" applyBorder="1" applyAlignment="1">
      <alignment horizontal="right"/>
    </xf>
    <xf numFmtId="164" fontId="2" fillId="0" borderId="5" xfId="0" applyNumberFormat="1" applyFont="1" applyBorder="1"/>
    <xf numFmtId="0" fontId="11" fillId="0" borderId="0" xfId="0" applyFont="1" applyBorder="1"/>
    <xf numFmtId="164" fontId="2" fillId="0" borderId="0" xfId="0" applyNumberFormat="1" applyFont="1"/>
    <xf numFmtId="0" fontId="4" fillId="0" borderId="1" xfId="0" applyFont="1" applyBorder="1" applyAlignment="1">
      <alignment horizontal="center"/>
    </xf>
    <xf numFmtId="0" fontId="2" fillId="0" borderId="0" xfId="0" applyFont="1" applyAlignment="1">
      <alignment vertical="center"/>
    </xf>
    <xf numFmtId="0" fontId="2" fillId="3" borderId="1" xfId="0" applyFont="1" applyFill="1" applyBorder="1" applyAlignment="1">
      <alignment vertical="center"/>
    </xf>
    <xf numFmtId="0" fontId="2" fillId="0" borderId="0" xfId="0" applyFont="1" applyFill="1" applyBorder="1" applyAlignment="1">
      <alignment wrapText="1"/>
    </xf>
    <xf numFmtId="0" fontId="11" fillId="0" borderId="0" xfId="0" applyFont="1" applyFill="1" applyBorder="1" applyAlignment="1">
      <alignment horizontal="left" vertical="center" wrapText="1"/>
    </xf>
    <xf numFmtId="0" fontId="11" fillId="0" borderId="0" xfId="0" applyFont="1" applyFill="1" applyBorder="1" applyAlignment="1">
      <alignment wrapText="1"/>
    </xf>
    <xf numFmtId="0" fontId="16"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9" fontId="2" fillId="0" borderId="0" xfId="1" applyFont="1" applyFill="1" applyBorder="1" applyAlignment="1">
      <alignment horizontal="center" vertical="top" wrapText="1"/>
    </xf>
    <xf numFmtId="0" fontId="2" fillId="4" borderId="1" xfId="1" applyNumberFormat="1" applyFont="1" applyFill="1" applyBorder="1" applyAlignment="1">
      <alignment horizontal="center" vertical="top" wrapText="1"/>
    </xf>
    <xf numFmtId="0" fontId="14" fillId="0" borderId="1" xfId="0" applyFont="1" applyFill="1" applyBorder="1" applyAlignment="1">
      <alignment horizontal="center"/>
    </xf>
    <xf numFmtId="165" fontId="2" fillId="3" borderId="1" xfId="0" applyNumberFormat="1" applyFont="1" applyFill="1" applyBorder="1"/>
    <xf numFmtId="0" fontId="7" fillId="0" borderId="0" xfId="0" applyFont="1"/>
    <xf numFmtId="0" fontId="7" fillId="0" borderId="0" xfId="0" applyFont="1" applyFill="1"/>
    <xf numFmtId="165" fontId="7" fillId="3" borderId="1" xfId="0" applyNumberFormat="1" applyFont="1" applyFill="1" applyBorder="1"/>
    <xf numFmtId="164" fontId="7" fillId="3" borderId="1" xfId="0" applyNumberFormat="1" applyFont="1" applyFill="1" applyBorder="1"/>
    <xf numFmtId="168" fontId="7" fillId="3" borderId="1" xfId="1" applyNumberFormat="1" applyFont="1" applyFill="1" applyBorder="1"/>
    <xf numFmtId="0" fontId="14" fillId="0" borderId="1" xfId="0" applyFont="1" applyFill="1" applyBorder="1" applyAlignment="1">
      <alignment horizontal="center" wrapText="1"/>
    </xf>
    <xf numFmtId="0" fontId="14" fillId="0" borderId="3" xfId="0" applyFont="1" applyFill="1" applyBorder="1" applyAlignment="1">
      <alignment horizontal="center" wrapText="1"/>
    </xf>
    <xf numFmtId="1" fontId="7" fillId="3" borderId="1" xfId="0" applyNumberFormat="1" applyFont="1" applyFill="1" applyBorder="1" applyAlignment="1">
      <alignment horizontal="center" wrapText="1"/>
    </xf>
    <xf numFmtId="1" fontId="7" fillId="3" borderId="5" xfId="0" applyNumberFormat="1" applyFont="1" applyFill="1" applyBorder="1" applyAlignment="1">
      <alignment horizontal="center" wrapText="1"/>
    </xf>
    <xf numFmtId="1" fontId="7" fillId="3" borderId="2" xfId="0" applyNumberFormat="1" applyFont="1" applyFill="1" applyBorder="1" applyAlignment="1">
      <alignment horizontal="center" wrapText="1"/>
    </xf>
    <xf numFmtId="1" fontId="7" fillId="3" borderId="20" xfId="0" applyNumberFormat="1" applyFont="1" applyFill="1" applyBorder="1" applyAlignment="1">
      <alignment horizontal="center" wrapText="1"/>
    </xf>
    <xf numFmtId="1" fontId="7" fillId="3" borderId="8" xfId="0" applyNumberFormat="1" applyFont="1" applyFill="1" applyBorder="1" applyAlignment="1">
      <alignment horizontal="center" wrapText="1"/>
    </xf>
    <xf numFmtId="1" fontId="7" fillId="3" borderId="38" xfId="0" applyNumberFormat="1" applyFont="1" applyFill="1" applyBorder="1" applyAlignment="1">
      <alignment horizontal="center" wrapText="1"/>
    </xf>
    <xf numFmtId="0" fontId="14" fillId="0" borderId="2" xfId="0" applyFont="1" applyFill="1" applyBorder="1" applyAlignment="1">
      <alignment horizontal="center" wrapText="1"/>
    </xf>
    <xf numFmtId="0" fontId="14" fillId="0" borderId="8" xfId="0" applyFont="1" applyFill="1" applyBorder="1" applyAlignment="1">
      <alignment horizontal="center" wrapText="1"/>
    </xf>
    <xf numFmtId="0" fontId="14" fillId="0" borderId="5" xfId="0" applyFont="1" applyBorder="1" applyAlignment="1">
      <alignment horizontal="center"/>
    </xf>
    <xf numFmtId="0" fontId="26" fillId="0" borderId="0" xfId="0" applyFont="1" applyAlignment="1">
      <alignment horizontal="center"/>
    </xf>
    <xf numFmtId="164" fontId="26" fillId="0" borderId="0" xfId="0" applyNumberFormat="1" applyFont="1" applyAlignment="1">
      <alignment horizontal="center"/>
    </xf>
    <xf numFmtId="165" fontId="2" fillId="0" borderId="0" xfId="0" applyNumberFormat="1" applyFont="1"/>
    <xf numFmtId="9" fontId="26" fillId="0" borderId="0" xfId="1" applyFont="1" applyAlignment="1">
      <alignment horizontal="center"/>
    </xf>
    <xf numFmtId="9" fontId="20" fillId="0" borderId="0" xfId="1" applyFont="1" applyAlignment="1">
      <alignment horizontal="center"/>
    </xf>
    <xf numFmtId="9" fontId="21" fillId="0" borderId="0" xfId="1" applyFont="1" applyAlignment="1">
      <alignment horizontal="center"/>
    </xf>
    <xf numFmtId="0" fontId="30" fillId="0" borderId="0" xfId="0" applyFont="1"/>
    <xf numFmtId="164" fontId="2" fillId="0" borderId="1" xfId="2" applyNumberFormat="1" applyFont="1" applyFill="1" applyBorder="1" applyAlignment="1">
      <alignment horizontal="center" wrapText="1"/>
    </xf>
    <xf numFmtId="0" fontId="20" fillId="0" borderId="0" xfId="0" applyFont="1" applyFill="1"/>
    <xf numFmtId="0" fontId="2" fillId="0" borderId="1" xfId="0" applyFont="1" applyBorder="1" applyAlignment="1">
      <alignment horizontal="right" wrapText="1"/>
    </xf>
    <xf numFmtId="0" fontId="11" fillId="0" borderId="0" xfId="0" applyFont="1" applyFill="1"/>
    <xf numFmtId="0" fontId="21" fillId="0" borderId="1" xfId="0" applyFont="1" applyBorder="1" applyAlignment="1">
      <alignment horizontal="center"/>
    </xf>
    <xf numFmtId="164" fontId="30" fillId="0" borderId="0" xfId="1" applyNumberFormat="1" applyFont="1"/>
    <xf numFmtId="0" fontId="4" fillId="0" borderId="0" xfId="0" applyFont="1" applyFill="1" applyAlignment="1">
      <alignment horizontal="center" wrapText="1"/>
    </xf>
    <xf numFmtId="0" fontId="20" fillId="0" borderId="1" xfId="0" applyFont="1" applyFill="1" applyBorder="1" applyAlignment="1">
      <alignment horizontal="left" wrapText="1"/>
    </xf>
    <xf numFmtId="0" fontId="2" fillId="7" borderId="1" xfId="0" applyFont="1" applyFill="1" applyBorder="1" applyAlignment="1">
      <alignment vertical="center"/>
    </xf>
    <xf numFmtId="0" fontId="2" fillId="7" borderId="1" xfId="0" applyFont="1" applyFill="1" applyBorder="1" applyAlignment="1">
      <alignment vertical="center" wrapText="1"/>
    </xf>
    <xf numFmtId="169" fontId="2" fillId="0" borderId="0" xfId="2" applyNumberFormat="1" applyFont="1"/>
    <xf numFmtId="164" fontId="4" fillId="0" borderId="0" xfId="0" applyNumberFormat="1" applyFont="1"/>
    <xf numFmtId="0" fontId="31" fillId="0" borderId="0" xfId="0" applyFont="1"/>
    <xf numFmtId="0" fontId="34" fillId="0" borderId="0" xfId="0" applyFont="1"/>
    <xf numFmtId="0" fontId="35" fillId="0" borderId="0" xfId="0" applyFont="1"/>
    <xf numFmtId="9" fontId="30" fillId="0" borderId="0" xfId="0" applyNumberFormat="1" applyFont="1" applyAlignment="1">
      <alignment vertical="center"/>
    </xf>
    <xf numFmtId="0" fontId="30" fillId="0" borderId="0" xfId="0" applyFont="1" applyAlignment="1">
      <alignment vertical="center"/>
    </xf>
    <xf numFmtId="1" fontId="2" fillId="0" borderId="0" xfId="0" applyNumberFormat="1" applyFont="1" applyFill="1"/>
    <xf numFmtId="0" fontId="4" fillId="0" borderId="69" xfId="0" applyFont="1" applyBorder="1" applyAlignment="1">
      <alignment horizontal="center" wrapText="1"/>
    </xf>
    <xf numFmtId="0" fontId="4" fillId="0" borderId="70" xfId="0" applyFont="1" applyBorder="1" applyAlignment="1">
      <alignment horizontal="center" wrapText="1"/>
    </xf>
    <xf numFmtId="0" fontId="4" fillId="0" borderId="71" xfId="0" applyFont="1" applyBorder="1" applyAlignment="1">
      <alignment horizontal="center" wrapText="1"/>
    </xf>
    <xf numFmtId="0" fontId="23" fillId="0" borderId="0" xfId="0" applyFont="1"/>
    <xf numFmtId="0" fontId="18" fillId="0" borderId="0" xfId="0" applyFont="1" applyFill="1"/>
    <xf numFmtId="0" fontId="37" fillId="0" borderId="0" xfId="0" applyFont="1"/>
    <xf numFmtId="0" fontId="18" fillId="0" borderId="0" xfId="0" applyFont="1" applyAlignment="1">
      <alignment horizontal="left"/>
    </xf>
    <xf numFmtId="0" fontId="18"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horizontal="left" vertical="center"/>
    </xf>
    <xf numFmtId="9" fontId="30" fillId="0" borderId="0" xfId="0" applyNumberFormat="1" applyFont="1" applyAlignment="1">
      <alignment horizontal="center" vertical="center"/>
    </xf>
    <xf numFmtId="0" fontId="30" fillId="0" borderId="0" xfId="0" applyFont="1" applyAlignment="1">
      <alignment horizontal="center" vertical="center"/>
    </xf>
    <xf numFmtId="1" fontId="38" fillId="0" borderId="0" xfId="0" applyNumberFormat="1" applyFont="1" applyFill="1" applyBorder="1"/>
    <xf numFmtId="1" fontId="38" fillId="0" borderId="0" xfId="0" applyNumberFormat="1" applyFont="1" applyFill="1"/>
    <xf numFmtId="9" fontId="11" fillId="6" borderId="1" xfId="1" applyFont="1" applyFill="1" applyBorder="1" applyAlignment="1">
      <alignment horizontal="center"/>
    </xf>
    <xf numFmtId="164" fontId="11" fillId="0" borderId="1" xfId="0" applyNumberFormat="1" applyFont="1" applyBorder="1"/>
    <xf numFmtId="164" fontId="11" fillId="0" borderId="5" xfId="0" applyNumberFormat="1" applyFont="1" applyBorder="1"/>
    <xf numFmtId="164" fontId="11" fillId="0" borderId="7" xfId="0" applyNumberFormat="1" applyFont="1" applyBorder="1"/>
    <xf numFmtId="164" fontId="11" fillId="0" borderId="6" xfId="0" applyNumberFormat="1" applyFont="1" applyBorder="1"/>
    <xf numFmtId="164" fontId="11" fillId="0" borderId="19" xfId="0" applyNumberFormat="1" applyFont="1" applyBorder="1"/>
    <xf numFmtId="0" fontId="11" fillId="2" borderId="1" xfId="0" applyFont="1" applyFill="1" applyBorder="1" applyAlignment="1">
      <alignment horizontal="center"/>
    </xf>
    <xf numFmtId="1" fontId="11" fillId="3" borderId="1" xfId="0" applyNumberFormat="1" applyFont="1" applyFill="1" applyBorder="1" applyAlignment="1">
      <alignment horizontal="center"/>
    </xf>
    <xf numFmtId="168" fontId="11" fillId="3" borderId="1" xfId="1" applyNumberFormat="1" applyFont="1" applyFill="1" applyBorder="1" applyAlignment="1">
      <alignment horizontal="center"/>
    </xf>
    <xf numFmtId="0" fontId="24" fillId="0" borderId="0" xfId="0" applyFont="1" applyFill="1"/>
    <xf numFmtId="168" fontId="24" fillId="0" borderId="1" xfId="1" applyNumberFormat="1" applyFont="1" applyFill="1" applyBorder="1" applyAlignment="1">
      <alignment horizontal="center"/>
    </xf>
    <xf numFmtId="166" fontId="24" fillId="3" borderId="1" xfId="0" applyNumberFormat="1" applyFont="1" applyFill="1" applyBorder="1" applyAlignment="1">
      <alignment horizontal="center"/>
    </xf>
    <xf numFmtId="0" fontId="24" fillId="2" borderId="1" xfId="0" applyFont="1" applyFill="1" applyBorder="1" applyAlignment="1">
      <alignment horizontal="center"/>
    </xf>
    <xf numFmtId="169" fontId="24" fillId="0" borderId="1" xfId="2" applyNumberFormat="1" applyFont="1" applyBorder="1"/>
    <xf numFmtId="165" fontId="24" fillId="0" borderId="1" xfId="0" applyNumberFormat="1" applyFont="1" applyBorder="1"/>
    <xf numFmtId="164" fontId="24" fillId="0" borderId="1" xfId="0" applyNumberFormat="1" applyFont="1" applyBorder="1"/>
    <xf numFmtId="0" fontId="18" fillId="2" borderId="1" xfId="0" applyFont="1" applyFill="1" applyBorder="1" applyAlignment="1">
      <alignment horizontal="center"/>
    </xf>
    <xf numFmtId="164" fontId="18" fillId="0" borderId="1" xfId="0" applyNumberFormat="1" applyFont="1" applyFill="1" applyBorder="1"/>
    <xf numFmtId="1" fontId="11" fillId="2" borderId="1" xfId="0" applyNumberFormat="1" applyFont="1" applyFill="1" applyBorder="1"/>
    <xf numFmtId="1" fontId="11" fillId="0" borderId="8" xfId="0" applyNumberFormat="1" applyFont="1" applyFill="1" applyBorder="1"/>
    <xf numFmtId="1" fontId="11" fillId="0" borderId="1" xfId="0" applyNumberFormat="1" applyFont="1" applyFill="1" applyBorder="1"/>
    <xf numFmtId="1" fontId="18" fillId="0" borderId="1" xfId="0" applyNumberFormat="1" applyFont="1" applyBorder="1"/>
    <xf numFmtId="9" fontId="18" fillId="0" borderId="2" xfId="1" applyFont="1" applyBorder="1"/>
    <xf numFmtId="1" fontId="11" fillId="0" borderId="49" xfId="0" applyNumberFormat="1" applyFont="1" applyBorder="1"/>
    <xf numFmtId="1" fontId="11" fillId="0" borderId="1" xfId="0" applyNumberFormat="1" applyFont="1" applyBorder="1"/>
    <xf numFmtId="1" fontId="11" fillId="0" borderId="3" xfId="0" applyNumberFormat="1" applyFont="1" applyBorder="1"/>
    <xf numFmtId="1" fontId="11" fillId="0" borderId="2" xfId="0" applyNumberFormat="1" applyFont="1" applyFill="1" applyBorder="1"/>
    <xf numFmtId="1" fontId="11" fillId="0" borderId="38" xfId="0" applyNumberFormat="1" applyFont="1" applyFill="1" applyBorder="1"/>
    <xf numFmtId="1" fontId="11" fillId="0" borderId="5" xfId="0" applyNumberFormat="1" applyFont="1" applyFill="1" applyBorder="1"/>
    <xf numFmtId="1" fontId="18" fillId="0" borderId="5" xfId="0" applyNumberFormat="1" applyFont="1" applyBorder="1"/>
    <xf numFmtId="9" fontId="18" fillId="0" borderId="20" xfId="1" applyFont="1" applyBorder="1"/>
    <xf numFmtId="1" fontId="11" fillId="0" borderId="50" xfId="0" applyNumberFormat="1" applyFont="1" applyBorder="1"/>
    <xf numFmtId="1" fontId="11" fillId="0" borderId="5" xfId="0" applyNumberFormat="1" applyFont="1" applyBorder="1"/>
    <xf numFmtId="1" fontId="11" fillId="0" borderId="21" xfId="0" applyNumberFormat="1" applyFont="1" applyBorder="1"/>
    <xf numFmtId="1" fontId="11" fillId="0" borderId="20" xfId="0" applyNumberFormat="1" applyFont="1" applyFill="1" applyBorder="1"/>
    <xf numFmtId="1" fontId="11" fillId="0" borderId="40" xfId="0" applyNumberFormat="1" applyFont="1" applyFill="1" applyBorder="1"/>
    <xf numFmtId="1" fontId="11" fillId="0" borderId="19" xfId="0" applyNumberFormat="1" applyFont="1" applyFill="1" applyBorder="1"/>
    <xf numFmtId="9" fontId="11" fillId="0" borderId="23" xfId="1" applyFont="1" applyFill="1" applyBorder="1"/>
    <xf numFmtId="1" fontId="11" fillId="0" borderId="51" xfId="0" applyNumberFormat="1" applyFont="1" applyFill="1" applyBorder="1"/>
    <xf numFmtId="1" fontId="11" fillId="0" borderId="72" xfId="0" applyNumberFormat="1" applyFont="1" applyFill="1" applyBorder="1"/>
    <xf numFmtId="0" fontId="11" fillId="0" borderId="43" xfId="0" applyFont="1" applyFill="1" applyBorder="1"/>
    <xf numFmtId="0" fontId="11" fillId="0" borderId="23" xfId="0" applyFont="1" applyFill="1" applyBorder="1"/>
    <xf numFmtId="0" fontId="11" fillId="0" borderId="41" xfId="0" applyFont="1" applyFill="1" applyBorder="1"/>
    <xf numFmtId="1" fontId="11" fillId="0" borderId="28" xfId="0" applyNumberFormat="1" applyFont="1" applyBorder="1"/>
    <xf numFmtId="1" fontId="11" fillId="0" borderId="53" xfId="0" applyNumberFormat="1" applyFont="1" applyFill="1" applyBorder="1"/>
    <xf numFmtId="0" fontId="2" fillId="3" borderId="8" xfId="0" applyFont="1" applyFill="1" applyBorder="1"/>
    <xf numFmtId="0" fontId="2" fillId="3" borderId="9" xfId="0" applyFont="1" applyFill="1" applyBorder="1"/>
    <xf numFmtId="0" fontId="2" fillId="3" borderId="38" xfId="0" applyFont="1" applyFill="1" applyBorder="1"/>
    <xf numFmtId="0" fontId="2" fillId="3" borderId="20" xfId="0" applyFont="1" applyFill="1" applyBorder="1"/>
    <xf numFmtId="0" fontId="2" fillId="3" borderId="37" xfId="0" applyFont="1" applyFill="1" applyBorder="1"/>
    <xf numFmtId="9" fontId="11" fillId="0" borderId="19" xfId="1" applyFont="1" applyFill="1" applyBorder="1"/>
    <xf numFmtId="1" fontId="11" fillId="0" borderId="52" xfId="0" applyNumberFormat="1" applyFont="1" applyFill="1" applyBorder="1"/>
    <xf numFmtId="1" fontId="11" fillId="0" borderId="29" xfId="0" applyNumberFormat="1" applyFont="1" applyBorder="1"/>
    <xf numFmtId="0" fontId="11" fillId="0" borderId="40" xfId="0" applyFont="1" applyFill="1" applyBorder="1"/>
    <xf numFmtId="9" fontId="11" fillId="0" borderId="62" xfId="1" applyFont="1" applyFill="1" applyBorder="1"/>
    <xf numFmtId="1" fontId="11" fillId="0" borderId="33" xfId="0" applyNumberFormat="1" applyFont="1" applyFill="1" applyBorder="1"/>
    <xf numFmtId="1" fontId="11" fillId="0" borderId="59" xfId="0" applyNumberFormat="1" applyFont="1" applyFill="1" applyBorder="1"/>
    <xf numFmtId="1" fontId="11" fillId="0" borderId="63" xfId="0" applyNumberFormat="1" applyFont="1" applyFill="1" applyBorder="1"/>
    <xf numFmtId="9" fontId="18" fillId="0" borderId="28" xfId="1" applyFont="1" applyBorder="1"/>
    <xf numFmtId="9" fontId="18" fillId="0" borderId="56" xfId="1" applyFont="1" applyBorder="1"/>
    <xf numFmtId="1" fontId="11" fillId="0" borderId="36" xfId="0" applyNumberFormat="1" applyFont="1" applyFill="1" applyBorder="1"/>
    <xf numFmtId="1" fontId="11" fillId="0" borderId="6" xfId="0" applyNumberFormat="1" applyFont="1" applyFill="1" applyBorder="1"/>
    <xf numFmtId="1" fontId="18" fillId="0" borderId="6" xfId="0" applyNumberFormat="1" applyFont="1" applyBorder="1"/>
    <xf numFmtId="9" fontId="18" fillId="0" borderId="60" xfId="1" applyFont="1" applyBorder="1"/>
    <xf numFmtId="9" fontId="18" fillId="0" borderId="61" xfId="1" applyFont="1" applyBorder="1"/>
    <xf numFmtId="1" fontId="18" fillId="0" borderId="49" xfId="0" applyNumberFormat="1" applyFont="1" applyBorder="1"/>
    <xf numFmtId="1" fontId="18" fillId="0" borderId="50" xfId="0" applyNumberFormat="1" applyFont="1" applyBorder="1"/>
    <xf numFmtId="0" fontId="2" fillId="3" borderId="42" xfId="0" applyFont="1" applyFill="1" applyBorder="1"/>
    <xf numFmtId="0" fontId="2" fillId="3" borderId="39" xfId="0" applyFont="1" applyFill="1" applyBorder="1"/>
    <xf numFmtId="1" fontId="11" fillId="0" borderId="23" xfId="0" applyNumberFormat="1" applyFont="1" applyFill="1" applyBorder="1"/>
    <xf numFmtId="1" fontId="11" fillId="0" borderId="66" xfId="0" applyNumberFormat="1" applyFont="1" applyFill="1" applyBorder="1"/>
    <xf numFmtId="1" fontId="11" fillId="0" borderId="30" xfId="0" applyNumberFormat="1" applyFont="1" applyFill="1" applyBorder="1"/>
    <xf numFmtId="1" fontId="11" fillId="0" borderId="31" xfId="0" applyNumberFormat="1" applyFont="1" applyFill="1" applyBorder="1"/>
    <xf numFmtId="0" fontId="11" fillId="0" borderId="19" xfId="0" applyFont="1" applyFill="1" applyBorder="1"/>
    <xf numFmtId="10" fontId="11" fillId="0" borderId="1" xfId="1" applyNumberFormat="1" applyFont="1" applyFill="1" applyBorder="1"/>
    <xf numFmtId="164" fontId="24" fillId="0" borderId="5" xfId="0" applyNumberFormat="1" applyFont="1" applyBorder="1"/>
    <xf numFmtId="164" fontId="24" fillId="0" borderId="7" xfId="0" applyNumberFormat="1" applyFont="1" applyBorder="1"/>
    <xf numFmtId="0" fontId="31" fillId="0" borderId="5" xfId="0" applyFont="1" applyBorder="1" applyAlignment="1">
      <alignment horizontal="center"/>
    </xf>
    <xf numFmtId="164" fontId="30" fillId="0" borderId="7" xfId="0" applyNumberFormat="1" applyFont="1" applyBorder="1"/>
    <xf numFmtId="164" fontId="30" fillId="0" borderId="1" xfId="0" applyNumberFormat="1" applyFont="1" applyBorder="1"/>
    <xf numFmtId="164" fontId="30" fillId="0" borderId="6" xfId="0" applyNumberFormat="1" applyFont="1" applyBorder="1"/>
    <xf numFmtId="164" fontId="30" fillId="0" borderId="46" xfId="0" applyNumberFormat="1" applyFont="1" applyBorder="1"/>
    <xf numFmtId="164" fontId="31" fillId="0" borderId="19" xfId="0" applyNumberFormat="1" applyFont="1" applyBorder="1"/>
    <xf numFmtId="0" fontId="30" fillId="0" borderId="1" xfId="0" applyFont="1" applyBorder="1"/>
    <xf numFmtId="0" fontId="30" fillId="0" borderId="6" xfId="0" applyFont="1" applyBorder="1"/>
    <xf numFmtId="0" fontId="18" fillId="0" borderId="0" xfId="0" applyFont="1" applyAlignment="1">
      <alignment vertical="center" wrapText="1"/>
    </xf>
    <xf numFmtId="0" fontId="4" fillId="0" borderId="2" xfId="0" applyFont="1" applyFill="1" applyBorder="1" applyAlignment="1">
      <alignment wrapText="1"/>
    </xf>
    <xf numFmtId="0" fontId="11" fillId="0" borderId="7" xfId="0" applyFont="1" applyFill="1" applyBorder="1" applyAlignment="1">
      <alignment wrapText="1"/>
    </xf>
    <xf numFmtId="0" fontId="40" fillId="0" borderId="0" xfId="0" applyFont="1" applyAlignment="1">
      <alignment horizontal="right"/>
    </xf>
    <xf numFmtId="164" fontId="40" fillId="0" borderId="0" xfId="0" applyNumberFormat="1" applyFont="1"/>
    <xf numFmtId="164" fontId="18" fillId="0" borderId="7" xfId="0" applyNumberFormat="1" applyFont="1" applyBorder="1"/>
    <xf numFmtId="2" fontId="18" fillId="0" borderId="7" xfId="0" applyNumberFormat="1" applyFont="1" applyBorder="1"/>
    <xf numFmtId="164" fontId="2" fillId="4" borderId="5" xfId="0" applyNumberFormat="1" applyFont="1" applyFill="1" applyBorder="1"/>
    <xf numFmtId="0" fontId="7" fillId="0" borderId="7" xfId="0" applyFont="1" applyBorder="1"/>
    <xf numFmtId="0" fontId="4" fillId="0" borderId="5" xfId="0" applyFont="1" applyBorder="1"/>
    <xf numFmtId="0" fontId="4" fillId="0" borderId="5" xfId="0" applyNumberFormat="1" applyFont="1" applyBorder="1"/>
    <xf numFmtId="0" fontId="14" fillId="0" borderId="5" xfId="0" applyNumberFormat="1" applyFont="1" applyBorder="1"/>
    <xf numFmtId="0" fontId="14" fillId="0" borderId="20" xfId="0" applyNumberFormat="1" applyFont="1" applyBorder="1"/>
    <xf numFmtId="0" fontId="14" fillId="0" borderId="5" xfId="0" applyFont="1" applyBorder="1" applyAlignment="1">
      <alignment horizontal="center" wrapText="1"/>
    </xf>
    <xf numFmtId="164" fontId="20" fillId="0" borderId="0" xfId="0" applyNumberFormat="1" applyFont="1"/>
    <xf numFmtId="9" fontId="20" fillId="0" borderId="0" xfId="1" applyFont="1"/>
    <xf numFmtId="164" fontId="11" fillId="0" borderId="7" xfId="0" applyNumberFormat="1" applyFont="1" applyFill="1" applyBorder="1"/>
    <xf numFmtId="164" fontId="11" fillId="0" borderId="2" xfId="0" applyNumberFormat="1" applyFont="1" applyBorder="1"/>
    <xf numFmtId="164" fontId="18" fillId="0" borderId="1" xfId="0" applyNumberFormat="1" applyFont="1" applyBorder="1"/>
    <xf numFmtId="164" fontId="11" fillId="0" borderId="20" xfId="0" applyNumberFormat="1" applyFont="1" applyBorder="1"/>
    <xf numFmtId="164" fontId="18" fillId="0" borderId="5" xfId="0" applyNumberFormat="1" applyFont="1" applyBorder="1"/>
    <xf numFmtId="9" fontId="18" fillId="0" borderId="7" xfId="1" applyFont="1" applyBorder="1"/>
    <xf numFmtId="9" fontId="18" fillId="0" borderId="1" xfId="1" applyFont="1" applyBorder="1"/>
    <xf numFmtId="9" fontId="18" fillId="0" borderId="5" xfId="1" applyFont="1" applyBorder="1"/>
    <xf numFmtId="164" fontId="2" fillId="0" borderId="0" xfId="0" applyNumberFormat="1" applyFont="1" applyFill="1" applyBorder="1"/>
    <xf numFmtId="0" fontId="2" fillId="0" borderId="1" xfId="0" applyFont="1" applyBorder="1" applyAlignment="1">
      <alignment horizontal="left" wrapText="1"/>
    </xf>
    <xf numFmtId="0" fontId="7" fillId="0" borderId="1" xfId="0" applyFont="1" applyFill="1" applyBorder="1" applyAlignment="1">
      <alignment wrapText="1"/>
    </xf>
    <xf numFmtId="0" fontId="14" fillId="0" borderId="13" xfId="0" applyFont="1" applyFill="1" applyBorder="1" applyAlignment="1">
      <alignment horizont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18" fillId="0" borderId="0" xfId="0" applyFont="1" applyAlignment="1">
      <alignment horizontal="left" wrapText="1"/>
    </xf>
    <xf numFmtId="0" fontId="4" fillId="0" borderId="34"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2" fillId="0" borderId="0" xfId="0" applyFont="1" applyAlignment="1"/>
    <xf numFmtId="0" fontId="41" fillId="0" borderId="0" xfId="0" applyFont="1" applyAlignment="1">
      <alignment vertical="center" wrapText="1"/>
    </xf>
    <xf numFmtId="0" fontId="3" fillId="0" borderId="0" xfId="0" applyFont="1" applyAlignment="1"/>
    <xf numFmtId="0" fontId="9" fillId="0" borderId="0" xfId="0" applyFont="1" applyAlignment="1"/>
    <xf numFmtId="0" fontId="3" fillId="0" borderId="0" xfId="0" applyFont="1" applyAlignment="1">
      <alignment wrapText="1"/>
    </xf>
    <xf numFmtId="0" fontId="9" fillId="0" borderId="0" xfId="0" applyFont="1" applyAlignment="1">
      <alignment wrapText="1"/>
    </xf>
    <xf numFmtId="0" fontId="43" fillId="0" borderId="0" xfId="0" applyFont="1" applyAlignment="1">
      <alignment wrapText="1"/>
    </xf>
    <xf numFmtId="0" fontId="0" fillId="0" borderId="0" xfId="0" applyAlignment="1">
      <alignment wrapText="1"/>
    </xf>
    <xf numFmtId="0" fontId="42" fillId="0" borderId="0" xfId="0" applyFont="1" applyAlignment="1">
      <alignment wrapText="1"/>
    </xf>
    <xf numFmtId="0" fontId="2" fillId="4" borderId="6" xfId="0" applyFont="1" applyFill="1" applyBorder="1" applyAlignment="1">
      <alignment vertical="center"/>
    </xf>
    <xf numFmtId="0" fontId="2" fillId="5" borderId="6" xfId="0" applyFont="1" applyFill="1" applyBorder="1" applyAlignment="1">
      <alignment vertical="center"/>
    </xf>
    <xf numFmtId="0" fontId="30" fillId="0" borderId="2" xfId="0" applyFont="1" applyBorder="1" applyAlignment="1"/>
    <xf numFmtId="0" fontId="30" fillId="0" borderId="4" xfId="0" applyFont="1" applyBorder="1" applyAlignment="1"/>
    <xf numFmtId="0" fontId="30" fillId="0" borderId="20" xfId="0" applyFont="1" applyBorder="1" applyAlignment="1"/>
    <xf numFmtId="0" fontId="30" fillId="0" borderId="22" xfId="0" applyFont="1" applyBorder="1" applyAlignment="1"/>
    <xf numFmtId="0" fontId="39" fillId="0" borderId="20" xfId="0" applyFont="1" applyBorder="1" applyAlignment="1"/>
    <xf numFmtId="0" fontId="39" fillId="0" borderId="22" xfId="0" applyFont="1" applyBorder="1" applyAlignment="1"/>
    <xf numFmtId="0" fontId="30" fillId="0" borderId="1" xfId="0" applyFont="1" applyBorder="1" applyAlignment="1"/>
    <xf numFmtId="0" fontId="31" fillId="0" borderId="19" xfId="0" applyFont="1" applyBorder="1" applyAlignment="1"/>
    <xf numFmtId="0" fontId="30" fillId="0" borderId="23" xfId="0" applyFont="1" applyBorder="1" applyAlignment="1"/>
    <xf numFmtId="0" fontId="30" fillId="0" borderId="24" xfId="0" applyFont="1" applyBorder="1" applyAlignment="1"/>
    <xf numFmtId="0" fontId="31" fillId="0" borderId="23" xfId="0" applyFont="1" applyBorder="1" applyAlignment="1"/>
    <xf numFmtId="0" fontId="31" fillId="0" borderId="24" xfId="0" applyFont="1" applyBorder="1" applyAlignment="1"/>
    <xf numFmtId="0" fontId="39" fillId="0" borderId="5" xfId="0" applyFont="1" applyBorder="1" applyAlignment="1"/>
    <xf numFmtId="0" fontId="30" fillId="0" borderId="7" xfId="0" applyFont="1" applyBorder="1" applyAlignment="1"/>
    <xf numFmtId="0" fontId="10" fillId="0" borderId="1" xfId="0" applyFont="1" applyBorder="1" applyAlignment="1"/>
    <xf numFmtId="0" fontId="2" fillId="4" borderId="1" xfId="0" applyFont="1" applyFill="1" applyBorder="1" applyAlignment="1"/>
    <xf numFmtId="0" fontId="11" fillId="0" borderId="1" xfId="0" applyFont="1" applyFill="1" applyBorder="1" applyAlignment="1"/>
    <xf numFmtId="0" fontId="10" fillId="0" borderId="2" xfId="0" applyFont="1" applyBorder="1" applyAlignment="1"/>
    <xf numFmtId="0" fontId="2" fillId="4" borderId="2" xfId="0" applyFont="1" applyFill="1" applyBorder="1" applyAlignment="1"/>
    <xf numFmtId="0" fontId="11" fillId="0" borderId="2" xfId="0" applyFont="1" applyFill="1" applyBorder="1" applyAlignment="1"/>
    <xf numFmtId="0" fontId="10" fillId="0" borderId="0" xfId="0" applyFont="1" applyFill="1" applyBorder="1" applyAlignment="1"/>
    <xf numFmtId="0" fontId="11" fillId="0" borderId="0" xfId="0" applyFont="1" applyFill="1" applyBorder="1" applyAlignment="1"/>
    <xf numFmtId="0" fontId="2" fillId="4" borderId="3" xfId="0" applyFont="1" applyFill="1" applyBorder="1" applyAlignment="1"/>
    <xf numFmtId="0" fontId="2" fillId="4" borderId="4" xfId="0" applyFont="1" applyFill="1" applyBorder="1" applyAlignment="1"/>
    <xf numFmtId="0" fontId="11" fillId="0" borderId="3" xfId="0" applyFont="1" applyFill="1" applyBorder="1" applyAlignment="1"/>
    <xf numFmtId="0" fontId="11" fillId="0" borderId="4" xfId="0" applyFont="1" applyFill="1" applyBorder="1" applyAlignment="1"/>
    <xf numFmtId="0" fontId="10" fillId="0" borderId="4" xfId="0" applyFont="1" applyBorder="1" applyAlignment="1"/>
    <xf numFmtId="0" fontId="2" fillId="0" borderId="2" xfId="0" applyFont="1" applyFill="1" applyBorder="1" applyAlignment="1">
      <alignment wrapText="1"/>
    </xf>
    <xf numFmtId="0" fontId="2" fillId="0" borderId="2" xfId="0" applyFont="1" applyBorder="1" applyAlignment="1">
      <alignment wrapText="1"/>
    </xf>
    <xf numFmtId="164" fontId="2" fillId="4" borderId="6" xfId="0" applyNumberFormat="1" applyFont="1" applyFill="1" applyBorder="1" applyAlignment="1">
      <alignment vertical="center" wrapText="1"/>
    </xf>
    <xf numFmtId="0" fontId="2" fillId="4" borderId="6" xfId="0" applyFont="1" applyFill="1" applyBorder="1" applyAlignment="1">
      <alignment vertical="center" wrapText="1"/>
    </xf>
    <xf numFmtId="0" fontId="11" fillId="0" borderId="0" xfId="0" applyFont="1" applyFill="1" applyAlignment="1">
      <alignment vertical="top" wrapText="1"/>
    </xf>
    <xf numFmtId="0" fontId="4" fillId="0" borderId="0" xfId="0" applyFont="1" applyFill="1" applyBorder="1" applyAlignment="1">
      <alignment wrapText="1"/>
    </xf>
    <xf numFmtId="0" fontId="11" fillId="0" borderId="25"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11" fillId="0" borderId="0" xfId="0" applyFont="1" applyFill="1" applyBorder="1" applyAlignment="1">
      <alignment vertical="top" wrapText="1"/>
    </xf>
    <xf numFmtId="14" fontId="2" fillId="0" borderId="1" xfId="0" applyNumberFormat="1" applyFont="1" applyFill="1" applyBorder="1" applyAlignment="1">
      <alignment horizontal="left" vertical="top" wrapText="1"/>
    </xf>
    <xf numFmtId="0" fontId="10" fillId="0" borderId="3" xfId="0" applyFont="1" applyBorder="1" applyAlignment="1"/>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11" fillId="0" borderId="0" xfId="0" applyFont="1" applyBorder="1" applyAlignment="1">
      <alignment wrapText="1"/>
    </xf>
    <xf numFmtId="0" fontId="11" fillId="0" borderId="25" xfId="0" applyFont="1" applyBorder="1" applyAlignment="1">
      <alignment vertical="center" wrapText="1"/>
    </xf>
    <xf numFmtId="0" fontId="11" fillId="0" borderId="25" xfId="0" applyFont="1" applyBorder="1" applyAlignment="1">
      <alignment wrapText="1"/>
    </xf>
    <xf numFmtId="0" fontId="9" fillId="0" borderId="34" xfId="0" applyFont="1" applyBorder="1" applyAlignment="1"/>
    <xf numFmtId="0" fontId="9" fillId="0" borderId="3" xfId="0" applyFont="1" applyBorder="1" applyAlignment="1"/>
    <xf numFmtId="0" fontId="9" fillId="0" borderId="56" xfId="0" applyFont="1" applyBorder="1" applyAlignment="1"/>
    <xf numFmtId="0" fontId="4" fillId="0" borderId="32" xfId="0" applyFont="1" applyBorder="1" applyAlignment="1"/>
    <xf numFmtId="0" fontId="4" fillId="0" borderId="54" xfId="0" applyFont="1" applyBorder="1" applyAlignment="1"/>
    <xf numFmtId="0" fontId="4" fillId="0" borderId="55" xfId="0" applyFont="1" applyBorder="1" applyAlignment="1"/>
    <xf numFmtId="0" fontId="4" fillId="0" borderId="11" xfId="0" applyFont="1" applyBorder="1" applyAlignment="1">
      <alignment wrapText="1"/>
    </xf>
    <xf numFmtId="0" fontId="4" fillId="0" borderId="12" xfId="0" applyFont="1" applyBorder="1" applyAlignment="1">
      <alignment wrapText="1"/>
    </xf>
    <xf numFmtId="0" fontId="4" fillId="0" borderId="34" xfId="0" applyFont="1" applyBorder="1" applyAlignment="1">
      <alignment wrapText="1"/>
    </xf>
    <xf numFmtId="0" fontId="4" fillId="0" borderId="56" xfId="0" applyFont="1" applyBorder="1" applyAlignment="1">
      <alignment wrapText="1"/>
    </xf>
    <xf numFmtId="0" fontId="4" fillId="0" borderId="64" xfId="0" applyFont="1" applyBorder="1" applyAlignment="1"/>
    <xf numFmtId="0" fontId="4" fillId="0" borderId="26" xfId="0" applyFont="1" applyBorder="1" applyAlignment="1"/>
    <xf numFmtId="0" fontId="4" fillId="0" borderId="27" xfId="0" applyFont="1" applyBorder="1" applyAlignment="1"/>
    <xf numFmtId="0" fontId="4" fillId="0" borderId="44" xfId="0" applyFont="1" applyBorder="1" applyAlignment="1">
      <alignment wrapText="1"/>
    </xf>
    <xf numFmtId="0" fontId="4" fillId="0" borderId="45" xfId="0" applyFont="1" applyBorder="1" applyAlignment="1">
      <alignment wrapText="1"/>
    </xf>
    <xf numFmtId="0" fontId="9" fillId="0" borderId="34" xfId="0" applyFont="1" applyBorder="1" applyAlignment="1">
      <alignment wrapText="1"/>
    </xf>
    <xf numFmtId="0" fontId="9" fillId="0" borderId="3" xfId="0" applyFont="1" applyBorder="1" applyAlignment="1">
      <alignment wrapText="1"/>
    </xf>
    <xf numFmtId="0" fontId="9" fillId="0" borderId="56" xfId="0" applyFont="1" applyBorder="1" applyAlignment="1">
      <alignment wrapText="1"/>
    </xf>
    <xf numFmtId="0" fontId="9" fillId="0" borderId="8" xfId="0" applyFont="1" applyBorder="1" applyAlignment="1">
      <alignment wrapText="1"/>
    </xf>
    <xf numFmtId="0" fontId="9" fillId="0" borderId="1" xfId="0" applyFont="1" applyBorder="1" applyAlignment="1">
      <alignment wrapText="1"/>
    </xf>
    <xf numFmtId="0" fontId="9" fillId="0" borderId="28" xfId="0" applyFont="1" applyBorder="1" applyAlignment="1">
      <alignment wrapText="1"/>
    </xf>
    <xf numFmtId="0" fontId="4" fillId="0" borderId="32" xfId="0" applyFont="1" applyBorder="1" applyAlignment="1">
      <alignment wrapText="1"/>
    </xf>
    <xf numFmtId="0" fontId="4" fillId="0" borderId="55" xfId="0" applyFont="1" applyBorder="1" applyAlignment="1">
      <alignment wrapText="1"/>
    </xf>
    <xf numFmtId="0" fontId="4" fillId="0" borderId="34" xfId="0" applyFont="1" applyBorder="1" applyAlignment="1"/>
    <xf numFmtId="0" fontId="4" fillId="0" borderId="3" xfId="0" applyFont="1" applyBorder="1" applyAlignment="1"/>
    <xf numFmtId="0" fontId="4" fillId="0" borderId="35" xfId="0" applyFont="1" applyBorder="1" applyAlignment="1"/>
    <xf numFmtId="0" fontId="20" fillId="0" borderId="6" xfId="0" applyFont="1" applyFill="1" applyBorder="1" applyAlignment="1">
      <alignment vertical="center" wrapText="1"/>
    </xf>
    <xf numFmtId="0" fontId="21" fillId="0" borderId="1" xfId="0" applyFont="1" applyBorder="1" applyAlignment="1">
      <alignment wrapText="1"/>
    </xf>
    <xf numFmtId="0" fontId="9" fillId="0" borderId="1" xfId="0" applyFont="1" applyFill="1" applyBorder="1" applyAlignment="1">
      <alignment vertical="top" wrapText="1"/>
    </xf>
    <xf numFmtId="0" fontId="2" fillId="3" borderId="1" xfId="0" applyFont="1" applyFill="1" applyBorder="1" applyAlignment="1">
      <alignment wrapText="1"/>
    </xf>
    <xf numFmtId="0" fontId="9" fillId="0" borderId="1" xfId="0" applyFont="1" applyFill="1" applyBorder="1" applyAlignment="1">
      <alignment wrapText="1"/>
    </xf>
    <xf numFmtId="0" fontId="4" fillId="0" borderId="8" xfId="0" applyFont="1" applyBorder="1" applyAlignment="1">
      <alignment wrapText="1"/>
    </xf>
    <xf numFmtId="0" fontId="2" fillId="0" borderId="10" xfId="0" applyFont="1" applyFill="1" applyBorder="1" applyAlignment="1">
      <alignment vertical="center" wrapText="1"/>
    </xf>
    <xf numFmtId="0" fontId="2" fillId="3" borderId="1" xfId="0" applyFont="1" applyFill="1" applyBorder="1" applyAlignment="1">
      <alignment vertical="center" wrapText="1"/>
    </xf>
    <xf numFmtId="0" fontId="21" fillId="0" borderId="2" xfId="0" applyFont="1" applyBorder="1" applyAlignment="1">
      <alignment wrapText="1"/>
    </xf>
    <xf numFmtId="0" fontId="4" fillId="0" borderId="9" xfId="0" applyFont="1" applyBorder="1" applyAlignment="1">
      <alignment wrapText="1"/>
    </xf>
    <xf numFmtId="164" fontId="18" fillId="0" borderId="0" xfId="0" applyNumberFormat="1" applyFont="1"/>
    <xf numFmtId="0" fontId="45" fillId="0" borderId="1" xfId="0" applyFont="1" applyBorder="1"/>
    <xf numFmtId="164" fontId="45" fillId="4" borderId="1" xfId="0" applyNumberFormat="1" applyFont="1" applyFill="1" applyBorder="1"/>
    <xf numFmtId="164" fontId="46" fillId="0" borderId="1" xfId="0" applyNumberFormat="1" applyFont="1" applyBorder="1"/>
    <xf numFmtId="164" fontId="46" fillId="0" borderId="2" xfId="0" applyNumberFormat="1" applyFont="1" applyBorder="1"/>
    <xf numFmtId="9" fontId="46" fillId="0" borderId="1" xfId="1" applyFont="1" applyBorder="1"/>
    <xf numFmtId="0" fontId="10" fillId="0" borderId="1" xfId="0" applyFont="1" applyBorder="1" applyAlignment="1">
      <alignment wrapText="1"/>
    </xf>
    <xf numFmtId="0" fontId="10" fillId="0" borderId="0" xfId="0" applyFont="1" applyFill="1" applyBorder="1" applyAlignment="1">
      <alignment wrapText="1"/>
    </xf>
    <xf numFmtId="0" fontId="2" fillId="4" borderId="1" xfId="0" applyFont="1" applyFill="1" applyBorder="1" applyAlignment="1">
      <alignment wrapText="1"/>
    </xf>
    <xf numFmtId="0" fontId="11" fillId="0" borderId="1" xfId="0" applyFont="1" applyFill="1" applyBorder="1" applyAlignment="1">
      <alignment wrapText="1"/>
    </xf>
    <xf numFmtId="0" fontId="9" fillId="0" borderId="0" xfId="0" applyFont="1" applyFill="1" applyAlignment="1">
      <alignment horizontal="left" vertical="top" wrapText="1"/>
    </xf>
    <xf numFmtId="164" fontId="2" fillId="4" borderId="1" xfId="2" applyNumberFormat="1" applyFont="1" applyFill="1" applyBorder="1" applyAlignment="1">
      <alignment wrapText="1"/>
    </xf>
    <xf numFmtId="0" fontId="7" fillId="0" borderId="1" xfId="0" applyFont="1" applyBorder="1" applyAlignment="1">
      <alignment horizontal="right" wrapText="1"/>
    </xf>
    <xf numFmtId="0" fontId="7" fillId="0" borderId="2" xfId="0" applyFont="1" applyBorder="1" applyAlignment="1">
      <alignment wrapText="1"/>
    </xf>
    <xf numFmtId="164" fontId="7" fillId="4" borderId="1" xfId="2" applyNumberFormat="1" applyFont="1" applyFill="1" applyBorder="1" applyAlignment="1">
      <alignment wrapText="1"/>
    </xf>
    <xf numFmtId="0" fontId="6" fillId="0" borderId="0" xfId="0" applyFont="1" applyAlignment="1">
      <alignment wrapText="1"/>
    </xf>
    <xf numFmtId="0" fontId="2" fillId="4" borderId="1" xfId="2" applyNumberFormat="1" applyFont="1" applyFill="1" applyBorder="1" applyAlignment="1">
      <alignment wrapText="1"/>
    </xf>
    <xf numFmtId="9" fontId="2" fillId="4" borderId="1" xfId="1" applyFont="1" applyFill="1" applyBorder="1" applyAlignment="1">
      <alignment wrapText="1"/>
    </xf>
    <xf numFmtId="0" fontId="2" fillId="4" borderId="1" xfId="1" applyNumberFormat="1" applyFont="1" applyFill="1" applyBorder="1" applyAlignment="1">
      <alignment wrapText="1"/>
    </xf>
    <xf numFmtId="0" fontId="18" fillId="0" borderId="0" xfId="0" applyFont="1" applyBorder="1" applyAlignment="1">
      <alignment horizontal="left" wrapText="1"/>
    </xf>
    <xf numFmtId="0" fontId="2" fillId="0" borderId="0" xfId="0" applyFont="1" applyBorder="1" applyAlignment="1">
      <alignment horizontal="center" wrapText="1"/>
    </xf>
    <xf numFmtId="168" fontId="2" fillId="0" borderId="0" xfId="1" applyNumberFormat="1" applyFont="1" applyFill="1" applyBorder="1" applyAlignment="1">
      <alignment wrapText="1"/>
    </xf>
    <xf numFmtId="0" fontId="11" fillId="0" borderId="0" xfId="0" applyFont="1" applyBorder="1" applyAlignment="1">
      <alignment horizontal="left" wrapText="1"/>
    </xf>
    <xf numFmtId="0" fontId="2" fillId="0" borderId="0" xfId="0" applyFont="1" applyBorder="1" applyAlignment="1">
      <alignment wrapText="1"/>
    </xf>
    <xf numFmtId="0" fontId="2" fillId="0" borderId="1" xfId="0" applyFont="1" applyBorder="1" applyAlignment="1">
      <alignment wrapText="1"/>
    </xf>
    <xf numFmtId="0" fontId="2" fillId="4" borderId="2" xfId="0" applyFont="1" applyFill="1" applyBorder="1" applyAlignment="1">
      <alignment wrapText="1"/>
    </xf>
    <xf numFmtId="164" fontId="2" fillId="0" borderId="0" xfId="2" applyNumberFormat="1" applyFont="1" applyAlignment="1">
      <alignment wrapText="1"/>
    </xf>
    <xf numFmtId="164" fontId="4" fillId="0" borderId="1" xfId="2" applyNumberFormat="1" applyFont="1" applyBorder="1" applyAlignment="1">
      <alignment horizontal="center" wrapText="1"/>
    </xf>
    <xf numFmtId="0" fontId="4" fillId="0" borderId="0" xfId="0" applyFont="1" applyAlignment="1">
      <alignment wrapText="1"/>
    </xf>
    <xf numFmtId="0" fontId="17" fillId="0" borderId="0" xfId="0" applyFont="1" applyAlignment="1">
      <alignment wrapText="1"/>
    </xf>
    <xf numFmtId="0" fontId="7" fillId="0" borderId="1" xfId="0" applyFont="1" applyBorder="1" applyAlignment="1">
      <alignment horizontal="left" wrapText="1"/>
    </xf>
    <xf numFmtId="0" fontId="2" fillId="4" borderId="1" xfId="0" applyFont="1" applyFill="1" applyBorder="1" applyAlignment="1">
      <alignment horizontal="right" wrapText="1"/>
    </xf>
    <xf numFmtId="0" fontId="2" fillId="4" borderId="2" xfId="0" applyFont="1" applyFill="1" applyBorder="1" applyAlignment="1">
      <alignment horizontal="left" wrapText="1"/>
    </xf>
    <xf numFmtId="14" fontId="2" fillId="4" borderId="1" xfId="0" applyNumberFormat="1" applyFont="1" applyFill="1" applyBorder="1" applyAlignment="1">
      <alignment wrapText="1"/>
    </xf>
    <xf numFmtId="164" fontId="2" fillId="4" borderId="1" xfId="0" applyNumberFormat="1" applyFont="1" applyFill="1" applyBorder="1" applyAlignment="1">
      <alignment vertical="center" wrapText="1"/>
    </xf>
    <xf numFmtId="164" fontId="2" fillId="4" borderId="1" xfId="0" applyNumberFormat="1" applyFont="1" applyFill="1" applyBorder="1" applyAlignment="1">
      <alignment wrapText="1"/>
    </xf>
    <xf numFmtId="164" fontId="2" fillId="0" borderId="0" xfId="0" applyNumberFormat="1" applyFont="1" applyFill="1" applyBorder="1" applyAlignment="1">
      <alignment wrapText="1"/>
    </xf>
    <xf numFmtId="164" fontId="11" fillId="0" borderId="1" xfId="0" applyNumberFormat="1" applyFont="1" applyFill="1" applyBorder="1" applyAlignment="1">
      <alignment wrapText="1"/>
    </xf>
    <xf numFmtId="164" fontId="2" fillId="0" borderId="1" xfId="0" applyNumberFormat="1" applyFont="1" applyFill="1" applyBorder="1" applyAlignment="1">
      <alignment wrapText="1"/>
    </xf>
    <xf numFmtId="0" fontId="2" fillId="4" borderId="1" xfId="0" applyNumberFormat="1" applyFont="1" applyFill="1" applyBorder="1" applyAlignment="1">
      <alignment vertical="center" wrapText="1"/>
    </xf>
    <xf numFmtId="0" fontId="11" fillId="0" borderId="2" xfId="0" applyFont="1" applyFill="1" applyBorder="1" applyAlignment="1">
      <alignment wrapText="1"/>
    </xf>
    <xf numFmtId="0" fontId="11" fillId="0" borderId="3" xfId="0" applyFont="1" applyFill="1" applyBorder="1" applyAlignment="1">
      <alignment wrapText="1"/>
    </xf>
    <xf numFmtId="0" fontId="11" fillId="0" borderId="4" xfId="0" applyFont="1" applyFill="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1" fontId="11" fillId="0" borderId="1" xfId="0" applyNumberFormat="1" applyFont="1" applyFill="1" applyBorder="1" applyAlignment="1">
      <alignment horizontal="center" wrapText="1"/>
    </xf>
    <xf numFmtId="166" fontId="7" fillId="4"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Fill="1" applyBorder="1" applyAlignment="1">
      <alignment horizontal="left" wrapText="1"/>
    </xf>
    <xf numFmtId="1" fontId="2" fillId="4" borderId="1" xfId="0" applyNumberFormat="1" applyFont="1" applyFill="1" applyBorder="1" applyAlignment="1">
      <alignment wrapText="1"/>
    </xf>
    <xf numFmtId="2" fontId="11" fillId="0" borderId="1" xfId="0" applyNumberFormat="1" applyFont="1" applyFill="1" applyBorder="1" applyAlignment="1">
      <alignment wrapText="1"/>
    </xf>
    <xf numFmtId="0" fontId="2" fillId="2" borderId="1" xfId="0" applyFont="1" applyFill="1" applyBorder="1" applyAlignment="1">
      <alignment horizontal="center" wrapText="1"/>
    </xf>
    <xf numFmtId="0" fontId="7" fillId="0" borderId="1" xfId="0" applyFont="1" applyBorder="1" applyAlignment="1">
      <alignment wrapText="1"/>
    </xf>
    <xf numFmtId="2" fontId="2" fillId="0" borderId="1" xfId="0" applyNumberFormat="1" applyFont="1" applyFill="1" applyBorder="1" applyAlignment="1">
      <alignment wrapText="1"/>
    </xf>
    <xf numFmtId="0" fontId="4" fillId="0" borderId="6" xfId="0" applyFont="1" applyFill="1" applyBorder="1" applyAlignment="1">
      <alignment wrapText="1"/>
    </xf>
    <xf numFmtId="0" fontId="2" fillId="0" borderId="1" xfId="0" applyFont="1" applyFill="1" applyBorder="1" applyAlignment="1">
      <alignment horizontal="center" wrapText="1"/>
    </xf>
    <xf numFmtId="166" fontId="2" fillId="4" borderId="1" xfId="0" applyNumberFormat="1" applyFont="1" applyFill="1" applyBorder="1" applyAlignment="1">
      <alignment horizontal="center" wrapText="1"/>
    </xf>
    <xf numFmtId="165" fontId="11" fillId="0" borderId="1" xfId="0" applyNumberFormat="1" applyFont="1" applyFill="1" applyBorder="1" applyAlignment="1">
      <alignment horizontal="center" wrapText="1"/>
    </xf>
    <xf numFmtId="166" fontId="2" fillId="0" borderId="0" xfId="0" applyNumberFormat="1" applyFont="1" applyFill="1" applyAlignment="1">
      <alignment wrapText="1"/>
    </xf>
    <xf numFmtId="9" fontId="2" fillId="6" borderId="1" xfId="1" applyFont="1" applyFill="1" applyBorder="1" applyAlignment="1">
      <alignment horizontal="center" wrapText="1"/>
    </xf>
    <xf numFmtId="165" fontId="2" fillId="4" borderId="1" xfId="0" applyNumberFormat="1" applyFont="1" applyFill="1" applyBorder="1" applyAlignment="1">
      <alignment wrapText="1"/>
    </xf>
    <xf numFmtId="0" fontId="11" fillId="0" borderId="0" xfId="0" applyFont="1" applyFill="1" applyAlignment="1">
      <alignment horizontal="left" vertical="top" wrapText="1"/>
    </xf>
    <xf numFmtId="0" fontId="11" fillId="0" borderId="1" xfId="0" quotePrefix="1" applyFont="1" applyFill="1" applyBorder="1" applyAlignment="1">
      <alignment horizontal="right" wrapText="1"/>
    </xf>
    <xf numFmtId="0" fontId="11" fillId="0" borderId="0" xfId="0" applyFont="1" applyFill="1" applyAlignment="1">
      <alignment wrapText="1"/>
    </xf>
    <xf numFmtId="0" fontId="11" fillId="0" borderId="0" xfId="0" applyFont="1" applyFill="1" applyAlignment="1">
      <alignment horizontal="left" wrapText="1"/>
    </xf>
    <xf numFmtId="0" fontId="6" fillId="0" borderId="0" xfId="0" applyFont="1" applyBorder="1" applyAlignment="1">
      <alignment wrapText="1"/>
    </xf>
    <xf numFmtId="0" fontId="48" fillId="0" borderId="0" xfId="0" applyFont="1" applyFill="1" applyBorder="1" applyAlignment="1">
      <alignment wrapText="1"/>
    </xf>
    <xf numFmtId="0" fontId="7" fillId="0" borderId="0" xfId="0" applyFont="1" applyFill="1" applyBorder="1" applyAlignment="1">
      <alignment wrapText="1"/>
    </xf>
    <xf numFmtId="0" fontId="18" fillId="0" borderId="0" xfId="0" applyFont="1" applyFill="1" applyBorder="1" applyAlignment="1">
      <alignment wrapText="1"/>
    </xf>
    <xf numFmtId="0" fontId="8" fillId="0" borderId="0" xfId="0" applyFont="1" applyFill="1" applyAlignment="1">
      <alignment wrapText="1"/>
    </xf>
    <xf numFmtId="0" fontId="4" fillId="0" borderId="0" xfId="0" applyFont="1" applyFill="1" applyAlignment="1">
      <alignment wrapText="1"/>
    </xf>
    <xf numFmtId="168" fontId="4" fillId="0" borderId="1" xfId="1" applyNumberFormat="1" applyFont="1" applyFill="1" applyBorder="1" applyAlignment="1">
      <alignment wrapText="1"/>
    </xf>
    <xf numFmtId="10" fontId="2" fillId="4" borderId="1" xfId="0" applyNumberFormat="1" applyFont="1" applyFill="1" applyBorder="1" applyAlignment="1">
      <alignment wrapText="1"/>
    </xf>
    <xf numFmtId="168" fontId="2" fillId="0" borderId="0" xfId="0" applyNumberFormat="1" applyFont="1" applyFill="1" applyBorder="1" applyAlignment="1">
      <alignment wrapText="1"/>
    </xf>
    <xf numFmtId="168" fontId="2" fillId="0" borderId="0" xfId="1" applyNumberFormat="1" applyFont="1" applyFill="1" applyAlignment="1">
      <alignment wrapText="1"/>
    </xf>
    <xf numFmtId="0" fontId="6" fillId="0" borderId="0" xfId="0" applyFont="1" applyFill="1" applyAlignment="1">
      <alignment wrapText="1"/>
    </xf>
    <xf numFmtId="1" fontId="11" fillId="0" borderId="1" xfId="0" applyNumberFormat="1" applyFont="1" applyBorder="1" applyAlignment="1">
      <alignment wrapText="1"/>
    </xf>
    <xf numFmtId="2" fontId="11" fillId="0" borderId="1" xfId="0" applyNumberFormat="1" applyFont="1" applyBorder="1" applyAlignment="1">
      <alignment wrapText="1"/>
    </xf>
    <xf numFmtId="10" fontId="11" fillId="0" borderId="1" xfId="1" applyNumberFormat="1" applyFont="1" applyFill="1" applyBorder="1" applyAlignment="1">
      <alignment wrapText="1"/>
    </xf>
    <xf numFmtId="168" fontId="8" fillId="0" borderId="0" xfId="1" applyNumberFormat="1" applyFont="1" applyFill="1" applyBorder="1" applyAlignment="1">
      <alignment wrapText="1"/>
    </xf>
    <xf numFmtId="0" fontId="8" fillId="0" borderId="0" xfId="0" applyFont="1" applyFill="1" applyBorder="1" applyAlignment="1">
      <alignment wrapText="1"/>
    </xf>
    <xf numFmtId="10" fontId="2" fillId="4" borderId="1" xfId="1" applyNumberFormat="1" applyFont="1" applyFill="1" applyBorder="1" applyAlignment="1">
      <alignment wrapText="1"/>
    </xf>
    <xf numFmtId="168" fontId="2" fillId="0" borderId="1" xfId="0" quotePrefix="1" applyNumberFormat="1" applyFont="1" applyFill="1" applyBorder="1" applyAlignment="1">
      <alignment wrapText="1"/>
    </xf>
    <xf numFmtId="168" fontId="11" fillId="0" borderId="1" xfId="0" quotePrefix="1" applyNumberFormat="1" applyFont="1" applyFill="1" applyBorder="1" applyAlignment="1">
      <alignment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wrapText="1"/>
    </xf>
    <xf numFmtId="0" fontId="2" fillId="0" borderId="0" xfId="0" applyFont="1" applyFill="1" applyBorder="1" applyAlignment="1">
      <alignment vertical="center" wrapText="1"/>
    </xf>
    <xf numFmtId="0" fontId="2" fillId="0" borderId="0" xfId="0" applyFont="1" applyFill="1" applyBorder="1" applyAlignment="1">
      <alignment horizontal="center" wrapText="1"/>
    </xf>
    <xf numFmtId="0" fontId="4" fillId="0" borderId="18" xfId="0" applyFont="1" applyBorder="1" applyAlignment="1">
      <alignment wrapText="1"/>
    </xf>
    <xf numFmtId="0" fontId="2" fillId="0" borderId="5" xfId="0" applyFont="1" applyBorder="1" applyAlignment="1">
      <alignment wrapText="1"/>
    </xf>
    <xf numFmtId="0" fontId="2" fillId="4" borderId="5" xfId="0" applyFont="1" applyFill="1" applyBorder="1" applyAlignment="1">
      <alignment wrapText="1"/>
    </xf>
    <xf numFmtId="0" fontId="2" fillId="0" borderId="19" xfId="0" applyFont="1" applyBorder="1" applyAlignment="1">
      <alignment horizontal="right" wrapText="1"/>
    </xf>
    <xf numFmtId="0" fontId="11" fillId="0" borderId="19" xfId="0" applyFont="1" applyFill="1" applyBorder="1" applyAlignment="1">
      <alignment wrapText="1"/>
    </xf>
    <xf numFmtId="0" fontId="11" fillId="0" borderId="19" xfId="0" quotePrefix="1" applyFont="1" applyFill="1" applyBorder="1" applyAlignment="1">
      <alignment horizontal="right" wrapText="1"/>
    </xf>
    <xf numFmtId="0" fontId="11" fillId="0" borderId="0" xfId="0" applyFont="1" applyAlignment="1">
      <alignment horizontal="left" wrapText="1"/>
    </xf>
    <xf numFmtId="0" fontId="2" fillId="0" borderId="1" xfId="0" applyFont="1" applyBorder="1" applyAlignment="1">
      <alignment horizontal="center" wrapText="1"/>
    </xf>
    <xf numFmtId="0" fontId="7" fillId="4" borderId="1" xfId="0" applyFont="1" applyFill="1" applyBorder="1" applyAlignment="1">
      <alignment wrapText="1"/>
    </xf>
    <xf numFmtId="0" fontId="18" fillId="0" borderId="0" xfId="0" applyFont="1" applyBorder="1" applyAlignment="1">
      <alignment wrapText="1"/>
    </xf>
    <xf numFmtId="0" fontId="2" fillId="0" borderId="0" xfId="0" quotePrefix="1" applyFont="1" applyFill="1" applyBorder="1" applyAlignment="1">
      <alignment horizontal="right" wrapText="1"/>
    </xf>
    <xf numFmtId="0" fontId="17" fillId="0" borderId="0" xfId="0" applyFont="1" applyBorder="1" applyAlignment="1">
      <alignment wrapText="1"/>
    </xf>
    <xf numFmtId="0" fontId="7" fillId="0" borderId="0" xfId="0" applyFont="1" applyAlignment="1">
      <alignment wrapText="1"/>
    </xf>
    <xf numFmtId="169" fontId="2" fillId="3" borderId="1" xfId="0" applyNumberFormat="1" applyFont="1" applyFill="1" applyBorder="1" applyAlignment="1">
      <alignment wrapText="1"/>
    </xf>
    <xf numFmtId="0" fontId="14" fillId="0" borderId="1" xfId="0" applyFont="1" applyFill="1" applyBorder="1" applyAlignment="1">
      <alignment wrapText="1"/>
    </xf>
    <xf numFmtId="166" fontId="7" fillId="3" borderId="1" xfId="0" applyNumberFormat="1" applyFont="1" applyFill="1" applyBorder="1" applyAlignment="1">
      <alignment wrapText="1"/>
    </xf>
    <xf numFmtId="0" fontId="7" fillId="3" borderId="1" xfId="0" applyFont="1" applyFill="1" applyBorder="1" applyAlignment="1">
      <alignment wrapText="1"/>
    </xf>
    <xf numFmtId="1" fontId="2" fillId="3" borderId="1" xfId="0" applyNumberFormat="1" applyFont="1" applyFill="1" applyBorder="1" applyAlignment="1">
      <alignment wrapText="1"/>
    </xf>
    <xf numFmtId="1" fontId="2" fillId="2" borderId="1" xfId="0" applyNumberFormat="1" applyFont="1" applyFill="1" applyBorder="1" applyAlignment="1">
      <alignment wrapText="1"/>
    </xf>
    <xf numFmtId="0" fontId="2" fillId="0" borderId="2" xfId="0" applyFont="1" applyFill="1" applyBorder="1" applyAlignment="1">
      <alignment horizontal="left" wrapText="1"/>
    </xf>
    <xf numFmtId="168" fontId="2" fillId="3" borderId="1" xfId="1" applyNumberFormat="1" applyFont="1" applyFill="1" applyBorder="1" applyAlignment="1">
      <alignment wrapText="1"/>
    </xf>
    <xf numFmtId="164" fontId="11" fillId="0" borderId="1" xfId="0" applyNumberFormat="1" applyFont="1" applyBorder="1" applyAlignment="1">
      <alignment wrapText="1"/>
    </xf>
    <xf numFmtId="0" fontId="16" fillId="0" borderId="0" xfId="0" applyFont="1" applyFill="1" applyBorder="1" applyAlignment="1">
      <alignment wrapText="1"/>
    </xf>
    <xf numFmtId="0" fontId="2" fillId="0" borderId="5" xfId="0" applyFont="1" applyFill="1" applyBorder="1" applyAlignment="1">
      <alignment wrapText="1"/>
    </xf>
    <xf numFmtId="164" fontId="11" fillId="0" borderId="5" xfId="0" applyNumberFormat="1" applyFont="1" applyBorder="1" applyAlignment="1">
      <alignment wrapText="1"/>
    </xf>
    <xf numFmtId="0" fontId="2" fillId="0" borderId="7" xfId="0" applyFont="1" applyBorder="1" applyAlignment="1">
      <alignment wrapText="1"/>
    </xf>
    <xf numFmtId="164" fontId="11" fillId="0" borderId="7" xfId="0" applyNumberFormat="1" applyFont="1" applyBorder="1" applyAlignment="1">
      <alignment wrapText="1"/>
    </xf>
    <xf numFmtId="0" fontId="20" fillId="0" borderId="1" xfId="0" applyFont="1" applyFill="1" applyBorder="1" applyAlignment="1">
      <alignment wrapText="1"/>
    </xf>
    <xf numFmtId="164" fontId="2" fillId="3" borderId="1" xfId="0" applyNumberFormat="1" applyFont="1" applyFill="1" applyBorder="1" applyAlignment="1">
      <alignment wrapText="1"/>
    </xf>
    <xf numFmtId="1" fontId="11" fillId="2" borderId="1" xfId="0" applyNumberFormat="1" applyFont="1" applyFill="1" applyBorder="1" applyAlignment="1">
      <alignment wrapText="1"/>
    </xf>
    <xf numFmtId="0" fontId="21" fillId="0" borderId="1" xfId="0" applyFont="1" applyBorder="1" applyAlignment="1">
      <alignment horizontal="center" wrapText="1"/>
    </xf>
    <xf numFmtId="0" fontId="20" fillId="0" borderId="0" xfId="0" applyFont="1" applyAlignment="1">
      <alignment wrapText="1"/>
    </xf>
    <xf numFmtId="0" fontId="20" fillId="0" borderId="1" xfId="0" applyFont="1" applyBorder="1" applyAlignment="1">
      <alignment wrapText="1"/>
    </xf>
    <xf numFmtId="0" fontId="20" fillId="0" borderId="2" xfId="0" applyFont="1" applyBorder="1" applyAlignment="1">
      <alignment horizontal="left" wrapText="1"/>
    </xf>
    <xf numFmtId="164" fontId="24" fillId="0" borderId="1" xfId="0" applyNumberFormat="1" applyFont="1" applyBorder="1" applyAlignment="1">
      <alignment wrapText="1"/>
    </xf>
    <xf numFmtId="0" fontId="16" fillId="0" borderId="0" xfId="0" applyFont="1" applyAlignment="1">
      <alignment wrapText="1"/>
    </xf>
    <xf numFmtId="0" fontId="24" fillId="0" borderId="0" xfId="0" applyFont="1" applyAlignment="1">
      <alignment wrapText="1"/>
    </xf>
    <xf numFmtId="0" fontId="2" fillId="0" borderId="15" xfId="0" applyFont="1" applyBorder="1" applyAlignment="1">
      <alignment wrapText="1"/>
    </xf>
    <xf numFmtId="164" fontId="11" fillId="0" borderId="6" xfId="0" applyNumberFormat="1" applyFont="1" applyBorder="1" applyAlignment="1">
      <alignment wrapText="1"/>
    </xf>
    <xf numFmtId="0" fontId="2" fillId="0" borderId="68" xfId="0" applyFont="1" applyBorder="1" applyAlignment="1">
      <alignment wrapText="1"/>
    </xf>
    <xf numFmtId="164" fontId="11" fillId="0" borderId="46" xfId="0" applyNumberFormat="1" applyFont="1" applyBorder="1" applyAlignment="1">
      <alignment wrapText="1"/>
    </xf>
    <xf numFmtId="0" fontId="2" fillId="0" borderId="17" xfId="0" applyFont="1" applyBorder="1" applyAlignment="1">
      <alignment wrapText="1"/>
    </xf>
    <xf numFmtId="0" fontId="2" fillId="0" borderId="20" xfId="0" applyFont="1" applyBorder="1" applyAlignment="1">
      <alignment wrapText="1"/>
    </xf>
    <xf numFmtId="0" fontId="5" fillId="0" borderId="0" xfId="0" applyFont="1" applyFill="1" applyAlignment="1">
      <alignment wrapText="1"/>
    </xf>
    <xf numFmtId="9" fontId="2" fillId="3" borderId="1" xfId="0" applyNumberFormat="1" applyFont="1" applyFill="1" applyBorder="1" applyAlignment="1">
      <alignment wrapText="1"/>
    </xf>
    <xf numFmtId="0" fontId="4" fillId="0" borderId="9" xfId="0" applyFont="1" applyFill="1" applyBorder="1" applyAlignment="1">
      <alignment wrapText="1"/>
    </xf>
    <xf numFmtId="9" fontId="2" fillId="3" borderId="8" xfId="1" applyFont="1" applyFill="1" applyBorder="1" applyAlignment="1">
      <alignment horizontal="center" wrapText="1"/>
    </xf>
    <xf numFmtId="9" fontId="2" fillId="3" borderId="9" xfId="1" applyFont="1" applyFill="1" applyBorder="1" applyAlignment="1">
      <alignment horizontal="center" wrapText="1"/>
    </xf>
    <xf numFmtId="9" fontId="2" fillId="3" borderId="4" xfId="1" applyFont="1" applyFill="1" applyBorder="1" applyAlignment="1">
      <alignment horizontal="center" wrapText="1"/>
    </xf>
    <xf numFmtId="9" fontId="2" fillId="3" borderId="1" xfId="1" applyFont="1" applyFill="1" applyBorder="1" applyAlignment="1">
      <alignment horizontal="center" wrapText="1"/>
    </xf>
    <xf numFmtId="9" fontId="2" fillId="6" borderId="8" xfId="1" applyFont="1" applyFill="1" applyBorder="1" applyAlignment="1">
      <alignment horizontal="center" wrapText="1"/>
    </xf>
    <xf numFmtId="9" fontId="2" fillId="6" borderId="9" xfId="1" applyFont="1" applyFill="1" applyBorder="1" applyAlignment="1">
      <alignment horizontal="center" wrapText="1"/>
    </xf>
    <xf numFmtId="0" fontId="2" fillId="0" borderId="16" xfId="0" applyFont="1" applyBorder="1" applyAlignment="1">
      <alignment wrapText="1"/>
    </xf>
    <xf numFmtId="0" fontId="4" fillId="0" borderId="16" xfId="0" applyFont="1" applyFill="1" applyBorder="1" applyAlignment="1">
      <alignment vertical="center" wrapText="1"/>
    </xf>
    <xf numFmtId="0" fontId="4" fillId="0" borderId="13" xfId="0" applyFont="1" applyFill="1" applyBorder="1" applyAlignment="1">
      <alignment wrapText="1"/>
    </xf>
    <xf numFmtId="0" fontId="2" fillId="0" borderId="2" xfId="0" applyFont="1" applyFill="1" applyBorder="1" applyAlignment="1">
      <alignment horizontal="right" wrapText="1"/>
    </xf>
    <xf numFmtId="0" fontId="2" fillId="0" borderId="20" xfId="0" applyFont="1" applyFill="1" applyBorder="1" applyAlignment="1">
      <alignment horizontal="right" wrapText="1"/>
    </xf>
    <xf numFmtId="0" fontId="11" fillId="0" borderId="19" xfId="0" applyFont="1" applyBorder="1" applyAlignment="1">
      <alignment horizontal="right" wrapText="1"/>
    </xf>
    <xf numFmtId="1" fontId="11" fillId="0" borderId="7" xfId="0" applyNumberFormat="1" applyFont="1" applyFill="1" applyBorder="1" applyAlignment="1">
      <alignment wrapText="1"/>
    </xf>
    <xf numFmtId="1" fontId="11" fillId="0" borderId="17" xfId="0" applyNumberFormat="1" applyFont="1" applyFill="1" applyBorder="1" applyAlignment="1">
      <alignment wrapText="1"/>
    </xf>
    <xf numFmtId="1" fontId="11" fillId="0" borderId="67" xfId="0" applyNumberFormat="1" applyFont="1" applyFill="1" applyBorder="1" applyAlignment="1">
      <alignment wrapText="1"/>
    </xf>
    <xf numFmtId="0" fontId="4" fillId="0" borderId="1" xfId="0" applyFont="1" applyFill="1" applyBorder="1" applyAlignment="1">
      <alignment horizontal="right" vertical="center" wrapText="1"/>
    </xf>
    <xf numFmtId="0" fontId="11" fillId="0" borderId="0" xfId="0" applyFont="1" applyAlignment="1">
      <alignment horizontal="right" wrapText="1"/>
    </xf>
    <xf numFmtId="1" fontId="11" fillId="0" borderId="19" xfId="0" applyNumberFormat="1" applyFont="1" applyFill="1" applyBorder="1" applyAlignment="1">
      <alignment wrapText="1"/>
    </xf>
    <xf numFmtId="1" fontId="11" fillId="0" borderId="23" xfId="0" applyNumberFormat="1" applyFont="1" applyFill="1" applyBorder="1" applyAlignment="1">
      <alignment wrapText="1"/>
    </xf>
    <xf numFmtId="1" fontId="11" fillId="0" borderId="40" xfId="0" applyNumberFormat="1" applyFont="1" applyFill="1" applyBorder="1" applyAlignment="1">
      <alignment wrapText="1"/>
    </xf>
    <xf numFmtId="1" fontId="2" fillId="2" borderId="8" xfId="0" applyNumberFormat="1" applyFont="1" applyFill="1" applyBorder="1" applyAlignment="1">
      <alignment wrapText="1"/>
    </xf>
    <xf numFmtId="1" fontId="2" fillId="3" borderId="2" xfId="0" applyNumberFormat="1" applyFont="1" applyFill="1" applyBorder="1" applyAlignment="1">
      <alignment wrapText="1"/>
    </xf>
    <xf numFmtId="1" fontId="2" fillId="2" borderId="5" xfId="0" applyNumberFormat="1" applyFont="1" applyFill="1" applyBorder="1" applyAlignment="1">
      <alignment wrapText="1"/>
    </xf>
    <xf numFmtId="1" fontId="2" fillId="3" borderId="5" xfId="0" applyNumberFormat="1" applyFont="1" applyFill="1" applyBorder="1" applyAlignment="1">
      <alignment wrapText="1"/>
    </xf>
    <xf numFmtId="1" fontId="2" fillId="3" borderId="20" xfId="0" applyNumberFormat="1" applyFont="1" applyFill="1" applyBorder="1" applyAlignment="1">
      <alignment wrapText="1"/>
    </xf>
    <xf numFmtId="1" fontId="2" fillId="2" borderId="38" xfId="0" applyNumberFormat="1" applyFont="1" applyFill="1" applyBorder="1" applyAlignment="1">
      <alignment wrapText="1"/>
    </xf>
    <xf numFmtId="1" fontId="11" fillId="2" borderId="7" xfId="0" applyNumberFormat="1" applyFont="1" applyFill="1" applyBorder="1" applyAlignment="1">
      <alignment wrapText="1"/>
    </xf>
    <xf numFmtId="1" fontId="11" fillId="2" borderId="67" xfId="0" applyNumberFormat="1" applyFont="1" applyFill="1" applyBorder="1" applyAlignment="1">
      <alignment wrapText="1"/>
    </xf>
    <xf numFmtId="0" fontId="2" fillId="0" borderId="5" xfId="0" applyFont="1" applyFill="1" applyBorder="1" applyAlignment="1">
      <alignment horizontal="right" wrapText="1"/>
    </xf>
    <xf numFmtId="0" fontId="11" fillId="0" borderId="7" xfId="0" applyFont="1" applyBorder="1" applyAlignment="1">
      <alignment horizontal="right" wrapText="1"/>
    </xf>
    <xf numFmtId="165" fontId="2" fillId="3" borderId="1" xfId="0" applyNumberFormat="1" applyFont="1" applyFill="1" applyBorder="1" applyAlignment="1">
      <alignment wrapText="1"/>
    </xf>
    <xf numFmtId="0" fontId="2" fillId="0" borderId="23" xfId="0" applyFont="1" applyBorder="1" applyAlignment="1">
      <alignment wrapText="1"/>
    </xf>
    <xf numFmtId="164" fontId="2" fillId="3" borderId="1" xfId="0" applyNumberFormat="1" applyFont="1" applyFill="1" applyBorder="1" applyAlignment="1">
      <alignment vertical="center" wrapText="1"/>
    </xf>
    <xf numFmtId="0" fontId="2" fillId="0" borderId="0" xfId="0" applyFont="1" applyAlignment="1">
      <alignment vertical="center" wrapText="1"/>
    </xf>
    <xf numFmtId="9" fontId="11" fillId="6" borderId="1" xfId="1" applyFont="1" applyFill="1" applyBorder="1" applyAlignment="1">
      <alignment horizontal="center" wrapText="1"/>
    </xf>
    <xf numFmtId="9" fontId="11" fillId="0" borderId="0" xfId="1" applyFont="1" applyFill="1" applyBorder="1" applyAlignment="1">
      <alignment horizontal="center" wrapText="1"/>
    </xf>
    <xf numFmtId="164" fontId="11" fillId="0" borderId="0" xfId="0" applyNumberFormat="1" applyFont="1" applyBorder="1" applyAlignment="1">
      <alignment wrapText="1"/>
    </xf>
    <xf numFmtId="0" fontId="2" fillId="0" borderId="6" xfId="0" applyFont="1" applyBorder="1" applyAlignment="1">
      <alignment wrapText="1"/>
    </xf>
    <xf numFmtId="0" fontId="2" fillId="0" borderId="19" xfId="0" applyFont="1" applyBorder="1" applyAlignment="1">
      <alignment wrapText="1"/>
    </xf>
    <xf numFmtId="0" fontId="18" fillId="0" borderId="1" xfId="0" applyFont="1" applyFill="1" applyBorder="1" applyAlignment="1">
      <alignment wrapText="1"/>
    </xf>
    <xf numFmtId="9" fontId="2" fillId="3" borderId="1" xfId="1" applyFont="1" applyFill="1" applyBorder="1" applyAlignment="1">
      <alignment wrapText="1"/>
    </xf>
    <xf numFmtId="0" fontId="2" fillId="3" borderId="1" xfId="0" applyNumberFormat="1" applyFont="1" applyFill="1" applyBorder="1" applyAlignment="1">
      <alignment wrapText="1"/>
    </xf>
    <xf numFmtId="0" fontId="4" fillId="0" borderId="25" xfId="0" applyFont="1" applyFill="1" applyBorder="1" applyAlignment="1">
      <alignment vertical="center" wrapText="1"/>
    </xf>
    <xf numFmtId="0" fontId="2" fillId="3" borderId="1" xfId="0" applyFont="1" applyFill="1" applyBorder="1" applyAlignment="1">
      <alignment horizontal="center" wrapText="1"/>
    </xf>
    <xf numFmtId="0" fontId="2" fillId="0" borderId="13" xfId="0" applyFont="1" applyFill="1" applyBorder="1" applyAlignment="1">
      <alignment horizontal="left" wrapText="1"/>
    </xf>
    <xf numFmtId="0" fontId="2" fillId="0" borderId="13" xfId="0" applyFont="1" applyFill="1" applyBorder="1" applyAlignment="1">
      <alignment horizontal="center" wrapText="1"/>
    </xf>
    <xf numFmtId="0" fontId="2" fillId="3" borderId="1" xfId="0" applyFont="1" applyFill="1" applyBorder="1" applyAlignment="1">
      <alignment horizontal="right" wrapText="1"/>
    </xf>
    <xf numFmtId="0" fontId="2" fillId="3" borderId="5" xfId="0" applyFont="1" applyFill="1" applyBorder="1" applyAlignment="1">
      <alignment horizontal="right" wrapText="1"/>
    </xf>
    <xf numFmtId="0" fontId="4" fillId="0" borderId="0" xfId="0" applyFont="1" applyFill="1" applyBorder="1" applyAlignment="1">
      <alignment vertical="center" wrapText="1"/>
    </xf>
    <xf numFmtId="9" fontId="2" fillId="6" borderId="5" xfId="1" applyFont="1" applyFill="1" applyBorder="1" applyAlignment="1">
      <alignment horizontal="center" wrapText="1"/>
    </xf>
    <xf numFmtId="0" fontId="2" fillId="0" borderId="7" xfId="0" applyFont="1" applyFill="1" applyBorder="1" applyAlignment="1">
      <alignment vertical="center" wrapText="1"/>
    </xf>
    <xf numFmtId="0" fontId="2" fillId="0" borderId="0" xfId="0" applyFont="1" applyFill="1" applyBorder="1" applyAlignment="1">
      <alignment horizontal="left" vertical="center" wrapText="1"/>
    </xf>
    <xf numFmtId="9" fontId="2" fillId="0" borderId="0" xfId="1" applyFont="1" applyFill="1" applyBorder="1" applyAlignment="1">
      <alignment horizontal="center" wrapText="1"/>
    </xf>
    <xf numFmtId="0" fontId="18" fillId="0" borderId="0" xfId="0" applyFont="1" applyFill="1" applyBorder="1" applyAlignment="1">
      <alignment horizontal="left" wrapText="1"/>
    </xf>
    <xf numFmtId="0" fontId="4" fillId="0" borderId="0" xfId="0" applyFont="1" applyFill="1" applyBorder="1" applyAlignment="1">
      <alignment horizontal="left" vertical="center" wrapText="1"/>
    </xf>
    <xf numFmtId="164" fontId="11" fillId="0" borderId="19" xfId="0" applyNumberFormat="1" applyFont="1" applyBorder="1" applyAlignment="1">
      <alignment wrapText="1"/>
    </xf>
    <xf numFmtId="164" fontId="2" fillId="3" borderId="6" xfId="0" applyNumberFormat="1" applyFont="1" applyFill="1" applyBorder="1" applyAlignment="1">
      <alignment wrapText="1"/>
    </xf>
    <xf numFmtId="0" fontId="4" fillId="0" borderId="15" xfId="0" applyFont="1" applyFill="1" applyBorder="1" applyAlignment="1">
      <alignment wrapText="1"/>
    </xf>
    <xf numFmtId="0" fontId="4" fillId="0" borderId="17" xfId="0" applyFont="1" applyFill="1" applyBorder="1" applyAlignment="1">
      <alignment wrapText="1"/>
    </xf>
    <xf numFmtId="0" fontId="20" fillId="0" borderId="0" xfId="0" applyFont="1" applyFill="1" applyBorder="1" applyAlignment="1">
      <alignment wrapText="1"/>
    </xf>
    <xf numFmtId="0" fontId="2" fillId="0" borderId="0" xfId="0" applyFont="1" applyAlignment="1">
      <alignment horizontal="center" wrapText="1"/>
    </xf>
    <xf numFmtId="0" fontId="9" fillId="0" borderId="1" xfId="0" applyFont="1" applyFill="1" applyBorder="1" applyAlignment="1">
      <alignment horizontal="center" vertical="top" wrapText="1"/>
    </xf>
    <xf numFmtId="166" fontId="2" fillId="3" borderId="1" xfId="2" applyNumberFormat="1" applyFont="1" applyFill="1" applyBorder="1" applyAlignment="1">
      <alignment horizontal="center" wrapText="1"/>
    </xf>
    <xf numFmtId="0" fontId="2" fillId="0" borderId="0" xfId="0" applyFont="1" applyFill="1" applyBorder="1" applyAlignment="1">
      <alignment horizontal="right" wrapText="1"/>
    </xf>
    <xf numFmtId="164" fontId="2" fillId="3" borderId="1" xfId="2" applyNumberFormat="1" applyFont="1" applyFill="1" applyBorder="1" applyAlignment="1">
      <alignment horizontal="right" wrapText="1"/>
    </xf>
    <xf numFmtId="167" fontId="2" fillId="3" borderId="1" xfId="0" applyNumberFormat="1" applyFont="1" applyFill="1" applyBorder="1" applyAlignment="1">
      <alignment horizontal="right" wrapText="1"/>
    </xf>
    <xf numFmtId="164" fontId="2" fillId="3" borderId="1" xfId="2" applyNumberFormat="1" applyFont="1" applyFill="1" applyBorder="1" applyAlignment="1">
      <alignment horizontal="center" wrapText="1"/>
    </xf>
    <xf numFmtId="0" fontId="9" fillId="0" borderId="2" xfId="0" applyFont="1" applyFill="1" applyBorder="1" applyAlignment="1">
      <alignment wrapText="1"/>
    </xf>
    <xf numFmtId="0" fontId="4" fillId="3" borderId="1" xfId="0" applyFont="1" applyFill="1" applyBorder="1" applyAlignment="1">
      <alignment horizontal="center" wrapText="1"/>
    </xf>
    <xf numFmtId="0" fontId="4" fillId="0" borderId="0" xfId="0" applyFont="1" applyFill="1" applyBorder="1" applyAlignment="1">
      <alignment horizontal="left" wrapText="1"/>
    </xf>
    <xf numFmtId="0" fontId="2" fillId="0" borderId="0" xfId="0" applyFont="1" applyFill="1" applyAlignment="1">
      <alignment horizontal="center" wrapText="1"/>
    </xf>
    <xf numFmtId="0" fontId="11" fillId="2" borderId="1" xfId="0" applyFont="1" applyFill="1" applyBorder="1" applyAlignment="1">
      <alignment horizontal="center" wrapText="1"/>
    </xf>
    <xf numFmtId="1" fontId="11" fillId="3" borderId="1" xfId="0" applyNumberFormat="1" applyFont="1" applyFill="1" applyBorder="1" applyAlignment="1">
      <alignment horizontal="center" wrapText="1"/>
    </xf>
    <xf numFmtId="168" fontId="11" fillId="3" borderId="1" xfId="1" applyNumberFormat="1" applyFont="1" applyFill="1" applyBorder="1" applyAlignment="1">
      <alignment horizontal="center" wrapText="1"/>
    </xf>
    <xf numFmtId="0" fontId="17" fillId="0" borderId="0" xfId="0" applyFont="1" applyFill="1" applyAlignment="1">
      <alignment wrapText="1"/>
    </xf>
    <xf numFmtId="0" fontId="21" fillId="0" borderId="0" xfId="0" applyFont="1" applyFill="1" applyBorder="1" applyAlignment="1">
      <alignment horizontal="left" wrapText="1"/>
    </xf>
    <xf numFmtId="0" fontId="20" fillId="0" borderId="0" xfId="0" applyFont="1" applyFill="1" applyAlignment="1">
      <alignment wrapText="1"/>
    </xf>
    <xf numFmtId="0" fontId="20" fillId="0" borderId="0" xfId="0" applyFont="1" applyFill="1" applyAlignment="1">
      <alignment horizontal="center" wrapText="1"/>
    </xf>
    <xf numFmtId="0" fontId="24" fillId="0" borderId="0" xfId="0" applyFont="1" applyFill="1" applyAlignment="1">
      <alignment wrapText="1"/>
    </xf>
    <xf numFmtId="0" fontId="20" fillId="0" borderId="2" xfId="0" applyFont="1" applyFill="1" applyBorder="1" applyAlignment="1">
      <alignment wrapText="1"/>
    </xf>
    <xf numFmtId="0" fontId="20" fillId="0" borderId="1" xfId="0" applyFont="1" applyFill="1" applyBorder="1" applyAlignment="1">
      <alignment horizontal="center" wrapText="1"/>
    </xf>
    <xf numFmtId="168" fontId="24" fillId="0" borderId="1" xfId="1" applyNumberFormat="1" applyFont="1" applyFill="1" applyBorder="1" applyAlignment="1">
      <alignment horizontal="center" wrapText="1"/>
    </xf>
    <xf numFmtId="166" fontId="24" fillId="3" borderId="1" xfId="0" applyNumberFormat="1" applyFont="1" applyFill="1" applyBorder="1" applyAlignment="1">
      <alignment horizontal="center" wrapText="1"/>
    </xf>
    <xf numFmtId="0" fontId="24" fillId="2" borderId="1" xfId="0" applyFont="1" applyFill="1" applyBorder="1" applyAlignment="1">
      <alignment horizontal="center" wrapText="1"/>
    </xf>
    <xf numFmtId="0" fontId="2" fillId="0" borderId="1" xfId="0" applyFont="1" applyFill="1" applyBorder="1" applyAlignment="1">
      <alignment horizontal="left" vertical="center" wrapText="1"/>
    </xf>
    <xf numFmtId="169" fontId="24" fillId="0" borderId="1" xfId="2" applyNumberFormat="1" applyFont="1" applyBorder="1" applyAlignment="1">
      <alignment wrapText="1"/>
    </xf>
    <xf numFmtId="165" fontId="24" fillId="0" borderId="1" xfId="0" applyNumberFormat="1" applyFont="1" applyBorder="1" applyAlignment="1">
      <alignment wrapText="1"/>
    </xf>
    <xf numFmtId="0" fontId="18" fillId="0" borderId="25" xfId="0" applyFont="1" applyFill="1" applyBorder="1" applyAlignment="1">
      <alignment horizontal="left"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right" vertical="center" wrapText="1"/>
    </xf>
    <xf numFmtId="0" fontId="20" fillId="0" borderId="0" xfId="0" applyFont="1" applyFill="1" applyBorder="1" applyAlignment="1">
      <alignment horizontal="left" wrapText="1"/>
    </xf>
    <xf numFmtId="0" fontId="23" fillId="0" borderId="0" xfId="0" applyFont="1" applyFill="1" applyBorder="1" applyAlignment="1">
      <alignment horizontal="left" wrapText="1"/>
    </xf>
    <xf numFmtId="0" fontId="24" fillId="0" borderId="0" xfId="0" applyFont="1" applyFill="1" applyBorder="1" applyAlignment="1">
      <alignment horizontal="left" wrapText="1"/>
    </xf>
    <xf numFmtId="0" fontId="20" fillId="0" borderId="17" xfId="0" applyFont="1" applyFill="1" applyBorder="1" applyAlignment="1">
      <alignment horizontal="left" wrapText="1"/>
    </xf>
    <xf numFmtId="0" fontId="20" fillId="0" borderId="13" xfId="0" applyFont="1" applyFill="1" applyBorder="1" applyAlignment="1">
      <alignment horizontal="left" wrapText="1"/>
    </xf>
    <xf numFmtId="0" fontId="20" fillId="0" borderId="13" xfId="0" applyFont="1" applyFill="1" applyBorder="1" applyAlignment="1">
      <alignment horizontal="right" wrapText="1"/>
    </xf>
    <xf numFmtId="0" fontId="20" fillId="0" borderId="13" xfId="0" applyFont="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right" wrapText="1"/>
    </xf>
    <xf numFmtId="0" fontId="18" fillId="2" borderId="1" xfId="0" applyFont="1" applyFill="1" applyBorder="1" applyAlignment="1">
      <alignment horizontal="center" wrapText="1"/>
    </xf>
    <xf numFmtId="0" fontId="20" fillId="0" borderId="1" xfId="0" applyFont="1" applyFill="1" applyBorder="1" applyAlignment="1">
      <alignment horizontal="right" wrapText="1"/>
    </xf>
    <xf numFmtId="0" fontId="20" fillId="0" borderId="5" xfId="0" applyFont="1" applyBorder="1" applyAlignment="1">
      <alignment wrapText="1"/>
    </xf>
    <xf numFmtId="164" fontId="24" fillId="0" borderId="5" xfId="0" applyNumberFormat="1" applyFont="1" applyBorder="1" applyAlignment="1">
      <alignment wrapText="1"/>
    </xf>
    <xf numFmtId="0" fontId="20" fillId="0" borderId="7" xfId="0" applyFont="1" applyBorder="1" applyAlignment="1">
      <alignment wrapText="1"/>
    </xf>
    <xf numFmtId="164" fontId="24" fillId="0" borderId="7" xfId="0" applyNumberFormat="1" applyFont="1" applyBorder="1" applyAlignment="1">
      <alignment wrapText="1"/>
    </xf>
    <xf numFmtId="0" fontId="2" fillId="3" borderId="1" xfId="2" applyNumberFormat="1" applyFont="1" applyFill="1" applyBorder="1" applyAlignment="1">
      <alignment horizontal="right" wrapText="1"/>
    </xf>
    <xf numFmtId="167" fontId="2" fillId="3" borderId="1" xfId="2" applyNumberFormat="1" applyFont="1" applyFill="1" applyBorder="1" applyAlignment="1">
      <alignment horizontal="right" wrapText="1"/>
    </xf>
    <xf numFmtId="9" fontId="2" fillId="3" borderId="1" xfId="1" applyFont="1" applyFill="1" applyBorder="1" applyAlignment="1">
      <alignment horizontal="right" wrapText="1"/>
    </xf>
    <xf numFmtId="0" fontId="9" fillId="0" borderId="0" xfId="0" applyFont="1" applyFill="1" applyBorder="1" applyAlignment="1">
      <alignment wrapText="1"/>
    </xf>
    <xf numFmtId="0" fontId="30" fillId="0" borderId="0" xfId="0" applyFont="1" applyAlignment="1">
      <alignment wrapText="1"/>
    </xf>
    <xf numFmtId="0" fontId="14" fillId="0" borderId="1" xfId="0" applyFont="1" applyBorder="1" applyAlignment="1">
      <alignment wrapText="1"/>
    </xf>
    <xf numFmtId="0" fontId="31" fillId="0" borderId="1" xfId="0" applyFont="1" applyBorder="1" applyAlignment="1">
      <alignment wrapText="1"/>
    </xf>
    <xf numFmtId="10" fontId="30" fillId="0" borderId="1" xfId="0" applyNumberFormat="1" applyFont="1" applyBorder="1" applyAlignment="1">
      <alignment wrapText="1"/>
    </xf>
    <xf numFmtId="9" fontId="2" fillId="2" borderId="1" xfId="1" applyFont="1" applyFill="1" applyBorder="1" applyAlignment="1">
      <alignment wrapText="1"/>
    </xf>
    <xf numFmtId="10" fontId="2" fillId="2" borderId="1" xfId="1" applyNumberFormat="1" applyFont="1" applyFill="1" applyBorder="1" applyAlignment="1">
      <alignment wrapText="1"/>
    </xf>
    <xf numFmtId="9" fontId="2" fillId="4" borderId="1" xfId="1" applyNumberFormat="1" applyFont="1" applyFill="1" applyBorder="1" applyAlignment="1">
      <alignment wrapText="1"/>
    </xf>
    <xf numFmtId="9" fontId="2" fillId="2" borderId="1" xfId="1" applyNumberFormat="1" applyFont="1" applyFill="1" applyBorder="1" applyAlignment="1">
      <alignment wrapText="1"/>
    </xf>
    <xf numFmtId="9" fontId="30" fillId="0" borderId="1" xfId="0" applyNumberFormat="1" applyFont="1" applyBorder="1" applyAlignment="1">
      <alignment wrapText="1"/>
    </xf>
    <xf numFmtId="10" fontId="2" fillId="0" borderId="0" xfId="1" applyNumberFormat="1" applyFont="1" applyAlignment="1">
      <alignment wrapText="1"/>
    </xf>
    <xf numFmtId="164" fontId="2" fillId="4" borderId="1" xfId="1" applyNumberFormat="1" applyFont="1" applyFill="1" applyBorder="1" applyAlignment="1">
      <alignment wrapText="1"/>
    </xf>
    <xf numFmtId="0" fontId="20" fillId="0" borderId="1" xfId="0" applyFont="1" applyFill="1" applyBorder="1" applyAlignment="1">
      <alignmen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3C5C26"/>
      <color rgb="FFCC99FF"/>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586740</xdr:colOff>
      <xdr:row>4</xdr:row>
      <xdr:rowOff>51435</xdr:rowOff>
    </xdr:from>
    <xdr:to>
      <xdr:col>0</xdr:col>
      <xdr:colOff>3958590</xdr:colOff>
      <xdr:row>9</xdr:row>
      <xdr:rowOff>52070</xdr:rowOff>
    </xdr:to>
    <xdr:pic>
      <xdr:nvPicPr>
        <xdr:cNvPr id="2" name="Picture 1" descr="California Air Resources Board Logo">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71" t="74500" r="50000" b="4500"/>
        <a:stretch/>
      </xdr:blipFill>
      <xdr:spPr bwMode="auto">
        <a:xfrm>
          <a:off x="586740" y="851535"/>
          <a:ext cx="3371850" cy="9150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6"/>
  <sheetViews>
    <sheetView topLeftCell="A22" zoomScaleNormal="100" workbookViewId="0">
      <selection activeCell="A12" sqref="A12"/>
    </sheetView>
  </sheetViews>
  <sheetFormatPr defaultRowHeight="15" x14ac:dyDescent="0.25"/>
  <cols>
    <col min="1" max="1" width="95.42578125" style="317" customWidth="1"/>
  </cols>
  <sheetData>
    <row r="1" spans="1:13" ht="18.75" x14ac:dyDescent="0.3">
      <c r="A1" s="314" t="s">
        <v>558</v>
      </c>
      <c r="B1" s="312"/>
      <c r="C1" s="312"/>
      <c r="D1" s="312"/>
      <c r="E1" s="312"/>
      <c r="F1" s="312"/>
      <c r="G1" s="312"/>
      <c r="H1" s="312"/>
      <c r="I1" s="312"/>
      <c r="J1" s="312"/>
      <c r="K1" s="312"/>
      <c r="L1" s="312"/>
      <c r="M1" s="312"/>
    </row>
    <row r="2" spans="1:13" ht="15.75" x14ac:dyDescent="0.25">
      <c r="A2" s="315" t="s">
        <v>680</v>
      </c>
      <c r="B2" s="313"/>
      <c r="C2" s="313"/>
      <c r="D2" s="313"/>
      <c r="E2" s="313"/>
      <c r="F2" s="313"/>
      <c r="G2" s="313"/>
      <c r="H2" s="313"/>
      <c r="I2" s="313"/>
      <c r="J2" s="313"/>
      <c r="K2" s="313"/>
      <c r="L2" s="313"/>
      <c r="M2" s="313"/>
    </row>
    <row r="3" spans="1:13" ht="15.75" x14ac:dyDescent="0.25">
      <c r="A3" s="315" t="s">
        <v>690</v>
      </c>
      <c r="B3" s="313"/>
      <c r="C3" s="313"/>
      <c r="D3" s="313"/>
      <c r="E3" s="313"/>
      <c r="F3" s="313"/>
      <c r="G3" s="313"/>
      <c r="H3" s="313"/>
      <c r="I3" s="313"/>
      <c r="J3" s="313"/>
      <c r="K3" s="313"/>
      <c r="L3" s="313"/>
      <c r="M3" s="313"/>
    </row>
    <row r="4" spans="1:13" x14ac:dyDescent="0.25">
      <c r="A4" s="38"/>
      <c r="B4" s="1"/>
      <c r="C4" s="1"/>
      <c r="D4" s="1"/>
      <c r="E4" s="1"/>
      <c r="F4" s="1"/>
      <c r="G4" s="1"/>
      <c r="H4" s="1"/>
      <c r="I4" s="1"/>
      <c r="J4" s="1"/>
      <c r="K4" s="1"/>
      <c r="L4" s="1"/>
      <c r="M4" s="1"/>
    </row>
    <row r="5" spans="1:13" x14ac:dyDescent="0.25">
      <c r="A5" s="38"/>
      <c r="B5" s="1"/>
      <c r="C5" s="1"/>
      <c r="D5" s="1"/>
      <c r="E5" s="1"/>
      <c r="F5" s="1"/>
      <c r="G5" s="1"/>
      <c r="H5" s="1"/>
      <c r="I5" s="1"/>
      <c r="J5" s="1"/>
      <c r="K5" s="1"/>
      <c r="L5" s="1"/>
      <c r="M5" s="1"/>
    </row>
    <row r="6" spans="1:13" x14ac:dyDescent="0.25">
      <c r="A6" s="38"/>
      <c r="B6" s="1"/>
      <c r="C6" s="1"/>
      <c r="D6" s="1"/>
      <c r="E6" s="1"/>
      <c r="F6" s="1"/>
      <c r="G6" s="1"/>
      <c r="H6" s="1"/>
      <c r="I6" s="1"/>
      <c r="J6" s="1"/>
      <c r="K6" s="1"/>
      <c r="L6" s="1"/>
      <c r="M6" s="1"/>
    </row>
    <row r="7" spans="1:13" x14ac:dyDescent="0.25">
      <c r="A7" s="38"/>
      <c r="B7" s="1"/>
      <c r="C7" s="1"/>
      <c r="D7" s="1"/>
      <c r="E7" s="1"/>
      <c r="F7" s="1"/>
      <c r="G7" s="1"/>
      <c r="H7" s="1"/>
      <c r="I7" s="1"/>
      <c r="J7" s="1"/>
      <c r="K7" s="1"/>
      <c r="L7" s="1"/>
      <c r="M7" s="1"/>
    </row>
    <row r="8" spans="1:13" x14ac:dyDescent="0.25">
      <c r="A8" s="38"/>
      <c r="B8" s="1"/>
      <c r="C8" s="1"/>
      <c r="D8" s="1"/>
      <c r="E8" s="1"/>
      <c r="F8" s="1"/>
      <c r="G8" s="1"/>
      <c r="H8" s="1"/>
      <c r="I8" s="1"/>
      <c r="J8" s="1"/>
      <c r="K8" s="1"/>
      <c r="L8" s="1"/>
      <c r="M8" s="1"/>
    </row>
    <row r="9" spans="1:13" x14ac:dyDescent="0.25">
      <c r="A9" s="38"/>
      <c r="B9" s="1"/>
      <c r="C9" s="1"/>
      <c r="D9" s="1"/>
      <c r="E9" s="1"/>
      <c r="F9" s="1"/>
      <c r="G9" s="1"/>
      <c r="H9" s="1"/>
      <c r="I9" s="1"/>
      <c r="J9" s="1"/>
      <c r="K9" s="1"/>
      <c r="L9" s="1"/>
      <c r="M9" s="1"/>
    </row>
    <row r="10" spans="1:13" x14ac:dyDescent="0.25">
      <c r="A10" s="38"/>
      <c r="B10" s="1"/>
      <c r="C10" s="1"/>
      <c r="D10" s="1"/>
      <c r="E10" s="1"/>
      <c r="F10" s="1"/>
      <c r="G10" s="1"/>
      <c r="H10" s="1"/>
      <c r="I10" s="1"/>
      <c r="J10" s="1"/>
      <c r="K10" s="1"/>
      <c r="L10" s="1"/>
      <c r="M10" s="1"/>
    </row>
    <row r="11" spans="1:13" x14ac:dyDescent="0.25">
      <c r="A11" s="38"/>
      <c r="B11" s="1"/>
      <c r="C11" s="1"/>
      <c r="D11" s="1"/>
      <c r="E11" s="1"/>
      <c r="F11" s="1"/>
      <c r="G11" s="1"/>
      <c r="H11" s="1"/>
      <c r="I11" s="1"/>
      <c r="J11" s="1"/>
      <c r="K11" s="1"/>
      <c r="L11" s="1"/>
      <c r="M11" s="1"/>
    </row>
    <row r="12" spans="1:13" ht="209.45" customHeight="1" x14ac:dyDescent="0.25">
      <c r="A12" s="311" t="s">
        <v>854</v>
      </c>
      <c r="B12" s="311"/>
      <c r="C12" s="311"/>
      <c r="D12" s="311"/>
      <c r="E12" s="311"/>
      <c r="F12" s="311"/>
      <c r="G12" s="311"/>
      <c r="H12" s="311"/>
      <c r="I12" s="311"/>
      <c r="J12" s="311"/>
      <c r="K12" s="311"/>
      <c r="L12" s="311"/>
      <c r="M12" s="311"/>
    </row>
    <row r="13" spans="1:13" ht="15" customHeight="1" x14ac:dyDescent="0.25">
      <c r="A13" s="311"/>
      <c r="B13" s="311"/>
      <c r="C13" s="311"/>
      <c r="D13" s="311"/>
      <c r="E13" s="311"/>
      <c r="F13" s="311"/>
      <c r="G13" s="311"/>
      <c r="H13" s="311"/>
      <c r="I13" s="311"/>
      <c r="J13" s="311"/>
      <c r="K13" s="311"/>
      <c r="L13" s="311"/>
      <c r="M13" s="311"/>
    </row>
    <row r="14" spans="1:13" x14ac:dyDescent="0.25">
      <c r="A14" s="38"/>
      <c r="B14" s="1"/>
      <c r="C14" s="1"/>
      <c r="D14" s="1"/>
      <c r="E14" s="1"/>
      <c r="F14" s="1"/>
      <c r="G14" s="1"/>
      <c r="H14" s="1"/>
      <c r="I14" s="1"/>
      <c r="J14" s="1"/>
      <c r="K14" s="1"/>
      <c r="L14" s="1"/>
      <c r="M14" s="1"/>
    </row>
    <row r="15" spans="1:13" ht="15.75" x14ac:dyDescent="0.25">
      <c r="A15" s="316" t="s">
        <v>855</v>
      </c>
      <c r="B15" s="1"/>
      <c r="C15" s="1"/>
      <c r="D15" s="1"/>
      <c r="E15" s="1"/>
      <c r="F15" s="1"/>
      <c r="G15" s="1"/>
      <c r="H15" s="1"/>
      <c r="I15" s="1"/>
      <c r="J15" s="1"/>
      <c r="K15" s="1"/>
      <c r="L15" s="1"/>
      <c r="M15" s="1"/>
    </row>
    <row r="16" spans="1:13" x14ac:dyDescent="0.25">
      <c r="B16" s="1"/>
      <c r="C16" s="1"/>
      <c r="D16" s="1"/>
      <c r="E16" s="1"/>
      <c r="F16" s="1"/>
      <c r="G16" s="1"/>
      <c r="H16" s="1"/>
      <c r="I16" s="1"/>
      <c r="J16" s="1"/>
      <c r="K16" s="1"/>
      <c r="L16" s="1"/>
      <c r="M16" s="1"/>
    </row>
    <row r="17" spans="1:13" ht="15.75" x14ac:dyDescent="0.25">
      <c r="A17" s="318" t="s">
        <v>689</v>
      </c>
      <c r="B17" s="310"/>
      <c r="C17" s="310"/>
      <c r="D17" s="310"/>
      <c r="E17" s="310"/>
      <c r="F17" s="310"/>
      <c r="G17" s="310"/>
      <c r="H17" s="310"/>
      <c r="I17" s="310"/>
      <c r="J17" s="310"/>
      <c r="K17" s="310"/>
      <c r="L17" s="310"/>
      <c r="M17" s="310"/>
    </row>
    <row r="18" spans="1:13" ht="15.75" x14ac:dyDescent="0.25">
      <c r="A18" s="318" t="s">
        <v>687</v>
      </c>
      <c r="B18" s="310"/>
      <c r="C18" s="310"/>
      <c r="D18" s="310"/>
      <c r="E18" s="310"/>
      <c r="F18" s="310"/>
      <c r="G18" s="310"/>
      <c r="H18" s="310"/>
      <c r="I18" s="310"/>
      <c r="J18" s="310"/>
      <c r="K18" s="310"/>
      <c r="L18" s="310"/>
      <c r="M18" s="310"/>
    </row>
    <row r="19" spans="1:13" ht="31.5" x14ac:dyDescent="0.25">
      <c r="A19" s="318" t="s">
        <v>688</v>
      </c>
      <c r="B19" s="310"/>
      <c r="C19" s="310"/>
      <c r="D19" s="310"/>
      <c r="E19" s="310"/>
      <c r="F19" s="310"/>
      <c r="G19" s="310"/>
      <c r="H19" s="310"/>
      <c r="I19" s="310"/>
      <c r="J19" s="310"/>
      <c r="K19" s="310"/>
      <c r="L19" s="310"/>
      <c r="M19" s="310"/>
    </row>
    <row r="20" spans="1:13" x14ac:dyDescent="0.25">
      <c r="A20" s="38"/>
      <c r="B20" s="1"/>
      <c r="C20" s="1"/>
      <c r="D20" s="1"/>
      <c r="E20" s="1"/>
      <c r="F20" s="1"/>
      <c r="G20" s="1"/>
      <c r="H20" s="1"/>
      <c r="I20" s="1"/>
      <c r="J20" s="1"/>
      <c r="K20" s="1"/>
      <c r="L20" s="1"/>
      <c r="M20" s="1"/>
    </row>
    <row r="21" spans="1:13" x14ac:dyDescent="0.25">
      <c r="A21" s="38"/>
      <c r="B21" s="1"/>
      <c r="C21" s="1"/>
      <c r="D21" s="1"/>
      <c r="E21" s="1"/>
      <c r="F21" s="1"/>
      <c r="G21" s="1"/>
      <c r="H21" s="1"/>
      <c r="I21" s="1"/>
      <c r="J21" s="1"/>
      <c r="K21" s="1"/>
      <c r="L21" s="1"/>
      <c r="M21" s="1"/>
    </row>
    <row r="22" spans="1:13" x14ac:dyDescent="0.25">
      <c r="A22" s="38"/>
      <c r="B22" s="1"/>
      <c r="C22" s="1"/>
      <c r="D22" s="1"/>
      <c r="E22" s="1"/>
      <c r="F22" s="1"/>
      <c r="G22" s="1"/>
      <c r="H22" s="1"/>
      <c r="I22" s="1"/>
      <c r="J22" s="1"/>
      <c r="K22" s="1"/>
      <c r="L22" s="1"/>
      <c r="M22" s="1"/>
    </row>
    <row r="23" spans="1:13" x14ac:dyDescent="0.25">
      <c r="A23" s="38"/>
      <c r="B23" s="1"/>
      <c r="C23" s="1"/>
      <c r="D23" s="1"/>
      <c r="E23" s="1"/>
      <c r="F23" s="1"/>
      <c r="G23" s="1"/>
      <c r="H23" s="1"/>
      <c r="I23" s="1"/>
      <c r="J23" s="1"/>
      <c r="K23" s="1"/>
      <c r="L23" s="1"/>
      <c r="M23" s="1"/>
    </row>
    <row r="24" spans="1:13" x14ac:dyDescent="0.25">
      <c r="A24" s="38"/>
      <c r="B24" s="1"/>
      <c r="C24" s="1"/>
      <c r="D24" s="1"/>
      <c r="E24" s="1"/>
      <c r="F24" s="1"/>
      <c r="G24" s="1"/>
      <c r="H24" s="1"/>
      <c r="I24" s="1"/>
      <c r="J24" s="1"/>
      <c r="K24" s="1"/>
      <c r="L24" s="1"/>
      <c r="M24" s="1"/>
    </row>
    <row r="25" spans="1:13" x14ac:dyDescent="0.25">
      <c r="A25" s="38"/>
      <c r="B25" s="1"/>
      <c r="C25" s="1"/>
      <c r="D25" s="1"/>
      <c r="E25" s="1"/>
      <c r="F25" s="1"/>
      <c r="G25" s="1"/>
      <c r="H25" s="1"/>
      <c r="I25" s="1"/>
      <c r="J25" s="1"/>
      <c r="K25" s="1"/>
      <c r="L25" s="1"/>
      <c r="M25" s="1"/>
    </row>
    <row r="26" spans="1:13" x14ac:dyDescent="0.25">
      <c r="A26" s="38"/>
      <c r="B26" s="1"/>
      <c r="C26" s="1"/>
      <c r="D26" s="1"/>
      <c r="E26" s="1"/>
      <c r="F26" s="1"/>
      <c r="G26" s="1"/>
      <c r="H26" s="1"/>
      <c r="I26" s="1"/>
      <c r="J26" s="1"/>
      <c r="K26" s="1"/>
      <c r="L26" s="1"/>
      <c r="M26" s="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74"/>
  <sheetViews>
    <sheetView zoomScaleNormal="100" workbookViewId="0">
      <selection activeCell="B2" sqref="B2"/>
    </sheetView>
  </sheetViews>
  <sheetFormatPr defaultColWidth="9.140625" defaultRowHeight="15" x14ac:dyDescent="0.25"/>
  <cols>
    <col min="1" max="1" width="42.42578125" style="38" customWidth="1"/>
    <col min="2" max="2" width="11.5703125" style="38" customWidth="1"/>
    <col min="3" max="12" width="10.7109375" style="38" customWidth="1"/>
    <col min="13" max="22" width="12.140625" style="645" hidden="1" customWidth="1"/>
    <col min="23" max="23" width="9.140625" style="38"/>
    <col min="24" max="16384" width="9.140625" style="1"/>
  </cols>
  <sheetData>
    <row r="1" spans="1:22" ht="30.75" x14ac:dyDescent="0.3">
      <c r="A1" s="314" t="s">
        <v>176</v>
      </c>
      <c r="B1" s="408" t="s">
        <v>497</v>
      </c>
      <c r="C1" s="409"/>
      <c r="D1" s="409"/>
      <c r="E1" s="409"/>
      <c r="F1" s="122"/>
    </row>
    <row r="2" spans="1:22" ht="30" x14ac:dyDescent="0.25">
      <c r="B2" s="410" t="s">
        <v>459</v>
      </c>
      <c r="C2" s="122"/>
      <c r="D2" s="122"/>
      <c r="E2" s="122"/>
      <c r="F2" s="122"/>
    </row>
    <row r="3" spans="1:22" x14ac:dyDescent="0.25">
      <c r="C3" s="122"/>
      <c r="D3" s="122"/>
      <c r="E3" s="122"/>
      <c r="F3" s="122"/>
    </row>
    <row r="4" spans="1:22" ht="45" x14ac:dyDescent="0.25">
      <c r="A4" s="430" t="s">
        <v>607</v>
      </c>
    </row>
    <row r="6" spans="1:22" ht="45" x14ac:dyDescent="0.25">
      <c r="A6" s="430" t="s">
        <v>510</v>
      </c>
    </row>
    <row r="7" spans="1:22" x14ac:dyDescent="0.25">
      <c r="A7" s="646" t="s">
        <v>81</v>
      </c>
      <c r="B7" s="8">
        <v>2021</v>
      </c>
      <c r="C7" s="8">
        <v>2022</v>
      </c>
      <c r="D7" s="8">
        <v>2023</v>
      </c>
      <c r="E7" s="8">
        <v>2024</v>
      </c>
      <c r="F7" s="8">
        <v>2025</v>
      </c>
      <c r="G7" s="8">
        <v>2026</v>
      </c>
      <c r="H7" s="8">
        <v>2027</v>
      </c>
      <c r="I7" s="8">
        <v>2028</v>
      </c>
      <c r="J7" s="8">
        <v>2029</v>
      </c>
      <c r="K7" s="8">
        <v>2030</v>
      </c>
      <c r="L7" s="8">
        <v>2031</v>
      </c>
      <c r="M7" s="647">
        <v>2032</v>
      </c>
      <c r="N7" s="647">
        <v>2033</v>
      </c>
      <c r="O7" s="647">
        <v>2034</v>
      </c>
      <c r="P7" s="647">
        <v>2035</v>
      </c>
      <c r="Q7" s="647">
        <v>2036</v>
      </c>
      <c r="R7" s="647">
        <v>2037</v>
      </c>
      <c r="S7" s="647">
        <v>2038</v>
      </c>
      <c r="T7" s="647">
        <v>2039</v>
      </c>
      <c r="U7" s="647">
        <v>2040</v>
      </c>
      <c r="V7" s="647">
        <v>2041</v>
      </c>
    </row>
    <row r="8" spans="1:22" x14ac:dyDescent="0.25">
      <c r="A8" s="454" t="s">
        <v>178</v>
      </c>
      <c r="B8" s="483">
        <v>6.1999999999999998E-3</v>
      </c>
      <c r="C8" s="483">
        <v>6.1999999999999998E-3</v>
      </c>
      <c r="D8" s="483">
        <v>6.1999999999999998E-3</v>
      </c>
      <c r="E8" s="483">
        <v>6.1999999999999998E-3</v>
      </c>
      <c r="F8" s="483">
        <v>6.1999999999999998E-3</v>
      </c>
      <c r="G8" s="483">
        <v>6.1999999999999998E-3</v>
      </c>
      <c r="H8" s="483">
        <v>6.1999999999999998E-3</v>
      </c>
      <c r="I8" s="483">
        <v>6.1999999999999998E-3</v>
      </c>
      <c r="J8" s="483">
        <v>6.1999999999999998E-3</v>
      </c>
      <c r="K8" s="483">
        <v>6.1999999999999998E-3</v>
      </c>
      <c r="L8" s="483">
        <v>6.1999999999999998E-3</v>
      </c>
      <c r="M8" s="648">
        <f>L8</f>
        <v>6.1999999999999998E-3</v>
      </c>
      <c r="N8" s="648">
        <f t="shared" ref="N8:S8" si="0">M8</f>
        <v>6.1999999999999998E-3</v>
      </c>
      <c r="O8" s="648">
        <f t="shared" si="0"/>
        <v>6.1999999999999998E-3</v>
      </c>
      <c r="P8" s="648">
        <f t="shared" si="0"/>
        <v>6.1999999999999998E-3</v>
      </c>
      <c r="Q8" s="648">
        <f t="shared" si="0"/>
        <v>6.1999999999999998E-3</v>
      </c>
      <c r="R8" s="648">
        <f t="shared" si="0"/>
        <v>6.1999999999999998E-3</v>
      </c>
      <c r="S8" s="648">
        <f t="shared" si="0"/>
        <v>6.1999999999999998E-3</v>
      </c>
      <c r="T8" s="648">
        <f t="shared" ref="T8:V8" si="1">S8</f>
        <v>6.1999999999999998E-3</v>
      </c>
      <c r="U8" s="648">
        <f t="shared" si="1"/>
        <v>6.1999999999999998E-3</v>
      </c>
      <c r="V8" s="648">
        <f t="shared" si="1"/>
        <v>6.1999999999999998E-3</v>
      </c>
    </row>
    <row r="9" spans="1:22" x14ac:dyDescent="0.25">
      <c r="A9" s="454" t="s">
        <v>14</v>
      </c>
      <c r="B9" s="483">
        <v>6.1999999999999998E-3</v>
      </c>
      <c r="C9" s="483">
        <v>6.1999999999999998E-3</v>
      </c>
      <c r="D9" s="483">
        <v>6.1999999999999998E-3</v>
      </c>
      <c r="E9" s="483">
        <v>6.1999999999999998E-3</v>
      </c>
      <c r="F9" s="483">
        <v>6.1999999999999998E-3</v>
      </c>
      <c r="G9" s="483">
        <v>6.1999999999999998E-3</v>
      </c>
      <c r="H9" s="483">
        <v>6.1999999999999998E-3</v>
      </c>
      <c r="I9" s="483">
        <v>6.1999999999999998E-3</v>
      </c>
      <c r="J9" s="483">
        <v>6.1999999999999998E-3</v>
      </c>
      <c r="K9" s="483">
        <v>6.1999999999999998E-3</v>
      </c>
      <c r="L9" s="483">
        <v>6.1999999999999998E-3</v>
      </c>
      <c r="M9" s="648">
        <f t="shared" ref="M9:S12" si="2">L9</f>
        <v>6.1999999999999998E-3</v>
      </c>
      <c r="N9" s="648">
        <f t="shared" si="2"/>
        <v>6.1999999999999998E-3</v>
      </c>
      <c r="O9" s="648">
        <f t="shared" si="2"/>
        <v>6.1999999999999998E-3</v>
      </c>
      <c r="P9" s="648">
        <f t="shared" si="2"/>
        <v>6.1999999999999998E-3</v>
      </c>
      <c r="Q9" s="648">
        <f t="shared" si="2"/>
        <v>6.1999999999999998E-3</v>
      </c>
      <c r="R9" s="648">
        <f t="shared" si="2"/>
        <v>6.1999999999999998E-3</v>
      </c>
      <c r="S9" s="648">
        <f t="shared" si="2"/>
        <v>6.1999999999999998E-3</v>
      </c>
      <c r="T9" s="648">
        <f t="shared" ref="T9:V9" si="3">S9</f>
        <v>6.1999999999999998E-3</v>
      </c>
      <c r="U9" s="648">
        <f t="shared" si="3"/>
        <v>6.1999999999999998E-3</v>
      </c>
      <c r="V9" s="648">
        <f t="shared" si="3"/>
        <v>6.1999999999999998E-3</v>
      </c>
    </row>
    <row r="10" spans="1:22" x14ac:dyDescent="0.25">
      <c r="A10" s="454" t="s">
        <v>116</v>
      </c>
      <c r="B10" s="649"/>
      <c r="C10" s="649"/>
      <c r="D10" s="649"/>
      <c r="E10" s="649"/>
      <c r="F10" s="483">
        <v>6.1999999999999998E-3</v>
      </c>
      <c r="G10" s="483">
        <v>6.1999999999999998E-3</v>
      </c>
      <c r="H10" s="483">
        <v>6.1999999999999998E-3</v>
      </c>
      <c r="I10" s="483">
        <v>6.1999999999999998E-3</v>
      </c>
      <c r="J10" s="483">
        <v>6.1999999999999998E-3</v>
      </c>
      <c r="K10" s="483">
        <v>6.1999999999999998E-3</v>
      </c>
      <c r="L10" s="483">
        <v>6.1999999999999998E-3</v>
      </c>
      <c r="M10" s="648">
        <f t="shared" si="2"/>
        <v>6.1999999999999998E-3</v>
      </c>
      <c r="N10" s="648">
        <f t="shared" si="2"/>
        <v>6.1999999999999998E-3</v>
      </c>
      <c r="O10" s="648">
        <f t="shared" si="2"/>
        <v>6.1999999999999998E-3</v>
      </c>
      <c r="P10" s="648">
        <f t="shared" si="2"/>
        <v>6.1999999999999998E-3</v>
      </c>
      <c r="Q10" s="648">
        <f t="shared" si="2"/>
        <v>6.1999999999999998E-3</v>
      </c>
      <c r="R10" s="648">
        <f t="shared" si="2"/>
        <v>6.1999999999999998E-3</v>
      </c>
      <c r="S10" s="648">
        <f t="shared" si="2"/>
        <v>6.1999999999999998E-3</v>
      </c>
      <c r="T10" s="648">
        <f t="shared" ref="T10:V10" si="4">S10</f>
        <v>6.1999999999999998E-3</v>
      </c>
      <c r="U10" s="648">
        <f t="shared" si="4"/>
        <v>6.1999999999999998E-3</v>
      </c>
      <c r="V10" s="648">
        <f t="shared" si="4"/>
        <v>6.1999999999999998E-3</v>
      </c>
    </row>
    <row r="11" spans="1:22" x14ac:dyDescent="0.25">
      <c r="A11" s="454" t="s">
        <v>768</v>
      </c>
      <c r="B11" s="649"/>
      <c r="C11" s="649"/>
      <c r="D11" s="649"/>
      <c r="E11" s="649"/>
      <c r="F11" s="650"/>
      <c r="G11" s="650"/>
      <c r="H11" s="483">
        <v>6.1999999999999998E-3</v>
      </c>
      <c r="I11" s="483">
        <v>6.1999999999999998E-3</v>
      </c>
      <c r="J11" s="483">
        <v>6.1999999999999998E-3</v>
      </c>
      <c r="K11" s="483">
        <v>6.1999999999999998E-3</v>
      </c>
      <c r="L11" s="483">
        <v>6.1999999999999998E-3</v>
      </c>
      <c r="M11" s="648">
        <f t="shared" si="2"/>
        <v>6.1999999999999998E-3</v>
      </c>
      <c r="N11" s="648">
        <f t="shared" si="2"/>
        <v>6.1999999999999998E-3</v>
      </c>
      <c r="O11" s="648">
        <f t="shared" si="2"/>
        <v>6.1999999999999998E-3</v>
      </c>
      <c r="P11" s="648">
        <f t="shared" si="2"/>
        <v>6.1999999999999998E-3</v>
      </c>
      <c r="Q11" s="648">
        <f t="shared" si="2"/>
        <v>6.1999999999999998E-3</v>
      </c>
      <c r="R11" s="648">
        <f t="shared" si="2"/>
        <v>6.1999999999999998E-3</v>
      </c>
      <c r="S11" s="648">
        <f t="shared" si="2"/>
        <v>6.1999999999999998E-3</v>
      </c>
      <c r="T11" s="648">
        <f t="shared" ref="T11:V11" si="5">S11</f>
        <v>6.1999999999999998E-3</v>
      </c>
      <c r="U11" s="648">
        <f t="shared" si="5"/>
        <v>6.1999999999999998E-3</v>
      </c>
      <c r="V11" s="648">
        <f t="shared" si="5"/>
        <v>6.1999999999999998E-3</v>
      </c>
    </row>
    <row r="12" spans="1:22" x14ac:dyDescent="0.25">
      <c r="A12" s="426" t="s">
        <v>825</v>
      </c>
      <c r="B12" s="649"/>
      <c r="C12" s="649"/>
      <c r="D12" s="649"/>
      <c r="E12" s="649"/>
      <c r="F12" s="650"/>
      <c r="G12" s="650"/>
      <c r="H12" s="650"/>
      <c r="I12" s="650"/>
      <c r="J12" s="483">
        <v>6.1999999999999998E-3</v>
      </c>
      <c r="K12" s="483">
        <v>6.1999999999999998E-3</v>
      </c>
      <c r="L12" s="483">
        <v>6.1999999999999998E-3</v>
      </c>
      <c r="M12" s="648">
        <f t="shared" si="2"/>
        <v>6.1999999999999998E-3</v>
      </c>
      <c r="N12" s="648">
        <f t="shared" si="2"/>
        <v>6.1999999999999998E-3</v>
      </c>
      <c r="O12" s="648">
        <f t="shared" si="2"/>
        <v>6.1999999999999998E-3</v>
      </c>
      <c r="P12" s="648">
        <f t="shared" si="2"/>
        <v>6.1999999999999998E-3</v>
      </c>
      <c r="Q12" s="648">
        <f t="shared" si="2"/>
        <v>6.1999999999999998E-3</v>
      </c>
      <c r="R12" s="648">
        <f t="shared" si="2"/>
        <v>6.1999999999999998E-3</v>
      </c>
      <c r="S12" s="648">
        <f t="shared" si="2"/>
        <v>6.1999999999999998E-3</v>
      </c>
      <c r="T12" s="648">
        <f t="shared" ref="T12:V12" si="6">S12</f>
        <v>6.1999999999999998E-3</v>
      </c>
      <c r="U12" s="648">
        <f t="shared" si="6"/>
        <v>6.1999999999999998E-3</v>
      </c>
      <c r="V12" s="648">
        <f t="shared" si="6"/>
        <v>6.1999999999999998E-3</v>
      </c>
    </row>
    <row r="13" spans="1:22" ht="13.9" customHeight="1" x14ac:dyDescent="0.25">
      <c r="A13" s="365" t="s">
        <v>202</v>
      </c>
      <c r="B13" s="365"/>
      <c r="C13" s="365"/>
      <c r="D13" s="365"/>
      <c r="E13" s="365"/>
      <c r="F13" s="365"/>
      <c r="G13" s="365"/>
      <c r="H13" s="365"/>
      <c r="I13" s="365"/>
      <c r="J13" s="365"/>
      <c r="K13" s="365"/>
      <c r="L13" s="365"/>
    </row>
    <row r="14" spans="1:22" ht="13.9" customHeight="1" x14ac:dyDescent="0.25">
      <c r="A14" s="64"/>
      <c r="B14" s="64"/>
      <c r="C14" s="64"/>
      <c r="D14" s="64"/>
      <c r="E14" s="64"/>
      <c r="F14" s="64"/>
      <c r="G14" s="64"/>
      <c r="H14" s="64"/>
      <c r="I14" s="64"/>
      <c r="J14" s="64"/>
      <c r="K14" s="64"/>
      <c r="L14" s="64"/>
    </row>
    <row r="16" spans="1:22" ht="45" x14ac:dyDescent="0.25">
      <c r="A16" s="430" t="s">
        <v>511</v>
      </c>
    </row>
    <row r="17" spans="1:23" x14ac:dyDescent="0.25">
      <c r="A17" s="646" t="s">
        <v>81</v>
      </c>
      <c r="B17" s="8">
        <v>2021</v>
      </c>
      <c r="C17" s="8">
        <v>2022</v>
      </c>
      <c r="D17" s="8">
        <v>2023</v>
      </c>
      <c r="E17" s="8">
        <v>2024</v>
      </c>
      <c r="F17" s="8">
        <v>2025</v>
      </c>
      <c r="G17" s="8">
        <v>2026</v>
      </c>
      <c r="H17" s="8">
        <v>2027</v>
      </c>
      <c r="I17" s="8">
        <v>2028</v>
      </c>
      <c r="J17" s="8">
        <v>2029</v>
      </c>
      <c r="K17" s="8">
        <v>2030</v>
      </c>
      <c r="L17" s="8">
        <v>2031</v>
      </c>
      <c r="M17" s="647">
        <v>2032</v>
      </c>
      <c r="N17" s="647">
        <v>2033</v>
      </c>
      <c r="O17" s="647">
        <v>2034</v>
      </c>
      <c r="P17" s="647">
        <v>2035</v>
      </c>
      <c r="Q17" s="647">
        <v>2036</v>
      </c>
      <c r="R17" s="647">
        <v>2037</v>
      </c>
      <c r="S17" s="647">
        <v>2038</v>
      </c>
      <c r="T17" s="647">
        <v>2039</v>
      </c>
      <c r="U17" s="647">
        <v>2040</v>
      </c>
      <c r="V17" s="647">
        <v>2041</v>
      </c>
    </row>
    <row r="18" spans="1:23" x14ac:dyDescent="0.25">
      <c r="A18" s="454" t="s">
        <v>178</v>
      </c>
      <c r="B18" s="651">
        <v>0.03</v>
      </c>
      <c r="C18" s="651">
        <v>0.03</v>
      </c>
      <c r="D18" s="651">
        <v>0.03</v>
      </c>
      <c r="E18" s="651">
        <v>0.03</v>
      </c>
      <c r="F18" s="651">
        <v>0.03</v>
      </c>
      <c r="G18" s="651">
        <v>0.03</v>
      </c>
      <c r="H18" s="651">
        <v>0.03</v>
      </c>
      <c r="I18" s="651">
        <v>0.03</v>
      </c>
      <c r="J18" s="651">
        <v>0.03</v>
      </c>
      <c r="K18" s="651">
        <v>0.03</v>
      </c>
      <c r="L18" s="651">
        <v>0.03</v>
      </c>
      <c r="M18" s="648">
        <f>L18</f>
        <v>0.03</v>
      </c>
      <c r="N18" s="648">
        <f t="shared" ref="N18:V18" si="7">M18</f>
        <v>0.03</v>
      </c>
      <c r="O18" s="648">
        <f t="shared" si="7"/>
        <v>0.03</v>
      </c>
      <c r="P18" s="648">
        <f t="shared" si="7"/>
        <v>0.03</v>
      </c>
      <c r="Q18" s="648">
        <f t="shared" si="7"/>
        <v>0.03</v>
      </c>
      <c r="R18" s="648">
        <f t="shared" si="7"/>
        <v>0.03</v>
      </c>
      <c r="S18" s="648">
        <f t="shared" si="7"/>
        <v>0.03</v>
      </c>
      <c r="T18" s="648">
        <f t="shared" si="7"/>
        <v>0.03</v>
      </c>
      <c r="U18" s="648">
        <f t="shared" si="7"/>
        <v>0.03</v>
      </c>
      <c r="V18" s="648">
        <f t="shared" si="7"/>
        <v>0.03</v>
      </c>
    </row>
    <row r="19" spans="1:23" x14ac:dyDescent="0.25">
      <c r="A19" s="454" t="s">
        <v>14</v>
      </c>
      <c r="B19" s="651">
        <v>0.03</v>
      </c>
      <c r="C19" s="651">
        <v>0.03</v>
      </c>
      <c r="D19" s="651">
        <v>0.03</v>
      </c>
      <c r="E19" s="651">
        <v>0.03</v>
      </c>
      <c r="F19" s="651">
        <v>0.03</v>
      </c>
      <c r="G19" s="651">
        <v>0.03</v>
      </c>
      <c r="H19" s="651">
        <v>0.03</v>
      </c>
      <c r="I19" s="651">
        <v>0.03</v>
      </c>
      <c r="J19" s="651">
        <v>0.03</v>
      </c>
      <c r="K19" s="651">
        <v>0.03</v>
      </c>
      <c r="L19" s="651">
        <v>0.03</v>
      </c>
      <c r="M19" s="648">
        <f t="shared" ref="M19:V19" si="8">L19</f>
        <v>0.03</v>
      </c>
      <c r="N19" s="648">
        <f t="shared" si="8"/>
        <v>0.03</v>
      </c>
      <c r="O19" s="648">
        <f t="shared" si="8"/>
        <v>0.03</v>
      </c>
      <c r="P19" s="648">
        <f t="shared" si="8"/>
        <v>0.03</v>
      </c>
      <c r="Q19" s="648">
        <f t="shared" si="8"/>
        <v>0.03</v>
      </c>
      <c r="R19" s="648">
        <f t="shared" si="8"/>
        <v>0.03</v>
      </c>
      <c r="S19" s="648">
        <f t="shared" si="8"/>
        <v>0.03</v>
      </c>
      <c r="T19" s="648">
        <f t="shared" si="8"/>
        <v>0.03</v>
      </c>
      <c r="U19" s="648">
        <f t="shared" si="8"/>
        <v>0.03</v>
      </c>
      <c r="V19" s="648">
        <f t="shared" si="8"/>
        <v>0.03</v>
      </c>
    </row>
    <row r="20" spans="1:23" x14ac:dyDescent="0.25">
      <c r="A20" s="454" t="s">
        <v>116</v>
      </c>
      <c r="B20" s="652"/>
      <c r="C20" s="652"/>
      <c r="D20" s="652"/>
      <c r="E20" s="652"/>
      <c r="F20" s="651">
        <v>0.03</v>
      </c>
      <c r="G20" s="651">
        <v>0.03</v>
      </c>
      <c r="H20" s="651">
        <v>0.03</v>
      </c>
      <c r="I20" s="651">
        <v>0.03</v>
      </c>
      <c r="J20" s="651">
        <v>0.03</v>
      </c>
      <c r="K20" s="651">
        <v>0.03</v>
      </c>
      <c r="L20" s="651">
        <v>0.03</v>
      </c>
      <c r="M20" s="648">
        <f t="shared" ref="M20:V20" si="9">L20</f>
        <v>0.03</v>
      </c>
      <c r="N20" s="648">
        <f t="shared" si="9"/>
        <v>0.03</v>
      </c>
      <c r="O20" s="648">
        <f t="shared" si="9"/>
        <v>0.03</v>
      </c>
      <c r="P20" s="648">
        <f t="shared" si="9"/>
        <v>0.03</v>
      </c>
      <c r="Q20" s="648">
        <f t="shared" si="9"/>
        <v>0.03</v>
      </c>
      <c r="R20" s="648">
        <f t="shared" si="9"/>
        <v>0.03</v>
      </c>
      <c r="S20" s="648">
        <f t="shared" si="9"/>
        <v>0.03</v>
      </c>
      <c r="T20" s="648">
        <f t="shared" si="9"/>
        <v>0.03</v>
      </c>
      <c r="U20" s="648">
        <f t="shared" si="9"/>
        <v>0.03</v>
      </c>
      <c r="V20" s="648">
        <f t="shared" si="9"/>
        <v>0.03</v>
      </c>
    </row>
    <row r="21" spans="1:23" x14ac:dyDescent="0.25">
      <c r="A21" s="454" t="s">
        <v>768</v>
      </c>
      <c r="B21" s="652"/>
      <c r="C21" s="652"/>
      <c r="D21" s="652"/>
      <c r="E21" s="652"/>
      <c r="F21" s="652"/>
      <c r="G21" s="652"/>
      <c r="H21" s="651">
        <v>0.03</v>
      </c>
      <c r="I21" s="651">
        <v>0.03</v>
      </c>
      <c r="J21" s="651">
        <v>0.03</v>
      </c>
      <c r="K21" s="651">
        <v>0.03</v>
      </c>
      <c r="L21" s="651">
        <v>0.03</v>
      </c>
      <c r="M21" s="648">
        <f t="shared" ref="M21:V21" si="10">L21</f>
        <v>0.03</v>
      </c>
      <c r="N21" s="648">
        <f t="shared" si="10"/>
        <v>0.03</v>
      </c>
      <c r="O21" s="648">
        <f t="shared" si="10"/>
        <v>0.03</v>
      </c>
      <c r="P21" s="648">
        <f t="shared" si="10"/>
        <v>0.03</v>
      </c>
      <c r="Q21" s="648">
        <f t="shared" si="10"/>
        <v>0.03</v>
      </c>
      <c r="R21" s="648">
        <f t="shared" si="10"/>
        <v>0.03</v>
      </c>
      <c r="S21" s="648">
        <f t="shared" si="10"/>
        <v>0.03</v>
      </c>
      <c r="T21" s="648">
        <f t="shared" si="10"/>
        <v>0.03</v>
      </c>
      <c r="U21" s="648">
        <f t="shared" si="10"/>
        <v>0.03</v>
      </c>
      <c r="V21" s="648">
        <f t="shared" si="10"/>
        <v>0.03</v>
      </c>
    </row>
    <row r="22" spans="1:23" x14ac:dyDescent="0.25">
      <c r="A22" s="426" t="s">
        <v>825</v>
      </c>
      <c r="B22" s="652"/>
      <c r="C22" s="652"/>
      <c r="D22" s="652"/>
      <c r="E22" s="652"/>
      <c r="F22" s="652"/>
      <c r="G22" s="652"/>
      <c r="H22" s="652"/>
      <c r="I22" s="652"/>
      <c r="J22" s="651">
        <v>0.03</v>
      </c>
      <c r="K22" s="651">
        <v>0.03</v>
      </c>
      <c r="L22" s="651">
        <v>0.03</v>
      </c>
      <c r="M22" s="648">
        <f t="shared" ref="M22:V22" si="11">L22</f>
        <v>0.03</v>
      </c>
      <c r="N22" s="648">
        <f t="shared" si="11"/>
        <v>0.03</v>
      </c>
      <c r="O22" s="648">
        <f t="shared" si="11"/>
        <v>0.03</v>
      </c>
      <c r="P22" s="648">
        <f t="shared" si="11"/>
        <v>0.03</v>
      </c>
      <c r="Q22" s="648">
        <f t="shared" si="11"/>
        <v>0.03</v>
      </c>
      <c r="R22" s="648">
        <f t="shared" si="11"/>
        <v>0.03</v>
      </c>
      <c r="S22" s="648">
        <f t="shared" si="11"/>
        <v>0.03</v>
      </c>
      <c r="T22" s="648">
        <f t="shared" si="11"/>
        <v>0.03</v>
      </c>
      <c r="U22" s="648">
        <f t="shared" si="11"/>
        <v>0.03</v>
      </c>
      <c r="V22" s="648">
        <f t="shared" si="11"/>
        <v>0.03</v>
      </c>
    </row>
    <row r="23" spans="1:23" ht="30" x14ac:dyDescent="0.25">
      <c r="A23" s="64" t="s">
        <v>203</v>
      </c>
    </row>
    <row r="24" spans="1:23" s="9" customFormat="1" x14ac:dyDescent="0.25">
      <c r="A24" s="431"/>
      <c r="B24" s="417"/>
      <c r="C24" s="417"/>
      <c r="D24" s="417"/>
      <c r="E24" s="417"/>
      <c r="F24" s="417"/>
      <c r="G24" s="417"/>
      <c r="H24" s="417"/>
      <c r="I24" s="417"/>
      <c r="J24" s="417"/>
      <c r="K24" s="417"/>
      <c r="L24" s="417"/>
      <c r="M24" s="645"/>
      <c r="N24" s="645"/>
      <c r="O24" s="645"/>
      <c r="P24" s="645"/>
      <c r="Q24" s="645"/>
      <c r="R24" s="645"/>
      <c r="S24" s="645"/>
      <c r="T24" s="645"/>
      <c r="U24" s="645"/>
      <c r="V24" s="645"/>
      <c r="W24" s="417"/>
    </row>
    <row r="26" spans="1:23" ht="45" x14ac:dyDescent="0.25">
      <c r="A26" s="430" t="s">
        <v>198</v>
      </c>
    </row>
    <row r="27" spans="1:23" x14ac:dyDescent="0.25">
      <c r="A27" s="646" t="s">
        <v>81</v>
      </c>
      <c r="B27" s="8">
        <v>2021</v>
      </c>
      <c r="C27" s="8">
        <v>2022</v>
      </c>
      <c r="D27" s="8">
        <v>2023</v>
      </c>
      <c r="E27" s="8">
        <v>2024</v>
      </c>
      <c r="F27" s="8">
        <v>2025</v>
      </c>
      <c r="G27" s="8">
        <v>2026</v>
      </c>
      <c r="H27" s="8">
        <v>2027</v>
      </c>
      <c r="I27" s="8">
        <v>2028</v>
      </c>
      <c r="J27" s="8">
        <v>2029</v>
      </c>
      <c r="K27" s="8">
        <v>2030</v>
      </c>
      <c r="L27" s="8">
        <v>2031</v>
      </c>
      <c r="M27" s="647">
        <v>2032</v>
      </c>
      <c r="N27" s="647">
        <v>2033</v>
      </c>
      <c r="O27" s="647">
        <v>2034</v>
      </c>
      <c r="P27" s="647">
        <v>2035</v>
      </c>
      <c r="Q27" s="647">
        <v>2036</v>
      </c>
      <c r="R27" s="647">
        <v>2037</v>
      </c>
      <c r="S27" s="647">
        <v>2038</v>
      </c>
      <c r="T27" s="647">
        <v>2039</v>
      </c>
      <c r="U27" s="647">
        <v>2040</v>
      </c>
      <c r="V27" s="647">
        <v>2041</v>
      </c>
    </row>
    <row r="28" spans="1:23" x14ac:dyDescent="0.25">
      <c r="A28" s="454" t="s">
        <v>178</v>
      </c>
      <c r="B28" s="419">
        <v>0.05</v>
      </c>
      <c r="C28" s="419">
        <v>0.05</v>
      </c>
      <c r="D28" s="419">
        <v>0.03</v>
      </c>
      <c r="E28" s="419">
        <v>0.03</v>
      </c>
      <c r="F28" s="419">
        <v>0.03</v>
      </c>
      <c r="G28" s="419">
        <v>0.03</v>
      </c>
      <c r="H28" s="419">
        <v>0.03</v>
      </c>
      <c r="I28" s="419">
        <v>0.03</v>
      </c>
      <c r="J28" s="419">
        <v>0.03</v>
      </c>
      <c r="K28" s="419">
        <v>0.03</v>
      </c>
      <c r="L28" s="419">
        <v>0.03</v>
      </c>
      <c r="M28" s="653">
        <f>L28</f>
        <v>0.03</v>
      </c>
      <c r="N28" s="653">
        <f t="shared" ref="N28:V28" si="12">M28</f>
        <v>0.03</v>
      </c>
      <c r="O28" s="653">
        <f t="shared" si="12"/>
        <v>0.03</v>
      </c>
      <c r="P28" s="653">
        <f t="shared" si="12"/>
        <v>0.03</v>
      </c>
      <c r="Q28" s="653">
        <f t="shared" si="12"/>
        <v>0.03</v>
      </c>
      <c r="R28" s="653">
        <f t="shared" si="12"/>
        <v>0.03</v>
      </c>
      <c r="S28" s="653">
        <f t="shared" si="12"/>
        <v>0.03</v>
      </c>
      <c r="T28" s="653">
        <f t="shared" si="12"/>
        <v>0.03</v>
      </c>
      <c r="U28" s="653">
        <f t="shared" si="12"/>
        <v>0.03</v>
      </c>
      <c r="V28" s="653">
        <f t="shared" si="12"/>
        <v>0.03</v>
      </c>
    </row>
    <row r="29" spans="1:23" x14ac:dyDescent="0.25">
      <c r="A29" s="454" t="s">
        <v>14</v>
      </c>
      <c r="B29" s="419">
        <v>0.05</v>
      </c>
      <c r="C29" s="419">
        <v>0.05</v>
      </c>
      <c r="D29" s="419">
        <v>0.03</v>
      </c>
      <c r="E29" s="419">
        <v>0.03</v>
      </c>
      <c r="F29" s="419">
        <v>0.03</v>
      </c>
      <c r="G29" s="419">
        <v>0.03</v>
      </c>
      <c r="H29" s="419">
        <v>0.03</v>
      </c>
      <c r="I29" s="419">
        <v>0.03</v>
      </c>
      <c r="J29" s="419">
        <v>0.03</v>
      </c>
      <c r="K29" s="419">
        <v>0.03</v>
      </c>
      <c r="L29" s="419">
        <v>0.03</v>
      </c>
      <c r="M29" s="653">
        <f t="shared" ref="M29:V29" si="13">L29</f>
        <v>0.03</v>
      </c>
      <c r="N29" s="653">
        <f t="shared" si="13"/>
        <v>0.03</v>
      </c>
      <c r="O29" s="653">
        <f t="shared" si="13"/>
        <v>0.03</v>
      </c>
      <c r="P29" s="653">
        <f t="shared" si="13"/>
        <v>0.03</v>
      </c>
      <c r="Q29" s="653">
        <f t="shared" si="13"/>
        <v>0.03</v>
      </c>
      <c r="R29" s="653">
        <f t="shared" si="13"/>
        <v>0.03</v>
      </c>
      <c r="S29" s="653">
        <f t="shared" si="13"/>
        <v>0.03</v>
      </c>
      <c r="T29" s="653">
        <f t="shared" si="13"/>
        <v>0.03</v>
      </c>
      <c r="U29" s="653">
        <f t="shared" si="13"/>
        <v>0.03</v>
      </c>
      <c r="V29" s="653">
        <f t="shared" si="13"/>
        <v>0.03</v>
      </c>
    </row>
    <row r="30" spans="1:23" x14ac:dyDescent="0.25">
      <c r="A30" s="454" t="s">
        <v>116</v>
      </c>
      <c r="B30" s="649"/>
      <c r="C30" s="649"/>
      <c r="D30" s="649"/>
      <c r="E30" s="649"/>
      <c r="F30" s="419">
        <v>0.05</v>
      </c>
      <c r="G30" s="419">
        <v>0.03</v>
      </c>
      <c r="H30" s="419">
        <v>0.03</v>
      </c>
      <c r="I30" s="419">
        <v>0.03</v>
      </c>
      <c r="J30" s="419">
        <v>0.03</v>
      </c>
      <c r="K30" s="419">
        <v>0.03</v>
      </c>
      <c r="L30" s="419">
        <v>0.03</v>
      </c>
      <c r="M30" s="653">
        <f t="shared" ref="M30:V30" si="14">L30</f>
        <v>0.03</v>
      </c>
      <c r="N30" s="653">
        <f t="shared" si="14"/>
        <v>0.03</v>
      </c>
      <c r="O30" s="653">
        <f t="shared" si="14"/>
        <v>0.03</v>
      </c>
      <c r="P30" s="653">
        <f t="shared" si="14"/>
        <v>0.03</v>
      </c>
      <c r="Q30" s="653">
        <f t="shared" si="14"/>
        <v>0.03</v>
      </c>
      <c r="R30" s="653">
        <f t="shared" si="14"/>
        <v>0.03</v>
      </c>
      <c r="S30" s="653">
        <f t="shared" si="14"/>
        <v>0.03</v>
      </c>
      <c r="T30" s="653">
        <f t="shared" si="14"/>
        <v>0.03</v>
      </c>
      <c r="U30" s="653">
        <f t="shared" si="14"/>
        <v>0.03</v>
      </c>
      <c r="V30" s="653">
        <f t="shared" si="14"/>
        <v>0.03</v>
      </c>
    </row>
    <row r="31" spans="1:23" x14ac:dyDescent="0.25">
      <c r="A31" s="454" t="s">
        <v>768</v>
      </c>
      <c r="B31" s="649"/>
      <c r="C31" s="649"/>
      <c r="D31" s="649"/>
      <c r="E31" s="649"/>
      <c r="F31" s="649"/>
      <c r="G31" s="649"/>
      <c r="H31" s="419">
        <v>0.05</v>
      </c>
      <c r="I31" s="419">
        <v>0.03</v>
      </c>
      <c r="J31" s="419">
        <v>0.03</v>
      </c>
      <c r="K31" s="419">
        <v>0.03</v>
      </c>
      <c r="L31" s="419">
        <v>0.03</v>
      </c>
      <c r="M31" s="653">
        <f t="shared" ref="M31:V31" si="15">L31</f>
        <v>0.03</v>
      </c>
      <c r="N31" s="653">
        <f t="shared" si="15"/>
        <v>0.03</v>
      </c>
      <c r="O31" s="653">
        <f t="shared" si="15"/>
        <v>0.03</v>
      </c>
      <c r="P31" s="653">
        <f t="shared" si="15"/>
        <v>0.03</v>
      </c>
      <c r="Q31" s="653">
        <f t="shared" si="15"/>
        <v>0.03</v>
      </c>
      <c r="R31" s="653">
        <f t="shared" si="15"/>
        <v>0.03</v>
      </c>
      <c r="S31" s="653">
        <f t="shared" si="15"/>
        <v>0.03</v>
      </c>
      <c r="T31" s="653">
        <f t="shared" si="15"/>
        <v>0.03</v>
      </c>
      <c r="U31" s="653">
        <f t="shared" si="15"/>
        <v>0.03</v>
      </c>
      <c r="V31" s="653">
        <f t="shared" si="15"/>
        <v>0.03</v>
      </c>
    </row>
    <row r="32" spans="1:23" x14ac:dyDescent="0.25">
      <c r="A32" s="426" t="s">
        <v>825</v>
      </c>
      <c r="B32" s="649"/>
      <c r="C32" s="649"/>
      <c r="D32" s="649"/>
      <c r="E32" s="649"/>
      <c r="F32" s="649"/>
      <c r="G32" s="649"/>
      <c r="H32" s="649"/>
      <c r="I32" s="649"/>
      <c r="J32" s="419">
        <v>0.05</v>
      </c>
      <c r="K32" s="419">
        <v>0.03</v>
      </c>
      <c r="L32" s="419">
        <v>0.03</v>
      </c>
      <c r="M32" s="653">
        <f t="shared" ref="M32:V32" si="16">L32</f>
        <v>0.03</v>
      </c>
      <c r="N32" s="653">
        <f t="shared" si="16"/>
        <v>0.03</v>
      </c>
      <c r="O32" s="653">
        <f t="shared" si="16"/>
        <v>0.03</v>
      </c>
      <c r="P32" s="653">
        <f t="shared" si="16"/>
        <v>0.03</v>
      </c>
      <c r="Q32" s="653">
        <f t="shared" si="16"/>
        <v>0.03</v>
      </c>
      <c r="R32" s="653">
        <f t="shared" si="16"/>
        <v>0.03</v>
      </c>
      <c r="S32" s="653">
        <f t="shared" si="16"/>
        <v>0.03</v>
      </c>
      <c r="T32" s="653">
        <f t="shared" si="16"/>
        <v>0.03</v>
      </c>
      <c r="U32" s="653">
        <f t="shared" si="16"/>
        <v>0.03</v>
      </c>
      <c r="V32" s="653">
        <f t="shared" si="16"/>
        <v>0.03</v>
      </c>
    </row>
    <row r="33" spans="1:22" x14ac:dyDescent="0.25">
      <c r="A33" s="64" t="s">
        <v>606</v>
      </c>
    </row>
    <row r="35" spans="1:22" ht="45" x14ac:dyDescent="0.25">
      <c r="A35" s="430" t="s">
        <v>199</v>
      </c>
      <c r="G35" s="417"/>
    </row>
    <row r="36" spans="1:22" x14ac:dyDescent="0.25">
      <c r="A36" s="646" t="s">
        <v>81</v>
      </c>
      <c r="B36" s="8">
        <v>2021</v>
      </c>
      <c r="C36" s="8">
        <v>2022</v>
      </c>
      <c r="D36" s="8">
        <v>2023</v>
      </c>
      <c r="E36" s="8">
        <v>2024</v>
      </c>
      <c r="F36" s="8">
        <v>2025</v>
      </c>
      <c r="G36" s="8">
        <v>2026</v>
      </c>
      <c r="H36" s="8">
        <v>2027</v>
      </c>
      <c r="I36" s="8">
        <v>2028</v>
      </c>
      <c r="J36" s="8">
        <v>2029</v>
      </c>
      <c r="K36" s="8">
        <v>2030</v>
      </c>
      <c r="L36" s="8">
        <v>2031</v>
      </c>
      <c r="M36" s="647">
        <v>2032</v>
      </c>
      <c r="N36" s="647">
        <v>2033</v>
      </c>
      <c r="O36" s="647">
        <v>2034</v>
      </c>
      <c r="P36" s="647">
        <v>2035</v>
      </c>
      <c r="Q36" s="647">
        <v>2036</v>
      </c>
      <c r="R36" s="647">
        <v>2037</v>
      </c>
      <c r="S36" s="647">
        <v>2038</v>
      </c>
      <c r="T36" s="647">
        <v>2039</v>
      </c>
      <c r="U36" s="647">
        <v>2040</v>
      </c>
      <c r="V36" s="647">
        <v>2041</v>
      </c>
    </row>
    <row r="37" spans="1:22" x14ac:dyDescent="0.25">
      <c r="A37" s="454" t="s">
        <v>178</v>
      </c>
      <c r="B37" s="419">
        <v>0.05</v>
      </c>
      <c r="C37" s="419">
        <v>0.05</v>
      </c>
      <c r="D37" s="419">
        <v>0.03</v>
      </c>
      <c r="E37" s="419">
        <v>0.03</v>
      </c>
      <c r="F37" s="419">
        <v>0.03</v>
      </c>
      <c r="G37" s="419">
        <v>0.03</v>
      </c>
      <c r="H37" s="419">
        <v>0.03</v>
      </c>
      <c r="I37" s="419">
        <v>0.03</v>
      </c>
      <c r="J37" s="419">
        <v>0.03</v>
      </c>
      <c r="K37" s="419">
        <v>0.03</v>
      </c>
      <c r="L37" s="419">
        <v>0.03</v>
      </c>
      <c r="M37" s="653">
        <f>L37</f>
        <v>0.03</v>
      </c>
      <c r="N37" s="653">
        <f t="shared" ref="N37:V37" si="17">M37</f>
        <v>0.03</v>
      </c>
      <c r="O37" s="653">
        <f t="shared" si="17"/>
        <v>0.03</v>
      </c>
      <c r="P37" s="653">
        <f t="shared" si="17"/>
        <v>0.03</v>
      </c>
      <c r="Q37" s="653">
        <f t="shared" si="17"/>
        <v>0.03</v>
      </c>
      <c r="R37" s="653">
        <f t="shared" si="17"/>
        <v>0.03</v>
      </c>
      <c r="S37" s="653">
        <f t="shared" si="17"/>
        <v>0.03</v>
      </c>
      <c r="T37" s="653">
        <f t="shared" si="17"/>
        <v>0.03</v>
      </c>
      <c r="U37" s="653">
        <f t="shared" si="17"/>
        <v>0.03</v>
      </c>
      <c r="V37" s="653">
        <f t="shared" si="17"/>
        <v>0.03</v>
      </c>
    </row>
    <row r="38" spans="1:22" x14ac:dyDescent="0.25">
      <c r="A38" s="454" t="s">
        <v>14</v>
      </c>
      <c r="B38" s="419">
        <v>0.05</v>
      </c>
      <c r="C38" s="419">
        <v>0.05</v>
      </c>
      <c r="D38" s="419">
        <v>0.03</v>
      </c>
      <c r="E38" s="419">
        <v>0.03</v>
      </c>
      <c r="F38" s="419">
        <v>0.03</v>
      </c>
      <c r="G38" s="419">
        <v>0.03</v>
      </c>
      <c r="H38" s="419">
        <v>0.03</v>
      </c>
      <c r="I38" s="419">
        <v>0.03</v>
      </c>
      <c r="J38" s="419">
        <v>0.03</v>
      </c>
      <c r="K38" s="419">
        <v>0.03</v>
      </c>
      <c r="L38" s="419">
        <v>0.03</v>
      </c>
      <c r="M38" s="653">
        <f t="shared" ref="M38:V38" si="18">L38</f>
        <v>0.03</v>
      </c>
      <c r="N38" s="653">
        <f t="shared" si="18"/>
        <v>0.03</v>
      </c>
      <c r="O38" s="653">
        <f t="shared" si="18"/>
        <v>0.03</v>
      </c>
      <c r="P38" s="653">
        <f t="shared" si="18"/>
        <v>0.03</v>
      </c>
      <c r="Q38" s="653">
        <f t="shared" si="18"/>
        <v>0.03</v>
      </c>
      <c r="R38" s="653">
        <f t="shared" si="18"/>
        <v>0.03</v>
      </c>
      <c r="S38" s="653">
        <f t="shared" si="18"/>
        <v>0.03</v>
      </c>
      <c r="T38" s="653">
        <f t="shared" si="18"/>
        <v>0.03</v>
      </c>
      <c r="U38" s="653">
        <f t="shared" si="18"/>
        <v>0.03</v>
      </c>
      <c r="V38" s="653">
        <f t="shared" si="18"/>
        <v>0.03</v>
      </c>
    </row>
    <row r="39" spans="1:22" x14ac:dyDescent="0.25">
      <c r="A39" s="454" t="s">
        <v>116</v>
      </c>
      <c r="B39" s="649"/>
      <c r="C39" s="649"/>
      <c r="D39" s="649"/>
      <c r="E39" s="649"/>
      <c r="F39" s="419">
        <v>0.05</v>
      </c>
      <c r="G39" s="419">
        <v>0.03</v>
      </c>
      <c r="H39" s="419">
        <v>0.03</v>
      </c>
      <c r="I39" s="419">
        <v>0.03</v>
      </c>
      <c r="J39" s="419">
        <v>0.03</v>
      </c>
      <c r="K39" s="419">
        <v>0.03</v>
      </c>
      <c r="L39" s="419">
        <v>0.03</v>
      </c>
      <c r="M39" s="653">
        <f t="shared" ref="M39:V39" si="19">L39</f>
        <v>0.03</v>
      </c>
      <c r="N39" s="653">
        <f t="shared" si="19"/>
        <v>0.03</v>
      </c>
      <c r="O39" s="653">
        <f t="shared" si="19"/>
        <v>0.03</v>
      </c>
      <c r="P39" s="653">
        <f t="shared" si="19"/>
        <v>0.03</v>
      </c>
      <c r="Q39" s="653">
        <f t="shared" si="19"/>
        <v>0.03</v>
      </c>
      <c r="R39" s="653">
        <f t="shared" si="19"/>
        <v>0.03</v>
      </c>
      <c r="S39" s="653">
        <f t="shared" si="19"/>
        <v>0.03</v>
      </c>
      <c r="T39" s="653">
        <f t="shared" si="19"/>
        <v>0.03</v>
      </c>
      <c r="U39" s="653">
        <f t="shared" si="19"/>
        <v>0.03</v>
      </c>
      <c r="V39" s="653">
        <f t="shared" si="19"/>
        <v>0.03</v>
      </c>
    </row>
    <row r="40" spans="1:22" x14ac:dyDescent="0.25">
      <c r="A40" s="454" t="s">
        <v>768</v>
      </c>
      <c r="B40" s="649"/>
      <c r="C40" s="649"/>
      <c r="D40" s="649"/>
      <c r="E40" s="649"/>
      <c r="F40" s="649"/>
      <c r="G40" s="649"/>
      <c r="H40" s="419">
        <v>0.05</v>
      </c>
      <c r="I40" s="419">
        <v>0.03</v>
      </c>
      <c r="J40" s="419">
        <v>0.03</v>
      </c>
      <c r="K40" s="419">
        <v>0.03</v>
      </c>
      <c r="L40" s="419">
        <v>0.03</v>
      </c>
      <c r="M40" s="653">
        <f t="shared" ref="M40:V40" si="20">L40</f>
        <v>0.03</v>
      </c>
      <c r="N40" s="653">
        <f t="shared" si="20"/>
        <v>0.03</v>
      </c>
      <c r="O40" s="653">
        <f t="shared" si="20"/>
        <v>0.03</v>
      </c>
      <c r="P40" s="653">
        <f t="shared" si="20"/>
        <v>0.03</v>
      </c>
      <c r="Q40" s="653">
        <f t="shared" si="20"/>
        <v>0.03</v>
      </c>
      <c r="R40" s="653">
        <f t="shared" si="20"/>
        <v>0.03</v>
      </c>
      <c r="S40" s="653">
        <f t="shared" si="20"/>
        <v>0.03</v>
      </c>
      <c r="T40" s="653">
        <f t="shared" si="20"/>
        <v>0.03</v>
      </c>
      <c r="U40" s="653">
        <f t="shared" si="20"/>
        <v>0.03</v>
      </c>
      <c r="V40" s="653">
        <f t="shared" si="20"/>
        <v>0.03</v>
      </c>
    </row>
    <row r="41" spans="1:22" x14ac:dyDescent="0.25">
      <c r="A41" s="426" t="s">
        <v>825</v>
      </c>
      <c r="B41" s="649"/>
      <c r="C41" s="649"/>
      <c r="D41" s="649"/>
      <c r="E41" s="649"/>
      <c r="F41" s="649"/>
      <c r="G41" s="649"/>
      <c r="H41" s="649"/>
      <c r="I41" s="649"/>
      <c r="J41" s="419">
        <v>0.05</v>
      </c>
      <c r="K41" s="419">
        <v>0.03</v>
      </c>
      <c r="L41" s="419">
        <v>0.03</v>
      </c>
      <c r="M41" s="653">
        <f t="shared" ref="M41:V41" si="21">L41</f>
        <v>0.03</v>
      </c>
      <c r="N41" s="653">
        <f t="shared" si="21"/>
        <v>0.03</v>
      </c>
      <c r="O41" s="653">
        <f t="shared" si="21"/>
        <v>0.03</v>
      </c>
      <c r="P41" s="653">
        <f t="shared" si="21"/>
        <v>0.03</v>
      </c>
      <c r="Q41" s="653">
        <f t="shared" si="21"/>
        <v>0.03</v>
      </c>
      <c r="R41" s="653">
        <f t="shared" si="21"/>
        <v>0.03</v>
      </c>
      <c r="S41" s="653">
        <f t="shared" si="21"/>
        <v>0.03</v>
      </c>
      <c r="T41" s="653">
        <f t="shared" si="21"/>
        <v>0.03</v>
      </c>
      <c r="U41" s="653">
        <f t="shared" si="21"/>
        <v>0.03</v>
      </c>
      <c r="V41" s="653">
        <f t="shared" si="21"/>
        <v>0.03</v>
      </c>
    </row>
    <row r="42" spans="1:22" x14ac:dyDescent="0.25">
      <c r="A42" s="64" t="s">
        <v>606</v>
      </c>
    </row>
    <row r="44" spans="1:22" ht="60" x14ac:dyDescent="0.25">
      <c r="A44" s="430" t="s">
        <v>201</v>
      </c>
      <c r="G44" s="417"/>
    </row>
    <row r="45" spans="1:22" x14ac:dyDescent="0.25">
      <c r="A45" s="646" t="s">
        <v>81</v>
      </c>
      <c r="B45" s="8">
        <v>2021</v>
      </c>
      <c r="C45" s="8">
        <v>2022</v>
      </c>
      <c r="D45" s="8">
        <v>2023</v>
      </c>
      <c r="E45" s="8">
        <v>2024</v>
      </c>
      <c r="F45" s="8">
        <v>2025</v>
      </c>
      <c r="G45" s="8">
        <v>2026</v>
      </c>
      <c r="H45" s="8">
        <v>2027</v>
      </c>
      <c r="I45" s="8">
        <v>2028</v>
      </c>
      <c r="J45" s="8">
        <v>2029</v>
      </c>
      <c r="K45" s="8">
        <v>2030</v>
      </c>
      <c r="L45" s="8">
        <v>2031</v>
      </c>
      <c r="M45" s="647">
        <v>2032</v>
      </c>
      <c r="N45" s="647">
        <v>2033</v>
      </c>
      <c r="O45" s="647">
        <v>2034</v>
      </c>
      <c r="P45" s="647">
        <v>2035</v>
      </c>
      <c r="Q45" s="647">
        <v>2036</v>
      </c>
      <c r="R45" s="647">
        <v>2037</v>
      </c>
      <c r="S45" s="647">
        <v>2038</v>
      </c>
      <c r="T45" s="647">
        <v>2039</v>
      </c>
      <c r="U45" s="647">
        <v>2040</v>
      </c>
      <c r="V45" s="647">
        <v>2041</v>
      </c>
    </row>
    <row r="46" spans="1:22" x14ac:dyDescent="0.25">
      <c r="A46" s="454" t="s">
        <v>178</v>
      </c>
      <c r="B46" s="483">
        <v>4.9649532710280371E-3</v>
      </c>
      <c r="C46" s="483">
        <v>4.9649532710280371E-3</v>
      </c>
      <c r="D46" s="483">
        <v>4.9649532710280371E-3</v>
      </c>
      <c r="E46" s="483">
        <v>4.9649532710280371E-3</v>
      </c>
      <c r="F46" s="483">
        <v>4.9649532710280371E-3</v>
      </c>
      <c r="G46" s="483">
        <v>4.9649532710280371E-3</v>
      </c>
      <c r="H46" s="483">
        <v>4.9649532710280371E-3</v>
      </c>
      <c r="I46" s="483">
        <v>4.9649532710280371E-3</v>
      </c>
      <c r="J46" s="483">
        <v>4.9649532710280371E-3</v>
      </c>
      <c r="K46" s="483">
        <v>4.9649532710280371E-3</v>
      </c>
      <c r="L46" s="483">
        <v>4.9649532710280371E-3</v>
      </c>
      <c r="M46" s="648">
        <f>L46</f>
        <v>4.9649532710280371E-3</v>
      </c>
      <c r="N46" s="648">
        <f t="shared" ref="N46:V46" si="22">M46</f>
        <v>4.9649532710280371E-3</v>
      </c>
      <c r="O46" s="648">
        <f t="shared" si="22"/>
        <v>4.9649532710280371E-3</v>
      </c>
      <c r="P46" s="648">
        <f t="shared" si="22"/>
        <v>4.9649532710280371E-3</v>
      </c>
      <c r="Q46" s="648">
        <f t="shared" si="22"/>
        <v>4.9649532710280371E-3</v>
      </c>
      <c r="R46" s="648">
        <f t="shared" si="22"/>
        <v>4.9649532710280371E-3</v>
      </c>
      <c r="S46" s="648">
        <f t="shared" si="22"/>
        <v>4.9649532710280371E-3</v>
      </c>
      <c r="T46" s="648">
        <f t="shared" si="22"/>
        <v>4.9649532710280371E-3</v>
      </c>
      <c r="U46" s="648">
        <f t="shared" si="22"/>
        <v>4.9649532710280371E-3</v>
      </c>
      <c r="V46" s="648">
        <f t="shared" si="22"/>
        <v>4.9649532710280371E-3</v>
      </c>
    </row>
    <row r="47" spans="1:22" x14ac:dyDescent="0.25">
      <c r="A47" s="454" t="s">
        <v>14</v>
      </c>
      <c r="B47" s="483">
        <v>4.9649532710280371E-3</v>
      </c>
      <c r="C47" s="483">
        <v>4.9649532710280371E-3</v>
      </c>
      <c r="D47" s="483">
        <v>4.9649532710280371E-3</v>
      </c>
      <c r="E47" s="483">
        <v>4.9649532710280371E-3</v>
      </c>
      <c r="F47" s="483">
        <v>4.9649532710280371E-3</v>
      </c>
      <c r="G47" s="483">
        <v>4.9649532710280371E-3</v>
      </c>
      <c r="H47" s="483">
        <v>4.9649532710280371E-3</v>
      </c>
      <c r="I47" s="483">
        <v>4.9649532710280371E-3</v>
      </c>
      <c r="J47" s="483">
        <v>4.9649532710280371E-3</v>
      </c>
      <c r="K47" s="483">
        <v>4.9649532710280371E-3</v>
      </c>
      <c r="L47" s="483">
        <v>4.9649532710280371E-3</v>
      </c>
      <c r="M47" s="648">
        <f t="shared" ref="M47:V47" si="23">L47</f>
        <v>4.9649532710280371E-3</v>
      </c>
      <c r="N47" s="648">
        <f t="shared" si="23"/>
        <v>4.9649532710280371E-3</v>
      </c>
      <c r="O47" s="648">
        <f t="shared" si="23"/>
        <v>4.9649532710280371E-3</v>
      </c>
      <c r="P47" s="648">
        <f t="shared" si="23"/>
        <v>4.9649532710280371E-3</v>
      </c>
      <c r="Q47" s="648">
        <f t="shared" si="23"/>
        <v>4.9649532710280371E-3</v>
      </c>
      <c r="R47" s="648">
        <f t="shared" si="23"/>
        <v>4.9649532710280371E-3</v>
      </c>
      <c r="S47" s="648">
        <f t="shared" si="23"/>
        <v>4.9649532710280371E-3</v>
      </c>
      <c r="T47" s="648">
        <f t="shared" si="23"/>
        <v>4.9649532710280371E-3</v>
      </c>
      <c r="U47" s="648">
        <f t="shared" si="23"/>
        <v>4.9649532710280371E-3</v>
      </c>
      <c r="V47" s="648">
        <f t="shared" si="23"/>
        <v>4.9649532710280371E-3</v>
      </c>
    </row>
    <row r="48" spans="1:22" x14ac:dyDescent="0.25">
      <c r="A48" s="454" t="s">
        <v>116</v>
      </c>
      <c r="B48" s="650"/>
      <c r="C48" s="650"/>
      <c r="D48" s="650"/>
      <c r="E48" s="650"/>
      <c r="F48" s="483">
        <v>4.9649532710280371E-3</v>
      </c>
      <c r="G48" s="483">
        <v>4.9649532710280371E-3</v>
      </c>
      <c r="H48" s="483">
        <v>4.9649532710280371E-3</v>
      </c>
      <c r="I48" s="483">
        <v>4.9649532710280371E-3</v>
      </c>
      <c r="J48" s="483">
        <v>4.9649532710280371E-3</v>
      </c>
      <c r="K48" s="483">
        <v>4.9649532710280371E-3</v>
      </c>
      <c r="L48" s="483">
        <v>4.9649532710280371E-3</v>
      </c>
      <c r="M48" s="648">
        <f t="shared" ref="M48:V48" si="24">L48</f>
        <v>4.9649532710280371E-3</v>
      </c>
      <c r="N48" s="648">
        <f t="shared" si="24"/>
        <v>4.9649532710280371E-3</v>
      </c>
      <c r="O48" s="648">
        <f t="shared" si="24"/>
        <v>4.9649532710280371E-3</v>
      </c>
      <c r="P48" s="648">
        <f t="shared" si="24"/>
        <v>4.9649532710280371E-3</v>
      </c>
      <c r="Q48" s="648">
        <f t="shared" si="24"/>
        <v>4.9649532710280371E-3</v>
      </c>
      <c r="R48" s="648">
        <f t="shared" si="24"/>
        <v>4.9649532710280371E-3</v>
      </c>
      <c r="S48" s="648">
        <f t="shared" si="24"/>
        <v>4.9649532710280371E-3</v>
      </c>
      <c r="T48" s="648">
        <f t="shared" si="24"/>
        <v>4.9649532710280371E-3</v>
      </c>
      <c r="U48" s="648">
        <f t="shared" si="24"/>
        <v>4.9649532710280371E-3</v>
      </c>
      <c r="V48" s="648">
        <f t="shared" si="24"/>
        <v>4.9649532710280371E-3</v>
      </c>
    </row>
    <row r="49" spans="1:22" x14ac:dyDescent="0.25">
      <c r="A49" s="454" t="s">
        <v>768</v>
      </c>
      <c r="B49" s="650"/>
      <c r="C49" s="650"/>
      <c r="D49" s="650"/>
      <c r="E49" s="650"/>
      <c r="F49" s="650"/>
      <c r="G49" s="650"/>
      <c r="H49" s="483">
        <v>5.0000000000000001E-3</v>
      </c>
      <c r="I49" s="483">
        <v>5.0000000000000001E-3</v>
      </c>
      <c r="J49" s="483">
        <v>5.0000000000000001E-3</v>
      </c>
      <c r="K49" s="483">
        <v>5.0000000000000001E-3</v>
      </c>
      <c r="L49" s="483">
        <v>5.0000000000000001E-3</v>
      </c>
      <c r="M49" s="648">
        <f t="shared" ref="M49:V49" si="25">L49</f>
        <v>5.0000000000000001E-3</v>
      </c>
      <c r="N49" s="648">
        <f t="shared" si="25"/>
        <v>5.0000000000000001E-3</v>
      </c>
      <c r="O49" s="648">
        <f t="shared" si="25"/>
        <v>5.0000000000000001E-3</v>
      </c>
      <c r="P49" s="648">
        <f t="shared" si="25"/>
        <v>5.0000000000000001E-3</v>
      </c>
      <c r="Q49" s="648">
        <f t="shared" si="25"/>
        <v>5.0000000000000001E-3</v>
      </c>
      <c r="R49" s="648">
        <f t="shared" si="25"/>
        <v>5.0000000000000001E-3</v>
      </c>
      <c r="S49" s="648">
        <f t="shared" si="25"/>
        <v>5.0000000000000001E-3</v>
      </c>
      <c r="T49" s="648">
        <f t="shared" si="25"/>
        <v>5.0000000000000001E-3</v>
      </c>
      <c r="U49" s="648">
        <f t="shared" si="25"/>
        <v>5.0000000000000001E-3</v>
      </c>
      <c r="V49" s="648">
        <f t="shared" si="25"/>
        <v>5.0000000000000001E-3</v>
      </c>
    </row>
    <row r="50" spans="1:22" x14ac:dyDescent="0.25">
      <c r="A50" s="426" t="s">
        <v>825</v>
      </c>
      <c r="B50" s="650"/>
      <c r="C50" s="650"/>
      <c r="D50" s="650"/>
      <c r="E50" s="650"/>
      <c r="F50" s="650"/>
      <c r="G50" s="650"/>
      <c r="H50" s="650"/>
      <c r="I50" s="650"/>
      <c r="J50" s="483">
        <v>5.0000000000000001E-3</v>
      </c>
      <c r="K50" s="483">
        <v>5.0000000000000001E-3</v>
      </c>
      <c r="L50" s="483">
        <v>5.0000000000000001E-3</v>
      </c>
      <c r="M50" s="648">
        <f t="shared" ref="M50:V50" si="26">L50</f>
        <v>5.0000000000000001E-3</v>
      </c>
      <c r="N50" s="648">
        <f t="shared" si="26"/>
        <v>5.0000000000000001E-3</v>
      </c>
      <c r="O50" s="648">
        <f t="shared" si="26"/>
        <v>5.0000000000000001E-3</v>
      </c>
      <c r="P50" s="648">
        <f t="shared" si="26"/>
        <v>5.0000000000000001E-3</v>
      </c>
      <c r="Q50" s="648">
        <f t="shared" si="26"/>
        <v>5.0000000000000001E-3</v>
      </c>
      <c r="R50" s="648">
        <f t="shared" si="26"/>
        <v>5.0000000000000001E-3</v>
      </c>
      <c r="S50" s="648">
        <f t="shared" si="26"/>
        <v>5.0000000000000001E-3</v>
      </c>
      <c r="T50" s="648">
        <f t="shared" si="26"/>
        <v>5.0000000000000001E-3</v>
      </c>
      <c r="U50" s="648">
        <f t="shared" si="26"/>
        <v>5.0000000000000001E-3</v>
      </c>
      <c r="V50" s="648">
        <f t="shared" si="26"/>
        <v>5.0000000000000001E-3</v>
      </c>
    </row>
    <row r="51" spans="1:22" ht="30" x14ac:dyDescent="0.25">
      <c r="A51" s="64" t="s">
        <v>203</v>
      </c>
    </row>
    <row r="52" spans="1:22" ht="75" x14ac:dyDescent="0.25">
      <c r="A52" s="179" t="s">
        <v>508</v>
      </c>
      <c r="I52" s="654"/>
    </row>
    <row r="53" spans="1:22" x14ac:dyDescent="0.25">
      <c r="A53" s="64"/>
      <c r="I53" s="654"/>
    </row>
    <row r="54" spans="1:22" ht="60" x14ac:dyDescent="0.25">
      <c r="A54" s="430" t="s">
        <v>200</v>
      </c>
      <c r="G54" s="417"/>
    </row>
    <row r="55" spans="1:22" x14ac:dyDescent="0.25">
      <c r="A55" s="646" t="s">
        <v>81</v>
      </c>
      <c r="B55" s="8">
        <v>2021</v>
      </c>
      <c r="C55" s="8">
        <v>2022</v>
      </c>
      <c r="D55" s="8">
        <v>2023</v>
      </c>
      <c r="E55" s="8">
        <v>2024</v>
      </c>
      <c r="F55" s="8">
        <v>2025</v>
      </c>
      <c r="G55" s="8">
        <v>2026</v>
      </c>
      <c r="H55" s="8">
        <v>2027</v>
      </c>
      <c r="I55" s="8">
        <v>2028</v>
      </c>
      <c r="J55" s="8">
        <v>2029</v>
      </c>
      <c r="K55" s="8">
        <v>2030</v>
      </c>
      <c r="L55" s="8">
        <v>2031</v>
      </c>
      <c r="M55" s="647">
        <v>2032</v>
      </c>
      <c r="N55" s="647">
        <v>2033</v>
      </c>
      <c r="O55" s="647">
        <v>2034</v>
      </c>
      <c r="P55" s="647">
        <v>2035</v>
      </c>
      <c r="Q55" s="647">
        <v>2036</v>
      </c>
      <c r="R55" s="647">
        <v>2037</v>
      </c>
      <c r="S55" s="647">
        <v>2038</v>
      </c>
      <c r="T55" s="647">
        <v>2039</v>
      </c>
      <c r="U55" s="647">
        <v>2040</v>
      </c>
      <c r="V55" s="647">
        <v>2041</v>
      </c>
    </row>
    <row r="56" spans="1:22" x14ac:dyDescent="0.25">
      <c r="A56" s="454" t="s">
        <v>178</v>
      </c>
      <c r="B56" s="483">
        <v>0</v>
      </c>
      <c r="C56" s="483">
        <v>0</v>
      </c>
      <c r="D56" s="483">
        <v>0</v>
      </c>
      <c r="E56" s="483">
        <v>0</v>
      </c>
      <c r="F56" s="483">
        <v>0</v>
      </c>
      <c r="G56" s="483">
        <v>0</v>
      </c>
      <c r="H56" s="483">
        <v>0</v>
      </c>
      <c r="I56" s="483">
        <v>0</v>
      </c>
      <c r="J56" s="483">
        <v>0</v>
      </c>
      <c r="K56" s="483">
        <v>0</v>
      </c>
      <c r="L56" s="483">
        <v>0</v>
      </c>
      <c r="M56" s="648">
        <f>L56</f>
        <v>0</v>
      </c>
      <c r="N56" s="648">
        <f t="shared" ref="N56:V56" si="27">M56</f>
        <v>0</v>
      </c>
      <c r="O56" s="648">
        <f t="shared" si="27"/>
        <v>0</v>
      </c>
      <c r="P56" s="648">
        <f t="shared" si="27"/>
        <v>0</v>
      </c>
      <c r="Q56" s="648">
        <f t="shared" si="27"/>
        <v>0</v>
      </c>
      <c r="R56" s="648">
        <f t="shared" si="27"/>
        <v>0</v>
      </c>
      <c r="S56" s="648">
        <f t="shared" si="27"/>
        <v>0</v>
      </c>
      <c r="T56" s="648">
        <f t="shared" si="27"/>
        <v>0</v>
      </c>
      <c r="U56" s="648">
        <f t="shared" si="27"/>
        <v>0</v>
      </c>
      <c r="V56" s="648">
        <f t="shared" si="27"/>
        <v>0</v>
      </c>
    </row>
    <row r="57" spans="1:22" x14ac:dyDescent="0.25">
      <c r="A57" s="454" t="s">
        <v>14</v>
      </c>
      <c r="B57" s="483">
        <v>0</v>
      </c>
      <c r="C57" s="483">
        <v>0</v>
      </c>
      <c r="D57" s="483">
        <v>0</v>
      </c>
      <c r="E57" s="483">
        <v>0</v>
      </c>
      <c r="F57" s="483">
        <v>0</v>
      </c>
      <c r="G57" s="483">
        <v>0</v>
      </c>
      <c r="H57" s="483">
        <v>0</v>
      </c>
      <c r="I57" s="483">
        <v>0</v>
      </c>
      <c r="J57" s="483">
        <v>0</v>
      </c>
      <c r="K57" s="483">
        <v>0</v>
      </c>
      <c r="L57" s="483">
        <v>0</v>
      </c>
      <c r="M57" s="648">
        <f t="shared" ref="M57:V57" si="28">L57</f>
        <v>0</v>
      </c>
      <c r="N57" s="648">
        <f t="shared" si="28"/>
        <v>0</v>
      </c>
      <c r="O57" s="648">
        <f t="shared" si="28"/>
        <v>0</v>
      </c>
      <c r="P57" s="648">
        <f t="shared" si="28"/>
        <v>0</v>
      </c>
      <c r="Q57" s="648">
        <f t="shared" si="28"/>
        <v>0</v>
      </c>
      <c r="R57" s="648">
        <f t="shared" si="28"/>
        <v>0</v>
      </c>
      <c r="S57" s="648">
        <f t="shared" si="28"/>
        <v>0</v>
      </c>
      <c r="T57" s="648">
        <f t="shared" si="28"/>
        <v>0</v>
      </c>
      <c r="U57" s="648">
        <f t="shared" si="28"/>
        <v>0</v>
      </c>
      <c r="V57" s="648">
        <f t="shared" si="28"/>
        <v>0</v>
      </c>
    </row>
    <row r="58" spans="1:22" x14ac:dyDescent="0.25">
      <c r="A58" s="454" t="s">
        <v>116</v>
      </c>
      <c r="B58" s="650"/>
      <c r="C58" s="650"/>
      <c r="D58" s="650"/>
      <c r="E58" s="650"/>
      <c r="F58" s="483">
        <v>0</v>
      </c>
      <c r="G58" s="483">
        <v>0</v>
      </c>
      <c r="H58" s="483">
        <v>0</v>
      </c>
      <c r="I58" s="483">
        <v>0</v>
      </c>
      <c r="J58" s="483">
        <v>0</v>
      </c>
      <c r="K58" s="483">
        <v>0</v>
      </c>
      <c r="L58" s="483">
        <v>0</v>
      </c>
      <c r="M58" s="648">
        <f t="shared" ref="M58:V58" si="29">L58</f>
        <v>0</v>
      </c>
      <c r="N58" s="648">
        <f t="shared" si="29"/>
        <v>0</v>
      </c>
      <c r="O58" s="648">
        <f t="shared" si="29"/>
        <v>0</v>
      </c>
      <c r="P58" s="648">
        <f t="shared" si="29"/>
        <v>0</v>
      </c>
      <c r="Q58" s="648">
        <f t="shared" si="29"/>
        <v>0</v>
      </c>
      <c r="R58" s="648">
        <f t="shared" si="29"/>
        <v>0</v>
      </c>
      <c r="S58" s="648">
        <f t="shared" si="29"/>
        <v>0</v>
      </c>
      <c r="T58" s="648">
        <f t="shared" si="29"/>
        <v>0</v>
      </c>
      <c r="U58" s="648">
        <f t="shared" si="29"/>
        <v>0</v>
      </c>
      <c r="V58" s="648">
        <f t="shared" si="29"/>
        <v>0</v>
      </c>
    </row>
    <row r="59" spans="1:22" x14ac:dyDescent="0.25">
      <c r="A59" s="454" t="s">
        <v>768</v>
      </c>
      <c r="B59" s="650"/>
      <c r="C59" s="650"/>
      <c r="D59" s="650"/>
      <c r="E59" s="650"/>
      <c r="F59" s="650"/>
      <c r="G59" s="650"/>
      <c r="H59" s="483">
        <v>1.7331022530329288E-3</v>
      </c>
      <c r="I59" s="483">
        <v>1.7331022530329288E-3</v>
      </c>
      <c r="J59" s="483">
        <v>1.7331022530329288E-3</v>
      </c>
      <c r="K59" s="483">
        <v>1.7331022530329288E-3</v>
      </c>
      <c r="L59" s="483">
        <v>1.7331022530329288E-3</v>
      </c>
      <c r="M59" s="648">
        <f t="shared" ref="M59:V59" si="30">L59</f>
        <v>1.7331022530329288E-3</v>
      </c>
      <c r="N59" s="648">
        <f t="shared" si="30"/>
        <v>1.7331022530329288E-3</v>
      </c>
      <c r="O59" s="648">
        <f t="shared" si="30"/>
        <v>1.7331022530329288E-3</v>
      </c>
      <c r="P59" s="648">
        <f t="shared" si="30"/>
        <v>1.7331022530329288E-3</v>
      </c>
      <c r="Q59" s="648">
        <f t="shared" si="30"/>
        <v>1.7331022530329288E-3</v>
      </c>
      <c r="R59" s="648">
        <f t="shared" si="30"/>
        <v>1.7331022530329288E-3</v>
      </c>
      <c r="S59" s="648">
        <f t="shared" si="30"/>
        <v>1.7331022530329288E-3</v>
      </c>
      <c r="T59" s="648">
        <f t="shared" si="30"/>
        <v>1.7331022530329288E-3</v>
      </c>
      <c r="U59" s="648">
        <f t="shared" si="30"/>
        <v>1.7331022530329288E-3</v>
      </c>
      <c r="V59" s="648">
        <f t="shared" si="30"/>
        <v>1.7331022530329288E-3</v>
      </c>
    </row>
    <row r="60" spans="1:22" x14ac:dyDescent="0.25">
      <c r="A60" s="426" t="s">
        <v>825</v>
      </c>
      <c r="B60" s="650"/>
      <c r="C60" s="650"/>
      <c r="D60" s="650"/>
      <c r="E60" s="650"/>
      <c r="F60" s="650"/>
      <c r="G60" s="650"/>
      <c r="H60" s="650"/>
      <c r="I60" s="650"/>
      <c r="J60" s="483">
        <v>0</v>
      </c>
      <c r="K60" s="483">
        <v>0</v>
      </c>
      <c r="L60" s="483">
        <v>0</v>
      </c>
      <c r="M60" s="648">
        <f t="shared" ref="M60:V60" si="31">L60</f>
        <v>0</v>
      </c>
      <c r="N60" s="648">
        <f t="shared" si="31"/>
        <v>0</v>
      </c>
      <c r="O60" s="648">
        <f t="shared" si="31"/>
        <v>0</v>
      </c>
      <c r="P60" s="648">
        <f t="shared" si="31"/>
        <v>0</v>
      </c>
      <c r="Q60" s="648">
        <f t="shared" si="31"/>
        <v>0</v>
      </c>
      <c r="R60" s="648">
        <f t="shared" si="31"/>
        <v>0</v>
      </c>
      <c r="S60" s="648">
        <f t="shared" si="31"/>
        <v>0</v>
      </c>
      <c r="T60" s="648">
        <f t="shared" si="31"/>
        <v>0</v>
      </c>
      <c r="U60" s="648">
        <f t="shared" si="31"/>
        <v>0</v>
      </c>
      <c r="V60" s="648">
        <f t="shared" si="31"/>
        <v>0</v>
      </c>
    </row>
    <row r="61" spans="1:22" ht="30" x14ac:dyDescent="0.25">
      <c r="A61" s="64" t="s">
        <v>203</v>
      </c>
    </row>
    <row r="62" spans="1:22" ht="13.9" customHeight="1" x14ac:dyDescent="0.25">
      <c r="A62" s="179" t="s">
        <v>204</v>
      </c>
      <c r="B62" s="179"/>
      <c r="C62" s="179"/>
      <c r="D62" s="179"/>
      <c r="E62" s="179"/>
      <c r="F62" s="179"/>
      <c r="G62" s="179"/>
      <c r="H62" s="179"/>
      <c r="I62" s="179"/>
      <c r="J62" s="179"/>
      <c r="K62" s="179"/>
      <c r="L62" s="179"/>
    </row>
    <row r="63" spans="1:22" ht="13.9" customHeight="1" x14ac:dyDescent="0.25">
      <c r="A63" s="179"/>
      <c r="B63" s="179"/>
      <c r="C63" s="179"/>
      <c r="D63" s="179"/>
      <c r="E63" s="179"/>
      <c r="F63" s="179"/>
      <c r="G63" s="179"/>
      <c r="H63" s="179"/>
      <c r="I63" s="179"/>
      <c r="J63" s="179"/>
      <c r="K63" s="179"/>
      <c r="L63" s="179"/>
    </row>
    <row r="64" spans="1:22" x14ac:dyDescent="0.25">
      <c r="A64" s="64"/>
    </row>
    <row r="65" spans="1:3" x14ac:dyDescent="0.25">
      <c r="A65" s="430" t="s">
        <v>177</v>
      </c>
    </row>
    <row r="66" spans="1:3" ht="45" x14ac:dyDescent="0.25">
      <c r="A66" s="646" t="s">
        <v>81</v>
      </c>
      <c r="B66" s="302" t="s">
        <v>367</v>
      </c>
      <c r="C66" s="302" t="s">
        <v>368</v>
      </c>
    </row>
    <row r="67" spans="1:3" x14ac:dyDescent="0.25">
      <c r="A67" s="454" t="s">
        <v>85</v>
      </c>
      <c r="B67" s="655">
        <v>2394.8312637444401</v>
      </c>
      <c r="C67" s="655">
        <v>2394.8312637444401</v>
      </c>
    </row>
    <row r="68" spans="1:3" x14ac:dyDescent="0.25">
      <c r="A68" s="454" t="s">
        <v>14</v>
      </c>
      <c r="B68" s="655">
        <v>12879.379619372015</v>
      </c>
      <c r="C68" s="655">
        <v>12879.379619372015</v>
      </c>
    </row>
    <row r="69" spans="1:3" x14ac:dyDescent="0.25">
      <c r="A69" s="454" t="s">
        <v>15</v>
      </c>
      <c r="B69" s="655">
        <v>1514.8167132393064</v>
      </c>
      <c r="C69" s="655">
        <v>1514.8167132393064</v>
      </c>
    </row>
    <row r="70" spans="1:3" x14ac:dyDescent="0.25">
      <c r="A70" s="454" t="s">
        <v>87</v>
      </c>
      <c r="B70" s="655">
        <v>1782.9461465963395</v>
      </c>
      <c r="C70" s="655">
        <v>1782.9461465963395</v>
      </c>
    </row>
    <row r="71" spans="1:3" x14ac:dyDescent="0.25">
      <c r="A71" s="454" t="s">
        <v>86</v>
      </c>
      <c r="B71" s="655">
        <v>9872.6632384794721</v>
      </c>
      <c r="C71" s="655">
        <v>9872.6632384794721</v>
      </c>
    </row>
    <row r="72" spans="1:3" ht="30" x14ac:dyDescent="0.25">
      <c r="A72" s="179" t="s">
        <v>369</v>
      </c>
    </row>
    <row r="73" spans="1:3" x14ac:dyDescent="0.25">
      <c r="A73" s="417"/>
    </row>
    <row r="74" spans="1:3" x14ac:dyDescent="0.25">
      <c r="A74" s="417"/>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rowBreaks count="1" manualBreakCount="1">
    <brk id="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213"/>
  <sheetViews>
    <sheetView topLeftCell="A67" zoomScale="60" zoomScaleNormal="60" workbookViewId="0">
      <selection activeCell="B86" sqref="B86"/>
    </sheetView>
  </sheetViews>
  <sheetFormatPr defaultColWidth="9.140625" defaultRowHeight="15" x14ac:dyDescent="0.25"/>
  <cols>
    <col min="1" max="1" width="25.140625" style="1" customWidth="1"/>
    <col min="2" max="30" width="12.140625" style="1" customWidth="1"/>
    <col min="31" max="16384" width="9.140625" style="1"/>
  </cols>
  <sheetData>
    <row r="1" spans="1:31" ht="18.75" x14ac:dyDescent="0.3">
      <c r="A1" s="2" t="s">
        <v>224</v>
      </c>
      <c r="C1" s="338" t="s">
        <v>497</v>
      </c>
      <c r="D1" s="359"/>
      <c r="E1" s="359"/>
      <c r="F1" s="347"/>
    </row>
    <row r="2" spans="1:31" ht="15" customHeight="1" x14ac:dyDescent="0.3">
      <c r="A2" s="2"/>
      <c r="C2" s="339" t="s">
        <v>459</v>
      </c>
      <c r="D2" s="343"/>
      <c r="E2" s="343"/>
      <c r="F2" s="344"/>
    </row>
    <row r="3" spans="1:31" ht="15" customHeight="1" x14ac:dyDescent="0.3">
      <c r="A3" s="2"/>
      <c r="C3" s="340" t="s">
        <v>460</v>
      </c>
      <c r="D3" s="345"/>
      <c r="E3" s="345"/>
      <c r="F3" s="346"/>
    </row>
    <row r="4" spans="1:31" ht="15" customHeight="1" thickBot="1" x14ac:dyDescent="0.35">
      <c r="A4" s="2"/>
    </row>
    <row r="5" spans="1:31" ht="16.5" thickBot="1" x14ac:dyDescent="0.3">
      <c r="A5" s="11" t="s">
        <v>186</v>
      </c>
      <c r="N5" s="369" t="s">
        <v>244</v>
      </c>
      <c r="O5" s="370"/>
      <c r="P5" s="370"/>
      <c r="Q5" s="370"/>
      <c r="R5" s="371"/>
    </row>
    <row r="6" spans="1:31" ht="75.75" customHeight="1" x14ac:dyDescent="0.25">
      <c r="B6" s="38"/>
      <c r="C6" s="38"/>
      <c r="D6" s="38"/>
      <c r="E6" s="38"/>
      <c r="F6" s="38"/>
      <c r="G6" s="38"/>
      <c r="H6" s="38"/>
      <c r="I6" s="38"/>
      <c r="J6" s="38"/>
      <c r="K6" s="38"/>
      <c r="L6" s="38"/>
      <c r="M6" s="38"/>
      <c r="N6" s="172" t="s">
        <v>241</v>
      </c>
      <c r="O6" s="173" t="s">
        <v>241</v>
      </c>
      <c r="P6" s="173" t="s">
        <v>240</v>
      </c>
      <c r="Q6" s="173" t="s">
        <v>240</v>
      </c>
      <c r="R6" s="174" t="s">
        <v>242</v>
      </c>
      <c r="S6" s="38"/>
    </row>
    <row r="7" spans="1:31" s="5" customFormat="1" ht="285" x14ac:dyDescent="0.25">
      <c r="A7" s="372" t="s">
        <v>62</v>
      </c>
      <c r="B7" s="308" t="s">
        <v>221</v>
      </c>
      <c r="C7" s="303" t="s">
        <v>222</v>
      </c>
      <c r="D7" s="303" t="s">
        <v>575</v>
      </c>
      <c r="E7" s="309" t="s">
        <v>576</v>
      </c>
      <c r="F7" s="308" t="s">
        <v>205</v>
      </c>
      <c r="G7" s="304" t="s">
        <v>206</v>
      </c>
      <c r="H7" s="302" t="s">
        <v>219</v>
      </c>
      <c r="I7" s="302" t="s">
        <v>220</v>
      </c>
      <c r="J7" s="302" t="s">
        <v>208</v>
      </c>
      <c r="K7" s="302" t="s">
        <v>209</v>
      </c>
      <c r="L7" s="49" t="s">
        <v>210</v>
      </c>
      <c r="M7" s="59" t="s">
        <v>211</v>
      </c>
      <c r="N7" s="87" t="s">
        <v>572</v>
      </c>
      <c r="O7" s="301" t="s">
        <v>525</v>
      </c>
      <c r="P7" s="302" t="s">
        <v>573</v>
      </c>
      <c r="Q7" s="302" t="s">
        <v>529</v>
      </c>
      <c r="R7" s="94" t="s">
        <v>574</v>
      </c>
      <c r="U7" s="1"/>
      <c r="V7" s="1"/>
      <c r="W7" s="1"/>
      <c r="X7" s="1"/>
      <c r="Y7" s="1"/>
      <c r="Z7" s="1"/>
      <c r="AA7" s="1"/>
      <c r="AB7" s="1"/>
      <c r="AC7" s="1"/>
      <c r="AD7" s="1"/>
      <c r="AE7" s="1"/>
    </row>
    <row r="8" spans="1:31" s="5" customFormat="1" ht="15" customHeight="1" x14ac:dyDescent="0.25">
      <c r="A8" s="373"/>
      <c r="B8" s="389" t="s">
        <v>191</v>
      </c>
      <c r="C8" s="390"/>
      <c r="D8" s="390"/>
      <c r="E8" s="76"/>
      <c r="F8" s="381" t="s">
        <v>215</v>
      </c>
      <c r="G8" s="382"/>
      <c r="H8" s="382"/>
      <c r="I8" s="382"/>
      <c r="J8" s="382"/>
      <c r="K8" s="382"/>
      <c r="L8" s="382"/>
      <c r="M8" s="382"/>
      <c r="N8" s="382"/>
      <c r="O8" s="382"/>
      <c r="P8" s="382"/>
      <c r="Q8" s="382"/>
      <c r="R8" s="383"/>
      <c r="S8" s="90"/>
      <c r="T8" s="1"/>
      <c r="U8" s="1"/>
      <c r="V8" s="1"/>
      <c r="W8" s="1"/>
      <c r="X8" s="1"/>
      <c r="Y8" s="1"/>
      <c r="Z8" s="1"/>
      <c r="AA8" s="1"/>
      <c r="AB8" s="1"/>
      <c r="AC8" s="1"/>
      <c r="AD8" s="1"/>
      <c r="AE8" s="1"/>
    </row>
    <row r="9" spans="1:31" x14ac:dyDescent="0.25">
      <c r="A9" s="27" t="s">
        <v>0</v>
      </c>
      <c r="B9" s="52">
        <v>1029</v>
      </c>
      <c r="C9" s="51">
        <v>123</v>
      </c>
      <c r="D9" s="51">
        <v>21</v>
      </c>
      <c r="E9" s="77">
        <v>21</v>
      </c>
      <c r="F9" s="205">
        <f>$B9*Flexibility!$B$8</f>
        <v>6.3797999999999995</v>
      </c>
      <c r="G9" s="206">
        <f>$B9*Flexibility!$B$18</f>
        <v>30.869999999999997</v>
      </c>
      <c r="H9" s="206">
        <f>$B9*Flexibility!$B$28</f>
        <v>51.45</v>
      </c>
      <c r="I9" s="206">
        <f>$B9*Flexibility!$B$37</f>
        <v>51.45</v>
      </c>
      <c r="J9" s="206">
        <f>$B9*Flexibility!$B$46</f>
        <v>5.1089369158878499</v>
      </c>
      <c r="K9" s="206">
        <f>$B9*Flexibility!$B$56</f>
        <v>0</v>
      </c>
      <c r="L9" s="207">
        <f>$B9-SUM(F9:K9)</f>
        <v>883.74126308411212</v>
      </c>
      <c r="M9" s="208">
        <f>($B9-L9)/$B9</f>
        <v>0.14116495327102807</v>
      </c>
      <c r="N9" s="209">
        <f>IF(($C9-SUM($F9:$K9)-D9)&lt;0,0,$C9-SUM($F9:$K9))</f>
        <v>0</v>
      </c>
      <c r="O9" s="210">
        <f>IF(($C9-SUM($F9:$K9)-E9)&lt;0,0,$C9-SUM($F9:$K9))</f>
        <v>0</v>
      </c>
      <c r="P9" s="211">
        <f>IF(($C9-SUM($F9:$G9,$J9:$K9)-$D9)&lt;0,0,($C9-SUM($F9:$G9,$J9:$K9)-$D9))</f>
        <v>59.641263084112154</v>
      </c>
      <c r="Q9" s="212">
        <f>IF(($C9-SUM($F9:$G9,$J9:$K9)-$E9)&lt;0,0,($C9-SUM($F9:$G9,$J9:$K9)-$E9))</f>
        <v>59.641263084112154</v>
      </c>
      <c r="R9" s="229">
        <f>D9</f>
        <v>21</v>
      </c>
    </row>
    <row r="10" spans="1:31" x14ac:dyDescent="0.25">
      <c r="A10" s="27" t="s">
        <v>1</v>
      </c>
      <c r="B10" s="52">
        <v>909</v>
      </c>
      <c r="C10" s="51">
        <v>89</v>
      </c>
      <c r="D10" s="51">
        <v>34</v>
      </c>
      <c r="E10" s="77">
        <v>24</v>
      </c>
      <c r="F10" s="205">
        <f>$B10*Flexibility!$B$8</f>
        <v>5.6357999999999997</v>
      </c>
      <c r="G10" s="206">
        <f>$B10*Flexibility!$B$18</f>
        <v>27.27</v>
      </c>
      <c r="H10" s="206">
        <f>$B10*Flexibility!$B$28</f>
        <v>45.45</v>
      </c>
      <c r="I10" s="206">
        <f>$B10*Flexibility!$B$37</f>
        <v>45.45</v>
      </c>
      <c r="J10" s="206">
        <f>$B10*Flexibility!$B$46</f>
        <v>4.5131425233644853</v>
      </c>
      <c r="K10" s="206">
        <f>$B10*Flexibility!$B$56</f>
        <v>0</v>
      </c>
      <c r="L10" s="207">
        <f t="shared" ref="L10:L13" si="0">$B10-SUM(F10:K10)</f>
        <v>780.68105747663549</v>
      </c>
      <c r="M10" s="208">
        <f t="shared" ref="M10:M13" si="1">($B10-L10)/$B10</f>
        <v>0.14116495327102807</v>
      </c>
      <c r="N10" s="209">
        <f t="shared" ref="N10:N13" si="2">IF(($C10-SUM($F10:$K10)-D10)&lt;0,0,$C10-SUM($F10:$K10))</f>
        <v>0</v>
      </c>
      <c r="O10" s="210">
        <f t="shared" ref="O10:O13" si="3">IF(($C10-SUM($F10:$K10)-E10)&lt;0,0,$C10-SUM($F10:$K10))</f>
        <v>0</v>
      </c>
      <c r="P10" s="211">
        <f t="shared" ref="P10:P13" si="4">IF(($C10-SUM($F10:$G10,$J10:$K10)-$D10)&lt;0,0,($C10-SUM($F10:$G10,$J10:$K10)-$D10))</f>
        <v>17.581057476635515</v>
      </c>
      <c r="Q10" s="212">
        <f t="shared" ref="Q10:Q13" si="5">IF(($C10-SUM($F10:$G10,$J10:$K10)-$E10)&lt;0,0,($C10-SUM($F10:$G10,$J10:$K10)-$E10))</f>
        <v>27.581057476635515</v>
      </c>
      <c r="R10" s="229">
        <f>D10</f>
        <v>34</v>
      </c>
    </row>
    <row r="11" spans="1:31" x14ac:dyDescent="0.25">
      <c r="A11" s="27" t="s">
        <v>2</v>
      </c>
      <c r="B11" s="52">
        <v>1597</v>
      </c>
      <c r="C11" s="51">
        <v>191</v>
      </c>
      <c r="D11" s="51">
        <v>0</v>
      </c>
      <c r="E11" s="26">
        <v>0</v>
      </c>
      <c r="F11" s="205">
        <f>$B11*Flexibility!$B$8</f>
        <v>9.9013999999999989</v>
      </c>
      <c r="G11" s="206">
        <f>$B11*Flexibility!$B$18</f>
        <v>47.91</v>
      </c>
      <c r="H11" s="206">
        <f>$B11*Flexibility!$B$28</f>
        <v>79.850000000000009</v>
      </c>
      <c r="I11" s="206">
        <f>$B11*Flexibility!$B$37</f>
        <v>79.850000000000009</v>
      </c>
      <c r="J11" s="206">
        <f>$B11*Flexibility!$B$46</f>
        <v>7.9290303738317753</v>
      </c>
      <c r="K11" s="206">
        <f>$B11*Flexibility!$B$56</f>
        <v>0</v>
      </c>
      <c r="L11" s="207">
        <f t="shared" si="0"/>
        <v>1371.5595696261682</v>
      </c>
      <c r="M11" s="208">
        <f t="shared" si="1"/>
        <v>0.14116495327102802</v>
      </c>
      <c r="N11" s="209">
        <f t="shared" si="2"/>
        <v>0</v>
      </c>
      <c r="O11" s="210">
        <f t="shared" si="3"/>
        <v>0</v>
      </c>
      <c r="P11" s="211">
        <f t="shared" si="4"/>
        <v>125.25956962616823</v>
      </c>
      <c r="Q11" s="212">
        <f t="shared" si="5"/>
        <v>125.25956962616823</v>
      </c>
      <c r="R11" s="88">
        <v>0</v>
      </c>
    </row>
    <row r="12" spans="1:31" x14ac:dyDescent="0.25">
      <c r="A12" s="27" t="s">
        <v>4</v>
      </c>
      <c r="B12" s="52">
        <v>52</v>
      </c>
      <c r="C12" s="51">
        <v>0</v>
      </c>
      <c r="D12" s="51">
        <v>0</v>
      </c>
      <c r="E12" s="26">
        <v>0</v>
      </c>
      <c r="F12" s="205">
        <f>$B12*Flexibility!$B$8</f>
        <v>0.32239999999999996</v>
      </c>
      <c r="G12" s="206">
        <f>$B12*Flexibility!$B$18</f>
        <v>1.56</v>
      </c>
      <c r="H12" s="206">
        <f>$B12*Flexibility!$B$28</f>
        <v>2.6</v>
      </c>
      <c r="I12" s="206">
        <f>$B12*Flexibility!$B$37</f>
        <v>2.6</v>
      </c>
      <c r="J12" s="206">
        <f>$B12*Flexibility!$B$46</f>
        <v>0.25817757009345793</v>
      </c>
      <c r="K12" s="206">
        <f>$B12*Flexibility!$B$56</f>
        <v>0</v>
      </c>
      <c r="L12" s="207">
        <f t="shared" si="0"/>
        <v>44.659422429906542</v>
      </c>
      <c r="M12" s="208">
        <f t="shared" si="1"/>
        <v>0.14116495327102804</v>
      </c>
      <c r="N12" s="209">
        <f t="shared" si="2"/>
        <v>0</v>
      </c>
      <c r="O12" s="210">
        <f t="shared" si="3"/>
        <v>0</v>
      </c>
      <c r="P12" s="211">
        <f t="shared" si="4"/>
        <v>0</v>
      </c>
      <c r="Q12" s="212">
        <f t="shared" si="5"/>
        <v>0</v>
      </c>
      <c r="R12" s="88">
        <v>0</v>
      </c>
    </row>
    <row r="13" spans="1:31" ht="15.75" thickBot="1" x14ac:dyDescent="0.3">
      <c r="A13" s="54" t="s">
        <v>5</v>
      </c>
      <c r="B13" s="55">
        <v>155</v>
      </c>
      <c r="C13" s="68">
        <v>0</v>
      </c>
      <c r="D13" s="68">
        <v>0</v>
      </c>
      <c r="E13" s="56">
        <v>0</v>
      </c>
      <c r="F13" s="213">
        <f>$B13*Flexibility!$B$8</f>
        <v>0.96099999999999997</v>
      </c>
      <c r="G13" s="214">
        <f>$B13*Flexibility!$B$18</f>
        <v>4.6499999999999995</v>
      </c>
      <c r="H13" s="214">
        <f>$B13*Flexibility!$B$28</f>
        <v>7.75</v>
      </c>
      <c r="I13" s="214">
        <f>$B13*Flexibility!$B$37</f>
        <v>7.75</v>
      </c>
      <c r="J13" s="214">
        <f>$B13*Flexibility!$B$46</f>
        <v>0.76956775700934577</v>
      </c>
      <c r="K13" s="214">
        <f>$B13*Flexibility!$B$56</f>
        <v>0</v>
      </c>
      <c r="L13" s="215">
        <f t="shared" si="0"/>
        <v>133.11943224299065</v>
      </c>
      <c r="M13" s="216">
        <f t="shared" si="1"/>
        <v>0.14116495327102804</v>
      </c>
      <c r="N13" s="217">
        <f t="shared" si="2"/>
        <v>0</v>
      </c>
      <c r="O13" s="218">
        <f t="shared" si="3"/>
        <v>0</v>
      </c>
      <c r="P13" s="219">
        <f t="shared" si="4"/>
        <v>0</v>
      </c>
      <c r="Q13" s="220">
        <f t="shared" si="5"/>
        <v>0</v>
      </c>
      <c r="R13" s="89">
        <v>0</v>
      </c>
    </row>
    <row r="14" spans="1:31" s="16" customFormat="1" ht="16.5" thickTop="1" thickBot="1" x14ac:dyDescent="0.3">
      <c r="A14" s="69" t="s">
        <v>79</v>
      </c>
      <c r="B14" s="226">
        <f>SUM(B9:B13)</f>
        <v>3742</v>
      </c>
      <c r="C14" s="227">
        <f>SUM(C9:C13)</f>
        <v>403</v>
      </c>
      <c r="D14" s="227">
        <f>SUM(D9:D13)</f>
        <v>55</v>
      </c>
      <c r="E14" s="228">
        <f>SUM(E9:E13)</f>
        <v>45</v>
      </c>
      <c r="F14" s="221">
        <f t="shared" ref="F14:L14" si="6">SUM(F9:F13)</f>
        <v>23.200399999999995</v>
      </c>
      <c r="G14" s="222">
        <f t="shared" si="6"/>
        <v>112.26</v>
      </c>
      <c r="H14" s="222">
        <f t="shared" si="6"/>
        <v>187.1</v>
      </c>
      <c r="I14" s="222">
        <f t="shared" si="6"/>
        <v>187.1</v>
      </c>
      <c r="J14" s="222">
        <f t="shared" si="6"/>
        <v>18.578855140186914</v>
      </c>
      <c r="K14" s="222">
        <f t="shared" si="6"/>
        <v>0</v>
      </c>
      <c r="L14" s="222">
        <f t="shared" si="6"/>
        <v>3213.7607448598128</v>
      </c>
      <c r="M14" s="223">
        <f>($B14-L14)/$B14</f>
        <v>0.14116495327102813</v>
      </c>
      <c r="N14" s="224">
        <f>SUM(N9:N13)</f>
        <v>0</v>
      </c>
      <c r="O14" s="225">
        <f>SUM(O9:O13)</f>
        <v>0</v>
      </c>
      <c r="P14" s="225">
        <f>SUM(P9:P13)</f>
        <v>202.4818901869159</v>
      </c>
      <c r="Q14" s="225">
        <f>SUM(Q9:Q13)</f>
        <v>212.4818901869159</v>
      </c>
      <c r="R14" s="230">
        <f>SUM(R9:R13)</f>
        <v>55</v>
      </c>
      <c r="T14" s="1"/>
      <c r="U14" s="1"/>
      <c r="V14" s="1"/>
      <c r="W14" s="1"/>
      <c r="X14" s="1"/>
      <c r="Y14" s="1"/>
      <c r="Z14" s="1"/>
      <c r="AA14" s="1"/>
      <c r="AB14" s="1"/>
      <c r="AC14" s="1"/>
      <c r="AD14" s="1"/>
    </row>
    <row r="15" spans="1:31" s="16" customFormat="1" ht="15.75" thickBot="1" x14ac:dyDescent="0.3">
      <c r="A15" s="70"/>
      <c r="B15" s="10"/>
      <c r="C15" s="10"/>
      <c r="D15" s="10"/>
      <c r="E15" s="10"/>
      <c r="F15" s="71"/>
      <c r="G15" s="71"/>
      <c r="H15" s="71"/>
      <c r="I15" s="71"/>
      <c r="J15" s="71"/>
      <c r="K15" s="71"/>
      <c r="L15" s="71"/>
      <c r="M15" s="72"/>
      <c r="N15" s="71"/>
      <c r="O15" s="71"/>
      <c r="P15" s="71"/>
      <c r="Q15" s="71"/>
      <c r="S15" s="1"/>
      <c r="T15" s="1"/>
      <c r="U15" s="1"/>
      <c r="V15" s="1"/>
      <c r="W15" s="1"/>
      <c r="X15" s="1"/>
      <c r="Y15" s="1"/>
      <c r="Z15" s="1"/>
      <c r="AA15" s="1"/>
      <c r="AB15" s="1"/>
      <c r="AC15" s="1"/>
    </row>
    <row r="16" spans="1:31" s="16" customFormat="1" ht="16.5" thickBot="1" x14ac:dyDescent="0.3">
      <c r="A16" s="11" t="s">
        <v>186</v>
      </c>
      <c r="B16" s="10"/>
      <c r="C16" s="10"/>
      <c r="D16" s="10"/>
      <c r="E16" s="10"/>
      <c r="F16" s="71"/>
      <c r="G16" s="71"/>
      <c r="H16" s="71"/>
      <c r="I16" s="71"/>
      <c r="J16" s="71"/>
      <c r="K16" s="71"/>
      <c r="L16" s="71"/>
      <c r="M16" s="72"/>
      <c r="N16" s="369" t="s">
        <v>244</v>
      </c>
      <c r="O16" s="370"/>
      <c r="P16" s="370"/>
      <c r="Q16" s="370"/>
      <c r="R16" s="371"/>
      <c r="T16" s="1"/>
      <c r="U16" s="1"/>
      <c r="V16" s="1"/>
      <c r="W16" s="1"/>
      <c r="X16" s="1"/>
      <c r="Y16" s="1"/>
      <c r="Z16" s="1"/>
      <c r="AA16" s="1"/>
      <c r="AB16" s="1"/>
      <c r="AC16" s="1"/>
      <c r="AD16" s="1"/>
    </row>
    <row r="17" spans="1:30" s="16" customFormat="1" ht="60" x14ac:dyDescent="0.25">
      <c r="A17" s="70"/>
      <c r="B17" s="10"/>
      <c r="C17" s="10"/>
      <c r="D17" s="10"/>
      <c r="E17" s="10"/>
      <c r="F17" s="71"/>
      <c r="G17" s="71"/>
      <c r="H17" s="71"/>
      <c r="I17" s="71"/>
      <c r="J17" s="71"/>
      <c r="K17" s="71"/>
      <c r="L17" s="71"/>
      <c r="M17" s="72"/>
      <c r="N17" s="172" t="s">
        <v>241</v>
      </c>
      <c r="O17" s="173" t="s">
        <v>241</v>
      </c>
      <c r="P17" s="173" t="s">
        <v>240</v>
      </c>
      <c r="Q17" s="173" t="s">
        <v>240</v>
      </c>
      <c r="R17" s="174" t="s">
        <v>242</v>
      </c>
      <c r="S17" s="71"/>
      <c r="T17" s="1"/>
      <c r="U17" s="1"/>
      <c r="V17" s="1"/>
      <c r="W17" s="1"/>
      <c r="X17" s="1"/>
      <c r="Y17" s="1"/>
      <c r="Z17" s="1"/>
      <c r="AA17" s="1"/>
      <c r="AB17" s="1"/>
      <c r="AC17" s="1"/>
      <c r="AD17" s="1"/>
    </row>
    <row r="18" spans="1:30" s="16" customFormat="1" ht="285" x14ac:dyDescent="0.25">
      <c r="A18" s="372" t="s">
        <v>62</v>
      </c>
      <c r="B18" s="308" t="s">
        <v>221</v>
      </c>
      <c r="C18" s="303" t="s">
        <v>222</v>
      </c>
      <c r="D18" s="303" t="s">
        <v>575</v>
      </c>
      <c r="E18" s="309" t="s">
        <v>576</v>
      </c>
      <c r="F18" s="308" t="s">
        <v>205</v>
      </c>
      <c r="G18" s="304" t="s">
        <v>206</v>
      </c>
      <c r="H18" s="302" t="s">
        <v>219</v>
      </c>
      <c r="I18" s="302" t="s">
        <v>220</v>
      </c>
      <c r="J18" s="302" t="s">
        <v>208</v>
      </c>
      <c r="K18" s="302" t="s">
        <v>209</v>
      </c>
      <c r="L18" s="49" t="s">
        <v>210</v>
      </c>
      <c r="M18" s="59" t="s">
        <v>211</v>
      </c>
      <c r="N18" s="87" t="s">
        <v>572</v>
      </c>
      <c r="O18" s="301" t="s">
        <v>525</v>
      </c>
      <c r="P18" s="302" t="s">
        <v>573</v>
      </c>
      <c r="Q18" s="302" t="s">
        <v>529</v>
      </c>
      <c r="R18" s="94" t="s">
        <v>574</v>
      </c>
      <c r="S18" s="71"/>
      <c r="T18" s="71"/>
      <c r="U18" s="71"/>
      <c r="V18" s="71"/>
      <c r="W18" s="71"/>
      <c r="X18" s="71"/>
      <c r="Y18" s="71"/>
      <c r="Z18" s="71"/>
      <c r="AA18" s="71"/>
      <c r="AB18" s="71"/>
      <c r="AC18" s="72"/>
      <c r="AD18" s="71"/>
    </row>
    <row r="19" spans="1:30" s="16" customFormat="1" ht="15" customHeight="1" x14ac:dyDescent="0.25">
      <c r="A19" s="373"/>
      <c r="B19" s="389" t="s">
        <v>191</v>
      </c>
      <c r="C19" s="390"/>
      <c r="D19" s="390"/>
      <c r="E19" s="76"/>
      <c r="F19" s="381" t="s">
        <v>216</v>
      </c>
      <c r="G19" s="382"/>
      <c r="H19" s="382"/>
      <c r="I19" s="382"/>
      <c r="J19" s="382"/>
      <c r="K19" s="382"/>
      <c r="L19" s="382"/>
      <c r="M19" s="382"/>
      <c r="N19" s="382"/>
      <c r="O19" s="382"/>
      <c r="P19" s="382"/>
      <c r="Q19" s="382"/>
      <c r="R19" s="383"/>
      <c r="S19" s="71"/>
      <c r="T19" s="71"/>
      <c r="U19" s="71"/>
      <c r="V19" s="71"/>
      <c r="W19" s="71"/>
      <c r="X19" s="71"/>
      <c r="Y19" s="71"/>
      <c r="Z19" s="71"/>
      <c r="AA19" s="71"/>
      <c r="AB19" s="71"/>
      <c r="AC19" s="72"/>
      <c r="AD19" s="71"/>
    </row>
    <row r="20" spans="1:30" s="16" customFormat="1" x14ac:dyDescent="0.25">
      <c r="A20" s="27" t="s">
        <v>0</v>
      </c>
      <c r="B20" s="231">
        <f>B9</f>
        <v>1029</v>
      </c>
      <c r="C20" s="41">
        <f t="shared" ref="C20:D20" si="7">C9</f>
        <v>123</v>
      </c>
      <c r="D20" s="41">
        <f t="shared" si="7"/>
        <v>21</v>
      </c>
      <c r="E20" s="232">
        <f t="shared" ref="E20" si="8">E9</f>
        <v>21</v>
      </c>
      <c r="F20" s="205">
        <f>$B20*Flexibility!$D$8</f>
        <v>6.3797999999999995</v>
      </c>
      <c r="G20" s="206">
        <f>$B20*Flexibility!$D$18</f>
        <v>30.869999999999997</v>
      </c>
      <c r="H20" s="206">
        <f>$B20*Flexibility!$D$28</f>
        <v>30.869999999999997</v>
      </c>
      <c r="I20" s="206">
        <f>$B20*Flexibility!$D$37</f>
        <v>30.869999999999997</v>
      </c>
      <c r="J20" s="206">
        <f>$B20*Flexibility!$D$46</f>
        <v>5.1089369158878499</v>
      </c>
      <c r="K20" s="206">
        <f>$B20*Flexibility!$D$56</f>
        <v>0</v>
      </c>
      <c r="L20" s="207">
        <f>$B20-SUM(F20:K20)</f>
        <v>924.90126308411209</v>
      </c>
      <c r="M20" s="208">
        <f>($B20-L20)/$B20</f>
        <v>0.10116495327102809</v>
      </c>
      <c r="N20" s="209">
        <f>IF(($C20-SUM($F20:$K20)-D20)&lt;0,0,$C20-SUM($F20:$K20))</f>
        <v>0</v>
      </c>
      <c r="O20" s="210">
        <f>IF(($C20-SUM($F20:$K20)-E20)&lt;0,0,$C20-SUM($F20:$K20))</f>
        <v>0</v>
      </c>
      <c r="P20" s="211">
        <f>IF(($C20-SUM($F20:$G20,$J20:$K20)-$D20)&lt;0,0,($C20-SUM($F20:$G20,$J20:$K20)-$D20))</f>
        <v>59.641263084112154</v>
      </c>
      <c r="Q20" s="212">
        <f>IF(($C20-SUM($F20:$G20,$J20:$K20)-$E20)&lt;0,0,($C20-SUM($F20:$G20,$J20:$K20)-$E20))</f>
        <v>59.641263084112154</v>
      </c>
      <c r="R20" s="229">
        <f>D20</f>
        <v>21</v>
      </c>
      <c r="S20" s="71"/>
      <c r="T20" s="71"/>
      <c r="U20" s="71"/>
      <c r="V20" s="71"/>
      <c r="W20" s="71"/>
      <c r="X20" s="71"/>
      <c r="Y20" s="71"/>
      <c r="Z20" s="71"/>
      <c r="AA20" s="71"/>
      <c r="AB20" s="71"/>
      <c r="AC20" s="72"/>
      <c r="AD20" s="71"/>
    </row>
    <row r="21" spans="1:30" s="16" customFormat="1" x14ac:dyDescent="0.25">
      <c r="A21" s="27" t="s">
        <v>1</v>
      </c>
      <c r="B21" s="231">
        <f>B10</f>
        <v>909</v>
      </c>
      <c r="C21" s="41">
        <f t="shared" ref="C21:D24" si="9">C10</f>
        <v>89</v>
      </c>
      <c r="D21" s="41">
        <f t="shared" si="9"/>
        <v>34</v>
      </c>
      <c r="E21" s="232">
        <f t="shared" ref="E21" si="10">E10</f>
        <v>24</v>
      </c>
      <c r="F21" s="205">
        <f>$B21*Flexibility!$D$8</f>
        <v>5.6357999999999997</v>
      </c>
      <c r="G21" s="206">
        <f>$B21*Flexibility!$D$18</f>
        <v>27.27</v>
      </c>
      <c r="H21" s="206">
        <f>$B21*Flexibility!$D$28</f>
        <v>27.27</v>
      </c>
      <c r="I21" s="206">
        <f>$B21*Flexibility!$D$37</f>
        <v>27.27</v>
      </c>
      <c r="J21" s="206">
        <f>$B21*Flexibility!$D$46</f>
        <v>4.5131425233644853</v>
      </c>
      <c r="K21" s="206">
        <f>$B21*Flexibility!$D$56</f>
        <v>0</v>
      </c>
      <c r="L21" s="207">
        <f t="shared" ref="L21:L24" si="11">$B21-SUM(F21:K21)</f>
        <v>817.0410574766355</v>
      </c>
      <c r="M21" s="208">
        <f t="shared" ref="M21:M24" si="12">($B21-L21)/$B21</f>
        <v>0.10116495327102805</v>
      </c>
      <c r="N21" s="209">
        <f t="shared" ref="N21:N24" si="13">IF(($C21-SUM($F21:$K21)-D21)&lt;0,0,$C21-SUM($F21:$K21))</f>
        <v>0</v>
      </c>
      <c r="O21" s="210">
        <f t="shared" ref="O21:O24" si="14">IF(($C21-SUM($F21:$K21)-E21)&lt;0,0,$C21-SUM($F21:$K21))</f>
        <v>0</v>
      </c>
      <c r="P21" s="211">
        <f>IF(($C21-SUM($F21:$G21,$J21:$K21)-$D21)&lt;0,0,($C21-SUM($F21:$G21,$J21:$K21)-$D21))</f>
        <v>17.581057476635515</v>
      </c>
      <c r="Q21" s="212">
        <f>IF(($C21-SUM($F21:$G21,$J21:$K21)-$E21)&lt;0,0,($C21-SUM($F21:$G21,$J21:$K21)-$E21))</f>
        <v>27.581057476635515</v>
      </c>
      <c r="R21" s="229">
        <f>D21</f>
        <v>34</v>
      </c>
      <c r="S21" s="71"/>
      <c r="T21" s="71"/>
      <c r="U21" s="71"/>
      <c r="V21" s="71"/>
      <c r="W21" s="71"/>
      <c r="X21" s="71"/>
      <c r="Y21" s="71"/>
      <c r="Z21" s="71"/>
      <c r="AA21" s="71"/>
      <c r="AB21" s="71"/>
      <c r="AC21" s="72"/>
      <c r="AD21" s="71"/>
    </row>
    <row r="22" spans="1:30" s="16" customFormat="1" x14ac:dyDescent="0.25">
      <c r="A22" s="27" t="s">
        <v>2</v>
      </c>
      <c r="B22" s="231">
        <f>B11</f>
        <v>1597</v>
      </c>
      <c r="C22" s="41">
        <f t="shared" si="9"/>
        <v>191</v>
      </c>
      <c r="D22" s="41">
        <f t="shared" si="9"/>
        <v>0</v>
      </c>
      <c r="E22" s="232">
        <f t="shared" ref="E22" si="15">E11</f>
        <v>0</v>
      </c>
      <c r="F22" s="205">
        <f>$B22*Flexibility!$D$8</f>
        <v>9.9013999999999989</v>
      </c>
      <c r="G22" s="206">
        <f>$B22*Flexibility!$D$18</f>
        <v>47.91</v>
      </c>
      <c r="H22" s="206">
        <f>$B22*Flexibility!$D$28</f>
        <v>47.91</v>
      </c>
      <c r="I22" s="206">
        <f>$B22*Flexibility!$D$37</f>
        <v>47.91</v>
      </c>
      <c r="J22" s="206">
        <f>$B22*Flexibility!$D$46</f>
        <v>7.9290303738317753</v>
      </c>
      <c r="K22" s="206">
        <f>$B22*Flexibility!$D$56</f>
        <v>0</v>
      </c>
      <c r="L22" s="207">
        <f t="shared" si="11"/>
        <v>1435.4395696261681</v>
      </c>
      <c r="M22" s="208">
        <f t="shared" si="12"/>
        <v>0.1011649532710281</v>
      </c>
      <c r="N22" s="209">
        <f t="shared" si="13"/>
        <v>29.439569626168236</v>
      </c>
      <c r="O22" s="210">
        <f t="shared" si="14"/>
        <v>29.439569626168236</v>
      </c>
      <c r="P22" s="211">
        <f t="shared" ref="P22:P24" si="16">IF(($C22-SUM($F22:$G22,$J22:$K22)-$D22)&lt;0,0,($C22-SUM($F22:$G22,$J22:$K22)-$D22))</f>
        <v>125.25956962616823</v>
      </c>
      <c r="Q22" s="212">
        <f t="shared" ref="Q22:Q24" si="17">IF(($C22-SUM($F22:$G22,$J22:$K22)-$E22)&lt;0,0,($C22-SUM($F22:$G22,$J22:$K22)-$E22))</f>
        <v>125.25956962616823</v>
      </c>
      <c r="R22" s="88">
        <v>0</v>
      </c>
      <c r="S22" s="71"/>
      <c r="T22" s="71"/>
      <c r="U22" s="71"/>
      <c r="V22" s="71"/>
      <c r="W22" s="71"/>
      <c r="X22" s="71"/>
      <c r="Y22" s="71"/>
      <c r="Z22" s="71"/>
      <c r="AA22" s="71"/>
      <c r="AB22" s="71"/>
      <c r="AC22" s="72"/>
      <c r="AD22" s="71"/>
    </row>
    <row r="23" spans="1:30" s="16" customFormat="1" x14ac:dyDescent="0.25">
      <c r="A23" s="27" t="s">
        <v>4</v>
      </c>
      <c r="B23" s="231">
        <f>B12</f>
        <v>52</v>
      </c>
      <c r="C23" s="41">
        <f t="shared" si="9"/>
        <v>0</v>
      </c>
      <c r="D23" s="41">
        <f t="shared" si="9"/>
        <v>0</v>
      </c>
      <c r="E23" s="232">
        <f t="shared" ref="E23" si="18">E12</f>
        <v>0</v>
      </c>
      <c r="F23" s="205">
        <f>$B23*Flexibility!$D$8</f>
        <v>0.32239999999999996</v>
      </c>
      <c r="G23" s="206">
        <f>$B23*Flexibility!$D$18</f>
        <v>1.56</v>
      </c>
      <c r="H23" s="206">
        <f>$B23*Flexibility!$D$28</f>
        <v>1.56</v>
      </c>
      <c r="I23" s="206">
        <f>$B23*Flexibility!$D$37</f>
        <v>1.56</v>
      </c>
      <c r="J23" s="206">
        <f>$B23*Flexibility!$D$46</f>
        <v>0.25817757009345793</v>
      </c>
      <c r="K23" s="206">
        <f>$B23*Flexibility!$D$56</f>
        <v>0</v>
      </c>
      <c r="L23" s="207">
        <f t="shared" si="11"/>
        <v>46.73942242990654</v>
      </c>
      <c r="M23" s="208">
        <f t="shared" si="12"/>
        <v>0.10116495327102808</v>
      </c>
      <c r="N23" s="209">
        <f t="shared" si="13"/>
        <v>0</v>
      </c>
      <c r="O23" s="210">
        <f t="shared" si="14"/>
        <v>0</v>
      </c>
      <c r="P23" s="211">
        <f t="shared" si="16"/>
        <v>0</v>
      </c>
      <c r="Q23" s="212">
        <f t="shared" si="17"/>
        <v>0</v>
      </c>
      <c r="R23" s="88">
        <v>0</v>
      </c>
      <c r="S23" s="71"/>
      <c r="T23" s="71"/>
      <c r="U23" s="71"/>
      <c r="V23" s="71"/>
      <c r="W23" s="71"/>
      <c r="X23" s="71"/>
      <c r="Y23" s="71"/>
      <c r="Z23" s="71"/>
      <c r="AA23" s="71"/>
      <c r="AB23" s="71"/>
      <c r="AC23" s="72"/>
      <c r="AD23" s="71"/>
    </row>
    <row r="24" spans="1:30" s="16" customFormat="1" ht="15.75" thickBot="1" x14ac:dyDescent="0.3">
      <c r="A24" s="54" t="s">
        <v>5</v>
      </c>
      <c r="B24" s="233">
        <f>B13</f>
        <v>155</v>
      </c>
      <c r="C24" s="234">
        <f t="shared" si="9"/>
        <v>0</v>
      </c>
      <c r="D24" s="234">
        <f t="shared" si="9"/>
        <v>0</v>
      </c>
      <c r="E24" s="235">
        <f t="shared" ref="E24" si="19">E13</f>
        <v>0</v>
      </c>
      <c r="F24" s="213">
        <f>$B24*Flexibility!$D$8</f>
        <v>0.96099999999999997</v>
      </c>
      <c r="G24" s="214">
        <f>$B24*Flexibility!$D$18</f>
        <v>4.6499999999999995</v>
      </c>
      <c r="H24" s="214">
        <f>$B24*Flexibility!$D$28</f>
        <v>4.6499999999999995</v>
      </c>
      <c r="I24" s="214">
        <f>$B24*Flexibility!$D$37</f>
        <v>4.6499999999999995</v>
      </c>
      <c r="J24" s="214">
        <f>$B24*Flexibility!$D$46</f>
        <v>0.76956775700934577</v>
      </c>
      <c r="K24" s="214">
        <f>$B24*Flexibility!$D$56</f>
        <v>0</v>
      </c>
      <c r="L24" s="215">
        <f t="shared" si="11"/>
        <v>139.31943224299064</v>
      </c>
      <c r="M24" s="216">
        <f t="shared" si="12"/>
        <v>0.1011649532710281</v>
      </c>
      <c r="N24" s="217">
        <f t="shared" si="13"/>
        <v>0</v>
      </c>
      <c r="O24" s="218">
        <f t="shared" si="14"/>
        <v>0</v>
      </c>
      <c r="P24" s="219">
        <f t="shared" si="16"/>
        <v>0</v>
      </c>
      <c r="Q24" s="220">
        <f t="shared" si="17"/>
        <v>0</v>
      </c>
      <c r="R24" s="89">
        <v>0</v>
      </c>
      <c r="S24" s="71"/>
      <c r="T24" s="71"/>
      <c r="U24" s="71"/>
      <c r="V24" s="71"/>
      <c r="W24" s="71"/>
      <c r="X24" s="71"/>
      <c r="Y24" s="71"/>
      <c r="Z24" s="71"/>
      <c r="AA24" s="71"/>
      <c r="AB24" s="71"/>
      <c r="AC24" s="72"/>
      <c r="AD24" s="71"/>
    </row>
    <row r="25" spans="1:30" s="16" customFormat="1" ht="16.5" thickTop="1" thickBot="1" x14ac:dyDescent="0.3">
      <c r="A25" s="69" t="s">
        <v>79</v>
      </c>
      <c r="B25" s="226">
        <f>SUM(B20:B24)</f>
        <v>3742</v>
      </c>
      <c r="C25" s="227">
        <f>SUM(C20:C24)</f>
        <v>403</v>
      </c>
      <c r="D25" s="227">
        <f>SUM(D20:D24)</f>
        <v>55</v>
      </c>
      <c r="E25" s="228">
        <f>SUM(E20:E24)</f>
        <v>45</v>
      </c>
      <c r="F25" s="221">
        <f t="shared" ref="F25:L25" si="20">SUM(F20:F24)</f>
        <v>23.200399999999995</v>
      </c>
      <c r="G25" s="222">
        <f t="shared" si="20"/>
        <v>112.26</v>
      </c>
      <c r="H25" s="222">
        <f t="shared" si="20"/>
        <v>112.26</v>
      </c>
      <c r="I25" s="222">
        <f t="shared" si="20"/>
        <v>112.26</v>
      </c>
      <c r="J25" s="222">
        <f t="shared" si="20"/>
        <v>18.578855140186914</v>
      </c>
      <c r="K25" s="222">
        <f t="shared" si="20"/>
        <v>0</v>
      </c>
      <c r="L25" s="222">
        <f t="shared" si="20"/>
        <v>3363.4407448598131</v>
      </c>
      <c r="M25" s="236">
        <f>($B25-L25)/$B25</f>
        <v>0.10116495327102804</v>
      </c>
      <c r="N25" s="224">
        <f>SUM(N20:N24)</f>
        <v>29.439569626168236</v>
      </c>
      <c r="O25" s="224">
        <f>SUM(O20:O24)</f>
        <v>29.439569626168236</v>
      </c>
      <c r="P25" s="237">
        <f>SUM(P20:P24)</f>
        <v>202.4818901869159</v>
      </c>
      <c r="Q25" s="237">
        <f>SUM(Q20:Q24)</f>
        <v>212.4818901869159</v>
      </c>
      <c r="R25" s="230">
        <f>SUM(R20:R24)</f>
        <v>55</v>
      </c>
      <c r="S25" s="71"/>
      <c r="T25" s="71"/>
      <c r="U25" s="71"/>
      <c r="V25" s="71"/>
      <c r="W25" s="71"/>
      <c r="X25" s="71"/>
      <c r="Y25" s="71"/>
      <c r="Z25" s="71"/>
      <c r="AA25" s="71"/>
      <c r="AB25" s="71"/>
      <c r="AC25" s="72"/>
      <c r="AD25" s="71"/>
    </row>
    <row r="26" spans="1:30" ht="13.9" customHeight="1" x14ac:dyDescent="0.25">
      <c r="B26" s="365" t="s">
        <v>218</v>
      </c>
      <c r="C26" s="365"/>
      <c r="D26" s="365"/>
      <c r="E26" s="365"/>
      <c r="F26" s="365"/>
      <c r="G26" s="365"/>
      <c r="H26" s="365"/>
      <c r="I26" s="365"/>
      <c r="J26" s="365"/>
      <c r="K26" s="365"/>
      <c r="L26" s="365"/>
    </row>
    <row r="27" spans="1:30" ht="13.9" customHeight="1" x14ac:dyDescent="0.25">
      <c r="B27" s="64"/>
      <c r="C27" s="64"/>
      <c r="D27" s="64"/>
      <c r="E27" s="64"/>
      <c r="F27" s="64"/>
      <c r="G27" s="64"/>
      <c r="H27" s="64"/>
      <c r="I27" s="64"/>
      <c r="J27" s="64"/>
      <c r="K27" s="64"/>
      <c r="L27" s="64"/>
    </row>
    <row r="28" spans="1:30" x14ac:dyDescent="0.25">
      <c r="B28" s="14" t="s">
        <v>604</v>
      </c>
    </row>
    <row r="29" spans="1:30" x14ac:dyDescent="0.25">
      <c r="B29" s="14"/>
    </row>
    <row r="30" spans="1:30" s="16" customFormat="1" x14ac:dyDescent="0.25">
      <c r="B30" s="78" t="s">
        <v>217</v>
      </c>
      <c r="C30" s="10"/>
      <c r="D30" s="10"/>
      <c r="E30" s="10"/>
      <c r="F30" s="71"/>
      <c r="G30" s="71"/>
      <c r="H30" s="71"/>
      <c r="I30" s="71"/>
      <c r="J30" s="71"/>
      <c r="K30" s="71"/>
      <c r="L30" s="71"/>
      <c r="M30" s="72"/>
      <c r="N30" s="71"/>
      <c r="O30" s="71"/>
      <c r="P30" s="71"/>
      <c r="Q30" s="71"/>
      <c r="R30" s="71"/>
      <c r="S30" s="71"/>
      <c r="T30" s="71"/>
      <c r="U30" s="71"/>
      <c r="V30" s="71"/>
      <c r="W30" s="71"/>
      <c r="X30" s="71"/>
      <c r="Y30" s="71"/>
      <c r="Z30" s="71"/>
      <c r="AA30" s="71"/>
      <c r="AB30" s="72"/>
      <c r="AC30" s="71"/>
    </row>
    <row r="31" spans="1:30" s="7" customFormat="1" ht="15" customHeight="1" x14ac:dyDescent="0.25">
      <c r="B31" s="179" t="s">
        <v>541</v>
      </c>
      <c r="C31" s="179"/>
      <c r="D31" s="179"/>
      <c r="E31" s="179"/>
      <c r="F31" s="179"/>
      <c r="G31" s="179"/>
      <c r="H31" s="179"/>
      <c r="I31" s="179"/>
      <c r="J31" s="179"/>
      <c r="K31" s="179"/>
      <c r="L31" s="179"/>
      <c r="M31" s="177"/>
      <c r="N31" s="177"/>
      <c r="O31" s="177"/>
      <c r="P31" s="177"/>
      <c r="Q31" s="177"/>
      <c r="R31" s="177"/>
    </row>
    <row r="32" spans="1:30" s="7" customFormat="1" ht="15" customHeight="1" x14ac:dyDescent="0.25">
      <c r="B32" s="179"/>
      <c r="C32" s="179"/>
      <c r="D32" s="179"/>
      <c r="E32" s="179"/>
      <c r="F32" s="179"/>
      <c r="G32" s="179"/>
      <c r="H32" s="179"/>
      <c r="I32" s="179"/>
      <c r="J32" s="179"/>
      <c r="K32" s="179"/>
      <c r="L32" s="179"/>
      <c r="M32" s="177"/>
      <c r="N32" s="177"/>
      <c r="O32" s="177"/>
      <c r="P32" s="177"/>
      <c r="Q32" s="177"/>
      <c r="R32" s="177"/>
    </row>
    <row r="33" spans="2:29" s="7" customFormat="1" ht="15" customHeight="1" x14ac:dyDescent="0.25">
      <c r="B33" s="178" t="s">
        <v>540</v>
      </c>
      <c r="C33" s="179"/>
      <c r="D33" s="179"/>
      <c r="E33" s="179"/>
      <c r="F33" s="179"/>
      <c r="G33" s="179"/>
      <c r="H33" s="179"/>
      <c r="I33" s="179"/>
      <c r="J33" s="179"/>
      <c r="K33" s="179"/>
      <c r="L33" s="179"/>
      <c r="M33" s="179"/>
      <c r="N33" s="179"/>
      <c r="O33" s="179"/>
      <c r="P33" s="179"/>
      <c r="Q33" s="179"/>
      <c r="R33" s="179"/>
      <c r="S33" s="64"/>
      <c r="T33" s="64"/>
      <c r="U33" s="64"/>
      <c r="V33" s="64"/>
      <c r="W33" s="64"/>
      <c r="X33" s="64"/>
      <c r="Y33" s="64"/>
      <c r="Z33" s="64"/>
      <c r="AA33" s="64"/>
      <c r="AB33" s="64"/>
      <c r="AC33" s="64"/>
    </row>
    <row r="34" spans="2:29" s="7" customFormat="1" ht="15" customHeight="1" x14ac:dyDescent="0.25">
      <c r="B34" s="179" t="s">
        <v>605</v>
      </c>
      <c r="C34" s="179"/>
      <c r="D34" s="179"/>
      <c r="E34" s="179"/>
      <c r="F34" s="179"/>
      <c r="G34" s="179"/>
      <c r="H34" s="179"/>
      <c r="I34" s="179"/>
      <c r="J34" s="179"/>
      <c r="K34" s="179"/>
      <c r="L34" s="179"/>
      <c r="M34" s="179"/>
      <c r="N34" s="179"/>
      <c r="O34" s="179"/>
      <c r="P34" s="179"/>
      <c r="Q34" s="179"/>
      <c r="R34" s="179"/>
      <c r="S34" s="64"/>
      <c r="T34" s="64"/>
      <c r="U34" s="64"/>
      <c r="V34" s="64"/>
      <c r="W34" s="64"/>
      <c r="X34" s="64"/>
      <c r="Y34" s="64"/>
      <c r="Z34" s="64"/>
      <c r="AA34" s="64"/>
      <c r="AB34" s="64"/>
      <c r="AC34" s="64"/>
    </row>
    <row r="35" spans="2:29" s="7" customFormat="1" ht="15" customHeight="1" x14ac:dyDescent="0.25">
      <c r="B35" s="179"/>
      <c r="C35" s="179"/>
      <c r="D35" s="179"/>
      <c r="E35" s="179"/>
      <c r="F35" s="179"/>
      <c r="G35" s="179"/>
      <c r="H35" s="179"/>
      <c r="I35" s="179"/>
      <c r="J35" s="179"/>
      <c r="K35" s="179"/>
      <c r="L35" s="179"/>
      <c r="M35" s="179"/>
      <c r="N35" s="179"/>
      <c r="O35" s="179"/>
      <c r="P35" s="179"/>
      <c r="Q35" s="179"/>
      <c r="R35" s="179"/>
      <c r="S35" s="64"/>
      <c r="T35" s="64"/>
      <c r="U35" s="64"/>
      <c r="V35" s="64"/>
      <c r="W35" s="64"/>
      <c r="X35" s="64"/>
      <c r="Y35" s="64"/>
      <c r="Z35" s="64"/>
      <c r="AA35" s="64"/>
      <c r="AB35" s="64"/>
      <c r="AC35" s="64"/>
    </row>
    <row r="36" spans="2:29" s="7" customFormat="1" ht="15" customHeight="1" x14ac:dyDescent="0.25">
      <c r="B36" s="179"/>
      <c r="C36" s="179"/>
      <c r="D36" s="179"/>
      <c r="E36" s="179"/>
      <c r="F36" s="179"/>
      <c r="G36" s="179"/>
      <c r="H36" s="179"/>
      <c r="I36" s="179"/>
      <c r="J36" s="179"/>
      <c r="K36" s="179"/>
      <c r="L36" s="179"/>
      <c r="M36" s="179"/>
      <c r="N36" s="179"/>
      <c r="O36" s="179"/>
      <c r="P36" s="179"/>
      <c r="Q36" s="179"/>
      <c r="R36" s="179"/>
      <c r="S36" s="64"/>
      <c r="T36" s="64"/>
      <c r="U36" s="64"/>
      <c r="V36" s="64"/>
      <c r="W36" s="64"/>
      <c r="X36" s="64"/>
      <c r="Y36" s="64"/>
      <c r="Z36" s="64"/>
      <c r="AA36" s="64"/>
      <c r="AB36" s="64"/>
      <c r="AC36" s="64"/>
    </row>
    <row r="37" spans="2:29" s="7" customFormat="1" ht="15" customHeight="1" x14ac:dyDescent="0.25">
      <c r="B37" s="179" t="s">
        <v>223</v>
      </c>
      <c r="C37" s="179"/>
      <c r="D37" s="179"/>
      <c r="E37" s="179"/>
      <c r="F37" s="179"/>
      <c r="G37" s="179"/>
      <c r="H37" s="179"/>
      <c r="I37" s="179"/>
      <c r="J37" s="179"/>
      <c r="K37" s="179"/>
      <c r="L37" s="179"/>
      <c r="M37" s="179"/>
      <c r="N37" s="179"/>
      <c r="O37" s="179"/>
      <c r="P37" s="179"/>
      <c r="Q37" s="179"/>
      <c r="R37" s="179"/>
      <c r="S37" s="64"/>
      <c r="T37" s="64"/>
      <c r="U37" s="64"/>
      <c r="V37" s="64"/>
      <c r="W37" s="64"/>
      <c r="X37" s="64"/>
      <c r="Y37" s="64"/>
      <c r="Z37" s="64"/>
      <c r="AA37" s="64"/>
      <c r="AB37" s="64"/>
      <c r="AC37" s="64"/>
    </row>
    <row r="38" spans="2:29" ht="13.9" customHeight="1" x14ac:dyDescent="0.25">
      <c r="B38" s="179"/>
      <c r="C38" s="179"/>
      <c r="D38" s="179"/>
      <c r="E38" s="179"/>
      <c r="F38" s="179"/>
      <c r="G38" s="179"/>
      <c r="H38" s="179"/>
      <c r="I38" s="179"/>
      <c r="J38" s="179"/>
      <c r="K38" s="179"/>
      <c r="L38" s="179"/>
    </row>
    <row r="39" spans="2:29" x14ac:dyDescent="0.25">
      <c r="B39" s="305"/>
      <c r="C39" s="305"/>
      <c r="D39" s="305"/>
      <c r="E39" s="305"/>
      <c r="F39" s="305"/>
      <c r="G39" s="305"/>
      <c r="H39" s="305"/>
      <c r="I39" s="305"/>
      <c r="J39" s="305"/>
      <c r="K39" s="305"/>
      <c r="L39" s="305"/>
    </row>
    <row r="40" spans="2:29" x14ac:dyDescent="0.25">
      <c r="B40" s="175" t="s">
        <v>192</v>
      </c>
    </row>
    <row r="41" spans="2:29" x14ac:dyDescent="0.25">
      <c r="B41" s="65" t="s">
        <v>534</v>
      </c>
    </row>
    <row r="42" spans="2:29" x14ac:dyDescent="0.25">
      <c r="B42" s="65" t="s">
        <v>535</v>
      </c>
    </row>
    <row r="43" spans="2:29" x14ac:dyDescent="0.25">
      <c r="B43" s="65" t="s">
        <v>536</v>
      </c>
    </row>
    <row r="44" spans="2:29" x14ac:dyDescent="0.25">
      <c r="B44" s="65" t="s">
        <v>537</v>
      </c>
    </row>
    <row r="45" spans="2:29" x14ac:dyDescent="0.25">
      <c r="B45" s="65" t="s">
        <v>553</v>
      </c>
    </row>
    <row r="46" spans="2:29" x14ac:dyDescent="0.25">
      <c r="B46" s="65" t="s">
        <v>554</v>
      </c>
    </row>
    <row r="47" spans="2:29" x14ac:dyDescent="0.25">
      <c r="B47" s="65" t="s">
        <v>538</v>
      </c>
    </row>
    <row r="48" spans="2:29" x14ac:dyDescent="0.25">
      <c r="B48" s="65" t="s">
        <v>539</v>
      </c>
    </row>
    <row r="49" spans="1:29" x14ac:dyDescent="0.25">
      <c r="B49" s="65" t="s">
        <v>532</v>
      </c>
    </row>
    <row r="50" spans="1:29" x14ac:dyDescent="0.25">
      <c r="B50" s="65" t="s">
        <v>533</v>
      </c>
    </row>
    <row r="51" spans="1:29" x14ac:dyDescent="0.25">
      <c r="B51" s="176" t="s">
        <v>530</v>
      </c>
    </row>
    <row r="52" spans="1:29" x14ac:dyDescent="0.25">
      <c r="B52" s="176" t="s">
        <v>531</v>
      </c>
    </row>
    <row r="53" spans="1:29" ht="13.9" customHeight="1" x14ac:dyDescent="0.25">
      <c r="B53" s="179" t="s">
        <v>668</v>
      </c>
      <c r="C53" s="179"/>
      <c r="D53" s="179"/>
      <c r="E53" s="179"/>
      <c r="F53" s="179"/>
      <c r="G53" s="179"/>
      <c r="H53" s="179"/>
      <c r="I53" s="179"/>
      <c r="J53" s="179"/>
      <c r="K53" s="179"/>
      <c r="L53" s="179"/>
    </row>
    <row r="54" spans="1:29" ht="13.9" customHeight="1" x14ac:dyDescent="0.25">
      <c r="B54" s="179"/>
      <c r="C54" s="179"/>
      <c r="D54" s="179"/>
      <c r="E54" s="179"/>
      <c r="F54" s="179"/>
      <c r="G54" s="179"/>
      <c r="H54" s="179"/>
      <c r="I54" s="179"/>
      <c r="J54" s="179"/>
      <c r="K54" s="179"/>
      <c r="L54" s="179"/>
    </row>
    <row r="55" spans="1:29" ht="15.75" thickBot="1" x14ac:dyDescent="0.3">
      <c r="A55" s="65"/>
    </row>
    <row r="56" spans="1:29" ht="31.5" customHeight="1" thickBot="1" x14ac:dyDescent="0.3">
      <c r="A56" s="11" t="s">
        <v>187</v>
      </c>
      <c r="M56" s="387" t="s">
        <v>244</v>
      </c>
      <c r="N56" s="388"/>
    </row>
    <row r="57" spans="1:29" ht="60" x14ac:dyDescent="0.25">
      <c r="M57" s="92" t="s">
        <v>241</v>
      </c>
      <c r="N57" s="93" t="s">
        <v>240</v>
      </c>
    </row>
    <row r="58" spans="1:29" s="5" customFormat="1" ht="255" x14ac:dyDescent="0.25">
      <c r="A58" s="372" t="s">
        <v>62</v>
      </c>
      <c r="B58" s="308" t="s">
        <v>221</v>
      </c>
      <c r="C58" s="303" t="s">
        <v>222</v>
      </c>
      <c r="D58" s="309" t="s">
        <v>245</v>
      </c>
      <c r="E58" s="308" t="s">
        <v>205</v>
      </c>
      <c r="F58" s="302" t="s">
        <v>206</v>
      </c>
      <c r="G58" s="302" t="s">
        <v>219</v>
      </c>
      <c r="H58" s="302" t="s">
        <v>220</v>
      </c>
      <c r="I58" s="302" t="s">
        <v>208</v>
      </c>
      <c r="J58" s="302" t="s">
        <v>209</v>
      </c>
      <c r="K58" s="49" t="s">
        <v>210</v>
      </c>
      <c r="L58" s="59" t="s">
        <v>211</v>
      </c>
      <c r="M58" s="87" t="s">
        <v>243</v>
      </c>
      <c r="N58" s="94" t="s">
        <v>246</v>
      </c>
      <c r="P58" s="1"/>
      <c r="Q58" s="1"/>
      <c r="R58" s="1"/>
      <c r="S58" s="1"/>
      <c r="T58" s="1"/>
      <c r="U58" s="1"/>
      <c r="V58" s="1"/>
      <c r="W58" s="1"/>
      <c r="X58" s="1"/>
      <c r="Y58" s="1"/>
      <c r="Z58" s="1"/>
      <c r="AA58" s="1"/>
      <c r="AB58" s="1"/>
      <c r="AC58" s="1"/>
    </row>
    <row r="59" spans="1:29" s="5" customFormat="1" ht="15" customHeight="1" x14ac:dyDescent="0.25">
      <c r="A59" s="373"/>
      <c r="B59" s="389" t="s">
        <v>191</v>
      </c>
      <c r="C59" s="390"/>
      <c r="D59" s="391"/>
      <c r="E59" s="384" t="s">
        <v>207</v>
      </c>
      <c r="F59" s="385"/>
      <c r="G59" s="385"/>
      <c r="H59" s="385"/>
      <c r="I59" s="385"/>
      <c r="J59" s="385"/>
      <c r="K59" s="385"/>
      <c r="L59" s="385"/>
      <c r="M59" s="385"/>
      <c r="N59" s="386"/>
      <c r="O59" s="91"/>
      <c r="P59" s="1"/>
      <c r="Q59" s="1"/>
      <c r="R59" s="1"/>
      <c r="S59" s="1"/>
      <c r="T59" s="1"/>
      <c r="U59" s="1"/>
      <c r="V59" s="1"/>
      <c r="W59" s="1"/>
      <c r="X59" s="1"/>
      <c r="Y59" s="1"/>
      <c r="Z59" s="1"/>
      <c r="AA59" s="1"/>
      <c r="AB59" s="1"/>
      <c r="AC59" s="1"/>
    </row>
    <row r="60" spans="1:29" x14ac:dyDescent="0.25">
      <c r="A60" s="27" t="s">
        <v>0</v>
      </c>
      <c r="B60" s="52">
        <v>101</v>
      </c>
      <c r="C60" s="51">
        <v>22</v>
      </c>
      <c r="D60" s="26">
        <v>0</v>
      </c>
      <c r="E60" s="205">
        <f>$B60*Flexibility!$B$9</f>
        <v>0.62619999999999998</v>
      </c>
      <c r="F60" s="206">
        <f>$B60*Flexibility!$B$19</f>
        <v>3.03</v>
      </c>
      <c r="G60" s="206">
        <f>$B60*Flexibility!$B$29</f>
        <v>5.0500000000000007</v>
      </c>
      <c r="H60" s="206">
        <f>$B60*Flexibility!$B$38</f>
        <v>5.0500000000000007</v>
      </c>
      <c r="I60" s="206">
        <f>$B60*Flexibility!$B$47</f>
        <v>0.50146028037383172</v>
      </c>
      <c r="J60" s="206">
        <f>$B60*Flexibility!$B$57</f>
        <v>0</v>
      </c>
      <c r="K60" s="207">
        <f>$B60-SUM(E60:J60)</f>
        <v>86.742339719626159</v>
      </c>
      <c r="L60" s="208">
        <f>($B60-K60)/$B60</f>
        <v>0.14116495327102813</v>
      </c>
      <c r="M60" s="209">
        <f>IF(($C60-SUM($E60:$J60))&lt;0,0,$C60-SUM($E60:$J60))</f>
        <v>7.7423397196261661</v>
      </c>
      <c r="N60" s="229">
        <f>IF(($C60-SUM($E60:$F60,$I60:$J60))&lt;0,0,$C60-SUM($E60:$F60,$I60:$J60))</f>
        <v>17.842339719626167</v>
      </c>
    </row>
    <row r="61" spans="1:29" x14ac:dyDescent="0.25">
      <c r="A61" s="27" t="s">
        <v>1</v>
      </c>
      <c r="B61" s="52">
        <v>256</v>
      </c>
      <c r="C61" s="51">
        <v>0</v>
      </c>
      <c r="D61" s="26">
        <v>0</v>
      </c>
      <c r="E61" s="205">
        <f>$B61*Flexibility!$B$9</f>
        <v>1.5871999999999999</v>
      </c>
      <c r="F61" s="206">
        <f>$B61*Flexibility!$B$19</f>
        <v>7.68</v>
      </c>
      <c r="G61" s="206">
        <f>$B61*Flexibility!$B$29</f>
        <v>12.8</v>
      </c>
      <c r="H61" s="206">
        <f>$B61*Flexibility!$B$38</f>
        <v>12.8</v>
      </c>
      <c r="I61" s="206">
        <f>$B61*Flexibility!$B$47</f>
        <v>1.2710280373831775</v>
      </c>
      <c r="J61" s="206">
        <f>$B61*Flexibility!$B$57</f>
        <v>0</v>
      </c>
      <c r="K61" s="207">
        <f t="shared" ref="K61:K63" si="21">$B61-SUM(E61:J61)</f>
        <v>219.86177196261684</v>
      </c>
      <c r="L61" s="208">
        <f t="shared" ref="L61:L64" si="22">($B61-K61)/$B61</f>
        <v>0.14116495327102796</v>
      </c>
      <c r="M61" s="209">
        <f t="shared" ref="M61:M63" si="23">IF(($C61-SUM(E61:J61))&lt;0,0,$C61-SUM(E61:J61))</f>
        <v>0</v>
      </c>
      <c r="N61" s="229">
        <f t="shared" ref="N61:N63" si="24">IF(($C61-SUM($E61:$F61,$I61:$J61))&lt;0,0,$C61-SUM($E61:$F61,$I61:$J61))</f>
        <v>0</v>
      </c>
    </row>
    <row r="62" spans="1:29" x14ac:dyDescent="0.25">
      <c r="A62" s="27" t="s">
        <v>3</v>
      </c>
      <c r="B62" s="52">
        <v>81</v>
      </c>
      <c r="C62" s="51">
        <v>18</v>
      </c>
      <c r="D62" s="26">
        <v>0</v>
      </c>
      <c r="E62" s="205">
        <f>$B62*Flexibility!$B$9</f>
        <v>0.50219999999999998</v>
      </c>
      <c r="F62" s="206">
        <f>$B62*Flexibility!$B$19</f>
        <v>2.4299999999999997</v>
      </c>
      <c r="G62" s="206">
        <f>$B62*Flexibility!$B$29</f>
        <v>4.05</v>
      </c>
      <c r="H62" s="206">
        <f>$B62*Flexibility!$B$38</f>
        <v>4.05</v>
      </c>
      <c r="I62" s="206">
        <f>$B62*Flexibility!$B$47</f>
        <v>0.40216121495327101</v>
      </c>
      <c r="J62" s="206">
        <f>$B62*Flexibility!$B$57</f>
        <v>0</v>
      </c>
      <c r="K62" s="207">
        <f t="shared" si="21"/>
        <v>69.56563878504673</v>
      </c>
      <c r="L62" s="208">
        <f t="shared" si="22"/>
        <v>0.14116495327102802</v>
      </c>
      <c r="M62" s="209">
        <f t="shared" si="23"/>
        <v>6.5656387850467297</v>
      </c>
      <c r="N62" s="229">
        <f t="shared" si="24"/>
        <v>14.665638785046729</v>
      </c>
    </row>
    <row r="63" spans="1:29" ht="15.75" thickBot="1" x14ac:dyDescent="0.3">
      <c r="A63" s="54" t="s">
        <v>4</v>
      </c>
      <c r="B63" s="55">
        <v>89</v>
      </c>
      <c r="C63" s="68">
        <v>16</v>
      </c>
      <c r="D63" s="56">
        <v>0</v>
      </c>
      <c r="E63" s="213">
        <f>$B63*Flexibility!$B$9</f>
        <v>0.55179999999999996</v>
      </c>
      <c r="F63" s="214">
        <f>$B63*Flexibility!$B$19</f>
        <v>2.67</v>
      </c>
      <c r="G63" s="214">
        <f>$B63*Flexibility!$B$29</f>
        <v>4.45</v>
      </c>
      <c r="H63" s="214">
        <f>$B63*Flexibility!$B$38</f>
        <v>4.45</v>
      </c>
      <c r="I63" s="214">
        <f>$B63*Flexibility!$B$47</f>
        <v>0.44188084112149528</v>
      </c>
      <c r="J63" s="214">
        <f>$B63*Flexibility!$B$57</f>
        <v>0</v>
      </c>
      <c r="K63" s="215">
        <f t="shared" si="21"/>
        <v>76.436319158878504</v>
      </c>
      <c r="L63" s="216">
        <f t="shared" si="22"/>
        <v>0.14116495327102804</v>
      </c>
      <c r="M63" s="217">
        <f t="shared" si="23"/>
        <v>3.4363191588785043</v>
      </c>
      <c r="N63" s="238">
        <f t="shared" si="24"/>
        <v>12.336319158878505</v>
      </c>
    </row>
    <row r="64" spans="1:29" s="16" customFormat="1" ht="16.5" thickTop="1" thickBot="1" x14ac:dyDescent="0.3">
      <c r="A64" s="53" t="s">
        <v>79</v>
      </c>
      <c r="B64" s="239">
        <f>SUM(B60:B63)</f>
        <v>527</v>
      </c>
      <c r="C64" s="227">
        <f t="shared" ref="C64:D64" si="25">SUM(C60:C63)</f>
        <v>56</v>
      </c>
      <c r="D64" s="228">
        <f t="shared" si="25"/>
        <v>0</v>
      </c>
      <c r="E64" s="221">
        <f t="shared" ref="E64:N64" si="26">SUM(E60:E63)</f>
        <v>3.2674000000000003</v>
      </c>
      <c r="F64" s="222">
        <f t="shared" si="26"/>
        <v>15.809999999999999</v>
      </c>
      <c r="G64" s="222">
        <f t="shared" si="26"/>
        <v>26.35</v>
      </c>
      <c r="H64" s="222">
        <f t="shared" si="26"/>
        <v>26.35</v>
      </c>
      <c r="I64" s="222">
        <f t="shared" si="26"/>
        <v>2.6165303738317758</v>
      </c>
      <c r="J64" s="222">
        <f t="shared" si="26"/>
        <v>0</v>
      </c>
      <c r="K64" s="222">
        <f t="shared" si="26"/>
        <v>452.60606962616828</v>
      </c>
      <c r="L64" s="223">
        <f t="shared" si="22"/>
        <v>0.14116495327102793</v>
      </c>
      <c r="M64" s="224">
        <f t="shared" si="26"/>
        <v>17.7442976635514</v>
      </c>
      <c r="N64" s="230">
        <f t="shared" si="26"/>
        <v>44.844297663551401</v>
      </c>
    </row>
    <row r="65" spans="1:29" s="10" customFormat="1" ht="15.75" thickBot="1" x14ac:dyDescent="0.3">
      <c r="A65" s="70"/>
      <c r="E65" s="71"/>
      <c r="F65" s="71"/>
      <c r="G65" s="71"/>
      <c r="H65" s="71"/>
      <c r="I65" s="71"/>
      <c r="J65" s="71"/>
      <c r="K65" s="71"/>
      <c r="L65" s="72"/>
      <c r="M65" s="71"/>
      <c r="N65" s="71"/>
    </row>
    <row r="66" spans="1:29" s="10" customFormat="1" ht="31.5" customHeight="1" thickBot="1" x14ac:dyDescent="0.3">
      <c r="A66" s="11" t="s">
        <v>187</v>
      </c>
      <c r="E66" s="71"/>
      <c r="F66" s="71"/>
      <c r="G66" s="71"/>
      <c r="H66" s="71"/>
      <c r="I66" s="71"/>
      <c r="J66" s="71"/>
      <c r="K66" s="71"/>
      <c r="L66" s="72"/>
      <c r="M66" s="387" t="s">
        <v>244</v>
      </c>
      <c r="N66" s="388"/>
    </row>
    <row r="67" spans="1:29" ht="60" x14ac:dyDescent="0.25">
      <c r="M67" s="92" t="s">
        <v>241</v>
      </c>
      <c r="N67" s="93" t="s">
        <v>240</v>
      </c>
    </row>
    <row r="68" spans="1:29" s="5" customFormat="1" ht="255" x14ac:dyDescent="0.25">
      <c r="A68" s="372" t="s">
        <v>62</v>
      </c>
      <c r="B68" s="308" t="s">
        <v>221</v>
      </c>
      <c r="C68" s="303" t="s">
        <v>222</v>
      </c>
      <c r="D68" s="309" t="s">
        <v>245</v>
      </c>
      <c r="E68" s="308" t="s">
        <v>205</v>
      </c>
      <c r="F68" s="302" t="s">
        <v>206</v>
      </c>
      <c r="G68" s="302" t="s">
        <v>219</v>
      </c>
      <c r="H68" s="302" t="s">
        <v>220</v>
      </c>
      <c r="I68" s="302" t="s">
        <v>208</v>
      </c>
      <c r="J68" s="302" t="s">
        <v>209</v>
      </c>
      <c r="K68" s="49" t="s">
        <v>210</v>
      </c>
      <c r="L68" s="59" t="s">
        <v>211</v>
      </c>
      <c r="M68" s="87" t="s">
        <v>243</v>
      </c>
      <c r="N68" s="94" t="s">
        <v>246</v>
      </c>
      <c r="P68" s="1"/>
      <c r="Q68" s="1"/>
      <c r="R68" s="1"/>
      <c r="S68" s="1"/>
      <c r="T68" s="1"/>
      <c r="U68" s="1"/>
      <c r="V68" s="1"/>
      <c r="W68" s="1"/>
      <c r="X68" s="1"/>
      <c r="Y68" s="1"/>
      <c r="Z68" s="1"/>
      <c r="AA68" s="1"/>
      <c r="AB68" s="1"/>
      <c r="AC68" s="1"/>
    </row>
    <row r="69" spans="1:29" s="5" customFormat="1" ht="15" customHeight="1" x14ac:dyDescent="0.25">
      <c r="A69" s="373"/>
      <c r="B69" s="389" t="s">
        <v>191</v>
      </c>
      <c r="C69" s="390"/>
      <c r="D69" s="391"/>
      <c r="E69" s="384" t="s">
        <v>247</v>
      </c>
      <c r="F69" s="385"/>
      <c r="G69" s="385"/>
      <c r="H69" s="385"/>
      <c r="I69" s="385"/>
      <c r="J69" s="385"/>
      <c r="K69" s="385"/>
      <c r="L69" s="385"/>
      <c r="M69" s="385"/>
      <c r="N69" s="386"/>
      <c r="O69" s="91"/>
      <c r="P69" s="1"/>
      <c r="Q69" s="1"/>
      <c r="R69" s="1"/>
      <c r="S69" s="1"/>
      <c r="T69" s="1"/>
      <c r="U69" s="1"/>
      <c r="V69" s="1"/>
      <c r="W69" s="1"/>
      <c r="X69" s="1"/>
      <c r="Y69" s="1"/>
      <c r="Z69" s="1"/>
      <c r="AA69" s="1"/>
      <c r="AB69" s="1"/>
      <c r="AC69" s="1"/>
    </row>
    <row r="70" spans="1:29" x14ac:dyDescent="0.25">
      <c r="A70" s="27" t="s">
        <v>0</v>
      </c>
      <c r="B70" s="231">
        <f>B60</f>
        <v>101</v>
      </c>
      <c r="C70" s="41">
        <f t="shared" ref="C70:D70" si="27">C60</f>
        <v>22</v>
      </c>
      <c r="D70" s="232">
        <f t="shared" si="27"/>
        <v>0</v>
      </c>
      <c r="E70" s="205">
        <f>$B70*Flexibility!$B$9</f>
        <v>0.62619999999999998</v>
      </c>
      <c r="F70" s="206">
        <f>$B70*Flexibility!$B$19</f>
        <v>3.03</v>
      </c>
      <c r="G70" s="206">
        <f>$B70*Flexibility!$D$29</f>
        <v>3.03</v>
      </c>
      <c r="H70" s="206">
        <f>$B70*Flexibility!$D$38</f>
        <v>3.03</v>
      </c>
      <c r="I70" s="206">
        <f>$B70*Flexibility!$B$47</f>
        <v>0.50146028037383172</v>
      </c>
      <c r="J70" s="206">
        <f>$B70*Flexibility!$B$57</f>
        <v>0</v>
      </c>
      <c r="K70" s="207">
        <f>$B70-SUM(E70:J70)</f>
        <v>90.782339719626165</v>
      </c>
      <c r="L70" s="208">
        <f>($B70-K70)/$B70</f>
        <v>0.10116495327102806</v>
      </c>
      <c r="M70" s="209">
        <f>IF(($C70-SUM($E70:$J70))&lt;0,0,$C70-SUM($E70:$J70))</f>
        <v>11.782339719626169</v>
      </c>
      <c r="N70" s="229">
        <f>IF(($C70-SUM($E70:$F70,$I70:$J70))&lt;0,0,$C70-SUM($E70:$F70,$I70:$J70))</f>
        <v>17.842339719626167</v>
      </c>
    </row>
    <row r="71" spans="1:29" x14ac:dyDescent="0.25">
      <c r="A71" s="27" t="s">
        <v>1</v>
      </c>
      <c r="B71" s="231">
        <f t="shared" ref="B71:D71" si="28">B61</f>
        <v>256</v>
      </c>
      <c r="C71" s="41">
        <f t="shared" si="28"/>
        <v>0</v>
      </c>
      <c r="D71" s="232">
        <f t="shared" si="28"/>
        <v>0</v>
      </c>
      <c r="E71" s="205">
        <f>$B71*Flexibility!$B$9</f>
        <v>1.5871999999999999</v>
      </c>
      <c r="F71" s="206">
        <f>$B71*Flexibility!$B$19</f>
        <v>7.68</v>
      </c>
      <c r="G71" s="206">
        <f>$B71*Flexibility!$D$29</f>
        <v>7.68</v>
      </c>
      <c r="H71" s="206">
        <f>$B71*Flexibility!$D$38</f>
        <v>7.68</v>
      </c>
      <c r="I71" s="206">
        <f>$B71*Flexibility!$B$47</f>
        <v>1.2710280373831775</v>
      </c>
      <c r="J71" s="206">
        <f>$B71*Flexibility!$B$57</f>
        <v>0</v>
      </c>
      <c r="K71" s="207">
        <f t="shared" ref="K71:K73" si="29">$B71-SUM(E71:J71)</f>
        <v>230.10177196261682</v>
      </c>
      <c r="L71" s="208">
        <f t="shared" ref="L71:L74" si="30">($B71-K71)/$B71</f>
        <v>0.10116495327102804</v>
      </c>
      <c r="M71" s="209">
        <f t="shared" ref="M71:M73" si="31">IF(($C71-SUM(E71:J71))&lt;0,0,$C71-SUM(E71:J71))</f>
        <v>0</v>
      </c>
      <c r="N71" s="229">
        <f t="shared" ref="N71:N73" si="32">IF(($C71-SUM($E71:$F71,$I71:$J71))&lt;0,0,$C71-SUM($E71:$F71,$I71:$J71))</f>
        <v>0</v>
      </c>
    </row>
    <row r="72" spans="1:29" x14ac:dyDescent="0.25">
      <c r="A72" s="27" t="s">
        <v>3</v>
      </c>
      <c r="B72" s="231">
        <f t="shared" ref="B72:D72" si="33">B62</f>
        <v>81</v>
      </c>
      <c r="C72" s="41">
        <f t="shared" si="33"/>
        <v>18</v>
      </c>
      <c r="D72" s="232">
        <f t="shared" si="33"/>
        <v>0</v>
      </c>
      <c r="E72" s="205">
        <f>$B72*Flexibility!$B$9</f>
        <v>0.50219999999999998</v>
      </c>
      <c r="F72" s="206">
        <f>$B72*Flexibility!$B$19</f>
        <v>2.4299999999999997</v>
      </c>
      <c r="G72" s="206">
        <f>$B72*Flexibility!$D$29</f>
        <v>2.4299999999999997</v>
      </c>
      <c r="H72" s="206">
        <f>$B72*Flexibility!$D$38</f>
        <v>2.4299999999999997</v>
      </c>
      <c r="I72" s="206">
        <f>$B72*Flexibility!$B$47</f>
        <v>0.40216121495327101</v>
      </c>
      <c r="J72" s="206">
        <f>$B72*Flexibility!$B$57</f>
        <v>0</v>
      </c>
      <c r="K72" s="207">
        <f t="shared" si="29"/>
        <v>72.805638785046725</v>
      </c>
      <c r="L72" s="208">
        <f t="shared" si="30"/>
        <v>0.10116495327102809</v>
      </c>
      <c r="M72" s="209">
        <f t="shared" si="31"/>
        <v>9.8056387850467299</v>
      </c>
      <c r="N72" s="229">
        <f t="shared" si="32"/>
        <v>14.665638785046729</v>
      </c>
    </row>
    <row r="73" spans="1:29" ht="15.75" thickBot="1" x14ac:dyDescent="0.3">
      <c r="A73" s="54" t="s">
        <v>4</v>
      </c>
      <c r="B73" s="233">
        <f t="shared" ref="B73:D73" si="34">B63</f>
        <v>89</v>
      </c>
      <c r="C73" s="234">
        <f t="shared" si="34"/>
        <v>16</v>
      </c>
      <c r="D73" s="235">
        <f t="shared" si="34"/>
        <v>0</v>
      </c>
      <c r="E73" s="213">
        <f>$B73*Flexibility!$B$9</f>
        <v>0.55179999999999996</v>
      </c>
      <c r="F73" s="214">
        <f>$B73*Flexibility!$B$19</f>
        <v>2.67</v>
      </c>
      <c r="G73" s="214">
        <f>$B73*Flexibility!$D$29</f>
        <v>2.67</v>
      </c>
      <c r="H73" s="214">
        <f>$B73*Flexibility!$D$38</f>
        <v>2.67</v>
      </c>
      <c r="I73" s="214">
        <f>$B73*Flexibility!$B$47</f>
        <v>0.44188084112149528</v>
      </c>
      <c r="J73" s="214">
        <f>$B73*Flexibility!$B$57</f>
        <v>0</v>
      </c>
      <c r="K73" s="215">
        <f t="shared" si="29"/>
        <v>79.996319158878507</v>
      </c>
      <c r="L73" s="216">
        <f t="shared" si="30"/>
        <v>0.10116495327102802</v>
      </c>
      <c r="M73" s="217">
        <f t="shared" si="31"/>
        <v>6.9963191588785048</v>
      </c>
      <c r="N73" s="238">
        <f t="shared" si="32"/>
        <v>12.336319158878505</v>
      </c>
    </row>
    <row r="74" spans="1:29" s="16" customFormat="1" ht="16.5" thickTop="1" thickBot="1" x14ac:dyDescent="0.3">
      <c r="A74" s="53" t="s">
        <v>79</v>
      </c>
      <c r="B74" s="239">
        <f>SUM(B70:B73)</f>
        <v>527</v>
      </c>
      <c r="C74" s="227">
        <f t="shared" ref="C74" si="35">SUM(C70:C73)</f>
        <v>56</v>
      </c>
      <c r="D74" s="228">
        <f t="shared" ref="D74" si="36">SUM(D70:D73)</f>
        <v>0</v>
      </c>
      <c r="E74" s="221">
        <f t="shared" ref="E74:K74" si="37">SUM(E70:E73)</f>
        <v>3.2674000000000003</v>
      </c>
      <c r="F74" s="222">
        <f t="shared" si="37"/>
        <v>15.809999999999999</v>
      </c>
      <c r="G74" s="222">
        <f t="shared" si="37"/>
        <v>15.809999999999999</v>
      </c>
      <c r="H74" s="222">
        <f t="shared" si="37"/>
        <v>15.809999999999999</v>
      </c>
      <c r="I74" s="222">
        <f t="shared" si="37"/>
        <v>2.6165303738317758</v>
      </c>
      <c r="J74" s="222">
        <f t="shared" si="37"/>
        <v>0</v>
      </c>
      <c r="K74" s="222">
        <f t="shared" si="37"/>
        <v>473.68606962616821</v>
      </c>
      <c r="L74" s="223">
        <f t="shared" si="30"/>
        <v>0.10116495327102808</v>
      </c>
      <c r="M74" s="224">
        <f t="shared" ref="M74:N74" si="38">SUM(M70:M73)</f>
        <v>28.584297663551403</v>
      </c>
      <c r="N74" s="230">
        <f t="shared" si="38"/>
        <v>44.844297663551401</v>
      </c>
    </row>
    <row r="75" spans="1:29" s="16" customFormat="1" ht="13.9" customHeight="1" x14ac:dyDescent="0.25">
      <c r="B75" s="365" t="s">
        <v>218</v>
      </c>
      <c r="C75" s="365"/>
      <c r="D75" s="365"/>
      <c r="E75" s="365"/>
      <c r="F75" s="365"/>
      <c r="G75" s="365"/>
      <c r="H75" s="365"/>
      <c r="I75" s="365"/>
      <c r="J75" s="365"/>
      <c r="K75" s="365"/>
      <c r="L75" s="365"/>
      <c r="M75" s="71"/>
      <c r="N75" s="71"/>
    </row>
    <row r="76" spans="1:29" s="16" customFormat="1" ht="13.9" customHeight="1" x14ac:dyDescent="0.25">
      <c r="B76" s="64"/>
      <c r="C76" s="64"/>
      <c r="D76" s="64"/>
      <c r="E76" s="64"/>
      <c r="F76" s="64"/>
      <c r="G76" s="64"/>
      <c r="H76" s="64"/>
      <c r="I76" s="64"/>
      <c r="J76" s="64"/>
      <c r="K76" s="64"/>
      <c r="L76" s="64"/>
      <c r="M76" s="71"/>
      <c r="N76" s="71"/>
    </row>
    <row r="77" spans="1:29" s="16" customFormat="1" x14ac:dyDescent="0.25">
      <c r="B77" s="70"/>
      <c r="C77" s="10"/>
      <c r="D77" s="10"/>
      <c r="E77" s="71"/>
      <c r="F77" s="71"/>
      <c r="G77" s="71"/>
      <c r="H77" s="71"/>
      <c r="I77" s="71"/>
      <c r="J77" s="71"/>
      <c r="K77" s="71"/>
      <c r="L77" s="72"/>
      <c r="M77" s="71"/>
      <c r="N77" s="71"/>
    </row>
    <row r="78" spans="1:29" s="16" customFormat="1" x14ac:dyDescent="0.25">
      <c r="B78" s="78" t="s">
        <v>217</v>
      </c>
      <c r="C78" s="10"/>
      <c r="D78" s="10"/>
      <c r="E78" s="10"/>
      <c r="F78" s="71"/>
      <c r="G78" s="71"/>
      <c r="H78" s="71"/>
      <c r="I78" s="71"/>
      <c r="J78" s="71"/>
      <c r="K78" s="71"/>
      <c r="L78" s="71"/>
      <c r="M78" s="72"/>
      <c r="N78" s="71"/>
      <c r="O78" s="71"/>
      <c r="P78" s="71"/>
      <c r="Q78" s="71"/>
      <c r="R78" s="71"/>
      <c r="S78" s="71"/>
      <c r="T78" s="71"/>
      <c r="U78" s="71"/>
      <c r="V78" s="71"/>
      <c r="W78" s="71"/>
      <c r="X78" s="71"/>
      <c r="Y78" s="71"/>
      <c r="Z78" s="71"/>
      <c r="AA78" s="71"/>
      <c r="AB78" s="72"/>
      <c r="AC78" s="71"/>
    </row>
    <row r="79" spans="1:29" s="7" customFormat="1" ht="15" customHeight="1" x14ac:dyDescent="0.25">
      <c r="B79" s="179" t="s">
        <v>541</v>
      </c>
      <c r="C79" s="179"/>
      <c r="D79" s="179"/>
      <c r="E79" s="179"/>
      <c r="F79" s="179"/>
      <c r="G79" s="179"/>
      <c r="H79" s="179"/>
      <c r="I79" s="179"/>
      <c r="J79" s="179"/>
      <c r="K79" s="179"/>
      <c r="L79" s="179"/>
      <c r="M79" s="177"/>
      <c r="N79" s="177"/>
      <c r="O79" s="177"/>
      <c r="P79" s="177"/>
      <c r="Q79" s="177"/>
      <c r="R79" s="177"/>
    </row>
    <row r="80" spans="1:29" s="7" customFormat="1" ht="15" customHeight="1" x14ac:dyDescent="0.25">
      <c r="B80" s="179"/>
      <c r="C80" s="179"/>
      <c r="D80" s="179"/>
      <c r="E80" s="179"/>
      <c r="F80" s="179"/>
      <c r="G80" s="179"/>
      <c r="H80" s="179"/>
      <c r="I80" s="179"/>
      <c r="J80" s="179"/>
      <c r="K80" s="179"/>
      <c r="L80" s="179"/>
      <c r="M80" s="177"/>
      <c r="N80" s="177"/>
      <c r="O80" s="177"/>
      <c r="P80" s="177"/>
      <c r="Q80" s="177"/>
      <c r="R80" s="177"/>
    </row>
    <row r="81" spans="1:29" s="7" customFormat="1" ht="15" customHeight="1" x14ac:dyDescent="0.25">
      <c r="B81" s="179" t="s">
        <v>547</v>
      </c>
      <c r="C81" s="179"/>
      <c r="D81" s="179"/>
      <c r="E81" s="179"/>
      <c r="F81" s="179"/>
      <c r="G81" s="179"/>
      <c r="H81" s="179"/>
      <c r="I81" s="179"/>
      <c r="J81" s="179"/>
      <c r="K81" s="179"/>
      <c r="L81" s="179"/>
      <c r="M81" s="271"/>
      <c r="N81" s="271"/>
      <c r="O81" s="67"/>
      <c r="P81" s="67"/>
      <c r="Q81" s="67"/>
      <c r="R81" s="67"/>
      <c r="S81" s="67"/>
      <c r="T81" s="67"/>
      <c r="U81" s="67"/>
      <c r="V81" s="67"/>
      <c r="W81" s="67"/>
      <c r="X81" s="67"/>
      <c r="Y81" s="67"/>
      <c r="Z81" s="67"/>
      <c r="AA81" s="67"/>
      <c r="AB81" s="67"/>
      <c r="AC81" s="67"/>
    </row>
    <row r="82" spans="1:29" s="7" customFormat="1" ht="15" customHeight="1" x14ac:dyDescent="0.25">
      <c r="B82" s="179"/>
      <c r="C82" s="179"/>
      <c r="D82" s="179"/>
      <c r="E82" s="179"/>
      <c r="F82" s="179"/>
      <c r="G82" s="179"/>
      <c r="H82" s="179"/>
      <c r="I82" s="179"/>
      <c r="J82" s="179"/>
      <c r="K82" s="179"/>
      <c r="L82" s="179"/>
      <c r="M82" s="271"/>
      <c r="N82" s="271"/>
      <c r="O82" s="67"/>
      <c r="P82" s="67"/>
      <c r="Q82" s="67"/>
      <c r="R82" s="67"/>
      <c r="S82" s="67"/>
      <c r="T82" s="67"/>
      <c r="U82" s="67"/>
      <c r="V82" s="67"/>
      <c r="W82" s="67"/>
      <c r="X82" s="67"/>
      <c r="Y82" s="67"/>
      <c r="Z82" s="67"/>
      <c r="AA82" s="67"/>
      <c r="AB82" s="67"/>
      <c r="AC82" s="67"/>
    </row>
    <row r="83" spans="1:29" s="7" customFormat="1" ht="15" customHeight="1" x14ac:dyDescent="0.25">
      <c r="B83" s="181" t="s">
        <v>546</v>
      </c>
      <c r="C83" s="180"/>
      <c r="D83" s="180"/>
      <c r="E83" s="180"/>
      <c r="F83" s="180"/>
      <c r="G83" s="180"/>
      <c r="H83" s="180"/>
      <c r="I83" s="180"/>
      <c r="J83" s="180"/>
      <c r="K83" s="180"/>
      <c r="L83" s="180"/>
      <c r="M83" s="180"/>
      <c r="N83" s="180"/>
      <c r="O83" s="67"/>
      <c r="P83" s="67"/>
      <c r="Q83" s="67"/>
      <c r="R83" s="67"/>
      <c r="S83" s="67"/>
      <c r="T83" s="67"/>
      <c r="U83" s="67"/>
      <c r="V83" s="67"/>
      <c r="W83" s="67"/>
      <c r="X83" s="67"/>
      <c r="Y83" s="67"/>
      <c r="Z83" s="67"/>
      <c r="AA83" s="67"/>
      <c r="AB83" s="67"/>
      <c r="AC83" s="67"/>
    </row>
    <row r="84" spans="1:29" x14ac:dyDescent="0.25">
      <c r="B84" s="14"/>
    </row>
    <row r="85" spans="1:29" x14ac:dyDescent="0.25">
      <c r="B85" s="57" t="s">
        <v>192</v>
      </c>
    </row>
    <row r="86" spans="1:29" x14ac:dyDescent="0.25">
      <c r="B86" s="14" t="s">
        <v>534</v>
      </c>
    </row>
    <row r="87" spans="1:29" x14ac:dyDescent="0.25">
      <c r="B87" s="14" t="s">
        <v>535</v>
      </c>
    </row>
    <row r="88" spans="1:29" x14ac:dyDescent="0.25">
      <c r="B88" s="14" t="s">
        <v>536</v>
      </c>
    </row>
    <row r="89" spans="1:29" x14ac:dyDescent="0.25">
      <c r="B89" s="14" t="s">
        <v>537</v>
      </c>
    </row>
    <row r="90" spans="1:29" x14ac:dyDescent="0.25">
      <c r="B90" s="14" t="s">
        <v>553</v>
      </c>
    </row>
    <row r="91" spans="1:29" x14ac:dyDescent="0.25">
      <c r="B91" s="14" t="s">
        <v>554</v>
      </c>
    </row>
    <row r="92" spans="1:29" x14ac:dyDescent="0.25">
      <c r="B92" s="14" t="s">
        <v>538</v>
      </c>
    </row>
    <row r="93" spans="1:29" x14ac:dyDescent="0.25">
      <c r="B93" s="14" t="s">
        <v>539</v>
      </c>
    </row>
    <row r="94" spans="1:29" x14ac:dyDescent="0.25">
      <c r="B94" s="14" t="s">
        <v>542</v>
      </c>
    </row>
    <row r="95" spans="1:29" ht="15.75" thickBot="1" x14ac:dyDescent="0.3">
      <c r="A95" s="14"/>
    </row>
    <row r="96" spans="1:29" ht="15.75" thickBot="1" x14ac:dyDescent="0.3">
      <c r="A96" s="3" t="s">
        <v>188</v>
      </c>
      <c r="K96" s="369" t="s">
        <v>244</v>
      </c>
      <c r="L96" s="370"/>
      <c r="M96" s="370"/>
      <c r="N96" s="371"/>
    </row>
    <row r="97" spans="1:26" ht="60" x14ac:dyDescent="0.25">
      <c r="K97" s="85" t="s">
        <v>242</v>
      </c>
      <c r="L97" s="86" t="s">
        <v>242</v>
      </c>
      <c r="M97" s="86" t="s">
        <v>241</v>
      </c>
      <c r="N97" s="93" t="s">
        <v>240</v>
      </c>
    </row>
    <row r="98" spans="1:26" s="5" customFormat="1" ht="210" x14ac:dyDescent="0.25">
      <c r="A98" s="372" t="s">
        <v>610</v>
      </c>
      <c r="B98" s="308" t="s">
        <v>221</v>
      </c>
      <c r="C98" s="308" t="s">
        <v>205</v>
      </c>
      <c r="D98" s="304" t="s">
        <v>206</v>
      </c>
      <c r="E98" s="302" t="s">
        <v>219</v>
      </c>
      <c r="F98" s="302" t="s">
        <v>220</v>
      </c>
      <c r="G98" s="302" t="s">
        <v>208</v>
      </c>
      <c r="H98" s="302" t="s">
        <v>209</v>
      </c>
      <c r="I98" s="49" t="s">
        <v>210</v>
      </c>
      <c r="J98" s="95" t="s">
        <v>211</v>
      </c>
      <c r="K98" s="100" t="s">
        <v>577</v>
      </c>
      <c r="L98" s="49" t="s">
        <v>578</v>
      </c>
      <c r="M98" s="302" t="s">
        <v>249</v>
      </c>
      <c r="N98" s="94" t="s">
        <v>251</v>
      </c>
      <c r="O98" s="1"/>
      <c r="P98" s="1"/>
      <c r="Q98" s="1"/>
      <c r="R98" s="1"/>
      <c r="S98" s="1"/>
      <c r="T98" s="1"/>
      <c r="U98" s="1"/>
      <c r="V98" s="1"/>
      <c r="W98" s="1"/>
      <c r="X98" s="1"/>
      <c r="Y98" s="1"/>
      <c r="Z98" s="1"/>
    </row>
    <row r="99" spans="1:26" s="5" customFormat="1" ht="15.75" customHeight="1" x14ac:dyDescent="0.25">
      <c r="A99" s="373"/>
      <c r="B99" s="306" t="s">
        <v>191</v>
      </c>
      <c r="C99" s="381" t="s">
        <v>314</v>
      </c>
      <c r="D99" s="382"/>
      <c r="E99" s="382"/>
      <c r="F99" s="382"/>
      <c r="G99" s="382"/>
      <c r="H99" s="382"/>
      <c r="I99" s="382"/>
      <c r="J99" s="382"/>
      <c r="K99" s="382"/>
      <c r="L99" s="382"/>
      <c r="M99" s="382"/>
      <c r="N99" s="383"/>
      <c r="O99" s="1"/>
      <c r="P99" s="1"/>
      <c r="Q99" s="1"/>
      <c r="R99" s="1"/>
      <c r="S99" s="1"/>
      <c r="T99" s="1"/>
      <c r="U99" s="1"/>
      <c r="V99" s="1"/>
      <c r="W99" s="1"/>
      <c r="X99" s="1"/>
      <c r="Y99" s="1"/>
      <c r="Z99" s="1"/>
    </row>
    <row r="100" spans="1:26" x14ac:dyDescent="0.25">
      <c r="A100" s="27" t="s">
        <v>0</v>
      </c>
      <c r="B100" s="60">
        <v>94</v>
      </c>
      <c r="C100" s="205">
        <f>$B100*Flexibility!$F$10</f>
        <v>0.58279999999999998</v>
      </c>
      <c r="D100" s="206">
        <f>$B100*Flexibility!$F$20</f>
        <v>2.82</v>
      </c>
      <c r="E100" s="206">
        <f>$B100*Flexibility!$F$30</f>
        <v>4.7</v>
      </c>
      <c r="F100" s="206">
        <f>$B100*Flexibility!$F$39</f>
        <v>4.7</v>
      </c>
      <c r="G100" s="206">
        <f>$B100*Flexibility!$F$48</f>
        <v>0.46670560747663548</v>
      </c>
      <c r="H100" s="206">
        <f>$B100*Flexibility!$F$58</f>
        <v>0</v>
      </c>
      <c r="I100" s="207">
        <f t="shared" ref="I100:I106" si="39">$B100-SUM(C100:H100)</f>
        <v>80.730494392523369</v>
      </c>
      <c r="J100" s="244">
        <f>($B100-I100)/$B100</f>
        <v>0.14116495327102799</v>
      </c>
      <c r="K100" s="251">
        <f>B100-SUM(C100:D100,G100:H100)</f>
        <v>90.13049439252336</v>
      </c>
      <c r="L100" s="96">
        <v>0</v>
      </c>
      <c r="M100" s="210">
        <f>I100</f>
        <v>80.730494392523369</v>
      </c>
      <c r="N100" s="229">
        <f>$B100-SUM($C100,D100,G100,$H100)</f>
        <v>90.13049439252336</v>
      </c>
    </row>
    <row r="101" spans="1:26" x14ac:dyDescent="0.25">
      <c r="A101" s="27" t="s">
        <v>1</v>
      </c>
      <c r="B101" s="60">
        <v>211</v>
      </c>
      <c r="C101" s="205">
        <f>$B101*Flexibility!$F$10</f>
        <v>1.3082</v>
      </c>
      <c r="D101" s="206">
        <f>$B101*Flexibility!$F$20</f>
        <v>6.33</v>
      </c>
      <c r="E101" s="206">
        <f>$B101*Flexibility!$F$30</f>
        <v>10.55</v>
      </c>
      <c r="F101" s="206">
        <f>$B101*Flexibility!$F$39</f>
        <v>10.55</v>
      </c>
      <c r="G101" s="206">
        <f>$B101*Flexibility!$F$48</f>
        <v>1.0476051401869158</v>
      </c>
      <c r="H101" s="206">
        <f>$B101*Flexibility!$F$58</f>
        <v>0</v>
      </c>
      <c r="I101" s="207">
        <f t="shared" si="39"/>
        <v>181.21419485981309</v>
      </c>
      <c r="J101" s="245">
        <f t="shared" ref="J101:J107" si="40">($B101-I101)/$B101</f>
        <v>0.14116495327102802</v>
      </c>
      <c r="K101" s="251">
        <f>47+60-(SUM($C101:$D101,$G101:$H101))/2</f>
        <v>102.65709742990654</v>
      </c>
      <c r="L101" s="210">
        <f>104-(SUM($C101:$D101,$G101:$H101))/2</f>
        <v>99.657097429906543</v>
      </c>
      <c r="M101" s="210">
        <f t="shared" ref="M101:M106" si="41">I101</f>
        <v>181.21419485981309</v>
      </c>
      <c r="N101" s="229">
        <f t="shared" ref="N101:N106" si="42">B101-SUM(C101,D101,G101,H101)</f>
        <v>202.31419485981309</v>
      </c>
    </row>
    <row r="102" spans="1:26" x14ac:dyDescent="0.25">
      <c r="A102" s="27" t="s">
        <v>3</v>
      </c>
      <c r="B102" s="60">
        <v>26</v>
      </c>
      <c r="C102" s="205">
        <f>$B102*Flexibility!$F$10</f>
        <v>0.16119999999999998</v>
      </c>
      <c r="D102" s="206">
        <f>$B102*Flexibility!$F$20</f>
        <v>0.78</v>
      </c>
      <c r="E102" s="206">
        <f>$B102*Flexibility!$F$30</f>
        <v>1.3</v>
      </c>
      <c r="F102" s="206">
        <f>$B102*Flexibility!$F$39</f>
        <v>1.3</v>
      </c>
      <c r="G102" s="206">
        <f>$B102*Flexibility!$F$48</f>
        <v>0.12908878504672897</v>
      </c>
      <c r="H102" s="206">
        <f>$B102*Flexibility!$F$58</f>
        <v>0</v>
      </c>
      <c r="I102" s="207">
        <f t="shared" si="39"/>
        <v>22.329711214953271</v>
      </c>
      <c r="J102" s="245">
        <f t="shared" si="40"/>
        <v>0.14116495327102804</v>
      </c>
      <c r="K102" s="251">
        <f t="shared" ref="K102:K106" si="43">B102-SUM(C102:D102,G102:H102)</f>
        <v>24.929711214953272</v>
      </c>
      <c r="L102" s="96">
        <v>0</v>
      </c>
      <c r="M102" s="210">
        <f t="shared" si="41"/>
        <v>22.329711214953271</v>
      </c>
      <c r="N102" s="229">
        <f t="shared" si="42"/>
        <v>24.929711214953272</v>
      </c>
    </row>
    <row r="103" spans="1:26" x14ac:dyDescent="0.25">
      <c r="A103" s="27" t="s">
        <v>4</v>
      </c>
      <c r="B103" s="60">
        <v>253</v>
      </c>
      <c r="C103" s="205">
        <f>$B103*Flexibility!$F$10</f>
        <v>1.5686</v>
      </c>
      <c r="D103" s="206">
        <f>$B103*Flexibility!$F$20</f>
        <v>7.59</v>
      </c>
      <c r="E103" s="206">
        <f>$B103*Flexibility!$F$30</f>
        <v>12.65</v>
      </c>
      <c r="F103" s="206">
        <f>$B103*Flexibility!$F$39</f>
        <v>12.65</v>
      </c>
      <c r="G103" s="206">
        <f>$B103*Flexibility!$F$48</f>
        <v>1.2561331775700935</v>
      </c>
      <c r="H103" s="206">
        <f>$B103*Flexibility!$F$58</f>
        <v>0</v>
      </c>
      <c r="I103" s="207">
        <f t="shared" si="39"/>
        <v>217.28526682242992</v>
      </c>
      <c r="J103" s="245">
        <f t="shared" si="40"/>
        <v>0.14116495327102799</v>
      </c>
      <c r="K103" s="251">
        <f>26+19+156-(SUM($C103:$D103,$G103:$H103))/2</f>
        <v>195.79263341121495</v>
      </c>
      <c r="L103" s="210">
        <f>23+29-(SUM($C103:$D103,$G103:$H103))/2</f>
        <v>46.79263341121495</v>
      </c>
      <c r="M103" s="210">
        <f t="shared" si="41"/>
        <v>217.28526682242992</v>
      </c>
      <c r="N103" s="229">
        <f t="shared" si="42"/>
        <v>242.5852668224299</v>
      </c>
    </row>
    <row r="104" spans="1:26" x14ac:dyDescent="0.25">
      <c r="A104" s="27" t="s">
        <v>5</v>
      </c>
      <c r="B104" s="60">
        <v>240</v>
      </c>
      <c r="C104" s="246">
        <f>$B104*Flexibility!$F$10</f>
        <v>1.488</v>
      </c>
      <c r="D104" s="247">
        <f>$B104*Flexibility!$F$20</f>
        <v>7.1999999999999993</v>
      </c>
      <c r="E104" s="247">
        <f>$B104*Flexibility!$F$30</f>
        <v>12</v>
      </c>
      <c r="F104" s="247">
        <f>$B104*Flexibility!$F$39</f>
        <v>12</v>
      </c>
      <c r="G104" s="247">
        <f>$B104*Flexibility!$F$48</f>
        <v>1.1915887850467288</v>
      </c>
      <c r="H104" s="247">
        <f>$B104*Flexibility!$F$58</f>
        <v>0</v>
      </c>
      <c r="I104" s="248">
        <f t="shared" si="39"/>
        <v>206.12041121495326</v>
      </c>
      <c r="J104" s="249">
        <f t="shared" si="40"/>
        <v>0.14116495327102807</v>
      </c>
      <c r="K104" s="97">
        <v>0</v>
      </c>
      <c r="L104" s="210">
        <f>B104-SUM(C104:D104,G104:H104)</f>
        <v>230.12041121495326</v>
      </c>
      <c r="M104" s="210">
        <f t="shared" si="41"/>
        <v>206.12041121495326</v>
      </c>
      <c r="N104" s="229">
        <f t="shared" si="42"/>
        <v>230.12041121495326</v>
      </c>
    </row>
    <row r="105" spans="1:26" x14ac:dyDescent="0.25">
      <c r="A105" s="50" t="s">
        <v>779</v>
      </c>
      <c r="B105" s="60">
        <v>71</v>
      </c>
      <c r="C105" s="205">
        <f>$B105*Flexibility!$F$10</f>
        <v>0.44019999999999998</v>
      </c>
      <c r="D105" s="206">
        <f>$B105*Flexibility!$F$20</f>
        <v>2.13</v>
      </c>
      <c r="E105" s="206">
        <f>$B105*Flexibility!$F$30</f>
        <v>3.5500000000000003</v>
      </c>
      <c r="F105" s="206">
        <f>$B105*Flexibility!$F$39</f>
        <v>3.5500000000000003</v>
      </c>
      <c r="G105" s="206">
        <f>$B105*Flexibility!$F$48</f>
        <v>0.35251168224299062</v>
      </c>
      <c r="H105" s="206">
        <f>$B105*Flexibility!$F$58</f>
        <v>0</v>
      </c>
      <c r="I105" s="207">
        <f t="shared" si="39"/>
        <v>60.977288317757008</v>
      </c>
      <c r="J105" s="245">
        <f t="shared" si="40"/>
        <v>0.14116495327102804</v>
      </c>
      <c r="K105" s="251">
        <f t="shared" si="43"/>
        <v>68.077288317757009</v>
      </c>
      <c r="L105" s="96">
        <v>0</v>
      </c>
      <c r="M105" s="210">
        <f t="shared" si="41"/>
        <v>60.977288317757008</v>
      </c>
      <c r="N105" s="229">
        <f t="shared" si="42"/>
        <v>68.077288317757009</v>
      </c>
    </row>
    <row r="106" spans="1:26" ht="15.75" thickBot="1" x14ac:dyDescent="0.3">
      <c r="A106" s="50" t="s">
        <v>810</v>
      </c>
      <c r="B106" s="61">
        <v>122</v>
      </c>
      <c r="C106" s="213">
        <f>$B106*Flexibility!$F$10</f>
        <v>0.75639999999999996</v>
      </c>
      <c r="D106" s="214">
        <f>$B106*Flexibility!$F$20</f>
        <v>3.6599999999999997</v>
      </c>
      <c r="E106" s="214">
        <f>$B106*Flexibility!$F$30</f>
        <v>6.1000000000000005</v>
      </c>
      <c r="F106" s="214">
        <f>$B106*Flexibility!$F$39</f>
        <v>6.1000000000000005</v>
      </c>
      <c r="G106" s="214">
        <f>$B106*Flexibility!$F$48</f>
        <v>0.60572429906542047</v>
      </c>
      <c r="H106" s="214">
        <f>$B106*Flexibility!$F$58</f>
        <v>0</v>
      </c>
      <c r="I106" s="215">
        <f t="shared" si="39"/>
        <v>104.77787570093457</v>
      </c>
      <c r="J106" s="250">
        <f t="shared" si="40"/>
        <v>0.1411649532710281</v>
      </c>
      <c r="K106" s="252">
        <f t="shared" si="43"/>
        <v>116.97787570093458</v>
      </c>
      <c r="L106" s="98">
        <v>0</v>
      </c>
      <c r="M106" s="218">
        <f t="shared" si="41"/>
        <v>104.77787570093457</v>
      </c>
      <c r="N106" s="238">
        <f t="shared" si="42"/>
        <v>116.97787570093458</v>
      </c>
    </row>
    <row r="107" spans="1:26" s="16" customFormat="1" ht="16.5" thickTop="1" thickBot="1" x14ac:dyDescent="0.3">
      <c r="A107" s="58" t="s">
        <v>79</v>
      </c>
      <c r="B107" s="239">
        <f>SUM(B100:B106)</f>
        <v>1017</v>
      </c>
      <c r="C107" s="221">
        <f>SUM(C100:C106)</f>
        <v>6.3054000000000006</v>
      </c>
      <c r="D107" s="222">
        <f t="shared" ref="D107:L107" si="44">SUM(D100:D106)</f>
        <v>30.509999999999998</v>
      </c>
      <c r="E107" s="222">
        <f t="shared" si="44"/>
        <v>50.85</v>
      </c>
      <c r="F107" s="222">
        <f t="shared" si="44"/>
        <v>50.85</v>
      </c>
      <c r="G107" s="222">
        <f t="shared" si="44"/>
        <v>5.0493574766355147</v>
      </c>
      <c r="H107" s="222">
        <f t="shared" si="44"/>
        <v>0</v>
      </c>
      <c r="I107" s="222">
        <f t="shared" si="44"/>
        <v>873.43524252336454</v>
      </c>
      <c r="J107" s="240">
        <f t="shared" si="40"/>
        <v>0.14116495327102799</v>
      </c>
      <c r="K107" s="241">
        <f t="shared" si="44"/>
        <v>598.56510046728965</v>
      </c>
      <c r="L107" s="242">
        <f t="shared" si="44"/>
        <v>376.57014205607476</v>
      </c>
      <c r="M107" s="242">
        <f>SUM(M100:M106)</f>
        <v>873.43524252336454</v>
      </c>
      <c r="N107" s="243">
        <f>SUM(N100:N106)</f>
        <v>975.13524252336447</v>
      </c>
    </row>
    <row r="108" spans="1:26" s="10" customFormat="1" ht="15.75" thickBot="1" x14ac:dyDescent="0.3">
      <c r="A108" s="70"/>
      <c r="C108" s="71"/>
      <c r="D108" s="71"/>
      <c r="E108" s="71"/>
      <c r="F108" s="71"/>
      <c r="G108" s="71"/>
      <c r="H108" s="71"/>
      <c r="I108" s="71"/>
      <c r="J108" s="72"/>
      <c r="K108" s="99"/>
      <c r="L108" s="99"/>
      <c r="M108" s="99"/>
      <c r="N108" s="99"/>
    </row>
    <row r="109" spans="1:26" ht="15.75" thickBot="1" x14ac:dyDescent="0.3">
      <c r="A109" s="3" t="s">
        <v>188</v>
      </c>
      <c r="K109" s="369" t="s">
        <v>244</v>
      </c>
      <c r="L109" s="370"/>
      <c r="M109" s="370"/>
      <c r="N109" s="371"/>
    </row>
    <row r="110" spans="1:26" ht="60" x14ac:dyDescent="0.25">
      <c r="K110" s="85" t="s">
        <v>242</v>
      </c>
      <c r="L110" s="86" t="s">
        <v>242</v>
      </c>
      <c r="M110" s="86" t="s">
        <v>241</v>
      </c>
      <c r="N110" s="93" t="s">
        <v>240</v>
      </c>
    </row>
    <row r="111" spans="1:26" s="5" customFormat="1" ht="210" x14ac:dyDescent="0.25">
      <c r="A111" s="372" t="s">
        <v>610</v>
      </c>
      <c r="B111" s="308" t="s">
        <v>221</v>
      </c>
      <c r="C111" s="308" t="s">
        <v>205</v>
      </c>
      <c r="D111" s="304" t="s">
        <v>206</v>
      </c>
      <c r="E111" s="302" t="s">
        <v>219</v>
      </c>
      <c r="F111" s="302" t="s">
        <v>220</v>
      </c>
      <c r="G111" s="302" t="s">
        <v>208</v>
      </c>
      <c r="H111" s="302" t="s">
        <v>209</v>
      </c>
      <c r="I111" s="49" t="s">
        <v>210</v>
      </c>
      <c r="J111" s="95" t="s">
        <v>211</v>
      </c>
      <c r="K111" s="100" t="s">
        <v>577</v>
      </c>
      <c r="L111" s="49" t="s">
        <v>578</v>
      </c>
      <c r="M111" s="302" t="s">
        <v>249</v>
      </c>
      <c r="N111" s="94" t="s">
        <v>251</v>
      </c>
      <c r="O111" s="1"/>
      <c r="P111" s="1"/>
      <c r="Q111" s="1"/>
      <c r="R111" s="1"/>
      <c r="S111" s="1"/>
      <c r="T111" s="1"/>
      <c r="U111" s="1"/>
      <c r="V111" s="1"/>
      <c r="W111" s="1"/>
      <c r="X111" s="1"/>
      <c r="Y111" s="1"/>
      <c r="Z111" s="1"/>
    </row>
    <row r="112" spans="1:26" s="5" customFormat="1" ht="15.75" customHeight="1" x14ac:dyDescent="0.25">
      <c r="A112" s="373"/>
      <c r="B112" s="306" t="s">
        <v>191</v>
      </c>
      <c r="C112" s="381" t="s">
        <v>315</v>
      </c>
      <c r="D112" s="382"/>
      <c r="E112" s="382"/>
      <c r="F112" s="382"/>
      <c r="G112" s="382"/>
      <c r="H112" s="382"/>
      <c r="I112" s="382"/>
      <c r="J112" s="382"/>
      <c r="K112" s="382"/>
      <c r="L112" s="382"/>
      <c r="M112" s="382"/>
      <c r="N112" s="383"/>
      <c r="O112" s="1"/>
      <c r="P112" s="1"/>
      <c r="Q112" s="1"/>
      <c r="R112" s="1"/>
      <c r="S112" s="1"/>
      <c r="T112" s="1"/>
      <c r="U112" s="1"/>
      <c r="V112" s="1"/>
      <c r="W112" s="1"/>
      <c r="X112" s="1"/>
      <c r="Y112" s="1"/>
      <c r="Z112" s="1"/>
    </row>
    <row r="113" spans="1:29" x14ac:dyDescent="0.25">
      <c r="A113" s="27" t="s">
        <v>0</v>
      </c>
      <c r="B113" s="253">
        <f>B100</f>
        <v>94</v>
      </c>
      <c r="C113" s="205">
        <f>$B113*Flexibility!$F$10</f>
        <v>0.58279999999999998</v>
      </c>
      <c r="D113" s="206">
        <f>$B113*Flexibility!$F$20</f>
        <v>2.82</v>
      </c>
      <c r="E113" s="206">
        <f>$B113*Flexibility!$H$30</f>
        <v>2.82</v>
      </c>
      <c r="F113" s="206">
        <f>$B113*Flexibility!$H$39</f>
        <v>2.82</v>
      </c>
      <c r="G113" s="206">
        <f>$B113*Flexibility!$F$48</f>
        <v>0.46670560747663548</v>
      </c>
      <c r="H113" s="206">
        <f>$B113*Flexibility!$F$58</f>
        <v>0</v>
      </c>
      <c r="I113" s="207">
        <f t="shared" ref="I113:I119" si="45">$B113-SUM(C113:H113)</f>
        <v>84.49049439252336</v>
      </c>
      <c r="J113" s="244">
        <f>($B113-I113)/$B113</f>
        <v>0.10116495327102809</v>
      </c>
      <c r="K113" s="251">
        <f>B113-SUM(C113:D113,G113:H113)</f>
        <v>90.13049439252336</v>
      </c>
      <c r="L113" s="96">
        <v>0</v>
      </c>
      <c r="M113" s="210">
        <f>I113</f>
        <v>84.49049439252336</v>
      </c>
      <c r="N113" s="229">
        <f>$B113-SUM($C113,D113,G113,$H113)</f>
        <v>90.13049439252336</v>
      </c>
    </row>
    <row r="114" spans="1:29" x14ac:dyDescent="0.25">
      <c r="A114" s="27" t="s">
        <v>1</v>
      </c>
      <c r="B114" s="253">
        <f t="shared" ref="B114:B119" si="46">B101</f>
        <v>211</v>
      </c>
      <c r="C114" s="205">
        <f>$B114*Flexibility!$F$10</f>
        <v>1.3082</v>
      </c>
      <c r="D114" s="206">
        <f>$B114*Flexibility!$F$20</f>
        <v>6.33</v>
      </c>
      <c r="E114" s="206">
        <f>$B114*Flexibility!$H$30</f>
        <v>6.33</v>
      </c>
      <c r="F114" s="206">
        <f>$B114*Flexibility!$H$39</f>
        <v>6.33</v>
      </c>
      <c r="G114" s="206">
        <f>$B114*Flexibility!$F$48</f>
        <v>1.0476051401869158</v>
      </c>
      <c r="H114" s="206">
        <f>$B114*Flexibility!$F$58</f>
        <v>0</v>
      </c>
      <c r="I114" s="207">
        <f t="shared" si="45"/>
        <v>189.65419485981309</v>
      </c>
      <c r="J114" s="245">
        <f t="shared" ref="J114:J120" si="47">($B114-I114)/$B114</f>
        <v>0.10116495327102802</v>
      </c>
      <c r="K114" s="251">
        <f>47+60-(SUM($C114:$D114,$G114:$H114))/2</f>
        <v>102.65709742990654</v>
      </c>
      <c r="L114" s="210">
        <f>104-(SUM($C114:$D114,$G114:$H114))/2</f>
        <v>99.657097429906543</v>
      </c>
      <c r="M114" s="210">
        <f t="shared" ref="M114:M119" si="48">I114</f>
        <v>189.65419485981309</v>
      </c>
      <c r="N114" s="229">
        <f t="shared" ref="N114:N119" si="49">B114-SUM(C114,D114,G114,H114)</f>
        <v>202.31419485981309</v>
      </c>
    </row>
    <row r="115" spans="1:29" x14ac:dyDescent="0.25">
      <c r="A115" s="27" t="s">
        <v>3</v>
      </c>
      <c r="B115" s="253">
        <f t="shared" si="46"/>
        <v>26</v>
      </c>
      <c r="C115" s="205">
        <f>$B115*Flexibility!$F$10</f>
        <v>0.16119999999999998</v>
      </c>
      <c r="D115" s="206">
        <f>$B115*Flexibility!$F$20</f>
        <v>0.78</v>
      </c>
      <c r="E115" s="206">
        <f>$B115*Flexibility!$H$30</f>
        <v>0.78</v>
      </c>
      <c r="F115" s="206">
        <f>$B115*Flexibility!$H$39</f>
        <v>0.78</v>
      </c>
      <c r="G115" s="206">
        <f>$B115*Flexibility!$F$48</f>
        <v>0.12908878504672897</v>
      </c>
      <c r="H115" s="206">
        <f>$B115*Flexibility!$F$58</f>
        <v>0</v>
      </c>
      <c r="I115" s="207">
        <f t="shared" si="45"/>
        <v>23.36971121495327</v>
      </c>
      <c r="J115" s="245">
        <f t="shared" si="47"/>
        <v>0.10116495327102808</v>
      </c>
      <c r="K115" s="251">
        <f t="shared" ref="K115" si="50">B115-SUM(C115:D115,G115:H115)</f>
        <v>24.929711214953272</v>
      </c>
      <c r="L115" s="96">
        <v>0</v>
      </c>
      <c r="M115" s="210">
        <f t="shared" si="48"/>
        <v>23.36971121495327</v>
      </c>
      <c r="N115" s="229">
        <f t="shared" si="49"/>
        <v>24.929711214953272</v>
      </c>
    </row>
    <row r="116" spans="1:29" x14ac:dyDescent="0.25">
      <c r="A116" s="27" t="s">
        <v>4</v>
      </c>
      <c r="B116" s="253">
        <f t="shared" si="46"/>
        <v>253</v>
      </c>
      <c r="C116" s="205">
        <f>$B116*Flexibility!$F$10</f>
        <v>1.5686</v>
      </c>
      <c r="D116" s="206">
        <f>$B116*Flexibility!$F$20</f>
        <v>7.59</v>
      </c>
      <c r="E116" s="206">
        <f>$B116*Flexibility!$H$30</f>
        <v>7.59</v>
      </c>
      <c r="F116" s="206">
        <f>$B116*Flexibility!$H$39</f>
        <v>7.59</v>
      </c>
      <c r="G116" s="206">
        <f>$B116*Flexibility!$F$48</f>
        <v>1.2561331775700935</v>
      </c>
      <c r="H116" s="206">
        <f>$B116*Flexibility!$F$58</f>
        <v>0</v>
      </c>
      <c r="I116" s="207">
        <f t="shared" si="45"/>
        <v>227.40526682242989</v>
      </c>
      <c r="J116" s="245">
        <f t="shared" si="47"/>
        <v>0.10116495327102809</v>
      </c>
      <c r="K116" s="251">
        <f>26+19+156-(SUM($C116:$D116,$G116:$H116))/2</f>
        <v>195.79263341121495</v>
      </c>
      <c r="L116" s="210">
        <f>23+29-(SUM($C116:$D116,$G116:$H116))/2</f>
        <v>46.79263341121495</v>
      </c>
      <c r="M116" s="210">
        <f t="shared" si="48"/>
        <v>227.40526682242989</v>
      </c>
      <c r="N116" s="229">
        <f t="shared" si="49"/>
        <v>242.5852668224299</v>
      </c>
    </row>
    <row r="117" spans="1:29" x14ac:dyDescent="0.25">
      <c r="A117" s="27" t="s">
        <v>5</v>
      </c>
      <c r="B117" s="253">
        <f t="shared" si="46"/>
        <v>240</v>
      </c>
      <c r="C117" s="246">
        <f>$B117*Flexibility!$F$10</f>
        <v>1.488</v>
      </c>
      <c r="D117" s="247">
        <f>$B117*Flexibility!$F$20</f>
        <v>7.1999999999999993</v>
      </c>
      <c r="E117" s="247">
        <f>$B117*Flexibility!$H$30</f>
        <v>7.1999999999999993</v>
      </c>
      <c r="F117" s="247">
        <f>$B117*Flexibility!$H$39</f>
        <v>7.1999999999999993</v>
      </c>
      <c r="G117" s="247">
        <f>$B117*Flexibility!$F$48</f>
        <v>1.1915887850467288</v>
      </c>
      <c r="H117" s="247">
        <f>$B117*Flexibility!$F$58</f>
        <v>0</v>
      </c>
      <c r="I117" s="248">
        <f t="shared" si="45"/>
        <v>215.72041121495329</v>
      </c>
      <c r="J117" s="249">
        <f t="shared" si="47"/>
        <v>0.10116495327102797</v>
      </c>
      <c r="K117" s="97">
        <v>0</v>
      </c>
      <c r="L117" s="210">
        <f>B117-SUM(C117:D117,G117:H117)</f>
        <v>230.12041121495326</v>
      </c>
      <c r="M117" s="210">
        <f t="shared" si="48"/>
        <v>215.72041121495329</v>
      </c>
      <c r="N117" s="229">
        <f t="shared" si="49"/>
        <v>230.12041121495326</v>
      </c>
    </row>
    <row r="118" spans="1:29" x14ac:dyDescent="0.25">
      <c r="A118" s="50" t="s">
        <v>779</v>
      </c>
      <c r="B118" s="253">
        <f t="shared" si="46"/>
        <v>71</v>
      </c>
      <c r="C118" s="205">
        <f>$B118*Flexibility!$F$10</f>
        <v>0.44019999999999998</v>
      </c>
      <c r="D118" s="206">
        <f>$B118*Flexibility!$F$20</f>
        <v>2.13</v>
      </c>
      <c r="E118" s="206">
        <f>$B118*Flexibility!$H$30</f>
        <v>2.13</v>
      </c>
      <c r="F118" s="206">
        <f>$B118*Flexibility!$H$39</f>
        <v>2.13</v>
      </c>
      <c r="G118" s="206">
        <f>$B118*Flexibility!$F$48</f>
        <v>0.35251168224299062</v>
      </c>
      <c r="H118" s="206">
        <f>$B118*Flexibility!$F$58</f>
        <v>0</v>
      </c>
      <c r="I118" s="207">
        <f t="shared" si="45"/>
        <v>63.817288317757011</v>
      </c>
      <c r="J118" s="245">
        <f t="shared" si="47"/>
        <v>0.10116495327102801</v>
      </c>
      <c r="K118" s="251">
        <f t="shared" ref="K118:K119" si="51">B118-SUM(C118:D118,G118:H118)</f>
        <v>68.077288317757009</v>
      </c>
      <c r="L118" s="96">
        <v>0</v>
      </c>
      <c r="M118" s="210">
        <f t="shared" si="48"/>
        <v>63.817288317757011</v>
      </c>
      <c r="N118" s="229">
        <f t="shared" si="49"/>
        <v>68.077288317757009</v>
      </c>
    </row>
    <row r="119" spans="1:29" ht="15.75" thickBot="1" x14ac:dyDescent="0.3">
      <c r="A119" s="50" t="s">
        <v>810</v>
      </c>
      <c r="B119" s="254">
        <f t="shared" si="46"/>
        <v>122</v>
      </c>
      <c r="C119" s="213">
        <f>$B119*Flexibility!$F$10</f>
        <v>0.75639999999999996</v>
      </c>
      <c r="D119" s="214">
        <f>$B119*Flexibility!$F$20</f>
        <v>3.6599999999999997</v>
      </c>
      <c r="E119" s="214">
        <f>$B119*Flexibility!$H$30</f>
        <v>3.6599999999999997</v>
      </c>
      <c r="F119" s="214">
        <f>$B119*Flexibility!$H$39</f>
        <v>3.6599999999999997</v>
      </c>
      <c r="G119" s="214">
        <f>$B119*Flexibility!$F$48</f>
        <v>0.60572429906542047</v>
      </c>
      <c r="H119" s="214">
        <f>$B119*Flexibility!$F$58</f>
        <v>0</v>
      </c>
      <c r="I119" s="215">
        <f t="shared" si="45"/>
        <v>109.65787570093458</v>
      </c>
      <c r="J119" s="250">
        <f t="shared" si="47"/>
        <v>0.10116495327102802</v>
      </c>
      <c r="K119" s="252">
        <f t="shared" si="51"/>
        <v>116.97787570093458</v>
      </c>
      <c r="L119" s="98">
        <v>0</v>
      </c>
      <c r="M119" s="218">
        <f t="shared" si="48"/>
        <v>109.65787570093458</v>
      </c>
      <c r="N119" s="238">
        <f t="shared" si="49"/>
        <v>116.97787570093458</v>
      </c>
    </row>
    <row r="120" spans="1:29" s="16" customFormat="1" ht="16.5" thickTop="1" thickBot="1" x14ac:dyDescent="0.3">
      <c r="A120" s="58" t="s">
        <v>79</v>
      </c>
      <c r="B120" s="239">
        <f>SUM(B113:B119)</f>
        <v>1017</v>
      </c>
      <c r="C120" s="221">
        <f>SUM(C113:C119)</f>
        <v>6.3054000000000006</v>
      </c>
      <c r="D120" s="222">
        <f t="shared" ref="D120:I120" si="52">SUM(D113:D119)</f>
        <v>30.509999999999998</v>
      </c>
      <c r="E120" s="222">
        <f t="shared" si="52"/>
        <v>30.509999999999998</v>
      </c>
      <c r="F120" s="222">
        <f t="shared" si="52"/>
        <v>30.509999999999998</v>
      </c>
      <c r="G120" s="222">
        <f t="shared" si="52"/>
        <v>5.0493574766355147</v>
      </c>
      <c r="H120" s="222">
        <f t="shared" si="52"/>
        <v>0</v>
      </c>
      <c r="I120" s="222">
        <f t="shared" si="52"/>
        <v>914.1152425233646</v>
      </c>
      <c r="J120" s="240">
        <f t="shared" si="47"/>
        <v>0.10116495327102792</v>
      </c>
      <c r="K120" s="241">
        <f t="shared" ref="K120:M120" si="53">SUM(K113:K119)</f>
        <v>598.56510046728965</v>
      </c>
      <c r="L120" s="99">
        <f t="shared" si="53"/>
        <v>376.57014205607476</v>
      </c>
      <c r="M120" s="242">
        <f t="shared" si="53"/>
        <v>914.1152425233646</v>
      </c>
      <c r="N120" s="243">
        <f>SUM(N113:N119)</f>
        <v>975.13524252336447</v>
      </c>
    </row>
    <row r="121" spans="1:29" ht="15" customHeight="1" x14ac:dyDescent="0.25">
      <c r="B121" s="64" t="s">
        <v>218</v>
      </c>
      <c r="C121" s="64"/>
      <c r="D121" s="64"/>
      <c r="E121" s="64"/>
      <c r="F121" s="64"/>
      <c r="G121" s="64"/>
      <c r="H121" s="64"/>
      <c r="I121" s="64"/>
      <c r="J121" s="64"/>
      <c r="K121" s="64"/>
      <c r="L121" s="64"/>
      <c r="M121" s="64"/>
      <c r="N121" s="64"/>
    </row>
    <row r="122" spans="1:29" x14ac:dyDescent="0.25">
      <c r="B122" s="64"/>
      <c r="C122" s="64"/>
      <c r="D122" s="64"/>
      <c r="E122" s="64"/>
      <c r="F122" s="64"/>
      <c r="G122" s="64"/>
      <c r="H122" s="64"/>
      <c r="I122" s="64"/>
      <c r="J122" s="64"/>
      <c r="K122" s="64"/>
      <c r="L122" s="64"/>
      <c r="M122" s="64"/>
      <c r="N122" s="64"/>
    </row>
    <row r="123" spans="1:29" s="16" customFormat="1" x14ac:dyDescent="0.25">
      <c r="B123" s="78" t="s">
        <v>217</v>
      </c>
      <c r="C123" s="10"/>
      <c r="D123" s="10"/>
      <c r="E123" s="10"/>
      <c r="F123" s="71"/>
      <c r="G123" s="71"/>
      <c r="H123" s="71"/>
      <c r="I123" s="71"/>
      <c r="J123" s="71"/>
      <c r="K123" s="71"/>
      <c r="L123" s="71"/>
      <c r="M123" s="72"/>
      <c r="N123" s="71"/>
      <c r="O123" s="71"/>
      <c r="P123" s="71"/>
      <c r="Q123" s="71"/>
      <c r="R123" s="71"/>
      <c r="S123" s="71"/>
      <c r="T123" s="71"/>
      <c r="U123" s="71"/>
      <c r="V123" s="71"/>
      <c r="W123" s="71"/>
      <c r="X123" s="71"/>
      <c r="Y123" s="71"/>
      <c r="Z123" s="71"/>
      <c r="AA123" s="71"/>
      <c r="AB123" s="72"/>
      <c r="AC123" s="71"/>
    </row>
    <row r="124" spans="1:29" s="7" customFormat="1" x14ac:dyDescent="0.25">
      <c r="B124" s="14" t="s">
        <v>543</v>
      </c>
    </row>
    <row r="125" spans="1:29" x14ac:dyDescent="0.25">
      <c r="B125" s="14"/>
    </row>
    <row r="126" spans="1:29" x14ac:dyDescent="0.25">
      <c r="B126" s="57" t="s">
        <v>192</v>
      </c>
    </row>
    <row r="127" spans="1:29" x14ac:dyDescent="0.25">
      <c r="B127" s="14" t="s">
        <v>534</v>
      </c>
    </row>
    <row r="128" spans="1:29" x14ac:dyDescent="0.25">
      <c r="B128" s="14" t="s">
        <v>535</v>
      </c>
    </row>
    <row r="129" spans="1:26" x14ac:dyDescent="0.25">
      <c r="B129" s="14" t="s">
        <v>536</v>
      </c>
    </row>
    <row r="130" spans="1:26" x14ac:dyDescent="0.25">
      <c r="B130" s="14" t="s">
        <v>537</v>
      </c>
    </row>
    <row r="131" spans="1:26" x14ac:dyDescent="0.25">
      <c r="B131" s="14" t="s">
        <v>553</v>
      </c>
    </row>
    <row r="132" spans="1:26" x14ac:dyDescent="0.25">
      <c r="B132" s="14" t="s">
        <v>554</v>
      </c>
    </row>
    <row r="133" spans="1:26" x14ac:dyDescent="0.25">
      <c r="B133" s="14" t="s">
        <v>538</v>
      </c>
    </row>
    <row r="134" spans="1:26" x14ac:dyDescent="0.25">
      <c r="B134" s="14" t="s">
        <v>544</v>
      </c>
    </row>
    <row r="135" spans="1:26" ht="15" customHeight="1" x14ac:dyDescent="0.25">
      <c r="B135" s="64" t="s">
        <v>839</v>
      </c>
      <c r="C135" s="64"/>
      <c r="D135" s="64"/>
      <c r="E135" s="64"/>
      <c r="F135" s="64"/>
      <c r="G135" s="64"/>
      <c r="H135" s="64"/>
      <c r="I135" s="64"/>
      <c r="J135" s="64"/>
      <c r="K135" s="64"/>
      <c r="L135" s="64"/>
      <c r="M135" s="64"/>
      <c r="N135" s="64"/>
    </row>
    <row r="136" spans="1:26" x14ac:dyDescent="0.25">
      <c r="B136" s="64"/>
      <c r="C136" s="64"/>
      <c r="D136" s="64"/>
      <c r="E136" s="64"/>
      <c r="F136" s="64"/>
      <c r="G136" s="64"/>
      <c r="H136" s="64"/>
      <c r="I136" s="64"/>
      <c r="J136" s="64"/>
      <c r="K136" s="64"/>
      <c r="L136" s="64"/>
      <c r="M136" s="64"/>
      <c r="N136" s="64"/>
    </row>
    <row r="137" spans="1:26" ht="15" customHeight="1" x14ac:dyDescent="0.25">
      <c r="B137" s="64" t="s">
        <v>840</v>
      </c>
      <c r="C137" s="64"/>
      <c r="D137" s="64"/>
      <c r="E137" s="64"/>
      <c r="F137" s="64"/>
      <c r="G137" s="64"/>
      <c r="H137" s="64"/>
      <c r="I137" s="64"/>
      <c r="J137" s="64"/>
      <c r="K137" s="64"/>
      <c r="L137" s="64"/>
      <c r="M137" s="64"/>
      <c r="N137" s="64"/>
    </row>
    <row r="138" spans="1:26" x14ac:dyDescent="0.25">
      <c r="B138" s="64"/>
      <c r="C138" s="64"/>
      <c r="D138" s="64"/>
      <c r="E138" s="64"/>
      <c r="F138" s="64"/>
      <c r="G138" s="64"/>
      <c r="H138" s="64"/>
      <c r="I138" s="64"/>
      <c r="J138" s="64"/>
      <c r="K138" s="64"/>
      <c r="L138" s="64"/>
      <c r="M138" s="64"/>
      <c r="N138" s="64"/>
    </row>
    <row r="139" spans="1:26" x14ac:dyDescent="0.25">
      <c r="B139" s="14" t="s">
        <v>252</v>
      </c>
    </row>
    <row r="140" spans="1:26" x14ac:dyDescent="0.25">
      <c r="B140" s="14" t="s">
        <v>545</v>
      </c>
    </row>
    <row r="141" spans="1:26" ht="15.75" thickBot="1" x14ac:dyDescent="0.3">
      <c r="A141" s="14"/>
    </row>
    <row r="142" spans="1:26" ht="15.75" thickBot="1" x14ac:dyDescent="0.3">
      <c r="A142" s="3" t="s">
        <v>826</v>
      </c>
      <c r="K142" s="376" t="s">
        <v>244</v>
      </c>
      <c r="L142" s="377"/>
      <c r="M142" s="378"/>
    </row>
    <row r="143" spans="1:26" ht="60" x14ac:dyDescent="0.25">
      <c r="A143" s="3"/>
      <c r="K143" s="101" t="s">
        <v>242</v>
      </c>
      <c r="L143" s="86" t="s">
        <v>241</v>
      </c>
      <c r="M143" s="93" t="s">
        <v>240</v>
      </c>
    </row>
    <row r="144" spans="1:26" s="5" customFormat="1" ht="210" x14ac:dyDescent="0.25">
      <c r="A144" s="379" t="s">
        <v>62</v>
      </c>
      <c r="B144" s="308" t="s">
        <v>221</v>
      </c>
      <c r="C144" s="308" t="s">
        <v>205</v>
      </c>
      <c r="D144" s="304" t="s">
        <v>206</v>
      </c>
      <c r="E144" s="302" t="s">
        <v>219</v>
      </c>
      <c r="F144" s="302" t="s">
        <v>220</v>
      </c>
      <c r="G144" s="302" t="s">
        <v>208</v>
      </c>
      <c r="H144" s="302" t="s">
        <v>209</v>
      </c>
      <c r="I144" s="49" t="s">
        <v>210</v>
      </c>
      <c r="J144" s="66" t="s">
        <v>211</v>
      </c>
      <c r="K144" s="100" t="s">
        <v>579</v>
      </c>
      <c r="L144" s="302" t="s">
        <v>248</v>
      </c>
      <c r="M144" s="94" t="s">
        <v>250</v>
      </c>
      <c r="N144" s="1"/>
      <c r="O144" s="1"/>
      <c r="P144" s="1"/>
      <c r="Q144" s="1"/>
      <c r="R144" s="1"/>
      <c r="S144" s="1"/>
      <c r="T144" s="1"/>
      <c r="U144" s="1"/>
      <c r="V144" s="1"/>
      <c r="W144" s="1"/>
      <c r="X144" s="1"/>
      <c r="Y144" s="1"/>
      <c r="Z144" s="1"/>
    </row>
    <row r="145" spans="1:29" ht="15" customHeight="1" x14ac:dyDescent="0.25">
      <c r="A145" s="380"/>
      <c r="B145" s="306" t="s">
        <v>191</v>
      </c>
      <c r="C145" s="366" t="s">
        <v>316</v>
      </c>
      <c r="D145" s="367"/>
      <c r="E145" s="367"/>
      <c r="F145" s="367"/>
      <c r="G145" s="367"/>
      <c r="H145" s="367"/>
      <c r="I145" s="367"/>
      <c r="J145" s="367"/>
      <c r="K145" s="367"/>
      <c r="L145" s="367"/>
      <c r="M145" s="368"/>
    </row>
    <row r="146" spans="1:29" x14ac:dyDescent="0.25">
      <c r="A146" s="27" t="s">
        <v>0</v>
      </c>
      <c r="B146" s="60">
        <v>209</v>
      </c>
      <c r="C146" s="205">
        <f>$B146*Flexibility!$H$11</f>
        <v>1.2958000000000001</v>
      </c>
      <c r="D146" s="206">
        <f>$B146*Flexibility!$H$21</f>
        <v>6.27</v>
      </c>
      <c r="E146" s="206">
        <f>$B146*Flexibility!$H$31</f>
        <v>10.450000000000001</v>
      </c>
      <c r="F146" s="206">
        <f>$B146*Flexibility!$H$40</f>
        <v>10.450000000000001</v>
      </c>
      <c r="G146" s="206">
        <f>$B146*Flexibility!$H$49</f>
        <v>1.0449999999999999</v>
      </c>
      <c r="H146" s="206">
        <f>$B146*Flexibility!$H$59</f>
        <v>0.36221837088388215</v>
      </c>
      <c r="I146" s="207">
        <f>$B146-SUM(C146:H146)</f>
        <v>179.12698162911613</v>
      </c>
      <c r="J146" s="208">
        <f>($B146-I146)/$B146</f>
        <v>0.14293310225303288</v>
      </c>
      <c r="K146" s="209">
        <f>B146-SUM(C146:D146,G146:H146)</f>
        <v>200.02698162911611</v>
      </c>
      <c r="L146" s="210">
        <f>I146</f>
        <v>179.12698162911613</v>
      </c>
      <c r="M146" s="229">
        <f>K146</f>
        <v>200.02698162911611</v>
      </c>
    </row>
    <row r="147" spans="1:29" ht="15.75" thickBot="1" x14ac:dyDescent="0.3">
      <c r="A147" s="62" t="s">
        <v>1</v>
      </c>
      <c r="B147" s="60">
        <v>368</v>
      </c>
      <c r="C147" s="213">
        <f>$B147*Flexibility!$H$11</f>
        <v>2.2816000000000001</v>
      </c>
      <c r="D147" s="214">
        <f>$B147*Flexibility!$H$21</f>
        <v>11.04</v>
      </c>
      <c r="E147" s="214">
        <f>$B147*Flexibility!$H$31</f>
        <v>18.400000000000002</v>
      </c>
      <c r="F147" s="214">
        <f>$B147*Flexibility!$H$40</f>
        <v>18.400000000000002</v>
      </c>
      <c r="G147" s="214">
        <f>$B147*Flexibility!$H$49</f>
        <v>1.84</v>
      </c>
      <c r="H147" s="214">
        <f>$B147*Flexibility!$H$59</f>
        <v>0.6377816291161178</v>
      </c>
      <c r="I147" s="215">
        <f>$B147-SUM(C147:H147)</f>
        <v>315.40061837088388</v>
      </c>
      <c r="J147" s="216">
        <f>($B147-I147)/$B147</f>
        <v>0.14293310225303293</v>
      </c>
      <c r="K147" s="217">
        <f>B147-SUM(C147:D147,G147:H147)</f>
        <v>352.20061837088389</v>
      </c>
      <c r="L147" s="218">
        <f>I147</f>
        <v>315.40061837088388</v>
      </c>
      <c r="M147" s="238">
        <f>K147</f>
        <v>352.20061837088389</v>
      </c>
    </row>
    <row r="148" spans="1:29" s="16" customFormat="1" ht="16.5" thickTop="1" thickBot="1" x14ac:dyDescent="0.3">
      <c r="A148" s="58" t="s">
        <v>79</v>
      </c>
      <c r="B148" s="239">
        <f t="shared" ref="B148:C148" si="54">SUM(B146:B147)</f>
        <v>577</v>
      </c>
      <c r="C148" s="221">
        <f t="shared" si="54"/>
        <v>3.5773999999999999</v>
      </c>
      <c r="D148" s="222">
        <f t="shared" ref="D148:I148" si="55">SUM(D146:D147)</f>
        <v>17.309999999999999</v>
      </c>
      <c r="E148" s="222">
        <f t="shared" si="55"/>
        <v>28.85</v>
      </c>
      <c r="F148" s="222">
        <f t="shared" si="55"/>
        <v>28.85</v>
      </c>
      <c r="G148" s="222">
        <f t="shared" si="55"/>
        <v>2.8849999999999998</v>
      </c>
      <c r="H148" s="222">
        <f t="shared" si="55"/>
        <v>1</v>
      </c>
      <c r="I148" s="255">
        <f t="shared" si="55"/>
        <v>494.52760000000001</v>
      </c>
      <c r="J148" s="223">
        <f>($B148-I148)/$B148</f>
        <v>0.14293310225303291</v>
      </c>
      <c r="K148" s="256">
        <f t="shared" ref="K148:M148" si="56">SUM(K146:K147)</f>
        <v>552.22759999999994</v>
      </c>
      <c r="L148" s="257">
        <f t="shared" si="56"/>
        <v>494.52760000000001</v>
      </c>
      <c r="M148" s="258">
        <f t="shared" si="56"/>
        <v>552.22759999999994</v>
      </c>
    </row>
    <row r="149" spans="1:29" s="10" customFormat="1" ht="15.75" thickBot="1" x14ac:dyDescent="0.3">
      <c r="A149" s="70"/>
      <c r="C149" s="71"/>
      <c r="D149" s="71"/>
      <c r="E149" s="71"/>
      <c r="F149" s="71"/>
      <c r="G149" s="71"/>
      <c r="H149" s="71"/>
      <c r="I149" s="71"/>
      <c r="J149" s="72"/>
      <c r="K149" s="99"/>
      <c r="L149" s="99"/>
      <c r="M149" s="99"/>
    </row>
    <row r="150" spans="1:29" ht="15.75" thickBot="1" x14ac:dyDescent="0.3">
      <c r="A150" s="3" t="s">
        <v>826</v>
      </c>
      <c r="K150" s="376" t="s">
        <v>244</v>
      </c>
      <c r="L150" s="377"/>
      <c r="M150" s="378"/>
    </row>
    <row r="151" spans="1:29" ht="60" x14ac:dyDescent="0.25">
      <c r="A151" s="3"/>
      <c r="K151" s="101" t="s">
        <v>242</v>
      </c>
      <c r="L151" s="86" t="s">
        <v>241</v>
      </c>
      <c r="M151" s="93" t="s">
        <v>240</v>
      </c>
    </row>
    <row r="152" spans="1:29" s="5" customFormat="1" ht="210" x14ac:dyDescent="0.25">
      <c r="A152" s="379" t="s">
        <v>62</v>
      </c>
      <c r="B152" s="308" t="s">
        <v>221</v>
      </c>
      <c r="C152" s="308" t="s">
        <v>205</v>
      </c>
      <c r="D152" s="304" t="s">
        <v>206</v>
      </c>
      <c r="E152" s="302" t="s">
        <v>219</v>
      </c>
      <c r="F152" s="302" t="s">
        <v>220</v>
      </c>
      <c r="G152" s="302" t="s">
        <v>208</v>
      </c>
      <c r="H152" s="302" t="s">
        <v>209</v>
      </c>
      <c r="I152" s="49" t="s">
        <v>210</v>
      </c>
      <c r="J152" s="66" t="s">
        <v>211</v>
      </c>
      <c r="K152" s="100" t="s">
        <v>579</v>
      </c>
      <c r="L152" s="302" t="s">
        <v>248</v>
      </c>
      <c r="M152" s="94" t="s">
        <v>250</v>
      </c>
      <c r="N152" s="1"/>
      <c r="O152" s="1"/>
      <c r="P152" s="1"/>
      <c r="Q152" s="1"/>
      <c r="R152" s="1"/>
      <c r="S152" s="1"/>
      <c r="T152" s="1"/>
      <c r="U152" s="1"/>
      <c r="V152" s="1"/>
      <c r="W152" s="1"/>
      <c r="X152" s="1"/>
      <c r="Y152" s="1"/>
      <c r="Z152" s="1"/>
    </row>
    <row r="153" spans="1:29" ht="15" customHeight="1" x14ac:dyDescent="0.25">
      <c r="A153" s="380"/>
      <c r="B153" s="306" t="s">
        <v>191</v>
      </c>
      <c r="C153" s="366" t="s">
        <v>317</v>
      </c>
      <c r="D153" s="367"/>
      <c r="E153" s="367"/>
      <c r="F153" s="367"/>
      <c r="G153" s="367"/>
      <c r="H153" s="367"/>
      <c r="I153" s="367"/>
      <c r="J153" s="367"/>
      <c r="K153" s="367"/>
      <c r="L153" s="367"/>
      <c r="M153" s="368"/>
    </row>
    <row r="154" spans="1:29" x14ac:dyDescent="0.25">
      <c r="A154" s="27" t="s">
        <v>0</v>
      </c>
      <c r="B154" s="253">
        <f>B146</f>
        <v>209</v>
      </c>
      <c r="C154" s="205">
        <f>$B154*Flexibility!$H$11</f>
        <v>1.2958000000000001</v>
      </c>
      <c r="D154" s="206">
        <f>$B154*Flexibility!$H$21</f>
        <v>6.27</v>
      </c>
      <c r="E154" s="206">
        <f>$B154*Flexibility!$J$31</f>
        <v>6.27</v>
      </c>
      <c r="F154" s="206">
        <f>$B154*Flexibility!$J$40</f>
        <v>6.27</v>
      </c>
      <c r="G154" s="206">
        <f>$B154*Flexibility!$H$49</f>
        <v>1.0449999999999999</v>
      </c>
      <c r="H154" s="206">
        <f>$B154*Flexibility!$H$59</f>
        <v>0.36221837088388215</v>
      </c>
      <c r="I154" s="207">
        <f>$B154-SUM(C154:H154)</f>
        <v>187.48698162911612</v>
      </c>
      <c r="J154" s="208">
        <f>($B154-I154)/$B154</f>
        <v>0.10293310225303294</v>
      </c>
      <c r="K154" s="209">
        <f>B154-SUM(C154:D154,G154:H154)</f>
        <v>200.02698162911611</v>
      </c>
      <c r="L154" s="210">
        <f>I154</f>
        <v>187.48698162911612</v>
      </c>
      <c r="M154" s="229">
        <f>K154</f>
        <v>200.02698162911611</v>
      </c>
    </row>
    <row r="155" spans="1:29" ht="15.75" thickBot="1" x14ac:dyDescent="0.3">
      <c r="A155" s="62" t="s">
        <v>1</v>
      </c>
      <c r="B155" s="253">
        <f>B147</f>
        <v>368</v>
      </c>
      <c r="C155" s="213">
        <f>$B155*Flexibility!$H$11</f>
        <v>2.2816000000000001</v>
      </c>
      <c r="D155" s="214">
        <f>$B155*Flexibility!$H$21</f>
        <v>11.04</v>
      </c>
      <c r="E155" s="214">
        <f>$B155*Flexibility!$J$31</f>
        <v>11.04</v>
      </c>
      <c r="F155" s="214">
        <f>$B155*Flexibility!$J$40</f>
        <v>11.04</v>
      </c>
      <c r="G155" s="214">
        <f>$B155*Flexibility!$H$49</f>
        <v>1.84</v>
      </c>
      <c r="H155" s="214">
        <f>$B155*Flexibility!$H$59</f>
        <v>0.6377816291161178</v>
      </c>
      <c r="I155" s="215">
        <f>$B155-SUM(C155:H155)</f>
        <v>330.1206183708839</v>
      </c>
      <c r="J155" s="216">
        <f>($B155-I155)/$B155</f>
        <v>0.10293310225303287</v>
      </c>
      <c r="K155" s="217">
        <f>B155-SUM(C155:D155,G155:H155)</f>
        <v>352.20061837088389</v>
      </c>
      <c r="L155" s="218">
        <f>I155</f>
        <v>330.1206183708839</v>
      </c>
      <c r="M155" s="238">
        <f>K155</f>
        <v>352.20061837088389</v>
      </c>
    </row>
    <row r="156" spans="1:29" s="16" customFormat="1" ht="16.5" thickTop="1" thickBot="1" x14ac:dyDescent="0.3">
      <c r="A156" s="58" t="s">
        <v>79</v>
      </c>
      <c r="B156" s="239">
        <f t="shared" ref="B156:C156" si="57">SUM(B154:B155)</f>
        <v>577</v>
      </c>
      <c r="C156" s="221">
        <f t="shared" si="57"/>
        <v>3.5773999999999999</v>
      </c>
      <c r="D156" s="222">
        <f t="shared" ref="D156:I156" si="58">SUM(D154:D155)</f>
        <v>17.309999999999999</v>
      </c>
      <c r="E156" s="222">
        <f t="shared" si="58"/>
        <v>17.309999999999999</v>
      </c>
      <c r="F156" s="222">
        <f t="shared" si="58"/>
        <v>17.309999999999999</v>
      </c>
      <c r="G156" s="222">
        <f t="shared" si="58"/>
        <v>2.8849999999999998</v>
      </c>
      <c r="H156" s="222">
        <f t="shared" si="58"/>
        <v>1</v>
      </c>
      <c r="I156" s="255">
        <f t="shared" si="58"/>
        <v>517.60760000000005</v>
      </c>
      <c r="J156" s="223">
        <f>($B156-I156)/$B156</f>
        <v>0.10293310225303284</v>
      </c>
      <c r="K156" s="256">
        <f t="shared" ref="K156" si="59">SUM(K154:K155)</f>
        <v>552.22759999999994</v>
      </c>
      <c r="L156" s="257">
        <f t="shared" ref="L156" si="60">SUM(L154:L155)</f>
        <v>517.60760000000005</v>
      </c>
      <c r="M156" s="258">
        <f t="shared" ref="M156" si="61">SUM(M154:M155)</f>
        <v>552.22759999999994</v>
      </c>
    </row>
    <row r="157" spans="1:29" ht="13.9" customHeight="1" x14ac:dyDescent="0.25">
      <c r="B157" s="64" t="s">
        <v>218</v>
      </c>
      <c r="C157" s="64"/>
      <c r="D157" s="64"/>
      <c r="E157" s="64"/>
      <c r="F157" s="64"/>
      <c r="G157" s="64"/>
      <c r="H157" s="64"/>
      <c r="I157" s="64"/>
      <c r="J157" s="64"/>
      <c r="K157" s="64"/>
      <c r="L157" s="64"/>
    </row>
    <row r="158" spans="1:29" ht="13.9" customHeight="1" x14ac:dyDescent="0.25">
      <c r="B158" s="64"/>
      <c r="C158" s="64"/>
      <c r="D158" s="64"/>
      <c r="E158" s="64"/>
      <c r="F158" s="64"/>
      <c r="G158" s="64"/>
      <c r="H158" s="64"/>
      <c r="I158" s="64"/>
      <c r="J158" s="64"/>
      <c r="K158" s="64"/>
      <c r="L158" s="64"/>
    </row>
    <row r="159" spans="1:29" x14ac:dyDescent="0.25">
      <c r="B159" s="14"/>
    </row>
    <row r="160" spans="1:29" s="16" customFormat="1" x14ac:dyDescent="0.25">
      <c r="B160" s="78" t="s">
        <v>217</v>
      </c>
      <c r="C160" s="10"/>
      <c r="D160" s="10"/>
      <c r="E160" s="10"/>
      <c r="F160" s="71"/>
      <c r="G160" s="71"/>
      <c r="H160" s="71"/>
      <c r="I160" s="71"/>
      <c r="J160" s="71"/>
      <c r="K160" s="71"/>
      <c r="L160" s="71"/>
      <c r="M160" s="72"/>
      <c r="N160" s="71"/>
      <c r="O160" s="71"/>
      <c r="P160" s="71"/>
      <c r="Q160" s="71"/>
      <c r="R160" s="71"/>
      <c r="S160" s="71"/>
      <c r="T160" s="71"/>
      <c r="U160" s="71"/>
      <c r="V160" s="71"/>
      <c r="W160" s="71"/>
      <c r="X160" s="71"/>
      <c r="Y160" s="71"/>
      <c r="Z160" s="71"/>
      <c r="AA160" s="71"/>
      <c r="AB160" s="72"/>
      <c r="AC160" s="71"/>
    </row>
    <row r="161" spans="1:13" s="7" customFormat="1" x14ac:dyDescent="0.25">
      <c r="B161" s="14" t="s">
        <v>543</v>
      </c>
    </row>
    <row r="162" spans="1:13" x14ac:dyDescent="0.25">
      <c r="B162" s="14"/>
    </row>
    <row r="163" spans="1:13" x14ac:dyDescent="0.25">
      <c r="B163" s="57" t="s">
        <v>192</v>
      </c>
    </row>
    <row r="164" spans="1:13" x14ac:dyDescent="0.25">
      <c r="B164" s="14" t="s">
        <v>534</v>
      </c>
    </row>
    <row r="165" spans="1:13" x14ac:dyDescent="0.25">
      <c r="B165" s="14" t="s">
        <v>535</v>
      </c>
    </row>
    <row r="166" spans="1:13" x14ac:dyDescent="0.25">
      <c r="B166" s="14" t="s">
        <v>536</v>
      </c>
    </row>
    <row r="167" spans="1:13" x14ac:dyDescent="0.25">
      <c r="B167" s="14" t="s">
        <v>537</v>
      </c>
    </row>
    <row r="168" spans="1:13" x14ac:dyDescent="0.25">
      <c r="B168" s="14" t="s">
        <v>553</v>
      </c>
    </row>
    <row r="169" spans="1:13" x14ac:dyDescent="0.25">
      <c r="B169" s="14" t="s">
        <v>554</v>
      </c>
    </row>
    <row r="170" spans="1:13" x14ac:dyDescent="0.25">
      <c r="B170" s="14" t="s">
        <v>538</v>
      </c>
    </row>
    <row r="171" spans="1:13" x14ac:dyDescent="0.25">
      <c r="B171" s="14" t="s">
        <v>544</v>
      </c>
    </row>
    <row r="172" spans="1:13" x14ac:dyDescent="0.25">
      <c r="B172" s="14" t="s">
        <v>548</v>
      </c>
    </row>
    <row r="173" spans="1:13" x14ac:dyDescent="0.25">
      <c r="B173" s="14" t="s">
        <v>253</v>
      </c>
    </row>
    <row r="174" spans="1:13" x14ac:dyDescent="0.25">
      <c r="B174" s="14" t="s">
        <v>254</v>
      </c>
    </row>
    <row r="175" spans="1:13" ht="15.75" thickBot="1" x14ac:dyDescent="0.3">
      <c r="A175" s="3"/>
    </row>
    <row r="176" spans="1:13" ht="15.75" thickBot="1" x14ac:dyDescent="0.3">
      <c r="A176" s="3" t="s">
        <v>827</v>
      </c>
      <c r="K176" s="376" t="s">
        <v>244</v>
      </c>
      <c r="L176" s="377"/>
      <c r="M176" s="378"/>
    </row>
    <row r="177" spans="1:28" ht="75" customHeight="1" x14ac:dyDescent="0.25">
      <c r="K177" s="101" t="s">
        <v>242</v>
      </c>
      <c r="L177" s="86" t="s">
        <v>241</v>
      </c>
      <c r="M177" s="93" t="s">
        <v>240</v>
      </c>
    </row>
    <row r="178" spans="1:28" s="5" customFormat="1" ht="210" x14ac:dyDescent="0.25">
      <c r="A178" s="372" t="s">
        <v>610</v>
      </c>
      <c r="B178" s="308" t="s">
        <v>221</v>
      </c>
      <c r="C178" s="308" t="s">
        <v>205</v>
      </c>
      <c r="D178" s="304" t="s">
        <v>206</v>
      </c>
      <c r="E178" s="302" t="s">
        <v>219</v>
      </c>
      <c r="F178" s="302" t="s">
        <v>220</v>
      </c>
      <c r="G178" s="302" t="s">
        <v>208</v>
      </c>
      <c r="H178" s="302" t="s">
        <v>209</v>
      </c>
      <c r="I178" s="49" t="s">
        <v>210</v>
      </c>
      <c r="J178" s="66" t="s">
        <v>211</v>
      </c>
      <c r="K178" s="100" t="s">
        <v>580</v>
      </c>
      <c r="L178" s="302" t="s">
        <v>248</v>
      </c>
      <c r="M178" s="94" t="s">
        <v>250</v>
      </c>
      <c r="N178" s="1"/>
      <c r="O178" s="1"/>
      <c r="P178" s="1"/>
      <c r="Q178" s="1"/>
      <c r="R178" s="1"/>
      <c r="S178" s="1"/>
      <c r="T178" s="1"/>
      <c r="U178" s="1"/>
      <c r="V178" s="1"/>
      <c r="W178" s="1"/>
      <c r="X178" s="1"/>
      <c r="Y178" s="1"/>
      <c r="Z178" s="1"/>
      <c r="AA178" s="1"/>
      <c r="AB178" s="1"/>
    </row>
    <row r="179" spans="1:28" s="5" customFormat="1" ht="15" customHeight="1" x14ac:dyDescent="0.25">
      <c r="A179" s="373"/>
      <c r="B179" s="306" t="s">
        <v>191</v>
      </c>
      <c r="C179" s="374" t="s">
        <v>212</v>
      </c>
      <c r="D179" s="361"/>
      <c r="E179" s="361"/>
      <c r="F179" s="361"/>
      <c r="G179" s="361"/>
      <c r="H179" s="361"/>
      <c r="I179" s="361"/>
      <c r="J179" s="361"/>
      <c r="K179" s="361"/>
      <c r="L179" s="361"/>
      <c r="M179" s="375"/>
      <c r="N179" s="1"/>
      <c r="O179" s="1"/>
      <c r="P179" s="1"/>
      <c r="Q179" s="1"/>
      <c r="R179" s="1"/>
      <c r="S179" s="1"/>
      <c r="T179" s="1"/>
      <c r="U179" s="1"/>
      <c r="V179" s="1"/>
      <c r="W179" s="1"/>
      <c r="X179" s="1"/>
      <c r="Y179" s="1"/>
      <c r="Z179" s="1"/>
      <c r="AA179" s="1"/>
      <c r="AB179" s="1"/>
    </row>
    <row r="180" spans="1:28" x14ac:dyDescent="0.25">
      <c r="A180" s="27" t="s">
        <v>828</v>
      </c>
      <c r="B180" s="60">
        <f>13+34+8</f>
        <v>55</v>
      </c>
      <c r="C180" s="205">
        <f>$B180*Flexibility!$J$12</f>
        <v>0.34099999999999997</v>
      </c>
      <c r="D180" s="206">
        <f>$B180*Flexibility!$J$22</f>
        <v>1.65</v>
      </c>
      <c r="E180" s="206">
        <f>$B180*Flexibility!$J$32</f>
        <v>2.75</v>
      </c>
      <c r="F180" s="206">
        <f>$B180*Flexibility!$J$41</f>
        <v>2.75</v>
      </c>
      <c r="G180" s="206">
        <f>$B180*Flexibility!$J$50</f>
        <v>0.27500000000000002</v>
      </c>
      <c r="H180" s="206">
        <f>$B180*Flexibility!$J$60</f>
        <v>0</v>
      </c>
      <c r="I180" s="207">
        <f>$B180-SUM(C180:H180)</f>
        <v>47.234000000000002</v>
      </c>
      <c r="J180" s="208">
        <f>($B180-I180)/$B180</f>
        <v>0.14119999999999996</v>
      </c>
      <c r="K180" s="209">
        <f>B180-SUM(C180:D180,G180:H180)</f>
        <v>52.734000000000002</v>
      </c>
      <c r="L180" s="210">
        <f>I180</f>
        <v>47.234000000000002</v>
      </c>
      <c r="M180" s="229">
        <f>K180</f>
        <v>52.734000000000002</v>
      </c>
    </row>
    <row r="181" spans="1:28" x14ac:dyDescent="0.25">
      <c r="A181" s="63" t="s">
        <v>779</v>
      </c>
      <c r="B181" s="60">
        <v>403</v>
      </c>
      <c r="C181" s="205">
        <f>$B181*Flexibility!$J$12</f>
        <v>2.4985999999999997</v>
      </c>
      <c r="D181" s="206">
        <f>$B181*Flexibility!$J$22</f>
        <v>12.09</v>
      </c>
      <c r="E181" s="206">
        <f>$B181*Flexibility!$J$32</f>
        <v>20.150000000000002</v>
      </c>
      <c r="F181" s="206">
        <f>$B181*Flexibility!$J$41</f>
        <v>20.150000000000002</v>
      </c>
      <c r="G181" s="206">
        <f>$B181*Flexibility!$J$50</f>
        <v>2.0150000000000001</v>
      </c>
      <c r="H181" s="207">
        <f>$B181*Flexibility!$J$60</f>
        <v>0</v>
      </c>
      <c r="I181" s="207">
        <f>$B181-SUM(C181:H181)</f>
        <v>346.09640000000002</v>
      </c>
      <c r="J181" s="208">
        <f>($B181-I181)/$B181</f>
        <v>0.14119999999999996</v>
      </c>
      <c r="K181" s="209">
        <f t="shared" ref="K181:K182" si="62">B181-SUM(C181:D181,G181:H181)</f>
        <v>386.39639999999997</v>
      </c>
      <c r="L181" s="210">
        <f t="shared" ref="L181:L182" si="63">I181</f>
        <v>346.09640000000002</v>
      </c>
      <c r="M181" s="229">
        <f t="shared" ref="M181:M182" si="64">K181</f>
        <v>386.39639999999997</v>
      </c>
    </row>
    <row r="182" spans="1:28" x14ac:dyDescent="0.25">
      <c r="A182" s="63" t="s">
        <v>810</v>
      </c>
      <c r="B182" s="60">
        <v>241</v>
      </c>
      <c r="C182" s="205">
        <f>$B182*Flexibility!$J$12</f>
        <v>1.4942</v>
      </c>
      <c r="D182" s="206">
        <f>$B182*Flexibility!$J$22</f>
        <v>7.2299999999999995</v>
      </c>
      <c r="E182" s="206">
        <f>$B182*Flexibility!$J$32</f>
        <v>12.05</v>
      </c>
      <c r="F182" s="206">
        <f>$B182*Flexibility!$J$41</f>
        <v>12.05</v>
      </c>
      <c r="G182" s="206">
        <f>$B182*Flexibility!$J$50</f>
        <v>1.2050000000000001</v>
      </c>
      <c r="H182" s="207">
        <f>$B182*Flexibility!$J$60</f>
        <v>0</v>
      </c>
      <c r="I182" s="207">
        <f>$B182-SUM(C182:H182)</f>
        <v>206.9708</v>
      </c>
      <c r="J182" s="208">
        <f>($B182-I182)/$B182</f>
        <v>0.14120000000000002</v>
      </c>
      <c r="K182" s="209">
        <f t="shared" si="62"/>
        <v>231.07079999999999</v>
      </c>
      <c r="L182" s="210">
        <f t="shared" si="63"/>
        <v>206.9708</v>
      </c>
      <c r="M182" s="229">
        <f t="shared" si="64"/>
        <v>231.07079999999999</v>
      </c>
    </row>
    <row r="183" spans="1:28" ht="15.75" thickBot="1" x14ac:dyDescent="0.3">
      <c r="A183" s="62" t="s">
        <v>811</v>
      </c>
      <c r="B183" s="60">
        <v>67</v>
      </c>
      <c r="C183" s="205">
        <f>$B183*Flexibility!$J$12</f>
        <v>0.41539999999999999</v>
      </c>
      <c r="D183" s="206">
        <f>$B183*Flexibility!$J$22</f>
        <v>2.0099999999999998</v>
      </c>
      <c r="E183" s="206">
        <f>$B183*Flexibility!$J$32</f>
        <v>3.35</v>
      </c>
      <c r="F183" s="206">
        <f>$B183*Flexibility!$J$41</f>
        <v>3.35</v>
      </c>
      <c r="G183" s="206">
        <f>$B183*Flexibility!$J$50</f>
        <v>0.33500000000000002</v>
      </c>
      <c r="H183" s="207">
        <f>$B183*Flexibility!$J$60</f>
        <v>0</v>
      </c>
      <c r="I183" s="207">
        <f>$B183-SUM(C183:H183)</f>
        <v>57.5396</v>
      </c>
      <c r="J183" s="208">
        <f>($B183-I183)/$B183</f>
        <v>0.14119999999999999</v>
      </c>
      <c r="K183" s="217">
        <f>B183-SUM(C183:D183,G183:H183)</f>
        <v>64.239599999999996</v>
      </c>
      <c r="L183" s="218">
        <f>I183</f>
        <v>57.5396</v>
      </c>
      <c r="M183" s="238">
        <f>K183</f>
        <v>64.239599999999996</v>
      </c>
    </row>
    <row r="184" spans="1:28" s="16" customFormat="1" ht="16.5" thickTop="1" thickBot="1" x14ac:dyDescent="0.3">
      <c r="A184" s="58" t="s">
        <v>79</v>
      </c>
      <c r="B184" s="239">
        <f t="shared" ref="B184" si="65">SUM(B180:B183)</f>
        <v>766</v>
      </c>
      <c r="C184" s="221">
        <f>SUM(C180:C183)</f>
        <v>4.7492000000000001</v>
      </c>
      <c r="D184" s="222">
        <f t="shared" ref="D184:I184" si="66">SUM(D180:D183)</f>
        <v>22.979999999999997</v>
      </c>
      <c r="E184" s="222">
        <f t="shared" si="66"/>
        <v>38.300000000000004</v>
      </c>
      <c r="F184" s="222">
        <f t="shared" si="66"/>
        <v>38.300000000000004</v>
      </c>
      <c r="G184" s="222">
        <f t="shared" si="66"/>
        <v>3.83</v>
      </c>
      <c r="H184" s="222">
        <f t="shared" si="66"/>
        <v>0</v>
      </c>
      <c r="I184" s="222">
        <f t="shared" si="66"/>
        <v>657.84079999999994</v>
      </c>
      <c r="J184" s="223">
        <f>($B184-I184)/$B184</f>
        <v>0.14120000000000008</v>
      </c>
      <c r="K184" s="256">
        <f>SUM(K180:K183)</f>
        <v>734.44079999999997</v>
      </c>
      <c r="L184" s="257">
        <f t="shared" ref="L184:M184" si="67">SUM(L180:L183)</f>
        <v>657.84079999999994</v>
      </c>
      <c r="M184" s="258">
        <f t="shared" si="67"/>
        <v>734.44079999999997</v>
      </c>
      <c r="N184" s="171"/>
    </row>
    <row r="185" spans="1:28" s="16" customFormat="1" ht="15.75" thickBot="1" x14ac:dyDescent="0.3">
      <c r="A185" s="70"/>
      <c r="B185" s="10"/>
      <c r="C185" s="71"/>
      <c r="D185" s="71"/>
      <c r="E185" s="71"/>
      <c r="F185" s="71"/>
      <c r="G185" s="71"/>
      <c r="H185" s="71"/>
      <c r="I185" s="71"/>
      <c r="J185" s="72"/>
      <c r="K185" s="184"/>
      <c r="L185" s="184"/>
      <c r="M185" s="71"/>
    </row>
    <row r="186" spans="1:28" ht="15.75" thickBot="1" x14ac:dyDescent="0.3">
      <c r="A186" s="3" t="s">
        <v>827</v>
      </c>
      <c r="K186" s="376" t="s">
        <v>244</v>
      </c>
      <c r="L186" s="377"/>
      <c r="M186" s="378"/>
    </row>
    <row r="187" spans="1:28" ht="75" customHeight="1" x14ac:dyDescent="0.25">
      <c r="K187" s="101" t="s">
        <v>242</v>
      </c>
      <c r="L187" s="86" t="s">
        <v>241</v>
      </c>
      <c r="M187" s="93" t="s">
        <v>240</v>
      </c>
    </row>
    <row r="188" spans="1:28" s="5" customFormat="1" ht="210" x14ac:dyDescent="0.25">
      <c r="A188" s="372" t="s">
        <v>610</v>
      </c>
      <c r="B188" s="308" t="s">
        <v>221</v>
      </c>
      <c r="C188" s="308" t="s">
        <v>205</v>
      </c>
      <c r="D188" s="304" t="s">
        <v>206</v>
      </c>
      <c r="E188" s="302" t="s">
        <v>219</v>
      </c>
      <c r="F188" s="302" t="s">
        <v>220</v>
      </c>
      <c r="G188" s="302" t="s">
        <v>208</v>
      </c>
      <c r="H188" s="302" t="s">
        <v>209</v>
      </c>
      <c r="I188" s="49" t="s">
        <v>210</v>
      </c>
      <c r="J188" s="66" t="s">
        <v>211</v>
      </c>
      <c r="K188" s="100" t="s">
        <v>580</v>
      </c>
      <c r="L188" s="302" t="s">
        <v>248</v>
      </c>
      <c r="M188" s="94" t="s">
        <v>250</v>
      </c>
      <c r="N188" s="1"/>
      <c r="O188" s="1"/>
      <c r="P188" s="1"/>
      <c r="Q188" s="1"/>
      <c r="R188" s="1"/>
      <c r="S188" s="1"/>
      <c r="T188" s="1"/>
      <c r="U188" s="1"/>
      <c r="V188" s="1"/>
      <c r="W188" s="1"/>
      <c r="X188" s="1"/>
      <c r="Y188" s="1"/>
      <c r="Z188" s="1"/>
      <c r="AA188" s="1"/>
      <c r="AB188" s="1"/>
    </row>
    <row r="189" spans="1:28" s="5" customFormat="1" ht="15" customHeight="1" x14ac:dyDescent="0.25">
      <c r="A189" s="373"/>
      <c r="B189" s="306" t="s">
        <v>191</v>
      </c>
      <c r="C189" s="374" t="s">
        <v>213</v>
      </c>
      <c r="D189" s="361"/>
      <c r="E189" s="361"/>
      <c r="F189" s="361"/>
      <c r="G189" s="361"/>
      <c r="H189" s="361"/>
      <c r="I189" s="361"/>
      <c r="J189" s="361"/>
      <c r="K189" s="361"/>
      <c r="L189" s="361"/>
      <c r="M189" s="375"/>
      <c r="N189" s="1"/>
      <c r="O189" s="1"/>
      <c r="P189" s="1"/>
      <c r="Q189" s="1"/>
      <c r="R189" s="1"/>
      <c r="S189" s="1"/>
      <c r="T189" s="1"/>
      <c r="U189" s="1"/>
      <c r="V189" s="1"/>
      <c r="W189" s="1"/>
      <c r="X189" s="1"/>
      <c r="Y189" s="1"/>
      <c r="Z189" s="1"/>
      <c r="AA189" s="1"/>
      <c r="AB189" s="1"/>
    </row>
    <row r="190" spans="1:28" x14ac:dyDescent="0.25">
      <c r="A190" s="27" t="s">
        <v>828</v>
      </c>
      <c r="B190" s="253">
        <f>B180</f>
        <v>55</v>
      </c>
      <c r="C190" s="205">
        <f>$B190*Flexibility!$J$12</f>
        <v>0.34099999999999997</v>
      </c>
      <c r="D190" s="206">
        <f>$B190*Flexibility!$J$22</f>
        <v>1.65</v>
      </c>
      <c r="E190" s="206">
        <f>$B190*Flexibility!$L$32</f>
        <v>1.65</v>
      </c>
      <c r="F190" s="206">
        <f>$B190*Flexibility!$L$41</f>
        <v>1.65</v>
      </c>
      <c r="G190" s="206">
        <f>$B190*Flexibility!$J$50</f>
        <v>0.27500000000000002</v>
      </c>
      <c r="H190" s="206">
        <f>$B190*Flexibility!$J$60</f>
        <v>0</v>
      </c>
      <c r="I190" s="207">
        <f>$B190-SUM(C190:H190)</f>
        <v>49.433999999999997</v>
      </c>
      <c r="J190" s="208">
        <f>($B190-I190)/$B190</f>
        <v>0.10120000000000004</v>
      </c>
      <c r="K190" s="209">
        <f>B190-SUM(C190:D190,G190:H190)</f>
        <v>52.734000000000002</v>
      </c>
      <c r="L190" s="210">
        <f>I190</f>
        <v>49.433999999999997</v>
      </c>
      <c r="M190" s="229">
        <f>K190</f>
        <v>52.734000000000002</v>
      </c>
    </row>
    <row r="191" spans="1:28" x14ac:dyDescent="0.25">
      <c r="A191" s="63" t="s">
        <v>779</v>
      </c>
      <c r="B191" s="253">
        <f t="shared" ref="B191:B193" si="68">B181</f>
        <v>403</v>
      </c>
      <c r="C191" s="205">
        <f>$B191*Flexibility!$J$12</f>
        <v>2.4985999999999997</v>
      </c>
      <c r="D191" s="206">
        <f>$B191*Flexibility!$J$22</f>
        <v>12.09</v>
      </c>
      <c r="E191" s="206">
        <f>$B191*Flexibility!$L$32</f>
        <v>12.09</v>
      </c>
      <c r="F191" s="206">
        <f>$B191*Flexibility!$L$41</f>
        <v>12.09</v>
      </c>
      <c r="G191" s="206">
        <f>$B191*Flexibility!$J$50</f>
        <v>2.0150000000000001</v>
      </c>
      <c r="H191" s="207">
        <f>$B191*Flexibility!$J$60</f>
        <v>0</v>
      </c>
      <c r="I191" s="207">
        <f>$B191-SUM(C191:H191)</f>
        <v>362.21640000000002</v>
      </c>
      <c r="J191" s="208">
        <f>($B191-I191)/$B191</f>
        <v>0.10119999999999994</v>
      </c>
      <c r="K191" s="209">
        <f t="shared" ref="K191:K192" si="69">B191-SUM(C191:D191,G191:H191)</f>
        <v>386.39639999999997</v>
      </c>
      <c r="L191" s="210">
        <f t="shared" ref="L191:L192" si="70">I191</f>
        <v>362.21640000000002</v>
      </c>
      <c r="M191" s="229">
        <f t="shared" ref="M191:M192" si="71">K191</f>
        <v>386.39639999999997</v>
      </c>
    </row>
    <row r="192" spans="1:28" x14ac:dyDescent="0.25">
      <c r="A192" s="63" t="s">
        <v>810</v>
      </c>
      <c r="B192" s="253">
        <f t="shared" si="68"/>
        <v>241</v>
      </c>
      <c r="C192" s="205">
        <f>$B192*Flexibility!$J$12</f>
        <v>1.4942</v>
      </c>
      <c r="D192" s="206">
        <f>$B192*Flexibility!$J$22</f>
        <v>7.2299999999999995</v>
      </c>
      <c r="E192" s="206">
        <f>$B192*Flexibility!$L$32</f>
        <v>7.2299999999999995</v>
      </c>
      <c r="F192" s="206">
        <f>$B192*Flexibility!$L$41</f>
        <v>7.2299999999999995</v>
      </c>
      <c r="G192" s="206">
        <f>$B192*Flexibility!$J$50</f>
        <v>1.2050000000000001</v>
      </c>
      <c r="H192" s="207">
        <f>$B192*Flexibility!$J$60</f>
        <v>0</v>
      </c>
      <c r="I192" s="207">
        <f>$B192-SUM(C192:H192)</f>
        <v>216.61079999999998</v>
      </c>
      <c r="J192" s="208">
        <f>($B192-I192)/$B192</f>
        <v>0.10120000000000007</v>
      </c>
      <c r="K192" s="209">
        <f t="shared" si="69"/>
        <v>231.07079999999999</v>
      </c>
      <c r="L192" s="210">
        <f t="shared" si="70"/>
        <v>216.61079999999998</v>
      </c>
      <c r="M192" s="229">
        <f t="shared" si="71"/>
        <v>231.07079999999999</v>
      </c>
    </row>
    <row r="193" spans="1:14" ht="15.75" thickBot="1" x14ac:dyDescent="0.3">
      <c r="A193" s="62" t="s">
        <v>811</v>
      </c>
      <c r="B193" s="253">
        <f t="shared" si="68"/>
        <v>67</v>
      </c>
      <c r="C193" s="205">
        <f>$B193*Flexibility!$J$12</f>
        <v>0.41539999999999999</v>
      </c>
      <c r="D193" s="206">
        <f>$B193*Flexibility!$J$22</f>
        <v>2.0099999999999998</v>
      </c>
      <c r="E193" s="206">
        <f>$B193*Flexibility!$L$32</f>
        <v>2.0099999999999998</v>
      </c>
      <c r="F193" s="206">
        <f>$B193*Flexibility!$L$41</f>
        <v>2.0099999999999998</v>
      </c>
      <c r="G193" s="206">
        <f>$B193*Flexibility!$J$50</f>
        <v>0.33500000000000002</v>
      </c>
      <c r="H193" s="207">
        <f>$B193*Flexibility!$J$60</f>
        <v>0</v>
      </c>
      <c r="I193" s="207">
        <f>$B193-SUM(C193:H193)</f>
        <v>60.2196</v>
      </c>
      <c r="J193" s="208">
        <f>($B193-I193)/$B193</f>
        <v>0.1012</v>
      </c>
      <c r="K193" s="217">
        <f>B193-SUM(C193:D193,G193:H193)</f>
        <v>64.239599999999996</v>
      </c>
      <c r="L193" s="218">
        <f>I193</f>
        <v>60.2196</v>
      </c>
      <c r="M193" s="238">
        <f>K193</f>
        <v>64.239599999999996</v>
      </c>
    </row>
    <row r="194" spans="1:14" s="16" customFormat="1" ht="16.5" thickTop="1" thickBot="1" x14ac:dyDescent="0.3">
      <c r="A194" s="58" t="s">
        <v>79</v>
      </c>
      <c r="B194" s="239">
        <f t="shared" ref="B194" si="72">SUM(B190:B193)</f>
        <v>766</v>
      </c>
      <c r="C194" s="221">
        <f>SUM(C190:C193)</f>
        <v>4.7492000000000001</v>
      </c>
      <c r="D194" s="222">
        <f t="shared" ref="D194:I194" si="73">SUM(D190:D193)</f>
        <v>22.979999999999997</v>
      </c>
      <c r="E194" s="222">
        <f t="shared" si="73"/>
        <v>22.979999999999997</v>
      </c>
      <c r="F194" s="222">
        <f t="shared" si="73"/>
        <v>22.979999999999997</v>
      </c>
      <c r="G194" s="222">
        <f t="shared" si="73"/>
        <v>3.83</v>
      </c>
      <c r="H194" s="222">
        <f t="shared" si="73"/>
        <v>0</v>
      </c>
      <c r="I194" s="222">
        <f t="shared" si="73"/>
        <v>688.48079999999993</v>
      </c>
      <c r="J194" s="223">
        <f>($B194-I194)/$B194</f>
        <v>0.1012000000000001</v>
      </c>
      <c r="K194" s="256">
        <f>SUM(K190:K193)</f>
        <v>734.44079999999997</v>
      </c>
      <c r="L194" s="257">
        <f t="shared" ref="L194:M194" si="74">SUM(L190:L193)</f>
        <v>688.48079999999993</v>
      </c>
      <c r="M194" s="258">
        <f t="shared" si="74"/>
        <v>734.44079999999997</v>
      </c>
      <c r="N194" s="171"/>
    </row>
    <row r="195" spans="1:14" ht="13.9" customHeight="1" x14ac:dyDescent="0.25">
      <c r="B195" s="64" t="s">
        <v>218</v>
      </c>
      <c r="C195" s="64"/>
      <c r="D195" s="64"/>
      <c r="E195" s="64"/>
      <c r="F195" s="64"/>
      <c r="G195" s="64"/>
      <c r="H195" s="64"/>
      <c r="I195" s="64"/>
      <c r="J195" s="64"/>
      <c r="K195" s="64"/>
      <c r="L195" s="64"/>
    </row>
    <row r="196" spans="1:14" ht="13.9" customHeight="1" x14ac:dyDescent="0.25">
      <c r="B196" s="64"/>
      <c r="C196" s="64"/>
      <c r="D196" s="64"/>
      <c r="E196" s="64"/>
      <c r="F196" s="64"/>
      <c r="G196" s="64"/>
      <c r="H196" s="64"/>
      <c r="I196" s="64"/>
      <c r="J196" s="64"/>
      <c r="K196" s="64"/>
      <c r="L196" s="64"/>
    </row>
    <row r="197" spans="1:14" s="16" customFormat="1" x14ac:dyDescent="0.25">
      <c r="B197" s="14" t="s">
        <v>664</v>
      </c>
      <c r="C197" s="71"/>
      <c r="D197" s="71"/>
      <c r="E197" s="71"/>
      <c r="F197" s="71"/>
      <c r="G197" s="71"/>
      <c r="H197" s="71"/>
      <c r="I197" s="71"/>
      <c r="J197" s="72"/>
      <c r="K197" s="185"/>
      <c r="L197" s="185"/>
      <c r="M197" s="185"/>
    </row>
    <row r="198" spans="1:14" s="16" customFormat="1" x14ac:dyDescent="0.25">
      <c r="B198" s="1"/>
      <c r="C198" s="71"/>
      <c r="D198" s="71"/>
      <c r="E198" s="71"/>
      <c r="F198" s="71"/>
      <c r="G198" s="71"/>
      <c r="H198" s="71"/>
      <c r="I198" s="71"/>
      <c r="J198" s="72"/>
      <c r="K198" s="185"/>
      <c r="L198" s="185"/>
      <c r="M198" s="185"/>
    </row>
    <row r="199" spans="1:14" s="16" customFormat="1" x14ac:dyDescent="0.25">
      <c r="B199" s="78" t="s">
        <v>217</v>
      </c>
      <c r="C199" s="71"/>
      <c r="D199" s="71"/>
      <c r="E199" s="71"/>
      <c r="F199" s="71"/>
      <c r="G199" s="71"/>
      <c r="H199" s="71"/>
      <c r="I199" s="71"/>
      <c r="J199" s="72"/>
    </row>
    <row r="200" spans="1:14" s="7" customFormat="1" x14ac:dyDescent="0.25">
      <c r="B200" s="14" t="s">
        <v>543</v>
      </c>
    </row>
    <row r="201" spans="1:14" x14ac:dyDescent="0.25">
      <c r="B201" s="14"/>
    </row>
    <row r="202" spans="1:14" x14ac:dyDescent="0.25">
      <c r="B202" s="57" t="s">
        <v>192</v>
      </c>
    </row>
    <row r="203" spans="1:14" x14ac:dyDescent="0.25">
      <c r="B203" s="14" t="s">
        <v>534</v>
      </c>
    </row>
    <row r="204" spans="1:14" x14ac:dyDescent="0.25">
      <c r="B204" s="14" t="s">
        <v>535</v>
      </c>
    </row>
    <row r="205" spans="1:14" x14ac:dyDescent="0.25">
      <c r="B205" s="14" t="s">
        <v>536</v>
      </c>
    </row>
    <row r="206" spans="1:14" x14ac:dyDescent="0.25">
      <c r="B206" s="14" t="s">
        <v>537</v>
      </c>
    </row>
    <row r="207" spans="1:14" x14ac:dyDescent="0.25">
      <c r="B207" s="14" t="s">
        <v>553</v>
      </c>
    </row>
    <row r="208" spans="1:14" x14ac:dyDescent="0.25">
      <c r="B208" s="14" t="s">
        <v>554</v>
      </c>
    </row>
    <row r="209" spans="2:2" x14ac:dyDescent="0.25">
      <c r="B209" s="14" t="s">
        <v>538</v>
      </c>
    </row>
    <row r="210" spans="2:2" x14ac:dyDescent="0.25">
      <c r="B210" s="14" t="s">
        <v>549</v>
      </c>
    </row>
    <row r="211" spans="2:2" x14ac:dyDescent="0.25">
      <c r="B211" s="14" t="s">
        <v>548</v>
      </c>
    </row>
    <row r="212" spans="2:2" x14ac:dyDescent="0.25">
      <c r="B212" s="14" t="s">
        <v>253</v>
      </c>
    </row>
    <row r="213" spans="2:2" x14ac:dyDescent="0.25">
      <c r="B213" s="14" t="s">
        <v>254</v>
      </c>
    </row>
  </sheetData>
  <pageMargins left="0.7" right="0.7" top="0.75" bottom="0.75" header="0.3" footer="0.3"/>
  <pageSetup paperSize="5" scale="94" pageOrder="overThenDown" orientation="landscape" r:id="rId1"/>
  <headerFooter>
    <oddHeader>&amp;CPRELIMINARY DISCUSSION DRAFT - DO NOT CITE OR QUOTE</oddHeader>
    <oddFooter>&amp;L&amp;F&amp;CPage &amp;P of &amp;N&amp;R&amp;D</oddFooter>
  </headerFooter>
  <rowBreaks count="14" manualBreakCount="14">
    <brk id="14" max="16383" man="1"/>
    <brk id="25" max="16383" man="1"/>
    <brk id="55" max="16383" man="1"/>
    <brk id="65" max="16383" man="1"/>
    <brk id="74" max="16383" man="1"/>
    <brk id="95" max="16383" man="1"/>
    <brk id="108" max="16383" man="1"/>
    <brk id="120" max="16383" man="1"/>
    <brk id="141" max="16383" man="1"/>
    <brk id="149" max="16383" man="1"/>
    <brk id="156" max="16383" man="1"/>
    <brk id="175" max="16383" man="1"/>
    <brk id="185" max="16383" man="1"/>
    <brk id="19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R188"/>
  <sheetViews>
    <sheetView tabSelected="1" topLeftCell="A162" zoomScale="70" zoomScaleNormal="70" workbookViewId="0">
      <selection activeCell="B98" sqref="B98"/>
    </sheetView>
  </sheetViews>
  <sheetFormatPr defaultColWidth="9.140625" defaultRowHeight="15" x14ac:dyDescent="0.25"/>
  <cols>
    <col min="1" max="1" width="43.42578125" style="38" customWidth="1"/>
    <col min="2" max="2" width="27.7109375" style="38" customWidth="1"/>
    <col min="3" max="3" width="14.85546875" style="38" customWidth="1"/>
    <col min="4" max="4" width="19.7109375" style="38" customWidth="1"/>
    <col min="5" max="6" width="12.42578125" style="38" customWidth="1"/>
    <col min="7" max="8" width="12.42578125" style="1" customWidth="1"/>
    <col min="9" max="10" width="13.140625" style="1" bestFit="1" customWidth="1"/>
    <col min="11" max="17" width="13.7109375" style="1" customWidth="1"/>
    <col min="18" max="18" width="13.7109375" style="1" hidden="1" customWidth="1"/>
    <col min="19" max="16384" width="9.140625" style="1"/>
  </cols>
  <sheetData>
    <row r="1" spans="1:6" ht="18.75" x14ac:dyDescent="0.3">
      <c r="A1" s="314" t="s">
        <v>30</v>
      </c>
      <c r="B1" s="408" t="s">
        <v>497</v>
      </c>
      <c r="C1" s="409"/>
      <c r="D1" s="409"/>
      <c r="E1" s="122"/>
    </row>
    <row r="2" spans="1:6" ht="30" x14ac:dyDescent="0.25">
      <c r="B2" s="395" t="s">
        <v>464</v>
      </c>
      <c r="C2" s="122"/>
      <c r="D2" s="122"/>
      <c r="E2" s="122"/>
    </row>
    <row r="3" spans="1:6" x14ac:dyDescent="0.25">
      <c r="B3" s="411" t="s">
        <v>460</v>
      </c>
      <c r="C3" s="124"/>
      <c r="D3" s="124"/>
      <c r="E3" s="122"/>
    </row>
    <row r="4" spans="1:6" ht="15" customHeight="1" x14ac:dyDescent="0.3">
      <c r="A4" s="314"/>
      <c r="B4" s="517" t="s">
        <v>528</v>
      </c>
      <c r="C4" s="595"/>
      <c r="D4" s="595"/>
      <c r="E4" s="122"/>
    </row>
    <row r="5" spans="1:6" x14ac:dyDescent="0.25">
      <c r="C5" s="122"/>
      <c r="D5" s="122"/>
      <c r="E5" s="122"/>
    </row>
    <row r="6" spans="1:6" ht="15.75" x14ac:dyDescent="0.25">
      <c r="A6" s="315" t="s">
        <v>321</v>
      </c>
    </row>
    <row r="7" spans="1:6" s="74" customFormat="1" ht="15.75" x14ac:dyDescent="0.25">
      <c r="A7" s="394" t="s">
        <v>117</v>
      </c>
      <c r="B7" s="113" t="s">
        <v>118</v>
      </c>
      <c r="C7" s="301" t="s">
        <v>26</v>
      </c>
      <c r="D7" s="353"/>
      <c r="E7" s="489"/>
      <c r="F7" s="596"/>
    </row>
    <row r="8" spans="1:6" x14ac:dyDescent="0.25">
      <c r="A8" s="22" t="s">
        <v>631</v>
      </c>
      <c r="B8" s="395" t="str">
        <f>'Cost Inputs'!B6</f>
        <v>Cost per system ($)</v>
      </c>
      <c r="C8" s="600">
        <f>'Cost Inputs'!C6</f>
        <v>4900000</v>
      </c>
      <c r="D8" s="122"/>
      <c r="E8" s="122"/>
    </row>
    <row r="9" spans="1:6" x14ac:dyDescent="0.25">
      <c r="A9" s="22" t="s">
        <v>738</v>
      </c>
      <c r="B9" s="395" t="str">
        <f>'Cost Inputs'!B7</f>
        <v>Monthly cost per barge ($)</v>
      </c>
      <c r="C9" s="600">
        <f>'Cost Inputs'!C7</f>
        <v>2633.3333333333335</v>
      </c>
      <c r="D9" s="122"/>
      <c r="E9" s="122"/>
    </row>
    <row r="10" spans="1:6" x14ac:dyDescent="0.25">
      <c r="A10" s="22" t="s">
        <v>632</v>
      </c>
      <c r="B10" s="395" t="str">
        <f>'Cost Inputs'!B8</f>
        <v>Hourly cost per barge ($)</v>
      </c>
      <c r="C10" s="600">
        <f>'Cost Inputs'!C8</f>
        <v>40</v>
      </c>
      <c r="D10" s="122"/>
      <c r="E10" s="122"/>
    </row>
    <row r="11" spans="1:6" x14ac:dyDescent="0.25">
      <c r="A11" s="22" t="s">
        <v>27</v>
      </c>
      <c r="B11" s="395" t="str">
        <f>'Cost Inputs'!B9</f>
        <v>Hourly cost per barge ($)</v>
      </c>
      <c r="C11" s="600">
        <f>'Cost Inputs'!C9</f>
        <v>160</v>
      </c>
      <c r="D11" s="122"/>
      <c r="E11" s="122"/>
    </row>
    <row r="12" spans="1:6" x14ac:dyDescent="0.25">
      <c r="A12" s="22" t="s">
        <v>633</v>
      </c>
      <c r="B12" s="395" t="str">
        <f>'Cost Inputs'!B10</f>
        <v>Hourly cost per barge ($)</v>
      </c>
      <c r="C12" s="600">
        <f>'Cost Inputs'!C10</f>
        <v>500</v>
      </c>
      <c r="D12" s="122"/>
      <c r="E12" s="122"/>
    </row>
    <row r="13" spans="1:6" x14ac:dyDescent="0.25">
      <c r="A13" s="22" t="s">
        <v>634</v>
      </c>
      <c r="B13" s="395" t="str">
        <f>'Cost Inputs'!B11</f>
        <v>Tug hours per vessel visit</v>
      </c>
      <c r="C13" s="641">
        <f>'Cost Inputs'!C11</f>
        <v>2</v>
      </c>
      <c r="D13" s="122"/>
      <c r="E13" s="122"/>
    </row>
    <row r="14" spans="1:6" x14ac:dyDescent="0.25">
      <c r="A14" s="22" t="s">
        <v>635</v>
      </c>
      <c r="B14" s="395" t="str">
        <f>'Cost Inputs'!B16</f>
        <v>Daily cost per vessel visit</v>
      </c>
      <c r="C14" s="600">
        <f>'Cost Inputs'!C16</f>
        <v>300</v>
      </c>
      <c r="D14" s="122"/>
      <c r="E14" s="122"/>
    </row>
    <row r="15" spans="1:6" x14ac:dyDescent="0.25">
      <c r="A15" s="22" t="s">
        <v>636</v>
      </c>
      <c r="B15" s="395" t="str">
        <f>'Cost Inputs'!B12</f>
        <v>Cost per hour ($)</v>
      </c>
      <c r="C15" s="600">
        <f>'Cost Inputs'!C12</f>
        <v>900</v>
      </c>
      <c r="D15" s="122"/>
      <c r="E15" s="122"/>
    </row>
    <row r="16" spans="1:6" x14ac:dyDescent="0.25">
      <c r="A16" s="22" t="s">
        <v>637</v>
      </c>
      <c r="B16" s="395" t="str">
        <f>'Cost Inputs'!B13</f>
        <v>Annual cost per barge ($)</v>
      </c>
      <c r="C16" s="600">
        <f>'Cost Inputs'!C13</f>
        <v>33000</v>
      </c>
      <c r="D16" s="122"/>
      <c r="E16" s="122"/>
    </row>
    <row r="17" spans="1:5" x14ac:dyDescent="0.25">
      <c r="A17" s="22" t="s">
        <v>638</v>
      </c>
      <c r="B17" s="395" t="str">
        <f>'Cost Inputs'!B14</f>
        <v>Annual cost per barge ($)</v>
      </c>
      <c r="C17" s="600">
        <f>'Cost Inputs'!C14</f>
        <v>200000</v>
      </c>
      <c r="D17" s="122"/>
      <c r="E17" s="122"/>
    </row>
    <row r="18" spans="1:5" x14ac:dyDescent="0.25">
      <c r="A18" s="22" t="s">
        <v>639</v>
      </c>
      <c r="B18" s="395" t="str">
        <f>'Cost Inputs'!B17</f>
        <v>Annual cost per barge ($)</v>
      </c>
      <c r="C18" s="600">
        <f>'Cost Inputs'!C17</f>
        <v>800</v>
      </c>
      <c r="D18" s="122"/>
      <c r="E18" s="122"/>
    </row>
    <row r="19" spans="1:5" ht="30" x14ac:dyDescent="0.25">
      <c r="A19" s="22" t="s">
        <v>640</v>
      </c>
      <c r="B19" s="395" t="str">
        <f>'Cost Inputs'!B15</f>
        <v>Cost per approval ($)</v>
      </c>
      <c r="C19" s="600">
        <f>'Cost Inputs'!C15</f>
        <v>170000</v>
      </c>
      <c r="D19" s="122"/>
      <c r="E19" s="122"/>
    </row>
    <row r="20" spans="1:5" x14ac:dyDescent="0.25">
      <c r="A20" s="22" t="s">
        <v>29</v>
      </c>
      <c r="B20" s="395" t="str">
        <f>'Cost Inputs'!B20</f>
        <v>fraction</v>
      </c>
      <c r="C20" s="642">
        <f>'Cost Inputs'!C20</f>
        <v>0.1295</v>
      </c>
      <c r="D20" s="122"/>
      <c r="E20" s="122"/>
    </row>
    <row r="21" spans="1:5" ht="30" x14ac:dyDescent="0.25">
      <c r="A21" s="22" t="s">
        <v>641</v>
      </c>
      <c r="B21" s="395" t="str">
        <f>'Cost Inputs'!B18</f>
        <v>percent</v>
      </c>
      <c r="C21" s="643">
        <f>'Cost Inputs'!C18</f>
        <v>0.5</v>
      </c>
      <c r="D21" s="122"/>
      <c r="E21" s="122"/>
    </row>
    <row r="22" spans="1:5" x14ac:dyDescent="0.25">
      <c r="A22" s="22" t="s">
        <v>767</v>
      </c>
      <c r="B22" s="395" t="str">
        <f>'Cost Inputs'!B19</f>
        <v>Annual cost per barge ($)</v>
      </c>
      <c r="C22" s="600">
        <f>'Cost Inputs'!C19</f>
        <v>180000</v>
      </c>
      <c r="D22" s="122"/>
      <c r="E22" s="122"/>
    </row>
    <row r="23" spans="1:5" ht="15.75" customHeight="1" x14ac:dyDescent="0.25">
      <c r="D23" s="417"/>
      <c r="E23" s="417"/>
    </row>
    <row r="24" spans="1:5" ht="15.75" x14ac:dyDescent="0.25">
      <c r="A24" s="597" t="s">
        <v>280</v>
      </c>
      <c r="B24" s="301" t="s">
        <v>118</v>
      </c>
      <c r="C24" s="301" t="s">
        <v>26</v>
      </c>
      <c r="D24" s="417"/>
      <c r="E24" s="417"/>
    </row>
    <row r="25" spans="1:5" x14ac:dyDescent="0.25">
      <c r="A25" s="81" t="s">
        <v>85</v>
      </c>
      <c r="B25" s="457" t="s">
        <v>228</v>
      </c>
      <c r="C25" s="598">
        <f>'Electricity &amp; Fuel'!C9</f>
        <v>38.7546172626759</v>
      </c>
      <c r="D25" s="417"/>
      <c r="E25" s="417"/>
    </row>
    <row r="26" spans="1:5" x14ac:dyDescent="0.25">
      <c r="A26" s="81" t="s">
        <v>15</v>
      </c>
      <c r="B26" s="457" t="s">
        <v>228</v>
      </c>
      <c r="C26" s="598">
        <f>'Electricity &amp; Fuel'!C11</f>
        <v>19.8</v>
      </c>
      <c r="D26" s="417"/>
      <c r="E26" s="417"/>
    </row>
    <row r="27" spans="1:5" x14ac:dyDescent="0.25">
      <c r="A27" s="81" t="s">
        <v>281</v>
      </c>
      <c r="B27" s="457" t="s">
        <v>228</v>
      </c>
      <c r="C27" s="598">
        <f>'Electricity &amp; Fuel'!C12</f>
        <v>40.700000000000003</v>
      </c>
      <c r="D27" s="417"/>
      <c r="E27" s="417"/>
    </row>
    <row r="28" spans="1:5" x14ac:dyDescent="0.25">
      <c r="D28" s="417"/>
      <c r="E28" s="417"/>
    </row>
    <row r="29" spans="1:5" ht="30" customHeight="1" x14ac:dyDescent="0.25">
      <c r="A29" s="113" t="s">
        <v>261</v>
      </c>
      <c r="B29" s="301" t="s">
        <v>259</v>
      </c>
      <c r="C29" s="301" t="s">
        <v>26</v>
      </c>
      <c r="D29" s="301" t="s">
        <v>237</v>
      </c>
    </row>
    <row r="30" spans="1:5" ht="13.9" customHeight="1" x14ac:dyDescent="0.25">
      <c r="A30" s="22" t="s">
        <v>582</v>
      </c>
      <c r="B30" s="22" t="s">
        <v>256</v>
      </c>
      <c r="C30" s="582">
        <f>'Berths, Terminals, Vessels'!J18</f>
        <v>1</v>
      </c>
      <c r="D30" s="395">
        <f>'Berths, Terminals, Vessels'!G13</f>
        <v>2020</v>
      </c>
    </row>
    <row r="31" spans="1:5" ht="13.9" customHeight="1" x14ac:dyDescent="0.25">
      <c r="A31" s="22" t="s">
        <v>230</v>
      </c>
      <c r="B31" s="22" t="s">
        <v>256</v>
      </c>
      <c r="C31" s="582">
        <f>'Berths, Terminals, Vessels'!H65</f>
        <v>6</v>
      </c>
      <c r="D31" s="395">
        <f>'Berths, Terminals, Vessels'!D58</f>
        <v>2024</v>
      </c>
    </row>
    <row r="32" spans="1:5" x14ac:dyDescent="0.25">
      <c r="A32" s="122"/>
      <c r="B32" s="122"/>
      <c r="C32" s="599"/>
      <c r="D32" s="122"/>
      <c r="E32" s="417"/>
    </row>
    <row r="33" spans="1:9" ht="15.75" x14ac:dyDescent="0.25">
      <c r="A33" s="394" t="s">
        <v>119</v>
      </c>
      <c r="B33" s="113" t="s">
        <v>118</v>
      </c>
      <c r="C33" s="301" t="s">
        <v>26</v>
      </c>
    </row>
    <row r="34" spans="1:9" ht="13.9" customHeight="1" x14ac:dyDescent="0.25">
      <c r="A34" s="22" t="s">
        <v>642</v>
      </c>
      <c r="B34" s="395" t="str">
        <f>'Cost Inputs'!B29</f>
        <v>Cost per system ($)</v>
      </c>
      <c r="C34" s="600">
        <f>'Cost Inputs'!C29</f>
        <v>3600000</v>
      </c>
    </row>
    <row r="35" spans="1:9" ht="13.9" customHeight="1" x14ac:dyDescent="0.25">
      <c r="A35" s="22" t="s">
        <v>643</v>
      </c>
      <c r="B35" s="395" t="str">
        <f>'Cost Inputs'!B30</f>
        <v>Cost per berth ($)</v>
      </c>
      <c r="C35" s="600">
        <f>'Cost Inputs'!C30</f>
        <v>4999500</v>
      </c>
    </row>
    <row r="36" spans="1:9" ht="13.9" customHeight="1" x14ac:dyDescent="0.25">
      <c r="A36" s="22" t="s">
        <v>644</v>
      </c>
      <c r="B36" s="395" t="str">
        <f>'Cost Inputs'!B31</f>
        <v>Cost per berth ($)</v>
      </c>
      <c r="C36" s="600">
        <f>'Cost Inputs'!C31</f>
        <v>4500000</v>
      </c>
    </row>
    <row r="37" spans="1:9" ht="30" x14ac:dyDescent="0.25">
      <c r="A37" s="22" t="s">
        <v>645</v>
      </c>
      <c r="B37" s="395" t="str">
        <f>'Cost Inputs'!B32</f>
        <v>Cost per berth ($)</v>
      </c>
      <c r="C37" s="600">
        <f>'Cost Inputs'!C32</f>
        <v>7000000</v>
      </c>
    </row>
    <row r="38" spans="1:9" x14ac:dyDescent="0.25">
      <c r="A38" s="22" t="s">
        <v>27</v>
      </c>
      <c r="B38" s="395" t="str">
        <f>'Cost Inputs'!B33</f>
        <v>Hourly cost per system ($)</v>
      </c>
      <c r="C38" s="600">
        <f>'Cost Inputs'!C33</f>
        <v>0</v>
      </c>
    </row>
    <row r="39" spans="1:9" x14ac:dyDescent="0.25">
      <c r="A39" s="22" t="s">
        <v>637</v>
      </c>
      <c r="B39" s="395" t="str">
        <f>'Cost Inputs'!B34</f>
        <v>Cost per system ($)</v>
      </c>
      <c r="C39" s="600">
        <f>'Cost Inputs'!C34</f>
        <v>12000</v>
      </c>
    </row>
    <row r="40" spans="1:9" ht="13.9" customHeight="1" x14ac:dyDescent="0.25">
      <c r="A40" s="22" t="s">
        <v>646</v>
      </c>
      <c r="B40" s="395" t="str">
        <f>'Cost Inputs'!B35</f>
        <v>Cost per approval ($)</v>
      </c>
      <c r="C40" s="600">
        <f>'Cost Inputs'!C35</f>
        <v>150000</v>
      </c>
    </row>
    <row r="41" spans="1:9" x14ac:dyDescent="0.25">
      <c r="A41" s="22" t="s">
        <v>647</v>
      </c>
      <c r="B41" s="395" t="str">
        <f>'Cost Inputs'!B38</f>
        <v>Cost per hour ($)</v>
      </c>
      <c r="C41" s="600">
        <f>'Cost Inputs'!C38</f>
        <v>100</v>
      </c>
    </row>
    <row r="42" spans="1:9" x14ac:dyDescent="0.25">
      <c r="A42" s="22" t="s">
        <v>552</v>
      </c>
      <c r="B42" s="395" t="str">
        <f>'Cost Inputs'!B39</f>
        <v>fraction</v>
      </c>
      <c r="C42" s="601">
        <f>'Cost Inputs'!C39</f>
        <v>8.0199999999999994E-2</v>
      </c>
    </row>
    <row r="43" spans="1:9" ht="13.9" customHeight="1" x14ac:dyDescent="0.25">
      <c r="A43" s="22" t="s">
        <v>638</v>
      </c>
      <c r="B43" s="395" t="str">
        <f>'Cost Inputs'!B36</f>
        <v>Annual cost per system ($)</v>
      </c>
      <c r="C43" s="600">
        <f>'Cost Inputs'!C36</f>
        <v>17500</v>
      </c>
    </row>
    <row r="44" spans="1:9" x14ac:dyDescent="0.25">
      <c r="A44" s="122"/>
      <c r="B44" s="122"/>
      <c r="C44" s="599"/>
      <c r="D44" s="122"/>
      <c r="E44" s="417"/>
    </row>
    <row r="45" spans="1:9" ht="47.25" x14ac:dyDescent="0.25">
      <c r="A45" s="396" t="s">
        <v>507</v>
      </c>
      <c r="B45" s="644"/>
      <c r="C45" s="644"/>
      <c r="D45" s="644"/>
      <c r="E45" s="644"/>
      <c r="F45" s="644"/>
      <c r="G45" s="644"/>
      <c r="H45" s="644"/>
      <c r="I45" s="29"/>
    </row>
    <row r="46" spans="1:9" ht="60" x14ac:dyDescent="0.25">
      <c r="A46" s="8" t="s">
        <v>138</v>
      </c>
      <c r="B46" s="8" t="s">
        <v>26</v>
      </c>
      <c r="C46" s="8" t="s">
        <v>118</v>
      </c>
      <c r="D46" s="8" t="s">
        <v>841</v>
      </c>
      <c r="E46" s="8" t="s">
        <v>842</v>
      </c>
      <c r="F46" s="8" t="s">
        <v>843</v>
      </c>
      <c r="G46" s="8" t="s">
        <v>844</v>
      </c>
    </row>
    <row r="47" spans="1:9" x14ac:dyDescent="0.25">
      <c r="A47" s="22" t="s">
        <v>504</v>
      </c>
      <c r="B47" s="602">
        <f>'Cost Inputs'!B114</f>
        <v>500000</v>
      </c>
      <c r="C47" s="22" t="str">
        <f>'Cost Inputs'!C114</f>
        <v>per berth</v>
      </c>
      <c r="D47" s="399">
        <f>D52</f>
        <v>14</v>
      </c>
      <c r="E47" s="399">
        <f>D53</f>
        <v>20</v>
      </c>
      <c r="F47" s="121">
        <f>'Cost Inputs'!D114</f>
        <v>2020</v>
      </c>
      <c r="G47" s="121">
        <f>'Cost Inputs'!E114</f>
        <v>2022</v>
      </c>
    </row>
    <row r="48" spans="1:9" ht="30" x14ac:dyDescent="0.25">
      <c r="A48" s="22" t="s">
        <v>505</v>
      </c>
      <c r="B48" s="602">
        <f>'Cost Inputs'!B115</f>
        <v>1000000</v>
      </c>
      <c r="C48" s="22" t="str">
        <f>'Cost Inputs'!C115</f>
        <v>per berth</v>
      </c>
      <c r="D48" s="399"/>
      <c r="E48" s="399"/>
      <c r="F48" s="121"/>
      <c r="G48" s="121"/>
    </row>
    <row r="49" spans="1:18" x14ac:dyDescent="0.25">
      <c r="A49" s="122"/>
      <c r="B49" s="122"/>
      <c r="C49" s="599"/>
      <c r="D49" s="122"/>
      <c r="E49" s="417"/>
    </row>
    <row r="50" spans="1:18" ht="45" x14ac:dyDescent="0.25">
      <c r="A50" s="113" t="s">
        <v>214</v>
      </c>
      <c r="B50" s="113" t="s">
        <v>260</v>
      </c>
      <c r="C50" s="301" t="s">
        <v>259</v>
      </c>
      <c r="D50" s="300" t="s">
        <v>26</v>
      </c>
      <c r="E50" s="301" t="s">
        <v>238</v>
      </c>
    </row>
    <row r="51" spans="1:18" ht="13.9" customHeight="1" x14ac:dyDescent="0.25">
      <c r="A51" s="22" t="s">
        <v>581</v>
      </c>
      <c r="B51" s="22" t="s">
        <v>398</v>
      </c>
      <c r="C51" s="22" t="s">
        <v>257</v>
      </c>
      <c r="D51" s="115">
        <f>'Berths, Terminals, Vessels'!F65</f>
        <v>3</v>
      </c>
      <c r="E51" s="37">
        <f>'Berths, Terminals, Vessels'!D$58</f>
        <v>2024</v>
      </c>
    </row>
    <row r="52" spans="1:18" ht="30" customHeight="1" x14ac:dyDescent="0.25">
      <c r="A52" s="22" t="s">
        <v>669</v>
      </c>
      <c r="B52" s="22" t="s">
        <v>829</v>
      </c>
      <c r="C52" s="22" t="s">
        <v>258</v>
      </c>
      <c r="D52" s="115">
        <f>'Berths, Terminals, Vessels'!H78+'Berths, Terminals, Vessels'!H79</f>
        <v>14</v>
      </c>
      <c r="E52" s="37">
        <f>'Berths, Terminals, Vessels'!D$78</f>
        <v>2024</v>
      </c>
    </row>
    <row r="53" spans="1:18" ht="30" customHeight="1" x14ac:dyDescent="0.25">
      <c r="A53" s="22" t="s">
        <v>669</v>
      </c>
      <c r="B53" s="22" t="s">
        <v>830</v>
      </c>
      <c r="C53" s="22" t="s">
        <v>258</v>
      </c>
      <c r="D53" s="115">
        <f>'Berths, Terminals, Vessels'!H80+'Berths, Terminals, Vessels'!H81+'Berths, Terminals, Vessels'!H82+'Berths, Terminals, Vessels'!H83</f>
        <v>20</v>
      </c>
      <c r="E53" s="37">
        <f>'Berths, Terminals, Vessels'!D$80</f>
        <v>2026</v>
      </c>
    </row>
    <row r="54" spans="1:18" ht="30" customHeight="1" x14ac:dyDescent="0.25">
      <c r="A54" s="22" t="s">
        <v>669</v>
      </c>
      <c r="B54" s="22" t="s">
        <v>831</v>
      </c>
      <c r="C54" s="22" t="s">
        <v>258</v>
      </c>
      <c r="D54" s="115">
        <f>'Berths, Terminals, Vessels'!I78+'Berths, Terminals, Vessels'!I79</f>
        <v>14</v>
      </c>
      <c r="E54" s="37">
        <f>'Berths, Terminals, Vessels'!D$78</f>
        <v>2024</v>
      </c>
    </row>
    <row r="55" spans="1:18" ht="30" customHeight="1" x14ac:dyDescent="0.25">
      <c r="A55" s="22" t="s">
        <v>669</v>
      </c>
      <c r="B55" s="22" t="s">
        <v>832</v>
      </c>
      <c r="C55" s="22" t="s">
        <v>258</v>
      </c>
      <c r="D55" s="115">
        <f>'Berths, Terminals, Vessels'!I80+'Berths, Terminals, Vessels'!I81+'Berths, Terminals, Vessels'!I82+'Berths, Terminals, Vessels'!I83</f>
        <v>20</v>
      </c>
      <c r="E55" s="37">
        <f>'Berths, Terminals, Vessels'!D$80</f>
        <v>2026</v>
      </c>
    </row>
    <row r="56" spans="1:18" ht="15" customHeight="1" x14ac:dyDescent="0.25"/>
    <row r="57" spans="1:18" ht="15.75" x14ac:dyDescent="0.25">
      <c r="A57" s="603" t="s">
        <v>24</v>
      </c>
      <c r="B57" s="301" t="s">
        <v>16</v>
      </c>
      <c r="C57" s="604">
        <v>2019</v>
      </c>
      <c r="D57" s="604">
        <v>2020</v>
      </c>
      <c r="E57" s="604">
        <v>2021</v>
      </c>
      <c r="F57" s="73">
        <v>2022</v>
      </c>
      <c r="G57" s="73">
        <v>2023</v>
      </c>
      <c r="H57" s="73">
        <v>2024</v>
      </c>
      <c r="I57" s="73">
        <v>2025</v>
      </c>
      <c r="J57" s="73">
        <v>2026</v>
      </c>
      <c r="K57" s="73">
        <v>2027</v>
      </c>
      <c r="L57" s="73">
        <v>2028</v>
      </c>
      <c r="M57" s="73">
        <v>2029</v>
      </c>
      <c r="N57" s="73">
        <v>2030</v>
      </c>
      <c r="O57" s="79">
        <v>2031</v>
      </c>
      <c r="P57" s="79">
        <v>2032</v>
      </c>
    </row>
    <row r="58" spans="1:18" s="16" customFormat="1" x14ac:dyDescent="0.25">
      <c r="A58" s="605" t="s">
        <v>231</v>
      </c>
      <c r="B58" s="19"/>
      <c r="C58" s="606"/>
      <c r="D58" s="477"/>
      <c r="E58" s="19"/>
      <c r="F58" s="19"/>
    </row>
    <row r="59" spans="1:18" ht="30" x14ac:dyDescent="0.25">
      <c r="A59" s="348" t="s">
        <v>233</v>
      </c>
      <c r="B59" s="457" t="s">
        <v>23</v>
      </c>
      <c r="C59" s="607"/>
      <c r="D59" s="607"/>
      <c r="E59" s="608">
        <f>'Vessel Visits'!$R14</f>
        <v>55</v>
      </c>
      <c r="F59" s="193">
        <f>'Vessel Visits'!$R14</f>
        <v>55</v>
      </c>
      <c r="G59" s="193">
        <f>'Vessel Visits'!$R25</f>
        <v>55</v>
      </c>
      <c r="H59" s="193">
        <f>'Vessel Visits'!$R25</f>
        <v>55</v>
      </c>
      <c r="I59" s="193">
        <f>'Vessel Visits'!$R25</f>
        <v>55</v>
      </c>
      <c r="J59" s="193">
        <f>'Vessel Visits'!$R25</f>
        <v>55</v>
      </c>
      <c r="K59" s="193">
        <f>'Vessel Visits'!$R25</f>
        <v>55</v>
      </c>
      <c r="L59" s="193">
        <f>'Vessel Visits'!$R25</f>
        <v>55</v>
      </c>
      <c r="M59" s="193">
        <f>'Vessel Visits'!$R25</f>
        <v>55</v>
      </c>
      <c r="N59" s="193">
        <f>'Vessel Visits'!$R25</f>
        <v>55</v>
      </c>
      <c r="O59" s="193">
        <f>'Vessel Visits'!$R25</f>
        <v>55</v>
      </c>
      <c r="P59" s="193">
        <f>'Vessel Visits'!$R25</f>
        <v>55</v>
      </c>
      <c r="R59" s="9"/>
    </row>
    <row r="60" spans="1:18" ht="30" x14ac:dyDescent="0.25">
      <c r="A60" s="348" t="s">
        <v>225</v>
      </c>
      <c r="B60" s="457" t="s">
        <v>28</v>
      </c>
      <c r="C60" s="609">
        <f>Growth!F$7</f>
        <v>3.8665099247932266E-2</v>
      </c>
      <c r="D60" s="609">
        <f>Growth!F$8</f>
        <v>7.9641297146510415E-2</v>
      </c>
      <c r="E60" s="609">
        <f>Growth!F$9</f>
        <v>0.15256235056907913</v>
      </c>
      <c r="F60" s="194">
        <f>Growth!F$10</f>
        <v>0.19385114943417511</v>
      </c>
      <c r="G60" s="194">
        <f>Growth!F$11</f>
        <v>0.23786367889837565</v>
      </c>
      <c r="H60" s="194">
        <f>Growth!F$12</f>
        <v>0.28465423170158566</v>
      </c>
      <c r="I60" s="194">
        <f>Growth!F$13</f>
        <v>0.33429164292179847</v>
      </c>
      <c r="J60" s="194">
        <f>Growth!F$14</f>
        <v>0.41005488530447487</v>
      </c>
      <c r="K60" s="194">
        <f>Growth!F$15</f>
        <v>0.44448774785521072</v>
      </c>
      <c r="L60" s="194">
        <f>Growth!F$16</f>
        <v>0.48217019049045101</v>
      </c>
      <c r="M60" s="194">
        <f>Growth!F$17</f>
        <v>0.5230248906889251</v>
      </c>
      <c r="N60" s="194">
        <f>Growth!F$18</f>
        <v>0.56700845918311726</v>
      </c>
      <c r="O60" s="194">
        <f>Growth!F$19</f>
        <v>0.61410530272263486</v>
      </c>
      <c r="P60" s="194">
        <f>Growth!F$20</f>
        <v>0.69124079785891168</v>
      </c>
      <c r="R60" s="9"/>
    </row>
    <row r="61" spans="1:18" s="16" customFormat="1" ht="6" customHeight="1" x14ac:dyDescent="0.25">
      <c r="A61" s="605"/>
      <c r="B61" s="19"/>
      <c r="C61" s="606"/>
      <c r="D61" s="610"/>
      <c r="E61" s="465"/>
      <c r="F61" s="465"/>
      <c r="G61" s="157"/>
      <c r="H61" s="157"/>
      <c r="I61" s="157"/>
      <c r="J61" s="157"/>
      <c r="K61" s="157"/>
      <c r="L61" s="157"/>
      <c r="M61" s="157"/>
      <c r="N61" s="157"/>
      <c r="O61" s="157"/>
      <c r="P61" s="157"/>
      <c r="Q61" s="157"/>
    </row>
    <row r="62" spans="1:18" s="16" customFormat="1" x14ac:dyDescent="0.25">
      <c r="A62" s="605" t="s">
        <v>15</v>
      </c>
      <c r="B62" s="301" t="s">
        <v>16</v>
      </c>
      <c r="C62" s="604">
        <v>2019</v>
      </c>
      <c r="D62" s="604">
        <v>2020</v>
      </c>
      <c r="E62" s="604">
        <v>2021</v>
      </c>
      <c r="F62" s="73">
        <v>2022</v>
      </c>
      <c r="G62" s="73">
        <v>2023</v>
      </c>
      <c r="H62" s="73">
        <v>2024</v>
      </c>
      <c r="I62" s="73">
        <v>2025</v>
      </c>
      <c r="J62" s="73">
        <v>2026</v>
      </c>
      <c r="K62" s="73">
        <v>2027</v>
      </c>
      <c r="L62" s="73">
        <v>2028</v>
      </c>
      <c r="M62" s="73">
        <v>2029</v>
      </c>
      <c r="N62" s="73">
        <v>2030</v>
      </c>
      <c r="O62" s="79">
        <v>2031</v>
      </c>
      <c r="P62" s="79">
        <v>2032</v>
      </c>
      <c r="Q62" s="157"/>
    </row>
    <row r="63" spans="1:18" ht="30" x14ac:dyDescent="0.25">
      <c r="A63" s="348" t="s">
        <v>262</v>
      </c>
      <c r="B63" s="457" t="s">
        <v>23</v>
      </c>
      <c r="C63" s="607"/>
      <c r="D63" s="607"/>
      <c r="E63" s="607"/>
      <c r="F63" s="192"/>
      <c r="G63" s="192"/>
      <c r="H63" s="192"/>
      <c r="I63" s="193">
        <f>'Vessel Visits'!$K107</f>
        <v>598.56510046728965</v>
      </c>
      <c r="J63" s="193">
        <f>'Vessel Visits'!$K120</f>
        <v>598.56510046728965</v>
      </c>
      <c r="K63" s="193">
        <f>'Vessel Visits'!$K120</f>
        <v>598.56510046728965</v>
      </c>
      <c r="L63" s="193">
        <f>'Vessel Visits'!$K120</f>
        <v>598.56510046728965</v>
      </c>
      <c r="M63" s="193">
        <f>'Vessel Visits'!$K120</f>
        <v>598.56510046728965</v>
      </c>
      <c r="N63" s="193">
        <f>'Vessel Visits'!$K120</f>
        <v>598.56510046728965</v>
      </c>
      <c r="O63" s="193">
        <f>'Vessel Visits'!$K120</f>
        <v>598.56510046728965</v>
      </c>
      <c r="P63" s="193">
        <f>'Vessel Visits'!$K120</f>
        <v>598.56510046728965</v>
      </c>
      <c r="R63" s="9"/>
    </row>
    <row r="64" spans="1:18" ht="30" x14ac:dyDescent="0.25">
      <c r="A64" s="348" t="s">
        <v>263</v>
      </c>
      <c r="B64" s="457" t="s">
        <v>23</v>
      </c>
      <c r="C64" s="607"/>
      <c r="D64" s="607"/>
      <c r="E64" s="607"/>
      <c r="F64" s="192"/>
      <c r="G64" s="192"/>
      <c r="H64" s="192"/>
      <c r="I64" s="193">
        <f>'Vessel Visits'!$L107</f>
        <v>376.57014205607476</v>
      </c>
      <c r="J64" s="193">
        <f>'Vessel Visits'!$L120</f>
        <v>376.57014205607476</v>
      </c>
      <c r="K64" s="193">
        <f>'Vessel Visits'!$L120</f>
        <v>376.57014205607476</v>
      </c>
      <c r="L64" s="193">
        <f>'Vessel Visits'!$L120</f>
        <v>376.57014205607476</v>
      </c>
      <c r="M64" s="193">
        <f>'Vessel Visits'!$L120</f>
        <v>376.57014205607476</v>
      </c>
      <c r="N64" s="193">
        <f>'Vessel Visits'!$L120</f>
        <v>376.57014205607476</v>
      </c>
      <c r="O64" s="193">
        <f>'Vessel Visits'!$L120</f>
        <v>376.57014205607476</v>
      </c>
      <c r="P64" s="193">
        <f>'Vessel Visits'!$L120</f>
        <v>376.57014205607476</v>
      </c>
      <c r="R64" s="9"/>
    </row>
    <row r="65" spans="1:18" x14ac:dyDescent="0.25">
      <c r="A65" s="348" t="s">
        <v>226</v>
      </c>
      <c r="B65" s="457" t="s">
        <v>28</v>
      </c>
      <c r="C65" s="609">
        <f>Growth!H$7</f>
        <v>3.6721349367557554E-2</v>
      </c>
      <c r="D65" s="609">
        <f>Growth!H$8</f>
        <v>7.4987179834447554E-2</v>
      </c>
      <c r="E65" s="609">
        <f>Growth!H$9</f>
        <v>0.11487071873903137</v>
      </c>
      <c r="F65" s="194">
        <f>Growth!H$10</f>
        <v>0.15102739754508301</v>
      </c>
      <c r="G65" s="194">
        <f>Growth!G$11</f>
        <v>0.24654935829988212</v>
      </c>
      <c r="H65" s="194">
        <f>Growth!H$12</f>
        <v>0.21887580559911993</v>
      </c>
      <c r="I65" s="194">
        <f>Growth!H$13</f>
        <v>0.2544794366551939</v>
      </c>
      <c r="J65" s="194">
        <f>Growth!H$14</f>
        <v>0.29125791799611689</v>
      </c>
      <c r="K65" s="194">
        <f>Growth!H$15</f>
        <v>0.32914486406438159</v>
      </c>
      <c r="L65" s="194">
        <f>Growth!H$16</f>
        <v>0.35936354031630968</v>
      </c>
      <c r="M65" s="194">
        <f>Growth!H$17</f>
        <v>0.39027252206645779</v>
      </c>
      <c r="N65" s="194">
        <f>Growth!H$18</f>
        <v>0.42188765098325831</v>
      </c>
      <c r="O65" s="194">
        <f>Growth!H$19</f>
        <v>0.45422513389525299</v>
      </c>
      <c r="P65" s="194">
        <f>Growth!H$20</f>
        <v>0.48860137895136968</v>
      </c>
      <c r="R65" s="9"/>
    </row>
    <row r="66" spans="1:18" s="16" customFormat="1" ht="6" customHeight="1" x14ac:dyDescent="0.25">
      <c r="A66" s="605"/>
      <c r="B66" s="19"/>
      <c r="C66" s="606"/>
      <c r="D66" s="610"/>
      <c r="E66" s="465"/>
      <c r="F66" s="465"/>
      <c r="G66" s="157"/>
      <c r="H66" s="157"/>
      <c r="I66" s="157"/>
      <c r="J66" s="157"/>
      <c r="K66" s="157"/>
      <c r="L66" s="157"/>
      <c r="M66" s="157"/>
      <c r="N66" s="157"/>
      <c r="O66" s="157"/>
      <c r="P66" s="157"/>
      <c r="Q66" s="157"/>
    </row>
    <row r="67" spans="1:18" s="16" customFormat="1" x14ac:dyDescent="0.25">
      <c r="A67" s="605" t="s">
        <v>109</v>
      </c>
      <c r="B67" s="301" t="s">
        <v>16</v>
      </c>
      <c r="C67" s="604">
        <v>2019</v>
      </c>
      <c r="D67" s="604">
        <v>2020</v>
      </c>
      <c r="E67" s="604">
        <v>2021</v>
      </c>
      <c r="F67" s="73">
        <v>2022</v>
      </c>
      <c r="G67" s="73">
        <v>2023</v>
      </c>
      <c r="H67" s="73">
        <v>2024</v>
      </c>
      <c r="I67" s="73">
        <v>2025</v>
      </c>
      <c r="J67" s="73">
        <v>2026</v>
      </c>
      <c r="K67" s="73">
        <v>2027</v>
      </c>
      <c r="L67" s="73">
        <v>2028</v>
      </c>
      <c r="M67" s="73">
        <v>2029</v>
      </c>
      <c r="N67" s="73">
        <v>2030</v>
      </c>
      <c r="O67" s="79">
        <v>2031</v>
      </c>
      <c r="P67" s="79">
        <v>2032</v>
      </c>
      <c r="Q67" s="157"/>
    </row>
    <row r="68" spans="1:18" ht="30" x14ac:dyDescent="0.25">
      <c r="A68" s="348" t="s">
        <v>833</v>
      </c>
      <c r="B68" s="457" t="s">
        <v>23</v>
      </c>
      <c r="C68" s="607"/>
      <c r="D68" s="607"/>
      <c r="E68" s="607"/>
      <c r="F68" s="192"/>
      <c r="G68" s="192"/>
      <c r="H68" s="192"/>
      <c r="I68" s="192"/>
      <c r="J68" s="192"/>
      <c r="K68" s="193">
        <f>'Vessel Visits'!$K148</f>
        <v>552.22759999999994</v>
      </c>
      <c r="L68" s="193">
        <f>'Vessel Visits'!$K156</f>
        <v>552.22759999999994</v>
      </c>
      <c r="M68" s="193">
        <f>'Vessel Visits'!$K156</f>
        <v>552.22759999999994</v>
      </c>
      <c r="N68" s="193">
        <f>'Vessel Visits'!$K156</f>
        <v>552.22759999999994</v>
      </c>
      <c r="O68" s="193">
        <f>'Vessel Visits'!$K156</f>
        <v>552.22759999999994</v>
      </c>
      <c r="P68" s="193">
        <f>'Vessel Visits'!$K156</f>
        <v>552.22759999999994</v>
      </c>
      <c r="R68" s="9"/>
    </row>
    <row r="69" spans="1:18" ht="30" x14ac:dyDescent="0.25">
      <c r="A69" s="348" t="s">
        <v>834</v>
      </c>
      <c r="B69" s="457" t="s">
        <v>23</v>
      </c>
      <c r="C69" s="607"/>
      <c r="D69" s="607"/>
      <c r="E69" s="607"/>
      <c r="F69" s="192"/>
      <c r="G69" s="192"/>
      <c r="H69" s="192"/>
      <c r="I69" s="192"/>
      <c r="J69" s="192"/>
      <c r="K69" s="192"/>
      <c r="L69" s="192"/>
      <c r="M69" s="193">
        <f>'Vessel Visits'!$K184</f>
        <v>734.44079999999997</v>
      </c>
      <c r="N69" s="193">
        <f>'Vessel Visits'!$K194</f>
        <v>734.44079999999997</v>
      </c>
      <c r="O69" s="193">
        <f>'Vessel Visits'!$K194</f>
        <v>734.44079999999997</v>
      </c>
      <c r="P69" s="193">
        <f>'Vessel Visits'!$K194</f>
        <v>734.44079999999997</v>
      </c>
      <c r="R69" s="9"/>
    </row>
    <row r="70" spans="1:18" x14ac:dyDescent="0.25">
      <c r="A70" s="348" t="s">
        <v>227</v>
      </c>
      <c r="B70" s="457" t="s">
        <v>28</v>
      </c>
      <c r="C70" s="609">
        <f>Growth!I$7</f>
        <v>4.8046931054337438E-3</v>
      </c>
      <c r="D70" s="609">
        <f>Growth!I$8</f>
        <v>9.7795845679310989E-3</v>
      </c>
      <c r="E70" s="609">
        <f>Growth!I$9</f>
        <v>1.492791402705583E-2</v>
      </c>
      <c r="F70" s="194">
        <f>Growth!I$10</f>
        <v>2.6628462023319498E-2</v>
      </c>
      <c r="G70" s="194">
        <f>Growth!I$11</f>
        <v>3.4642567685373271E-2</v>
      </c>
      <c r="H70" s="194">
        <f>Growth!I$12</f>
        <v>4.2769630813193044E-2</v>
      </c>
      <c r="I70" s="194">
        <f>Growth!I$13</f>
        <v>5.1013291136714503E-2</v>
      </c>
      <c r="J70" s="194">
        <f>Growth!I$14</f>
        <v>5.9377352889062179E-2</v>
      </c>
      <c r="K70" s="194">
        <f>Growth!I$15</f>
        <v>7.0987745336126756E-2</v>
      </c>
      <c r="L70" s="194">
        <f>Growth!I$16</f>
        <v>8.2319423047410883E-2</v>
      </c>
      <c r="M70" s="194">
        <f>Growth!I$17</f>
        <v>9.3817950353126484E-2</v>
      </c>
      <c r="N70" s="194">
        <f>Growth!I$18</f>
        <v>0.10548686029160387</v>
      </c>
      <c r="O70" s="194">
        <f>Growth!I$19</f>
        <v>0.11732978702575415</v>
      </c>
      <c r="P70" s="194">
        <f>Growth!I$20</f>
        <v>0.13037367245195625</v>
      </c>
      <c r="R70" s="9"/>
    </row>
    <row r="71" spans="1:18" s="16" customFormat="1" ht="6" customHeight="1" x14ac:dyDescent="0.25">
      <c r="A71" s="605"/>
      <c r="B71" s="19"/>
      <c r="C71" s="606"/>
      <c r="D71" s="610"/>
      <c r="E71" s="465"/>
      <c r="F71" s="465"/>
      <c r="G71" s="157"/>
      <c r="H71" s="157"/>
      <c r="I71" s="157"/>
      <c r="J71" s="157"/>
      <c r="K71" s="157"/>
      <c r="L71" s="157"/>
      <c r="M71" s="157"/>
      <c r="N71" s="157"/>
      <c r="O71" s="157"/>
      <c r="P71" s="157"/>
      <c r="Q71" s="157"/>
    </row>
    <row r="72" spans="1:18" s="155" customFormat="1" ht="30" x14ac:dyDescent="0.25">
      <c r="A72" s="611" t="s">
        <v>472</v>
      </c>
      <c r="B72" s="301" t="s">
        <v>16</v>
      </c>
      <c r="C72" s="604">
        <v>2019</v>
      </c>
      <c r="D72" s="604">
        <v>2020</v>
      </c>
      <c r="E72" s="604">
        <v>2021</v>
      </c>
      <c r="F72" s="73">
        <v>2022</v>
      </c>
      <c r="G72" s="73">
        <v>2023</v>
      </c>
      <c r="H72" s="73">
        <v>2024</v>
      </c>
      <c r="I72" s="73">
        <v>2025</v>
      </c>
      <c r="J72" s="73">
        <v>2026</v>
      </c>
      <c r="K72" s="73">
        <v>2027</v>
      </c>
      <c r="L72" s="73">
        <v>2028</v>
      </c>
      <c r="M72" s="73">
        <v>2029</v>
      </c>
      <c r="N72" s="73">
        <v>2030</v>
      </c>
      <c r="O72" s="79">
        <v>2031</v>
      </c>
      <c r="P72" s="79">
        <v>2032</v>
      </c>
      <c r="Q72" s="195"/>
    </row>
    <row r="73" spans="1:18" s="83" customFormat="1" x14ac:dyDescent="0.25">
      <c r="A73" s="615" t="s">
        <v>473</v>
      </c>
      <c r="B73" s="616" t="s">
        <v>28</v>
      </c>
      <c r="C73" s="617">
        <f t="shared" ref="C73:P73" si="0">$C30/($C30+$C31)*C60+$C31/($C30+$C31)*C65</f>
        <v>3.6999027921896799E-2</v>
      </c>
      <c r="D73" s="617">
        <f t="shared" si="0"/>
        <v>7.5652053736170816E-2</v>
      </c>
      <c r="E73" s="617">
        <f t="shared" si="0"/>
        <v>0.12025523757189532</v>
      </c>
      <c r="F73" s="196">
        <f t="shared" si="0"/>
        <v>0.15714507638638187</v>
      </c>
      <c r="G73" s="196">
        <f t="shared" si="0"/>
        <v>0.24530854695680976</v>
      </c>
      <c r="H73" s="196">
        <f t="shared" si="0"/>
        <v>0.22827272361375789</v>
      </c>
      <c r="I73" s="196">
        <f t="shared" si="0"/>
        <v>0.26588118040756598</v>
      </c>
      <c r="J73" s="196">
        <f t="shared" si="0"/>
        <v>0.30822891332588231</v>
      </c>
      <c r="K73" s="196">
        <f t="shared" si="0"/>
        <v>0.34562241889164286</v>
      </c>
      <c r="L73" s="196">
        <f t="shared" si="0"/>
        <v>0.37690734748404414</v>
      </c>
      <c r="M73" s="196">
        <f t="shared" si="0"/>
        <v>0.40923714615538165</v>
      </c>
      <c r="N73" s="196">
        <f t="shared" si="0"/>
        <v>0.44261919501180957</v>
      </c>
      <c r="O73" s="196">
        <f t="shared" si="0"/>
        <v>0.47706515801345034</v>
      </c>
      <c r="P73" s="196">
        <f t="shared" si="0"/>
        <v>0.51754986736673281</v>
      </c>
    </row>
    <row r="74" spans="1:18" s="83" customFormat="1" x14ac:dyDescent="0.25">
      <c r="A74" s="615" t="s">
        <v>474</v>
      </c>
      <c r="B74" s="616" t="s">
        <v>28</v>
      </c>
      <c r="C74" s="617">
        <f t="shared" ref="C74:P74" si="1">$D51/(SUM($D51:$D53))*C65+SUM($D52:$D53)/(SUM($D51:$D53))*C70</f>
        <v>7.3925300996599986E-3</v>
      </c>
      <c r="D74" s="617">
        <f t="shared" si="1"/>
        <v>1.5066686886837839E-2</v>
      </c>
      <c r="E74" s="617">
        <f t="shared" si="1"/>
        <v>2.3031384679378174E-2</v>
      </c>
      <c r="F74" s="196">
        <f t="shared" si="1"/>
        <v>3.6714862200759785E-2</v>
      </c>
      <c r="G74" s="196">
        <f t="shared" si="1"/>
        <v>5.1824199356819936E-2</v>
      </c>
      <c r="H74" s="196">
        <f t="shared" si="1"/>
        <v>5.7048509849889822E-2</v>
      </c>
      <c r="I74" s="196">
        <f t="shared" si="1"/>
        <v>6.7510546178753378E-2</v>
      </c>
      <c r="J74" s="196">
        <f t="shared" si="1"/>
        <v>7.8178479789634187E-2</v>
      </c>
      <c r="K74" s="196">
        <f t="shared" si="1"/>
        <v>9.1919403611390671E-2</v>
      </c>
      <c r="L74" s="196">
        <f t="shared" si="1"/>
        <v>0.10478245958272701</v>
      </c>
      <c r="M74" s="196">
        <f t="shared" si="1"/>
        <v>0.11785480751907226</v>
      </c>
      <c r="N74" s="196">
        <f t="shared" si="1"/>
        <v>0.13114097845579206</v>
      </c>
      <c r="O74" s="196">
        <f t="shared" si="1"/>
        <v>0.14464562596111893</v>
      </c>
      <c r="P74" s="196">
        <f t="shared" si="1"/>
        <v>0.15941916216812491</v>
      </c>
    </row>
    <row r="75" spans="1:18" s="155" customFormat="1" x14ac:dyDescent="0.25">
      <c r="A75" s="611"/>
      <c r="B75" s="612"/>
      <c r="C75" s="613"/>
      <c r="D75" s="614"/>
      <c r="E75" s="614"/>
      <c r="F75" s="614"/>
      <c r="G75" s="195"/>
      <c r="H75" s="195"/>
      <c r="I75" s="195"/>
      <c r="J75" s="195"/>
      <c r="K75" s="195"/>
      <c r="L75" s="195"/>
      <c r="M75" s="195"/>
      <c r="N75" s="195"/>
      <c r="O75" s="195"/>
      <c r="P75" s="195"/>
      <c r="Q75" s="195"/>
    </row>
    <row r="76" spans="1:18" s="155" customFormat="1" x14ac:dyDescent="0.25">
      <c r="A76" s="611" t="s">
        <v>232</v>
      </c>
      <c r="B76" s="301" t="s">
        <v>16</v>
      </c>
      <c r="C76" s="604">
        <v>2019</v>
      </c>
      <c r="D76" s="604">
        <v>2020</v>
      </c>
      <c r="E76" s="604">
        <v>2021</v>
      </c>
      <c r="F76" s="73">
        <v>2022</v>
      </c>
      <c r="G76" s="73">
        <v>2023</v>
      </c>
      <c r="H76" s="73">
        <v>2024</v>
      </c>
      <c r="I76" s="73">
        <v>2025</v>
      </c>
      <c r="J76" s="73">
        <v>2026</v>
      </c>
      <c r="K76" s="73">
        <v>2027</v>
      </c>
      <c r="L76" s="73">
        <v>2028</v>
      </c>
      <c r="M76" s="73">
        <v>2029</v>
      </c>
      <c r="N76" s="73">
        <v>2030</v>
      </c>
      <c r="O76" s="79">
        <v>2031</v>
      </c>
      <c r="P76" s="79">
        <v>2032</v>
      </c>
      <c r="Q76" s="195"/>
    </row>
    <row r="77" spans="1:18" s="83" customFormat="1" ht="30" x14ac:dyDescent="0.25">
      <c r="A77" s="615" t="s">
        <v>234</v>
      </c>
      <c r="B77" s="616" t="s">
        <v>23</v>
      </c>
      <c r="C77" s="618">
        <f>'Cost Inputs'!C46/2+'Cost Inputs'!C47/2</f>
        <v>1</v>
      </c>
      <c r="D77" s="618">
        <f>'Cost Inputs'!C46/2+'Cost Inputs'!C47/2</f>
        <v>1</v>
      </c>
      <c r="E77" s="619"/>
      <c r="F77" s="198"/>
      <c r="G77" s="197">
        <f>'Cost Inputs'!C$48/2</f>
        <v>0.5</v>
      </c>
      <c r="H77" s="197">
        <f>'Cost Inputs'!C$48/2</f>
        <v>0.5</v>
      </c>
      <c r="I77" s="198"/>
      <c r="J77" s="198"/>
      <c r="K77" s="198"/>
      <c r="L77" s="198"/>
      <c r="M77" s="198"/>
      <c r="N77" s="198"/>
      <c r="O77" s="198"/>
      <c r="P77" s="198"/>
    </row>
    <row r="78" spans="1:18" s="83" customFormat="1" ht="30" x14ac:dyDescent="0.25">
      <c r="A78" s="615" t="s">
        <v>235</v>
      </c>
      <c r="B78" s="616" t="s">
        <v>23</v>
      </c>
      <c r="C78" s="619"/>
      <c r="D78" s="619"/>
      <c r="E78" s="619"/>
      <c r="F78" s="198"/>
      <c r="G78" s="197">
        <f>'Cost Inputs'!C$48/2</f>
        <v>0.5</v>
      </c>
      <c r="H78" s="197">
        <f>'Cost Inputs'!C$48/2</f>
        <v>0.5</v>
      </c>
      <c r="I78" s="197">
        <f>'Cost Inputs'!C49/2</f>
        <v>0.5</v>
      </c>
      <c r="J78" s="197">
        <f>'Cost Inputs'!C49/2</f>
        <v>0.5</v>
      </c>
      <c r="K78" s="197">
        <f>'Cost Inputs'!C50/2</f>
        <v>0.5</v>
      </c>
      <c r="L78" s="197">
        <f>'Cost Inputs'!C50/2</f>
        <v>0.5</v>
      </c>
      <c r="M78" s="198"/>
      <c r="N78" s="198"/>
      <c r="O78" s="198"/>
      <c r="P78" s="198"/>
    </row>
    <row r="80" spans="1:18" ht="15" customHeight="1" x14ac:dyDescent="0.25">
      <c r="A80" s="315" t="s">
        <v>320</v>
      </c>
    </row>
    <row r="81" spans="1:18" s="83" customFormat="1" ht="45" x14ac:dyDescent="0.25">
      <c r="A81" s="8" t="s">
        <v>583</v>
      </c>
      <c r="B81" s="302" t="s">
        <v>22</v>
      </c>
      <c r="C81" s="302" t="s">
        <v>81</v>
      </c>
      <c r="D81" s="302">
        <v>2019</v>
      </c>
      <c r="E81" s="302">
        <v>2020</v>
      </c>
      <c r="F81" s="302">
        <v>2021</v>
      </c>
      <c r="G81" s="307">
        <v>2022</v>
      </c>
      <c r="H81" s="307">
        <v>2023</v>
      </c>
      <c r="I81" s="307">
        <v>2024</v>
      </c>
      <c r="J81" s="307">
        <v>2025</v>
      </c>
      <c r="K81" s="307">
        <v>2026</v>
      </c>
      <c r="L81" s="307">
        <v>2027</v>
      </c>
      <c r="M81" s="307">
        <v>2028</v>
      </c>
      <c r="N81" s="307">
        <v>2029</v>
      </c>
      <c r="O81" s="307">
        <v>2030</v>
      </c>
      <c r="P81" s="84">
        <v>2031</v>
      </c>
      <c r="Q81" s="84">
        <v>2032</v>
      </c>
    </row>
    <row r="82" spans="1:18" ht="30" x14ac:dyDescent="0.25">
      <c r="A82" s="620" t="s">
        <v>264</v>
      </c>
      <c r="B82" s="102" t="s">
        <v>31</v>
      </c>
      <c r="C82" s="81" t="s">
        <v>13</v>
      </c>
      <c r="D82" s="607"/>
      <c r="E82" s="607"/>
      <c r="F82" s="511">
        <f t="shared" ref="F82:Q82" si="2">E59*$C15*(1+E60)*$C25</f>
        <v>2211022.0819999003</v>
      </c>
      <c r="G82" s="187">
        <f t="shared" si="2"/>
        <v>2290228.5960638938</v>
      </c>
      <c r="H82" s="187">
        <f t="shared" si="2"/>
        <v>2374660.1884041871</v>
      </c>
      <c r="I82" s="187">
        <f t="shared" si="2"/>
        <v>2464421.0116913598</v>
      </c>
      <c r="J82" s="187">
        <f t="shared" si="2"/>
        <v>2559643.1159419548</v>
      </c>
      <c r="K82" s="187">
        <f t="shared" si="2"/>
        <v>2704983.8012673934</v>
      </c>
      <c r="L82" s="187">
        <f t="shared" si="2"/>
        <v>2771038.2055332926</v>
      </c>
      <c r="M82" s="187">
        <f t="shared" si="2"/>
        <v>2843326.4533049404</v>
      </c>
      <c r="N82" s="187">
        <f t="shared" si="2"/>
        <v>2921700.2126488159</v>
      </c>
      <c r="O82" s="187">
        <f t="shared" si="2"/>
        <v>3006076.2476093513</v>
      </c>
      <c r="P82" s="187">
        <f t="shared" si="2"/>
        <v>3096424.6448192312</v>
      </c>
      <c r="Q82" s="187">
        <f t="shared" si="2"/>
        <v>3244397.7960922145</v>
      </c>
      <c r="R82" s="9"/>
    </row>
    <row r="83" spans="1:18" s="16" customFormat="1" ht="9" customHeight="1" x14ac:dyDescent="0.25">
      <c r="A83" s="605"/>
      <c r="B83" s="19"/>
      <c r="C83" s="606"/>
      <c r="D83" s="610"/>
      <c r="E83" s="465"/>
      <c r="F83" s="465"/>
      <c r="G83" s="157"/>
      <c r="H83" s="157"/>
      <c r="I83" s="157"/>
      <c r="J83" s="157"/>
      <c r="K83" s="157"/>
      <c r="L83" s="157"/>
      <c r="M83" s="157"/>
      <c r="N83" s="157"/>
      <c r="O83" s="157"/>
      <c r="P83" s="157"/>
      <c r="Q83" s="157"/>
    </row>
    <row r="84" spans="1:18" x14ac:dyDescent="0.25">
      <c r="A84" s="620" t="s">
        <v>272</v>
      </c>
      <c r="B84" s="102" t="s">
        <v>31</v>
      </c>
      <c r="C84" s="81" t="s">
        <v>15</v>
      </c>
      <c r="D84" s="607"/>
      <c r="E84" s="607"/>
      <c r="F84" s="607"/>
      <c r="G84" s="192"/>
      <c r="H84" s="192"/>
      <c r="I84" s="192"/>
      <c r="J84" s="187">
        <f t="shared" ref="J84:Q84" si="3">I63*(1+I65)*$C15*$C26</f>
        <v>13380817.210835552</v>
      </c>
      <c r="K84" s="187">
        <f t="shared" si="3"/>
        <v>13773112.310886905</v>
      </c>
      <c r="L84" s="187">
        <f t="shared" si="3"/>
        <v>14177230.772460047</v>
      </c>
      <c r="M84" s="187">
        <f t="shared" si="3"/>
        <v>14499556.170123462</v>
      </c>
      <c r="N84" s="187">
        <f t="shared" si="3"/>
        <v>14829244.663124615</v>
      </c>
      <c r="O84" s="187">
        <f t="shared" si="3"/>
        <v>15166465.225512346</v>
      </c>
      <c r="P84" s="187">
        <f t="shared" si="3"/>
        <v>15511390.726290284</v>
      </c>
      <c r="Q84" s="187">
        <f t="shared" si="3"/>
        <v>15878062.540949307</v>
      </c>
      <c r="R84" s="9"/>
    </row>
    <row r="85" spans="1:18" s="16" customFormat="1" ht="9" customHeight="1" x14ac:dyDescent="0.25">
      <c r="A85" s="605"/>
      <c r="B85" s="19"/>
      <c r="C85" s="606"/>
      <c r="D85" s="610"/>
      <c r="E85" s="465"/>
      <c r="F85" s="465"/>
      <c r="G85" s="157"/>
      <c r="H85" s="157"/>
      <c r="I85" s="157"/>
      <c r="J85" s="157"/>
      <c r="K85" s="157"/>
      <c r="L85" s="157"/>
      <c r="M85" s="157"/>
      <c r="N85" s="157"/>
      <c r="O85" s="157"/>
      <c r="P85" s="157"/>
      <c r="Q85" s="157"/>
    </row>
    <row r="86" spans="1:18" s="83" customFormat="1" ht="75" x14ac:dyDescent="0.25">
      <c r="A86" s="161" t="s">
        <v>475</v>
      </c>
      <c r="B86" s="392" t="s">
        <v>33</v>
      </c>
      <c r="C86" s="392" t="s">
        <v>706</v>
      </c>
      <c r="D86" s="607"/>
      <c r="E86" s="621">
        <f>$C30*$C8*$C20*(1+D60)</f>
        <v>685086.38510431815</v>
      </c>
      <c r="F86" s="621">
        <f>$C30*$C8*$C20*(1+E60)</f>
        <v>731358.43955360923</v>
      </c>
      <c r="G86" s="199">
        <f>$C30*$C8*$C20*(1+F60)</f>
        <v>757558.24687345582</v>
      </c>
      <c r="H86" s="199">
        <f>$C30*$C8*$C20*(1+G60)</f>
        <v>785486.39744496427</v>
      </c>
      <c r="I86" s="199">
        <f>$C30*$C$8*$C$20*(1+H60)</f>
        <v>815177.34272624122</v>
      </c>
      <c r="J86" s="199">
        <f>$C30*$C8*$C20*(1+I60)</f>
        <v>846674.76201602712</v>
      </c>
      <c r="K86" s="199">
        <f>$C30*$C8*$C20*(1+J60)</f>
        <v>894750.3274699545</v>
      </c>
      <c r="L86" s="199">
        <f>$C30*$C8*$C20*(1+K60)</f>
        <v>916599.70040152397</v>
      </c>
      <c r="M86" s="199">
        <f>$C30*$C8*$C20*(1+L60)</f>
        <v>940511.09437571571</v>
      </c>
      <c r="N86" s="199">
        <f>$C30*$C8*$C20*(1+M60)</f>
        <v>966435.44438665744</v>
      </c>
      <c r="O86" s="199">
        <f>$C30*$C8*$C20*(1+N60)*$C21</f>
        <v>497172.60888732353</v>
      </c>
      <c r="P86" s="199">
        <f>$C30*$C8*$C20*(1+O60)*$C21</f>
        <v>512115.25992132397</v>
      </c>
      <c r="Q86" s="199">
        <f>$C30*$C8*$C20*(1+P60)*$C21</f>
        <v>536588.42414068617</v>
      </c>
      <c r="R86" s="9"/>
    </row>
    <row r="87" spans="1:18" s="83" customFormat="1" ht="75" x14ac:dyDescent="0.25">
      <c r="A87" s="161" t="s">
        <v>476</v>
      </c>
      <c r="B87" s="392" t="s">
        <v>33</v>
      </c>
      <c r="C87" s="392" t="s">
        <v>706</v>
      </c>
      <c r="D87" s="607"/>
      <c r="E87" s="607"/>
      <c r="F87" s="607"/>
      <c r="G87" s="192"/>
      <c r="H87" s="192"/>
      <c r="I87" s="199">
        <f t="shared" ref="I87:Q87" si="4">$C31*$C$8*$C$20*(1+H65)</f>
        <v>4640625.8546575299</v>
      </c>
      <c r="J87" s="199">
        <f t="shared" si="4"/>
        <v>4776179.5591773195</v>
      </c>
      <c r="K87" s="199">
        <f t="shared" si="4"/>
        <v>4916206.2711866153</v>
      </c>
      <c r="L87" s="199">
        <f t="shared" si="4"/>
        <v>5060453.2409523204</v>
      </c>
      <c r="M87" s="199">
        <f t="shared" si="4"/>
        <v>5175504.8070462858</v>
      </c>
      <c r="N87" s="199">
        <f t="shared" si="4"/>
        <v>5293184.5732636247</v>
      </c>
      <c r="O87" s="199">
        <f t="shared" si="4"/>
        <v>5413552.8535885597</v>
      </c>
      <c r="P87" s="199">
        <f t="shared" si="4"/>
        <v>5536671.3522793967</v>
      </c>
      <c r="Q87" s="199">
        <f t="shared" si="4"/>
        <v>5667552.0300815497</v>
      </c>
      <c r="R87" s="9"/>
    </row>
    <row r="88" spans="1:18" s="83" customFormat="1" ht="75" x14ac:dyDescent="0.25">
      <c r="A88" s="161" t="s">
        <v>477</v>
      </c>
      <c r="B88" s="392" t="s">
        <v>33</v>
      </c>
      <c r="C88" s="392" t="s">
        <v>706</v>
      </c>
      <c r="D88" s="622">
        <f>C77*$C19*C60</f>
        <v>6573.0668721484853</v>
      </c>
      <c r="E88" s="622">
        <f>D77*$C19*D60</f>
        <v>13539.02051490677</v>
      </c>
      <c r="F88" s="607"/>
      <c r="G88" s="192"/>
      <c r="H88" s="192"/>
      <c r="I88" s="192"/>
      <c r="J88" s="192"/>
      <c r="K88" s="192"/>
      <c r="L88" s="192"/>
      <c r="M88" s="192"/>
      <c r="N88" s="192"/>
      <c r="O88" s="192"/>
      <c r="P88" s="192"/>
      <c r="Q88" s="192"/>
      <c r="R88" s="9"/>
    </row>
    <row r="89" spans="1:18" s="83" customFormat="1" ht="75" x14ac:dyDescent="0.25">
      <c r="A89" s="161" t="s">
        <v>478</v>
      </c>
      <c r="B89" s="392" t="s">
        <v>33</v>
      </c>
      <c r="C89" s="392" t="s">
        <v>706</v>
      </c>
      <c r="D89" s="607"/>
      <c r="E89" s="607"/>
      <c r="F89" s="607"/>
      <c r="G89" s="192"/>
      <c r="H89" s="200">
        <f>G77*$C19*G65</f>
        <v>20956.695455489978</v>
      </c>
      <c r="I89" s="200">
        <f>H77*$C19*H65</f>
        <v>18604.443475925193</v>
      </c>
      <c r="J89" s="192"/>
      <c r="K89" s="192"/>
      <c r="L89" s="192"/>
      <c r="M89" s="192"/>
      <c r="N89" s="192"/>
      <c r="O89" s="192"/>
      <c r="P89" s="192"/>
      <c r="Q89" s="192"/>
      <c r="R89" s="9"/>
    </row>
    <row r="90" spans="1:18" s="83" customFormat="1" ht="75" x14ac:dyDescent="0.25">
      <c r="A90" s="161" t="s">
        <v>273</v>
      </c>
      <c r="B90" s="392" t="s">
        <v>33</v>
      </c>
      <c r="C90" s="392" t="s">
        <v>706</v>
      </c>
      <c r="D90" s="607"/>
      <c r="E90" s="607"/>
      <c r="F90" s="524">
        <f>$C30*$C16*(1+E60)</f>
        <v>38034.557568779615</v>
      </c>
      <c r="G90" s="201">
        <f>$C30*$C16*(1+F60)</f>
        <v>39397.087931327776</v>
      </c>
      <c r="H90" s="201">
        <f>$C30*$C16*(1+G60)</f>
        <v>40849.501403646398</v>
      </c>
      <c r="I90" s="201">
        <f>$C30*$C16*(1+H60)</f>
        <v>42393.58964615233</v>
      </c>
      <c r="J90" s="201">
        <f t="shared" ref="J90:Q90" si="5">$C30*$C16*(1+I60)+$C31*$C16*(1+I65)</f>
        <v>292418.55267414771</v>
      </c>
      <c r="K90" s="201">
        <f t="shared" si="5"/>
        <v>302200.87897827878</v>
      </c>
      <c r="L90" s="201">
        <f t="shared" si="5"/>
        <v>310838.77876396955</v>
      </c>
      <c r="M90" s="201">
        <f t="shared" si="5"/>
        <v>318065.59726881416</v>
      </c>
      <c r="N90" s="201">
        <f t="shared" si="5"/>
        <v>325533.7807618932</v>
      </c>
      <c r="O90" s="201">
        <f t="shared" si="5"/>
        <v>333245.034047728</v>
      </c>
      <c r="P90" s="201">
        <f t="shared" si="5"/>
        <v>341202.05150110699</v>
      </c>
      <c r="Q90" s="201">
        <f t="shared" si="5"/>
        <v>350554.01936171524</v>
      </c>
      <c r="R90" s="9"/>
    </row>
    <row r="91" spans="1:18" s="83" customFormat="1" ht="75" x14ac:dyDescent="0.25">
      <c r="A91" s="161" t="s">
        <v>274</v>
      </c>
      <c r="B91" s="392" t="s">
        <v>33</v>
      </c>
      <c r="C91" s="392" t="s">
        <v>706</v>
      </c>
      <c r="D91" s="607"/>
      <c r="E91" s="607"/>
      <c r="F91" s="524">
        <f t="shared" ref="F91:Q91" si="6">$C11*(E59*$C25*(1+E60)+E63*$C26*(1+E65))</f>
        <v>393070.59235553775</v>
      </c>
      <c r="G91" s="201">
        <f t="shared" si="6"/>
        <v>407151.75041135889</v>
      </c>
      <c r="H91" s="201">
        <f t="shared" si="6"/>
        <v>422161.81127185549</v>
      </c>
      <c r="I91" s="201">
        <f t="shared" si="6"/>
        <v>438119.29096735286</v>
      </c>
      <c r="J91" s="201">
        <f t="shared" si="6"/>
        <v>2833859.6136493348</v>
      </c>
      <c r="K91" s="201">
        <f t="shared" si="6"/>
        <v>2929439.3088274309</v>
      </c>
      <c r="L91" s="201">
        <f t="shared" si="6"/>
        <v>3013025.5960877049</v>
      </c>
      <c r="M91" s="201">
        <f t="shared" si="6"/>
        <v>3083179.1330539384</v>
      </c>
      <c r="N91" s="201">
        <f t="shared" si="6"/>
        <v>3155723.5334708327</v>
      </c>
      <c r="O91" s="201">
        <f t="shared" si="6"/>
        <v>3230674.0396660795</v>
      </c>
      <c r="P91" s="201">
        <f t="shared" si="6"/>
        <v>3308056.0659750248</v>
      </c>
      <c r="Q91" s="201">
        <f t="shared" si="6"/>
        <v>3399548.5043629375</v>
      </c>
      <c r="R91" s="9"/>
    </row>
    <row r="92" spans="1:18" s="83" customFormat="1" ht="75" x14ac:dyDescent="0.25">
      <c r="A92" s="161" t="s">
        <v>275</v>
      </c>
      <c r="B92" s="392" t="s">
        <v>33</v>
      </c>
      <c r="C92" s="392" t="s">
        <v>706</v>
      </c>
      <c r="D92" s="607"/>
      <c r="E92" s="607"/>
      <c r="F92" s="524">
        <f t="shared" ref="F92:Q92" si="7">$C10*(E59*$C25*(1+E60)+$C26*E63*(1+E65))</f>
        <v>98267.648088884438</v>
      </c>
      <c r="G92" s="201">
        <f t="shared" si="7"/>
        <v>101787.93760283972</v>
      </c>
      <c r="H92" s="201">
        <f t="shared" si="7"/>
        <v>105540.45281796387</v>
      </c>
      <c r="I92" s="201">
        <f t="shared" si="7"/>
        <v>109529.82274183822</v>
      </c>
      <c r="J92" s="201">
        <f t="shared" si="7"/>
        <v>708464.90341233369</v>
      </c>
      <c r="K92" s="201">
        <f t="shared" si="7"/>
        <v>732359.82720685774</v>
      </c>
      <c r="L92" s="201">
        <f t="shared" si="7"/>
        <v>753256.39902192622</v>
      </c>
      <c r="M92" s="201">
        <f t="shared" si="7"/>
        <v>770794.7832634846</v>
      </c>
      <c r="N92" s="201">
        <f t="shared" si="7"/>
        <v>788930.88336770819</v>
      </c>
      <c r="O92" s="201">
        <f t="shared" si="7"/>
        <v>807668.50991651986</v>
      </c>
      <c r="P92" s="201">
        <f t="shared" si="7"/>
        <v>827014.01649375621</v>
      </c>
      <c r="Q92" s="201">
        <f t="shared" si="7"/>
        <v>849887.12609073438</v>
      </c>
      <c r="R92" s="9"/>
    </row>
    <row r="93" spans="1:18" s="83" customFormat="1" ht="75" x14ac:dyDescent="0.25">
      <c r="A93" s="161" t="s">
        <v>276</v>
      </c>
      <c r="B93" s="392" t="s">
        <v>33</v>
      </c>
      <c r="C93" s="392" t="s">
        <v>706</v>
      </c>
      <c r="D93" s="607"/>
      <c r="E93" s="607"/>
      <c r="F93" s="524">
        <f t="shared" ref="F93:Q93" si="8">$C12*$C13*(E59*(1+E60)+E63*(1+E65))</f>
        <v>63390.929281299359</v>
      </c>
      <c r="G93" s="201">
        <f t="shared" si="8"/>
        <v>65661.81321887963</v>
      </c>
      <c r="H93" s="201">
        <f t="shared" si="8"/>
        <v>68082.502339410668</v>
      </c>
      <c r="I93" s="201">
        <f t="shared" si="8"/>
        <v>70655.982743587214</v>
      </c>
      <c r="J93" s="201">
        <f t="shared" si="8"/>
        <v>824273.65039636393</v>
      </c>
      <c r="K93" s="201">
        <f t="shared" si="8"/>
        <v>850454.9441062751</v>
      </c>
      <c r="L93" s="201">
        <f t="shared" si="8"/>
        <v>875026.55522631528</v>
      </c>
      <c r="M93" s="201">
        <f t="shared" si="8"/>
        <v>895186.93455797725</v>
      </c>
      <c r="N93" s="201">
        <f t="shared" si="8"/>
        <v>915934.9808355124</v>
      </c>
      <c r="O93" s="201">
        <f t="shared" si="8"/>
        <v>937277.78991906391</v>
      </c>
      <c r="P93" s="201">
        <f t="shared" si="8"/>
        <v>959224.20502181468</v>
      </c>
      <c r="Q93" s="201">
        <f t="shared" si="8"/>
        <v>984043.07783001265</v>
      </c>
      <c r="R93" s="9"/>
    </row>
    <row r="94" spans="1:18" s="83" customFormat="1" ht="75" x14ac:dyDescent="0.25">
      <c r="A94" s="161" t="s">
        <v>469</v>
      </c>
      <c r="B94" s="392" t="s">
        <v>33</v>
      </c>
      <c r="C94" s="392" t="s">
        <v>706</v>
      </c>
      <c r="D94" s="607"/>
      <c r="E94" s="607"/>
      <c r="F94" s="524">
        <f t="shared" ref="F94:Q94" si="9">$C14*($C25/24*E59*(1+E60)+$C26/24*E63*(1+E65))</f>
        <v>30708.640027776386</v>
      </c>
      <c r="G94" s="201">
        <f t="shared" si="9"/>
        <v>31808.73050088741</v>
      </c>
      <c r="H94" s="201">
        <f t="shared" si="9"/>
        <v>32981.391505613705</v>
      </c>
      <c r="I94" s="201">
        <f t="shared" si="9"/>
        <v>34228.069606824443</v>
      </c>
      <c r="J94" s="201">
        <f t="shared" si="9"/>
        <v>221395.28231635428</v>
      </c>
      <c r="K94" s="201">
        <f t="shared" si="9"/>
        <v>228862.44600214306</v>
      </c>
      <c r="L94" s="201">
        <f t="shared" si="9"/>
        <v>235392.62469435195</v>
      </c>
      <c r="M94" s="201">
        <f t="shared" si="9"/>
        <v>240873.36976983899</v>
      </c>
      <c r="N94" s="201">
        <f t="shared" si="9"/>
        <v>246540.90105240879</v>
      </c>
      <c r="O94" s="201">
        <f t="shared" si="9"/>
        <v>252396.40934891248</v>
      </c>
      <c r="P94" s="201">
        <f t="shared" si="9"/>
        <v>258441.88015429888</v>
      </c>
      <c r="Q94" s="201">
        <f t="shared" si="9"/>
        <v>265589.72690335452</v>
      </c>
      <c r="R94" s="9"/>
    </row>
    <row r="95" spans="1:18" s="83" customFormat="1" ht="75" x14ac:dyDescent="0.25">
      <c r="A95" s="161" t="s">
        <v>470</v>
      </c>
      <c r="B95" s="392" t="s">
        <v>33</v>
      </c>
      <c r="C95" s="392" t="s">
        <v>706</v>
      </c>
      <c r="D95" s="607"/>
      <c r="E95" s="607"/>
      <c r="F95" s="524">
        <f>$C17*$C30*(1+E60)</f>
        <v>230512.47011381583</v>
      </c>
      <c r="G95" s="201">
        <f>$C17*$C30*(1+F60)</f>
        <v>238770.229886835</v>
      </c>
      <c r="H95" s="201">
        <f>$C17*$C30*(1+G60)</f>
        <v>247572.73577967513</v>
      </c>
      <c r="I95" s="201">
        <f>$C17*$C30*(1+H60)</f>
        <v>256930.84634031713</v>
      </c>
      <c r="J95" s="201">
        <f t="shared" ref="J95:Q95" si="10">$C17*($C30*(1+I60)+$C31*(1+I65))</f>
        <v>1772233.6525705922</v>
      </c>
      <c r="K95" s="201">
        <f t="shared" si="10"/>
        <v>1831520.4786562352</v>
      </c>
      <c r="L95" s="201">
        <f t="shared" si="10"/>
        <v>1883871.3864483002</v>
      </c>
      <c r="M95" s="201">
        <f t="shared" si="10"/>
        <v>1927670.2864776617</v>
      </c>
      <c r="N95" s="201">
        <f t="shared" si="10"/>
        <v>1972932.0046175341</v>
      </c>
      <c r="O95" s="201">
        <f t="shared" si="10"/>
        <v>2019666.8730165334</v>
      </c>
      <c r="P95" s="201">
        <f t="shared" si="10"/>
        <v>2067891.2212188304</v>
      </c>
      <c r="Q95" s="201">
        <f t="shared" si="10"/>
        <v>2124569.8143134257</v>
      </c>
      <c r="R95" s="9"/>
    </row>
    <row r="96" spans="1:18" s="83" customFormat="1" ht="75" x14ac:dyDescent="0.25">
      <c r="A96" s="161" t="s">
        <v>471</v>
      </c>
      <c r="B96" s="392" t="s">
        <v>33</v>
      </c>
      <c r="C96" s="392" t="s">
        <v>706</v>
      </c>
      <c r="D96" s="607"/>
      <c r="E96" s="607"/>
      <c r="F96" s="524">
        <f>$C18*$C30*(1+E60)</f>
        <v>922.04988045526329</v>
      </c>
      <c r="G96" s="201">
        <f>$C18*$C30*(1+F60)</f>
        <v>955.08091954734005</v>
      </c>
      <c r="H96" s="201">
        <f>$C18*$C30*(1+G60)</f>
        <v>990.29094311870051</v>
      </c>
      <c r="I96" s="201">
        <f>$C18*$C30*(1+H60)</f>
        <v>1027.7233853612686</v>
      </c>
      <c r="J96" s="201">
        <f t="shared" ref="J96:Q96" si="11">$C18*($C30*(1+I60)+$C31*(1+I65))</f>
        <v>7088.9346102823692</v>
      </c>
      <c r="K96" s="201">
        <f t="shared" si="11"/>
        <v>7326.0819146249405</v>
      </c>
      <c r="L96" s="201">
        <f t="shared" si="11"/>
        <v>7535.4855457932008</v>
      </c>
      <c r="M96" s="201">
        <f t="shared" si="11"/>
        <v>7710.6811459106466</v>
      </c>
      <c r="N96" s="201">
        <f t="shared" si="11"/>
        <v>7891.7280184701367</v>
      </c>
      <c r="O96" s="201">
        <f t="shared" si="11"/>
        <v>8078.6674920661344</v>
      </c>
      <c r="P96" s="201">
        <f t="shared" si="11"/>
        <v>8271.5648848753226</v>
      </c>
      <c r="Q96" s="201">
        <f t="shared" si="11"/>
        <v>8498.2792572537037</v>
      </c>
      <c r="R96" s="9"/>
    </row>
    <row r="97" spans="1:18" s="83" customFormat="1" ht="75" x14ac:dyDescent="0.25">
      <c r="A97" s="161" t="s">
        <v>707</v>
      </c>
      <c r="B97" s="392" t="s">
        <v>33</v>
      </c>
      <c r="C97" s="392" t="s">
        <v>706</v>
      </c>
      <c r="D97" s="607"/>
      <c r="E97" s="607"/>
      <c r="F97" s="524">
        <f>$C$30*$C$9*12*(1+E60)</f>
        <v>36420.970277982902</v>
      </c>
      <c r="G97" s="201">
        <f>$C$30*$C$9*12*(1+F60)</f>
        <v>37725.696322119933</v>
      </c>
      <c r="H97" s="201">
        <f>$C$30*$C$9*12*(1+G60)</f>
        <v>39116.49225318867</v>
      </c>
      <c r="I97" s="201">
        <f>$C$30*$C$9*12*(1+H60)</f>
        <v>40595.07372177011</v>
      </c>
      <c r="J97" s="201">
        <f t="shared" ref="J97:Q97" si="12">$C$30*$C$9*12*(1+I60)+$C$31*$C$9*12*(1+I65)</f>
        <v>280012.91710615356</v>
      </c>
      <c r="K97" s="201">
        <f t="shared" si="12"/>
        <v>289380.23562768515</v>
      </c>
      <c r="L97" s="201">
        <f t="shared" si="12"/>
        <v>297651.67905883142</v>
      </c>
      <c r="M97" s="201">
        <f t="shared" si="12"/>
        <v>304571.90526347054</v>
      </c>
      <c r="N97" s="201">
        <f t="shared" si="12"/>
        <v>311723.25672957045</v>
      </c>
      <c r="O97" s="201">
        <f t="shared" si="12"/>
        <v>319107.36593661224</v>
      </c>
      <c r="P97" s="201">
        <f t="shared" si="12"/>
        <v>326726.81295257527</v>
      </c>
      <c r="Q97" s="201">
        <f t="shared" si="12"/>
        <v>335682.03066152125</v>
      </c>
      <c r="R97" s="9"/>
    </row>
    <row r="98" spans="1:18" s="83" customFormat="1" ht="75" x14ac:dyDescent="0.25">
      <c r="A98" s="161" t="s">
        <v>708</v>
      </c>
      <c r="B98" s="656" t="s">
        <v>33</v>
      </c>
      <c r="C98" s="656" t="s">
        <v>706</v>
      </c>
      <c r="D98" s="607"/>
      <c r="E98" s="607"/>
      <c r="F98" s="524">
        <f>$C$30*$C$22*(1+E60)</f>
        <v>207461.22310243425</v>
      </c>
      <c r="G98" s="201">
        <f>$C$30*$C$22*(1+F60)</f>
        <v>214893.20689815152</v>
      </c>
      <c r="H98" s="201">
        <f>$C$30*$C$22*(1+G60)</f>
        <v>222815.46220170762</v>
      </c>
      <c r="I98" s="201">
        <f>$C$30*$C$22*(1+H60)</f>
        <v>231237.76170628541</v>
      </c>
      <c r="J98" s="201">
        <f t="shared" ref="J98:Q98" si="13">$C$30*$C$22*(1+I60)+$C$31*$C$22*(1+I65)</f>
        <v>1595010.287313533</v>
      </c>
      <c r="K98" s="201">
        <f t="shared" si="13"/>
        <v>1648368.4307906115</v>
      </c>
      <c r="L98" s="201">
        <f t="shared" si="13"/>
        <v>1695484.2478034701</v>
      </c>
      <c r="M98" s="201">
        <f t="shared" si="13"/>
        <v>1734903.2578298955</v>
      </c>
      <c r="N98" s="201">
        <f t="shared" si="13"/>
        <v>1775638.8041557809</v>
      </c>
      <c r="O98" s="201">
        <f t="shared" si="13"/>
        <v>1817700.18571488</v>
      </c>
      <c r="P98" s="201">
        <f t="shared" si="13"/>
        <v>1861102.0990969473</v>
      </c>
      <c r="Q98" s="201">
        <f t="shared" si="13"/>
        <v>1912112.8328820833</v>
      </c>
      <c r="R98" s="9"/>
    </row>
    <row r="99" spans="1:18" s="106" customFormat="1" ht="30" x14ac:dyDescent="0.25">
      <c r="A99" s="623" t="s">
        <v>584</v>
      </c>
      <c r="B99" s="624"/>
      <c r="C99" s="625"/>
      <c r="D99" s="489"/>
      <c r="E99" s="489"/>
      <c r="F99" s="595"/>
      <c r="M99" s="104"/>
      <c r="N99" s="104"/>
      <c r="O99" s="104"/>
      <c r="P99" s="104"/>
      <c r="Q99" s="104"/>
      <c r="R99" s="105"/>
    </row>
    <row r="100" spans="1:18" s="106" customFormat="1" x14ac:dyDescent="0.25">
      <c r="A100" s="626"/>
      <c r="B100" s="624"/>
      <c r="C100" s="625"/>
      <c r="D100" s="489"/>
      <c r="E100" s="489"/>
      <c r="F100" s="595"/>
      <c r="R100" s="105"/>
    </row>
    <row r="101" spans="1:18" s="106" customFormat="1" x14ac:dyDescent="0.25">
      <c r="A101" s="627" t="s">
        <v>265</v>
      </c>
      <c r="B101" s="624"/>
      <c r="C101" s="625"/>
      <c r="D101" s="489"/>
      <c r="E101" s="489"/>
      <c r="F101" s="595"/>
      <c r="R101" s="105"/>
    </row>
    <row r="102" spans="1:18" s="106" customFormat="1" ht="60" x14ac:dyDescent="0.25">
      <c r="A102" s="589" t="s">
        <v>480</v>
      </c>
      <c r="B102" s="624"/>
      <c r="C102" s="625"/>
      <c r="D102" s="489"/>
      <c r="E102" s="489"/>
      <c r="F102" s="595"/>
      <c r="R102" s="105"/>
    </row>
    <row r="103" spans="1:18" s="106" customFormat="1" ht="60" x14ac:dyDescent="0.25">
      <c r="A103" s="589" t="s">
        <v>481</v>
      </c>
      <c r="B103" s="624"/>
      <c r="C103" s="625"/>
      <c r="D103" s="489"/>
      <c r="E103" s="489"/>
      <c r="F103" s="595"/>
      <c r="R103" s="105"/>
    </row>
    <row r="104" spans="1:18" s="106" customFormat="1" ht="45" x14ac:dyDescent="0.25">
      <c r="A104" s="628" t="s">
        <v>479</v>
      </c>
      <c r="B104" s="624"/>
      <c r="C104" s="625"/>
      <c r="D104" s="489"/>
      <c r="E104" s="489"/>
      <c r="F104" s="595"/>
      <c r="R104" s="105"/>
    </row>
    <row r="105" spans="1:18" s="106" customFormat="1" ht="45" x14ac:dyDescent="0.25">
      <c r="A105" s="628" t="s">
        <v>490</v>
      </c>
      <c r="B105" s="624"/>
      <c r="C105" s="625"/>
      <c r="D105" s="489"/>
      <c r="E105" s="489"/>
      <c r="F105" s="595"/>
      <c r="R105" s="105"/>
    </row>
    <row r="106" spans="1:18" s="106" customFormat="1" ht="45" x14ac:dyDescent="0.25">
      <c r="A106" s="628" t="s">
        <v>485</v>
      </c>
      <c r="B106" s="624"/>
      <c r="C106" s="625"/>
      <c r="D106" s="489"/>
      <c r="E106" s="489"/>
      <c r="F106" s="595"/>
      <c r="R106" s="105"/>
    </row>
    <row r="107" spans="1:18" s="106" customFormat="1" ht="45" x14ac:dyDescent="0.25">
      <c r="A107" s="628" t="s">
        <v>484</v>
      </c>
      <c r="B107" s="624"/>
      <c r="C107" s="625"/>
      <c r="D107" s="489"/>
      <c r="E107" s="489"/>
      <c r="F107" s="595"/>
      <c r="R107" s="105"/>
    </row>
    <row r="108" spans="1:18" s="106" customFormat="1" ht="60" x14ac:dyDescent="0.25">
      <c r="A108" s="628" t="s">
        <v>483</v>
      </c>
      <c r="B108" s="624"/>
      <c r="C108" s="625"/>
      <c r="D108" s="489"/>
      <c r="E108" s="489"/>
      <c r="F108" s="595"/>
      <c r="R108" s="105"/>
    </row>
    <row r="109" spans="1:18" s="106" customFormat="1" ht="60" x14ac:dyDescent="0.25">
      <c r="A109" s="628" t="s">
        <v>482</v>
      </c>
      <c r="B109" s="624"/>
      <c r="C109" s="625"/>
      <c r="D109" s="489"/>
      <c r="E109" s="489"/>
      <c r="F109" s="595"/>
      <c r="R109" s="105"/>
    </row>
    <row r="110" spans="1:18" s="106" customFormat="1" ht="60" x14ac:dyDescent="0.25">
      <c r="A110" s="628" t="s">
        <v>486</v>
      </c>
      <c r="B110" s="624"/>
      <c r="C110" s="625"/>
      <c r="D110" s="489"/>
      <c r="E110" s="489"/>
      <c r="F110" s="595"/>
      <c r="R110" s="105"/>
    </row>
    <row r="111" spans="1:18" s="106" customFormat="1" ht="60" x14ac:dyDescent="0.25">
      <c r="A111" s="628" t="s">
        <v>487</v>
      </c>
      <c r="B111" s="624"/>
      <c r="C111" s="625"/>
      <c r="D111" s="489"/>
      <c r="E111" s="489"/>
      <c r="F111" s="595"/>
      <c r="R111" s="105"/>
    </row>
    <row r="112" spans="1:18" s="106" customFormat="1" ht="45" x14ac:dyDescent="0.25">
      <c r="A112" s="628" t="s">
        <v>488</v>
      </c>
      <c r="B112" s="624"/>
      <c r="C112" s="625"/>
      <c r="D112" s="489"/>
      <c r="E112" s="489"/>
      <c r="F112" s="595"/>
      <c r="R112" s="105"/>
    </row>
    <row r="113" spans="1:18" s="106" customFormat="1" ht="45" x14ac:dyDescent="0.25">
      <c r="A113" s="628" t="s">
        <v>489</v>
      </c>
      <c r="B113" s="624"/>
      <c r="C113" s="625"/>
      <c r="D113" s="489"/>
      <c r="E113" s="489"/>
      <c r="F113" s="595"/>
      <c r="R113" s="105"/>
    </row>
    <row r="114" spans="1:18" s="106" customFormat="1" ht="60" x14ac:dyDescent="0.25">
      <c r="A114" s="628" t="s">
        <v>766</v>
      </c>
      <c r="B114" s="624"/>
      <c r="C114" s="625"/>
      <c r="D114" s="489"/>
      <c r="E114" s="489"/>
      <c r="F114" s="595"/>
      <c r="R114" s="105"/>
    </row>
    <row r="115" spans="1:18" s="106" customFormat="1" ht="45" x14ac:dyDescent="0.25">
      <c r="A115" s="628" t="s">
        <v>765</v>
      </c>
      <c r="B115" s="624"/>
      <c r="C115" s="625"/>
      <c r="D115" s="489"/>
      <c r="E115" s="489"/>
      <c r="F115" s="595"/>
      <c r="R115" s="105"/>
    </row>
    <row r="116" spans="1:18" s="83" customFormat="1" x14ac:dyDescent="0.25">
      <c r="A116" s="629"/>
      <c r="B116" s="630"/>
      <c r="C116" s="631"/>
      <c r="D116" s="632"/>
      <c r="E116" s="632"/>
      <c r="F116" s="632"/>
      <c r="G116" s="103"/>
      <c r="H116" s="103"/>
      <c r="I116" s="103"/>
      <c r="J116" s="103"/>
      <c r="K116" s="103"/>
      <c r="L116" s="103"/>
      <c r="M116" s="103"/>
      <c r="N116" s="103"/>
      <c r="O116" s="103"/>
      <c r="P116" s="103"/>
      <c r="Q116" s="107"/>
    </row>
    <row r="117" spans="1:18" s="3" customFormat="1" ht="45" x14ac:dyDescent="0.25">
      <c r="A117" s="8" t="s">
        <v>585</v>
      </c>
      <c r="B117" s="302" t="s">
        <v>22</v>
      </c>
      <c r="C117" s="302" t="s">
        <v>81</v>
      </c>
      <c r="D117" s="302">
        <v>2019</v>
      </c>
      <c r="E117" s="302">
        <v>2020</v>
      </c>
      <c r="F117" s="302">
        <v>2021</v>
      </c>
      <c r="G117" s="307">
        <v>2022</v>
      </c>
      <c r="H117" s="307">
        <v>2023</v>
      </c>
      <c r="I117" s="307">
        <v>2024</v>
      </c>
      <c r="J117" s="307">
        <v>2025</v>
      </c>
      <c r="K117" s="307">
        <v>2026</v>
      </c>
      <c r="L117" s="307">
        <v>2027</v>
      </c>
      <c r="M117" s="307">
        <v>2028</v>
      </c>
      <c r="N117" s="307">
        <v>2029</v>
      </c>
      <c r="O117" s="307">
        <v>2030</v>
      </c>
      <c r="P117" s="84">
        <v>2031</v>
      </c>
      <c r="Q117" s="84">
        <v>2032</v>
      </c>
    </row>
    <row r="118" spans="1:18" ht="30" x14ac:dyDescent="0.25">
      <c r="A118" s="82" t="s">
        <v>266</v>
      </c>
      <c r="B118" s="633" t="s">
        <v>37</v>
      </c>
      <c r="C118" s="81" t="s">
        <v>15</v>
      </c>
      <c r="D118" s="607"/>
      <c r="E118" s="607"/>
      <c r="F118" s="607"/>
      <c r="G118" s="192"/>
      <c r="H118" s="192"/>
      <c r="I118" s="187">
        <f t="shared" ref="I118:Q118" si="14">$D51*$C34*$C42*(1+H65)</f>
        <v>1055741.4677777337</v>
      </c>
      <c r="J118" s="187">
        <f t="shared" si="14"/>
        <v>1086579.9088532627</v>
      </c>
      <c r="K118" s="187">
        <f t="shared" si="14"/>
        <v>1118435.9582515163</v>
      </c>
      <c r="L118" s="187">
        <f t="shared" si="14"/>
        <v>1151252.1154580046</v>
      </c>
      <c r="M118" s="187">
        <f t="shared" si="14"/>
        <v>1177426.3240803746</v>
      </c>
      <c r="N118" s="187">
        <f t="shared" si="14"/>
        <v>1204198.4477130829</v>
      </c>
      <c r="O118" s="187">
        <f t="shared" si="14"/>
        <v>1231582.2077756589</v>
      </c>
      <c r="P118" s="187">
        <f t="shared" si="14"/>
        <v>1259591.6419747123</v>
      </c>
      <c r="Q118" s="187">
        <f t="shared" si="14"/>
        <v>1289366.9703925182</v>
      </c>
      <c r="R118" s="9"/>
    </row>
    <row r="119" spans="1:18" x14ac:dyDescent="0.25">
      <c r="A119" s="82" t="s">
        <v>267</v>
      </c>
      <c r="B119" s="102" t="s">
        <v>37</v>
      </c>
      <c r="C119" s="81" t="s">
        <v>15</v>
      </c>
      <c r="D119" s="607"/>
      <c r="E119" s="607"/>
      <c r="F119" s="607"/>
      <c r="G119" s="192"/>
      <c r="H119" s="192"/>
      <c r="I119" s="192"/>
      <c r="J119" s="187">
        <f t="shared" ref="J119:Q119" si="15">$D51*$C39*(1+I65)</f>
        <v>45161.259719586982</v>
      </c>
      <c r="K119" s="187">
        <f t="shared" si="15"/>
        <v>46485.285047860205</v>
      </c>
      <c r="L119" s="187">
        <f t="shared" si="15"/>
        <v>47849.215106317744</v>
      </c>
      <c r="M119" s="187">
        <f t="shared" si="15"/>
        <v>48937.087451387146</v>
      </c>
      <c r="N119" s="187">
        <f t="shared" si="15"/>
        <v>50049.810794392477</v>
      </c>
      <c r="O119" s="187">
        <f t="shared" si="15"/>
        <v>51187.9554353973</v>
      </c>
      <c r="P119" s="187">
        <f t="shared" si="15"/>
        <v>52352.104820229106</v>
      </c>
      <c r="Q119" s="187">
        <f t="shared" si="15"/>
        <v>53589.649642249307</v>
      </c>
      <c r="R119" s="9"/>
    </row>
    <row r="120" spans="1:18" x14ac:dyDescent="0.25">
      <c r="A120" s="82" t="s">
        <v>268</v>
      </c>
      <c r="B120" s="102" t="s">
        <v>37</v>
      </c>
      <c r="C120" s="81" t="s">
        <v>15</v>
      </c>
      <c r="D120" s="607"/>
      <c r="E120" s="607"/>
      <c r="F120" s="607"/>
      <c r="G120" s="192"/>
      <c r="H120" s="192"/>
      <c r="I120" s="192"/>
      <c r="J120" s="187">
        <f t="shared" ref="J120:Q120" si="16">I63*(1+I65)*$C38*$C26</f>
        <v>0</v>
      </c>
      <c r="K120" s="187">
        <f t="shared" si="16"/>
        <v>0</v>
      </c>
      <c r="L120" s="187">
        <f t="shared" si="16"/>
        <v>0</v>
      </c>
      <c r="M120" s="187">
        <f t="shared" si="16"/>
        <v>0</v>
      </c>
      <c r="N120" s="187">
        <f t="shared" si="16"/>
        <v>0</v>
      </c>
      <c r="O120" s="187">
        <f t="shared" si="16"/>
        <v>0</v>
      </c>
      <c r="P120" s="187">
        <f t="shared" si="16"/>
        <v>0</v>
      </c>
      <c r="Q120" s="187">
        <f t="shared" si="16"/>
        <v>0</v>
      </c>
      <c r="R120" s="9"/>
    </row>
    <row r="121" spans="1:18" x14ac:dyDescent="0.25">
      <c r="A121" s="102" t="s">
        <v>269</v>
      </c>
      <c r="B121" s="102" t="s">
        <v>37</v>
      </c>
      <c r="C121" s="81" t="s">
        <v>15</v>
      </c>
      <c r="D121" s="607"/>
      <c r="E121" s="607"/>
      <c r="F121" s="607"/>
      <c r="G121" s="192"/>
      <c r="H121" s="192"/>
      <c r="I121" s="192"/>
      <c r="J121" s="187">
        <f t="shared" ref="J121:Q121" si="17">$D51*(1+I65)*$C43</f>
        <v>65860.170424397686</v>
      </c>
      <c r="K121" s="187">
        <f t="shared" si="17"/>
        <v>67791.040694796131</v>
      </c>
      <c r="L121" s="187">
        <f t="shared" si="17"/>
        <v>69780.105363380033</v>
      </c>
      <c r="M121" s="187">
        <f t="shared" si="17"/>
        <v>71366.585866606256</v>
      </c>
      <c r="N121" s="187">
        <f t="shared" si="17"/>
        <v>72989.307408489025</v>
      </c>
      <c r="O121" s="187">
        <f t="shared" si="17"/>
        <v>74649.101676621067</v>
      </c>
      <c r="P121" s="187">
        <f t="shared" si="17"/>
        <v>76346.819529500775</v>
      </c>
      <c r="Q121" s="187">
        <f t="shared" si="17"/>
        <v>78151.57239494691</v>
      </c>
      <c r="R121" s="9"/>
    </row>
    <row r="122" spans="1:18" s="16" customFormat="1" ht="6" customHeight="1" x14ac:dyDescent="0.25">
      <c r="A122" s="605"/>
      <c r="B122" s="19"/>
      <c r="C122" s="606"/>
      <c r="D122" s="610"/>
      <c r="E122" s="465"/>
      <c r="F122" s="465"/>
      <c r="G122" s="157"/>
      <c r="H122" s="157"/>
      <c r="I122" s="157"/>
      <c r="J122" s="157"/>
      <c r="K122" s="157"/>
      <c r="L122" s="157"/>
      <c r="M122" s="157"/>
      <c r="N122" s="157"/>
      <c r="O122" s="157"/>
      <c r="P122" s="157"/>
      <c r="Q122" s="157"/>
    </row>
    <row r="123" spans="1:18" s="131" customFormat="1" x14ac:dyDescent="0.25">
      <c r="A123" s="633" t="s">
        <v>491</v>
      </c>
      <c r="B123" s="633" t="s">
        <v>169</v>
      </c>
      <c r="C123" s="634" t="s">
        <v>15</v>
      </c>
      <c r="D123" s="635"/>
      <c r="E123" s="635"/>
      <c r="F123" s="635"/>
      <c r="G123" s="202"/>
      <c r="H123" s="202"/>
      <c r="I123" s="202"/>
      <c r="J123" s="203">
        <f t="shared" ref="J123:Q123" si="18">I64*$C27*$C41*(1+I65)</f>
        <v>1922665.9636474212</v>
      </c>
      <c r="K123" s="203">
        <f t="shared" si="18"/>
        <v>1979034.1528760744</v>
      </c>
      <c r="L123" s="203">
        <f t="shared" si="18"/>
        <v>2037101.2200144737</v>
      </c>
      <c r="M123" s="203">
        <f t="shared" si="18"/>
        <v>2083415.5864348391</v>
      </c>
      <c r="N123" s="203">
        <f t="shared" si="18"/>
        <v>2130787.9430040792</v>
      </c>
      <c r="O123" s="203">
        <f t="shared" si="18"/>
        <v>2179242.5693044746</v>
      </c>
      <c r="P123" s="203">
        <f t="shared" si="18"/>
        <v>2228804.3045774708</v>
      </c>
      <c r="Q123" s="203">
        <f t="shared" si="18"/>
        <v>2281490.7292379057</v>
      </c>
    </row>
    <row r="124" spans="1:18" s="16" customFormat="1" ht="6" customHeight="1" x14ac:dyDescent="0.25">
      <c r="A124" s="605"/>
      <c r="B124" s="19"/>
      <c r="C124" s="606"/>
      <c r="D124" s="610"/>
      <c r="E124" s="465"/>
      <c r="F124" s="465"/>
      <c r="G124" s="157"/>
      <c r="H124" s="157"/>
      <c r="I124" s="157"/>
      <c r="J124" s="157"/>
      <c r="K124" s="157"/>
      <c r="L124" s="157"/>
      <c r="M124" s="157"/>
      <c r="N124" s="157"/>
      <c r="O124" s="157"/>
      <c r="P124" s="157"/>
      <c r="Q124" s="157"/>
    </row>
    <row r="125" spans="1:18" ht="30" x14ac:dyDescent="0.25">
      <c r="A125" s="82" t="s">
        <v>270</v>
      </c>
      <c r="B125" s="633" t="s">
        <v>37</v>
      </c>
      <c r="C125" s="81" t="s">
        <v>768</v>
      </c>
      <c r="D125" s="607"/>
      <c r="E125" s="607"/>
      <c r="F125" s="607"/>
      <c r="G125" s="192"/>
      <c r="H125" s="192"/>
      <c r="I125" s="187">
        <f t="shared" ref="I125:Q125" si="19">$D52*$C42*$C35* (1+H70)</f>
        <v>5853523.296514526</v>
      </c>
      <c r="J125" s="187">
        <f t="shared" si="19"/>
        <v>5899798.5775798699</v>
      </c>
      <c r="K125" s="187">
        <f t="shared" si="19"/>
        <v>5946749.7246732824</v>
      </c>
      <c r="L125" s="187">
        <f t="shared" si="19"/>
        <v>6011923.9497967828</v>
      </c>
      <c r="M125" s="187">
        <f t="shared" si="19"/>
        <v>6075533.6268640645</v>
      </c>
      <c r="N125" s="187">
        <f t="shared" si="19"/>
        <v>6140079.9038851224</v>
      </c>
      <c r="O125" s="187">
        <f t="shared" si="19"/>
        <v>6205582.6133536957</v>
      </c>
      <c r="P125" s="187">
        <f t="shared" si="19"/>
        <v>6272062.155420146</v>
      </c>
      <c r="Q125" s="187">
        <f t="shared" si="19"/>
        <v>6345283.2053655656</v>
      </c>
      <c r="R125" s="9"/>
    </row>
    <row r="126" spans="1:18" ht="30" x14ac:dyDescent="0.25">
      <c r="A126" s="82" t="s">
        <v>271</v>
      </c>
      <c r="B126" s="633" t="s">
        <v>37</v>
      </c>
      <c r="C126" s="81" t="s">
        <v>768</v>
      </c>
      <c r="D126" s="607"/>
      <c r="E126" s="607"/>
      <c r="F126" s="607"/>
      <c r="G126" s="192"/>
      <c r="H126" s="192"/>
      <c r="I126" s="187">
        <f>$D$52*$C36*$C$42*(1+H$70)</f>
        <v>5268697.8366467394</v>
      </c>
      <c r="J126" s="187">
        <f t="shared" ref="J126:Q126" si="20">$D52*$C36*$C42*(1+I70)</f>
        <v>5310349.7547973637</v>
      </c>
      <c r="K126" s="187">
        <f t="shared" si="20"/>
        <v>5352610.0132072754</v>
      </c>
      <c r="L126" s="187">
        <f t="shared" si="20"/>
        <v>5411272.6820853138</v>
      </c>
      <c r="M126" s="187">
        <f t="shared" si="20"/>
        <v>5468527.1168893483</v>
      </c>
      <c r="N126" s="187">
        <f t="shared" si="20"/>
        <v>5526624.5759542063</v>
      </c>
      <c r="O126" s="187">
        <f t="shared" si="20"/>
        <v>5585582.9103093576</v>
      </c>
      <c r="P126" s="187">
        <f t="shared" si="20"/>
        <v>5645420.4819263257</v>
      </c>
      <c r="Q126" s="187">
        <f t="shared" si="20"/>
        <v>5711326.0174307534</v>
      </c>
      <c r="R126" s="9"/>
    </row>
    <row r="127" spans="1:18" ht="30" x14ac:dyDescent="0.25">
      <c r="A127" s="82" t="s">
        <v>417</v>
      </c>
      <c r="B127" s="633" t="s">
        <v>37</v>
      </c>
      <c r="C127" s="81" t="s">
        <v>768</v>
      </c>
      <c r="D127" s="607"/>
      <c r="E127" s="607"/>
      <c r="F127" s="607"/>
      <c r="G127" s="192"/>
      <c r="H127" s="192"/>
      <c r="I127" s="187">
        <f t="shared" ref="I127:Q127" si="21">$D$54*$C37*$C$42*(1+H$70)</f>
        <v>8195752.1903393716</v>
      </c>
      <c r="J127" s="187">
        <f t="shared" si="21"/>
        <v>8260544.0630181199</v>
      </c>
      <c r="K127" s="187">
        <f t="shared" si="21"/>
        <v>8326282.242766872</v>
      </c>
      <c r="L127" s="187">
        <f t="shared" si="21"/>
        <v>8417535.2832438201</v>
      </c>
      <c r="M127" s="187">
        <f t="shared" si="21"/>
        <v>8506597.737383429</v>
      </c>
      <c r="N127" s="187">
        <f t="shared" si="21"/>
        <v>8596971.5625954308</v>
      </c>
      <c r="O127" s="187">
        <f t="shared" si="21"/>
        <v>8688684.5271478891</v>
      </c>
      <c r="P127" s="187">
        <f t="shared" si="21"/>
        <v>8781765.1941076163</v>
      </c>
      <c r="Q127" s="187">
        <f t="shared" si="21"/>
        <v>8884284.916003393</v>
      </c>
      <c r="R127" s="9"/>
    </row>
    <row r="128" spans="1:18" ht="30" x14ac:dyDescent="0.25">
      <c r="A128" s="82" t="s">
        <v>270</v>
      </c>
      <c r="B128" s="633" t="s">
        <v>37</v>
      </c>
      <c r="C128" s="81" t="s">
        <v>769</v>
      </c>
      <c r="D128" s="607"/>
      <c r="E128" s="607"/>
      <c r="F128" s="607"/>
      <c r="G128" s="192"/>
      <c r="H128" s="192"/>
      <c r="I128" s="192"/>
      <c r="J128" s="192"/>
      <c r="K128" s="187">
        <f t="shared" ref="K128:Q128" si="22">$D53*$C35*$C42*(1+J70)</f>
        <v>8495356.7495332602</v>
      </c>
      <c r="L128" s="187">
        <f t="shared" si="22"/>
        <v>8588462.7854239754</v>
      </c>
      <c r="M128" s="187">
        <f t="shared" si="22"/>
        <v>8679333.7526629511</v>
      </c>
      <c r="N128" s="187">
        <f t="shared" si="22"/>
        <v>8771542.7198358905</v>
      </c>
      <c r="O128" s="187">
        <f t="shared" si="22"/>
        <v>8865118.0190767087</v>
      </c>
      <c r="P128" s="187">
        <f t="shared" si="22"/>
        <v>8960088.7934573516</v>
      </c>
      <c r="Q128" s="187">
        <f t="shared" si="22"/>
        <v>9064690.2933793813</v>
      </c>
      <c r="R128" s="9"/>
    </row>
    <row r="129" spans="1:18" ht="30" x14ac:dyDescent="0.25">
      <c r="A129" s="82" t="s">
        <v>271</v>
      </c>
      <c r="B129" s="633" t="s">
        <v>37</v>
      </c>
      <c r="C129" s="81" t="s">
        <v>769</v>
      </c>
      <c r="D129" s="607"/>
      <c r="E129" s="607"/>
      <c r="F129" s="607"/>
      <c r="G129" s="192"/>
      <c r="H129" s="192"/>
      <c r="I129" s="192"/>
      <c r="J129" s="192"/>
      <c r="K129" s="187">
        <f t="shared" ref="K129:Q129" si="23">$D$53*$C36*$C$42*(1+J$70)</f>
        <v>7646585.7331532501</v>
      </c>
      <c r="L129" s="187">
        <f t="shared" si="23"/>
        <v>7730389.5458361618</v>
      </c>
      <c r="M129" s="187">
        <f t="shared" si="23"/>
        <v>7812181.5955562107</v>
      </c>
      <c r="N129" s="187">
        <f t="shared" si="23"/>
        <v>7895177.9656488653</v>
      </c>
      <c r="O129" s="187">
        <f t="shared" si="23"/>
        <v>7979404.1575847957</v>
      </c>
      <c r="P129" s="187">
        <f t="shared" si="23"/>
        <v>8064886.4027518928</v>
      </c>
      <c r="Q129" s="187">
        <f t="shared" si="23"/>
        <v>8159037.1677582189</v>
      </c>
      <c r="R129" s="9"/>
    </row>
    <row r="130" spans="1:18" ht="30" x14ac:dyDescent="0.25">
      <c r="A130" s="82" t="s">
        <v>527</v>
      </c>
      <c r="B130" s="633" t="s">
        <v>37</v>
      </c>
      <c r="C130" s="81" t="s">
        <v>769</v>
      </c>
      <c r="D130" s="607"/>
      <c r="E130" s="607"/>
      <c r="F130" s="607"/>
      <c r="G130" s="192"/>
      <c r="H130" s="192"/>
      <c r="I130" s="192"/>
      <c r="J130" s="192"/>
      <c r="K130" s="187">
        <f t="shared" ref="K130:Q130" si="24">$D$55*$C37*$C$42*(1+J$70)</f>
        <v>11894688.91823839</v>
      </c>
      <c r="L130" s="187">
        <f t="shared" si="24"/>
        <v>12025050.404634031</v>
      </c>
      <c r="M130" s="187">
        <f t="shared" si="24"/>
        <v>12152282.48197633</v>
      </c>
      <c r="N130" s="187">
        <f t="shared" si="24"/>
        <v>12281387.946564903</v>
      </c>
      <c r="O130" s="187">
        <f t="shared" si="24"/>
        <v>12412406.467354128</v>
      </c>
      <c r="P130" s="187">
        <f t="shared" si="24"/>
        <v>12545378.848725168</v>
      </c>
      <c r="Q130" s="187">
        <f t="shared" si="24"/>
        <v>12691835.594290564</v>
      </c>
      <c r="R130" s="9"/>
    </row>
    <row r="131" spans="1:18" ht="30" x14ac:dyDescent="0.25">
      <c r="A131" s="102" t="s">
        <v>691</v>
      </c>
      <c r="B131" s="102" t="s">
        <v>37</v>
      </c>
      <c r="C131" s="81" t="s">
        <v>768</v>
      </c>
      <c r="D131" s="607"/>
      <c r="E131" s="607"/>
      <c r="F131" s="607"/>
      <c r="G131" s="192"/>
      <c r="H131" s="192"/>
      <c r="I131" s="192"/>
      <c r="J131" s="192"/>
      <c r="K131" s="192"/>
      <c r="L131" s="187">
        <f>$D52*$C$39*(1+K70)</f>
        <v>179925.94121646928</v>
      </c>
      <c r="M131" s="187">
        <f>$D52*$C39*(1+L70)</f>
        <v>181829.66307196504</v>
      </c>
      <c r="N131" s="187">
        <f>$D52*$C39*(1+M70)</f>
        <v>183761.41565932526</v>
      </c>
      <c r="O131" s="187">
        <f>$D52*$C39*(1+N70)</f>
        <v>185721.79252898946</v>
      </c>
      <c r="P131" s="187">
        <f>$D52*$C39*(1+O70)</f>
        <v>187711.40422032669</v>
      </c>
      <c r="Q131" s="187">
        <f>$D52*$C39*(1+P70)</f>
        <v>189902.77697192863</v>
      </c>
      <c r="R131" s="9"/>
    </row>
    <row r="132" spans="1:18" ht="30" x14ac:dyDescent="0.25">
      <c r="A132" s="102" t="s">
        <v>692</v>
      </c>
      <c r="B132" s="102" t="s">
        <v>37</v>
      </c>
      <c r="C132" s="81" t="s">
        <v>768</v>
      </c>
      <c r="D132" s="607"/>
      <c r="E132" s="607"/>
      <c r="F132" s="607"/>
      <c r="G132" s="192"/>
      <c r="H132" s="192"/>
      <c r="I132" s="192"/>
      <c r="J132" s="192"/>
      <c r="K132" s="192"/>
      <c r="L132" s="187">
        <f t="shared" ref="L132:Q132" si="25">$K68*$C$38*(1+K70)*$C27</f>
        <v>0</v>
      </c>
      <c r="M132" s="187">
        <f t="shared" si="25"/>
        <v>0</v>
      </c>
      <c r="N132" s="187">
        <f t="shared" si="25"/>
        <v>0</v>
      </c>
      <c r="O132" s="187">
        <f t="shared" si="25"/>
        <v>0</v>
      </c>
      <c r="P132" s="187">
        <f t="shared" si="25"/>
        <v>0</v>
      </c>
      <c r="Q132" s="187">
        <f t="shared" si="25"/>
        <v>0</v>
      </c>
      <c r="R132" s="9"/>
    </row>
    <row r="133" spans="1:18" ht="30" x14ac:dyDescent="0.25">
      <c r="A133" s="102" t="s">
        <v>693</v>
      </c>
      <c r="B133" s="102" t="s">
        <v>37</v>
      </c>
      <c r="C133" s="81" t="s">
        <v>768</v>
      </c>
      <c r="D133" s="607"/>
      <c r="E133" s="607"/>
      <c r="F133" s="607"/>
      <c r="G133" s="192"/>
      <c r="H133" s="192"/>
      <c r="I133" s="192"/>
      <c r="J133" s="192"/>
      <c r="K133" s="192"/>
      <c r="L133" s="187">
        <f t="shared" ref="L133:Q133" si="26">$D52*$C$43*(1+K70)</f>
        <v>262391.99760735105</v>
      </c>
      <c r="M133" s="187">
        <f t="shared" si="26"/>
        <v>265168.25864661566</v>
      </c>
      <c r="N133" s="187">
        <f t="shared" si="26"/>
        <v>267985.39783651597</v>
      </c>
      <c r="O133" s="187">
        <f t="shared" si="26"/>
        <v>270844.28077144298</v>
      </c>
      <c r="P133" s="187">
        <f t="shared" si="26"/>
        <v>273745.79782130977</v>
      </c>
      <c r="Q133" s="187">
        <f t="shared" si="26"/>
        <v>276941.54975072929</v>
      </c>
      <c r="R133" s="9"/>
    </row>
    <row r="134" spans="1:18" ht="30" x14ac:dyDescent="0.25">
      <c r="A134" s="102" t="s">
        <v>691</v>
      </c>
      <c r="B134" s="102" t="s">
        <v>37</v>
      </c>
      <c r="C134" s="81" t="s">
        <v>769</v>
      </c>
      <c r="D134" s="607"/>
      <c r="E134" s="607"/>
      <c r="F134" s="607"/>
      <c r="G134" s="192"/>
      <c r="H134" s="192"/>
      <c r="I134" s="192"/>
      <c r="J134" s="192"/>
      <c r="K134" s="192"/>
      <c r="L134" s="192"/>
      <c r="M134" s="192"/>
      <c r="N134" s="187">
        <f>$D53*$C$39*(1+M70)</f>
        <v>262516.30808475037</v>
      </c>
      <c r="O134" s="187">
        <f>$D53*$C$39*(1+N70)</f>
        <v>265316.84646998491</v>
      </c>
      <c r="P134" s="187">
        <f>$D53*$C$39*(1+O70)</f>
        <v>268159.14888618101</v>
      </c>
      <c r="Q134" s="187">
        <f>$D53*$C$39*(1+P70)</f>
        <v>271289.68138846947</v>
      </c>
      <c r="R134" s="9"/>
    </row>
    <row r="135" spans="1:18" ht="30" x14ac:dyDescent="0.25">
      <c r="A135" s="102" t="s">
        <v>692</v>
      </c>
      <c r="B135" s="102" t="s">
        <v>37</v>
      </c>
      <c r="C135" s="81" t="s">
        <v>769</v>
      </c>
      <c r="D135" s="607"/>
      <c r="E135" s="607"/>
      <c r="F135" s="607"/>
      <c r="G135" s="192"/>
      <c r="H135" s="192"/>
      <c r="I135" s="192"/>
      <c r="J135" s="192"/>
      <c r="K135" s="192"/>
      <c r="L135" s="192"/>
      <c r="M135" s="192"/>
      <c r="N135" s="187">
        <f>M69*$C$38*(1+M70)*$C27</f>
        <v>0</v>
      </c>
      <c r="O135" s="187">
        <f>N69*$C$38*(1+N70)*$C27</f>
        <v>0</v>
      </c>
      <c r="P135" s="187">
        <f>O69*$C$38*(1+O70)*$C27</f>
        <v>0</v>
      </c>
      <c r="Q135" s="187">
        <f>P69*$C$38*(1+P70)*$C27</f>
        <v>0</v>
      </c>
      <c r="R135" s="9"/>
    </row>
    <row r="136" spans="1:18" ht="30" x14ac:dyDescent="0.25">
      <c r="A136" s="102" t="s">
        <v>693</v>
      </c>
      <c r="B136" s="102" t="s">
        <v>37</v>
      </c>
      <c r="C136" s="81" t="s">
        <v>769</v>
      </c>
      <c r="D136" s="607"/>
      <c r="E136" s="607"/>
      <c r="F136" s="607"/>
      <c r="G136" s="192"/>
      <c r="H136" s="192"/>
      <c r="I136" s="192"/>
      <c r="J136" s="192"/>
      <c r="K136" s="192"/>
      <c r="L136" s="192"/>
      <c r="M136" s="192"/>
      <c r="N136" s="187">
        <f>$D53*$C$43*(1+M70)</f>
        <v>382836.28262359428</v>
      </c>
      <c r="O136" s="187">
        <f>$D53*$C$43*(1+N70)</f>
        <v>386920.40110206138</v>
      </c>
      <c r="P136" s="187">
        <f>$D53*$C$43*(1+O70)</f>
        <v>391065.42545901396</v>
      </c>
      <c r="Q136" s="187">
        <f>$D53*$C$43*(1+P70)</f>
        <v>395630.78535818466</v>
      </c>
      <c r="R136" s="9"/>
    </row>
    <row r="137" spans="1:18" ht="30" x14ac:dyDescent="0.25">
      <c r="A137" s="102" t="s">
        <v>694</v>
      </c>
      <c r="B137" s="102" t="s">
        <v>37</v>
      </c>
      <c r="C137" s="81" t="s">
        <v>768</v>
      </c>
      <c r="D137" s="607"/>
      <c r="E137" s="511">
        <f>$D$47*$B$47/7</f>
        <v>1000000</v>
      </c>
      <c r="F137" s="511">
        <f t="shared" ref="F137:K137" si="27">$D47*$B47/7</f>
        <v>1000000</v>
      </c>
      <c r="G137" s="187">
        <f t="shared" si="27"/>
        <v>1000000</v>
      </c>
      <c r="H137" s="187">
        <f t="shared" si="27"/>
        <v>1000000</v>
      </c>
      <c r="I137" s="187">
        <f t="shared" si="27"/>
        <v>1000000</v>
      </c>
      <c r="J137" s="187">
        <f t="shared" si="27"/>
        <v>1000000</v>
      </c>
      <c r="K137" s="187">
        <f t="shared" si="27"/>
        <v>1000000</v>
      </c>
      <c r="L137" s="192"/>
      <c r="M137" s="192"/>
      <c r="N137" s="192"/>
      <c r="O137" s="192"/>
      <c r="P137" s="192"/>
      <c r="Q137" s="192"/>
      <c r="R137" s="9"/>
    </row>
    <row r="138" spans="1:18" ht="30" x14ac:dyDescent="0.25">
      <c r="A138" s="102" t="s">
        <v>694</v>
      </c>
      <c r="B138" s="102" t="s">
        <v>37</v>
      </c>
      <c r="C138" s="81" t="s">
        <v>769</v>
      </c>
      <c r="D138" s="607"/>
      <c r="E138" s="607"/>
      <c r="F138" s="607"/>
      <c r="G138" s="187">
        <f t="shared" ref="G138:M138" si="28">$E$47*$B$47/7</f>
        <v>1428571.4285714286</v>
      </c>
      <c r="H138" s="187">
        <f t="shared" si="28"/>
        <v>1428571.4285714286</v>
      </c>
      <c r="I138" s="187">
        <f t="shared" si="28"/>
        <v>1428571.4285714286</v>
      </c>
      <c r="J138" s="187">
        <f t="shared" si="28"/>
        <v>1428571.4285714286</v>
      </c>
      <c r="K138" s="187">
        <f t="shared" si="28"/>
        <v>1428571.4285714286</v>
      </c>
      <c r="L138" s="187">
        <f t="shared" si="28"/>
        <v>1428571.4285714286</v>
      </c>
      <c r="M138" s="187">
        <f t="shared" si="28"/>
        <v>1428571.4285714286</v>
      </c>
      <c r="N138" s="192"/>
      <c r="O138" s="192"/>
      <c r="P138" s="192"/>
      <c r="Q138" s="192"/>
      <c r="R138" s="9"/>
    </row>
    <row r="139" spans="1:18" ht="30" x14ac:dyDescent="0.25">
      <c r="A139" s="102" t="s">
        <v>695</v>
      </c>
      <c r="B139" s="102" t="s">
        <v>37</v>
      </c>
      <c r="C139" s="81" t="s">
        <v>768</v>
      </c>
      <c r="D139" s="607"/>
      <c r="E139" s="511">
        <f t="shared" ref="E139:K139" si="29">$D$47*$B$48/7</f>
        <v>2000000</v>
      </c>
      <c r="F139" s="511">
        <f t="shared" si="29"/>
        <v>2000000</v>
      </c>
      <c r="G139" s="187">
        <f t="shared" si="29"/>
        <v>2000000</v>
      </c>
      <c r="H139" s="187">
        <f t="shared" si="29"/>
        <v>2000000</v>
      </c>
      <c r="I139" s="187">
        <f t="shared" si="29"/>
        <v>2000000</v>
      </c>
      <c r="J139" s="187">
        <f t="shared" si="29"/>
        <v>2000000</v>
      </c>
      <c r="K139" s="187">
        <f t="shared" si="29"/>
        <v>2000000</v>
      </c>
      <c r="L139" s="192"/>
      <c r="M139" s="192"/>
      <c r="N139" s="192"/>
      <c r="O139" s="192"/>
      <c r="P139" s="192"/>
      <c r="Q139" s="192"/>
      <c r="R139" s="9"/>
    </row>
    <row r="140" spans="1:18" ht="30" x14ac:dyDescent="0.25">
      <c r="A140" s="102" t="s">
        <v>695</v>
      </c>
      <c r="B140" s="102" t="s">
        <v>37</v>
      </c>
      <c r="C140" s="81" t="s">
        <v>769</v>
      </c>
      <c r="D140" s="607"/>
      <c r="E140" s="607"/>
      <c r="F140" s="607"/>
      <c r="G140" s="187">
        <f t="shared" ref="G140:M140" si="30">$E$47*$B$48/7</f>
        <v>2857142.8571428573</v>
      </c>
      <c r="H140" s="187">
        <f t="shared" si="30"/>
        <v>2857142.8571428573</v>
      </c>
      <c r="I140" s="187">
        <f t="shared" si="30"/>
        <v>2857142.8571428573</v>
      </c>
      <c r="J140" s="187">
        <f t="shared" si="30"/>
        <v>2857142.8571428573</v>
      </c>
      <c r="K140" s="187">
        <f t="shared" si="30"/>
        <v>2857142.8571428573</v>
      </c>
      <c r="L140" s="187">
        <f t="shared" si="30"/>
        <v>2857142.8571428573</v>
      </c>
      <c r="M140" s="187">
        <f t="shared" si="30"/>
        <v>2857142.8571428573</v>
      </c>
      <c r="N140" s="192"/>
      <c r="O140" s="192"/>
      <c r="P140" s="192"/>
      <c r="Q140" s="192"/>
      <c r="R140" s="9"/>
    </row>
    <row r="141" spans="1:18" s="16" customFormat="1" ht="6" customHeight="1" x14ac:dyDescent="0.25">
      <c r="A141" s="605"/>
      <c r="B141" s="19"/>
      <c r="C141" s="606"/>
      <c r="D141" s="610"/>
      <c r="E141" s="465"/>
      <c r="F141" s="465"/>
      <c r="G141" s="157"/>
      <c r="H141" s="157"/>
      <c r="I141" s="157"/>
      <c r="J141" s="157"/>
      <c r="K141" s="157"/>
      <c r="L141" s="157"/>
      <c r="M141" s="157"/>
      <c r="N141" s="157"/>
      <c r="O141" s="157"/>
      <c r="P141" s="157"/>
      <c r="Q141" s="157"/>
    </row>
    <row r="142" spans="1:18" s="131" customFormat="1" ht="30" x14ac:dyDescent="0.25">
      <c r="A142" s="633" t="s">
        <v>696</v>
      </c>
      <c r="B142" s="633" t="s">
        <v>169</v>
      </c>
      <c r="C142" s="81" t="s">
        <v>768</v>
      </c>
      <c r="D142" s="635"/>
      <c r="E142" s="635"/>
      <c r="F142" s="635"/>
      <c r="G142" s="202"/>
      <c r="H142" s="202"/>
      <c r="I142" s="202"/>
      <c r="J142" s="202"/>
      <c r="K142" s="202"/>
      <c r="L142" s="203">
        <f t="shared" ref="L142:Q142" si="31">K68*$C$27*$C$41*(1+K$70)</f>
        <v>2407115.9984020684</v>
      </c>
      <c r="M142" s="203">
        <f t="shared" si="31"/>
        <v>2432584.6957110255</v>
      </c>
      <c r="N142" s="203">
        <f t="shared" si="31"/>
        <v>2458428.3985509346</v>
      </c>
      <c r="O142" s="203">
        <f t="shared" si="31"/>
        <v>2484655.0476597967</v>
      </c>
      <c r="P142" s="203">
        <f t="shared" si="31"/>
        <v>2511272.8110598153</v>
      </c>
      <c r="Q142" s="203">
        <f t="shared" si="31"/>
        <v>2540589.8087822124</v>
      </c>
    </row>
    <row r="143" spans="1:18" s="131" customFormat="1" ht="30" x14ac:dyDescent="0.25">
      <c r="A143" s="633" t="s">
        <v>696</v>
      </c>
      <c r="B143" s="633" t="s">
        <v>169</v>
      </c>
      <c r="C143" s="81" t="s">
        <v>769</v>
      </c>
      <c r="D143" s="635"/>
      <c r="E143" s="635"/>
      <c r="F143" s="635"/>
      <c r="G143" s="202"/>
      <c r="H143" s="202"/>
      <c r="I143" s="202"/>
      <c r="J143" s="202"/>
      <c r="K143" s="202"/>
      <c r="L143" s="202"/>
      <c r="M143" s="202"/>
      <c r="N143" s="203">
        <f>M69*$C$27*$C$41*(1+M$70)</f>
        <v>3269612.2391826622</v>
      </c>
      <c r="O143" s="203">
        <f>N69*$C$27*$C$41*(1+N$70)</f>
        <v>3304492.6420325595</v>
      </c>
      <c r="P143" s="203">
        <f>O69*$C$27*$C$41*(1+O$70)</f>
        <v>3339893.2113733902</v>
      </c>
      <c r="Q143" s="203">
        <f>P69*$C$27*$C$41*(1+P$70)</f>
        <v>3378883.6552788299</v>
      </c>
    </row>
    <row r="144" spans="1:18" s="16" customFormat="1" ht="6" customHeight="1" x14ac:dyDescent="0.25">
      <c r="A144" s="605"/>
      <c r="B144" s="19"/>
      <c r="C144" s="606"/>
      <c r="D144" s="610"/>
      <c r="E144" s="465"/>
      <c r="F144" s="465"/>
      <c r="G144" s="157"/>
      <c r="H144" s="157"/>
      <c r="I144" s="157"/>
      <c r="J144" s="157"/>
      <c r="K144" s="157"/>
      <c r="L144" s="157"/>
      <c r="M144" s="157"/>
      <c r="N144" s="157"/>
      <c r="O144" s="157"/>
      <c r="P144" s="157"/>
      <c r="Q144" s="157"/>
    </row>
    <row r="145" spans="1:18" s="83" customFormat="1" ht="30" x14ac:dyDescent="0.25">
      <c r="A145" s="161" t="s">
        <v>697</v>
      </c>
      <c r="B145" s="161" t="s">
        <v>33</v>
      </c>
      <c r="C145" s="636" t="s">
        <v>110</v>
      </c>
      <c r="D145" s="619"/>
      <c r="E145" s="619"/>
      <c r="F145" s="619"/>
      <c r="G145" s="198"/>
      <c r="H145" s="201">
        <f>G78*$C19*(1+G65)</f>
        <v>105956.69545548999</v>
      </c>
      <c r="I145" s="201">
        <f>H$78*$C19*(1+H65)</f>
        <v>103604.4434759252</v>
      </c>
      <c r="J145" s="198"/>
      <c r="K145" s="198"/>
      <c r="L145" s="198"/>
      <c r="M145" s="198"/>
      <c r="N145" s="198"/>
      <c r="O145" s="198"/>
      <c r="P145" s="198"/>
      <c r="Q145" s="198"/>
    </row>
    <row r="146" spans="1:18" s="83" customFormat="1" x14ac:dyDescent="0.25">
      <c r="A146" s="161" t="s">
        <v>698</v>
      </c>
      <c r="B146" s="161" t="s">
        <v>33</v>
      </c>
      <c r="C146" s="636" t="s">
        <v>110</v>
      </c>
      <c r="D146" s="619"/>
      <c r="E146" s="619"/>
      <c r="F146" s="619"/>
      <c r="G146" s="198"/>
      <c r="H146" s="198"/>
      <c r="I146" s="198"/>
      <c r="J146" s="201">
        <f>I$78*$C19*(1+I70)</f>
        <v>89336.129746620732</v>
      </c>
      <c r="K146" s="201">
        <f>J$78*$C19*(1+J70)</f>
        <v>90047.074995570292</v>
      </c>
      <c r="L146" s="201">
        <f>K$78*$C19*(1+K70)</f>
        <v>91033.958353570779</v>
      </c>
      <c r="M146" s="201">
        <f>L$78*$C19*(1+L70)</f>
        <v>91997.150959029925</v>
      </c>
      <c r="N146" s="198"/>
      <c r="O146" s="198"/>
      <c r="P146" s="198"/>
      <c r="Q146" s="198"/>
    </row>
    <row r="147" spans="1:18" ht="30" x14ac:dyDescent="0.25">
      <c r="A147" s="623" t="s">
        <v>584</v>
      </c>
      <c r="B147" s="488"/>
      <c r="C147" s="599"/>
      <c r="D147" s="425"/>
      <c r="E147" s="425"/>
      <c r="F147" s="425"/>
      <c r="G147" s="29"/>
      <c r="H147" s="29"/>
      <c r="I147" s="29"/>
      <c r="J147" s="29"/>
      <c r="K147" s="29"/>
      <c r="L147" s="29"/>
      <c r="M147" s="29"/>
      <c r="N147" s="29"/>
      <c r="O147" s="29"/>
      <c r="P147" s="29"/>
      <c r="Q147" s="29"/>
    </row>
    <row r="148" spans="1:18" x14ac:dyDescent="0.25">
      <c r="A148" s="589"/>
      <c r="B148" s="488"/>
      <c r="C148" s="599"/>
      <c r="D148" s="425"/>
      <c r="E148" s="425"/>
      <c r="F148" s="425"/>
      <c r="G148" s="29"/>
      <c r="H148" s="29"/>
      <c r="I148" s="29"/>
      <c r="J148" s="29"/>
      <c r="K148" s="29"/>
      <c r="L148" s="29"/>
      <c r="M148" s="29"/>
      <c r="N148" s="29"/>
      <c r="O148" s="29"/>
      <c r="P148" s="29"/>
      <c r="Q148" s="29"/>
    </row>
    <row r="149" spans="1:18" x14ac:dyDescent="0.25">
      <c r="A149" s="627" t="s">
        <v>265</v>
      </c>
      <c r="B149" s="488"/>
      <c r="C149" s="599"/>
      <c r="D149" s="425"/>
      <c r="E149" s="425"/>
      <c r="F149" s="425"/>
      <c r="G149" s="29"/>
      <c r="H149" s="29"/>
      <c r="I149" s="29"/>
      <c r="J149" s="29"/>
      <c r="K149" s="29"/>
      <c r="L149" s="29"/>
      <c r="M149" s="29"/>
      <c r="N149" s="29"/>
      <c r="O149" s="29"/>
      <c r="P149" s="29"/>
      <c r="Q149" s="29"/>
      <c r="R149" s="29"/>
    </row>
    <row r="150" spans="1:18" ht="60" x14ac:dyDescent="0.25">
      <c r="A150" s="589" t="s">
        <v>279</v>
      </c>
      <c r="B150" s="488"/>
      <c r="C150" s="599"/>
      <c r="D150" s="425"/>
      <c r="E150" s="425"/>
      <c r="F150" s="425"/>
      <c r="G150" s="29"/>
      <c r="H150" s="29"/>
      <c r="I150" s="29"/>
      <c r="J150" s="29"/>
      <c r="K150" s="29"/>
      <c r="L150" s="29"/>
      <c r="M150" s="29"/>
      <c r="N150" s="29"/>
      <c r="O150" s="29"/>
      <c r="P150" s="29"/>
      <c r="Q150" s="29"/>
      <c r="R150" s="29"/>
    </row>
    <row r="151" spans="1:18" ht="60" x14ac:dyDescent="0.25">
      <c r="A151" s="589" t="s">
        <v>493</v>
      </c>
      <c r="B151" s="488"/>
      <c r="C151" s="599"/>
      <c r="D151" s="425"/>
      <c r="E151" s="425"/>
      <c r="F151" s="425"/>
      <c r="G151" s="29"/>
      <c r="H151" s="29"/>
      <c r="I151" s="29"/>
      <c r="J151" s="29"/>
      <c r="K151" s="29"/>
      <c r="L151" s="29"/>
      <c r="M151" s="29"/>
      <c r="N151" s="29"/>
      <c r="O151" s="29"/>
      <c r="P151" s="29"/>
      <c r="Q151" s="29"/>
      <c r="R151" s="29"/>
    </row>
    <row r="152" spans="1:18" ht="60" x14ac:dyDescent="0.25">
      <c r="A152" s="589" t="s">
        <v>282</v>
      </c>
      <c r="B152" s="488"/>
      <c r="C152" s="599"/>
      <c r="D152" s="425"/>
      <c r="E152" s="425"/>
      <c r="F152" s="425"/>
      <c r="G152" s="29"/>
      <c r="H152" s="29"/>
      <c r="I152" s="29"/>
      <c r="J152" s="29"/>
      <c r="K152" s="29"/>
      <c r="L152" s="29"/>
      <c r="M152" s="29"/>
      <c r="N152" s="29"/>
      <c r="O152" s="29"/>
      <c r="P152" s="29"/>
      <c r="Q152" s="29"/>
      <c r="R152" s="29"/>
    </row>
    <row r="153" spans="1:18" ht="60" x14ac:dyDescent="0.25">
      <c r="A153" s="589" t="s">
        <v>492</v>
      </c>
      <c r="B153" s="488"/>
      <c r="C153" s="599"/>
      <c r="D153" s="425"/>
      <c r="E153" s="425"/>
      <c r="F153" s="425"/>
      <c r="G153" s="29"/>
      <c r="H153" s="29"/>
      <c r="I153" s="29"/>
      <c r="J153" s="29"/>
      <c r="K153" s="29"/>
      <c r="L153" s="29"/>
      <c r="M153" s="29"/>
      <c r="N153" s="29"/>
      <c r="O153" s="29"/>
      <c r="P153" s="29"/>
      <c r="Q153" s="29"/>
      <c r="R153" s="29"/>
    </row>
    <row r="154" spans="1:18" ht="60" x14ac:dyDescent="0.25">
      <c r="A154" s="38" t="s">
        <v>555</v>
      </c>
      <c r="B154" s="488"/>
      <c r="C154" s="599"/>
      <c r="D154" s="425"/>
      <c r="E154" s="425"/>
      <c r="F154" s="425"/>
      <c r="G154" s="29"/>
      <c r="H154" s="29"/>
      <c r="I154" s="29"/>
      <c r="J154" s="29"/>
      <c r="K154" s="29"/>
      <c r="L154" s="29"/>
      <c r="M154" s="29"/>
      <c r="N154" s="29"/>
      <c r="O154" s="29"/>
      <c r="P154" s="29"/>
      <c r="Q154" s="29"/>
      <c r="R154" s="29"/>
    </row>
    <row r="155" spans="1:18" ht="60" x14ac:dyDescent="0.25">
      <c r="A155" s="589" t="s">
        <v>494</v>
      </c>
      <c r="B155" s="488"/>
      <c r="C155" s="599"/>
      <c r="D155" s="425"/>
      <c r="E155" s="425"/>
      <c r="F155" s="425"/>
      <c r="G155" s="29"/>
      <c r="H155" s="29"/>
      <c r="I155" s="29"/>
      <c r="J155" s="29"/>
      <c r="K155" s="29"/>
      <c r="L155" s="29"/>
      <c r="M155" s="29"/>
      <c r="N155" s="29"/>
      <c r="O155" s="29"/>
      <c r="P155" s="29"/>
      <c r="Q155" s="29"/>
      <c r="R155" s="29"/>
    </row>
    <row r="156" spans="1:18" ht="60" x14ac:dyDescent="0.25">
      <c r="A156" s="589" t="s">
        <v>495</v>
      </c>
    </row>
    <row r="157" spans="1:18" ht="45" x14ac:dyDescent="0.25">
      <c r="A157" s="589" t="s">
        <v>496</v>
      </c>
    </row>
    <row r="158" spans="1:18" ht="60" x14ac:dyDescent="0.25">
      <c r="A158" s="589" t="s">
        <v>699</v>
      </c>
    </row>
    <row r="159" spans="1:18" ht="60" x14ac:dyDescent="0.25">
      <c r="A159" s="589" t="s">
        <v>700</v>
      </c>
    </row>
    <row r="160" spans="1:18" ht="60" x14ac:dyDescent="0.25">
      <c r="A160" s="589" t="s">
        <v>701</v>
      </c>
    </row>
    <row r="161" spans="1:18" ht="30" x14ac:dyDescent="0.25">
      <c r="A161" s="589" t="s">
        <v>702</v>
      </c>
    </row>
    <row r="162" spans="1:18" ht="30" x14ac:dyDescent="0.25">
      <c r="A162" s="589" t="s">
        <v>703</v>
      </c>
    </row>
    <row r="163" spans="1:18" ht="60" x14ac:dyDescent="0.25">
      <c r="A163" s="589" t="s">
        <v>704</v>
      </c>
    </row>
    <row r="164" spans="1:18" ht="45" x14ac:dyDescent="0.25">
      <c r="A164" s="628" t="s">
        <v>705</v>
      </c>
    </row>
    <row r="165" spans="1:18" x14ac:dyDescent="0.25">
      <c r="A165" s="628"/>
    </row>
    <row r="166" spans="1:18" x14ac:dyDescent="0.25">
      <c r="A166" s="430" t="s">
        <v>283</v>
      </c>
    </row>
    <row r="167" spans="1:18" ht="15" customHeight="1" x14ac:dyDescent="0.25">
      <c r="A167" s="8" t="s">
        <v>586</v>
      </c>
      <c r="B167" s="302">
        <v>2019</v>
      </c>
      <c r="C167" s="302">
        <v>2020</v>
      </c>
      <c r="D167" s="302">
        <v>2021</v>
      </c>
      <c r="E167" s="307">
        <v>2022</v>
      </c>
      <c r="F167" s="307">
        <v>2023</v>
      </c>
      <c r="G167" s="307">
        <v>2024</v>
      </c>
      <c r="H167" s="307">
        <v>2025</v>
      </c>
      <c r="I167" s="307">
        <v>2026</v>
      </c>
      <c r="J167" s="307">
        <v>2027</v>
      </c>
      <c r="K167" s="307">
        <v>2028</v>
      </c>
      <c r="L167" s="307">
        <v>2029</v>
      </c>
      <c r="M167" s="307">
        <v>2030</v>
      </c>
      <c r="N167" s="84">
        <v>2031</v>
      </c>
      <c r="O167" s="84">
        <v>2032</v>
      </c>
    </row>
    <row r="168" spans="1:18" ht="30" x14ac:dyDescent="0.25">
      <c r="A168" s="426" t="s">
        <v>180</v>
      </c>
      <c r="B168" s="511">
        <f>SUM(D$82,D$84)</f>
        <v>0</v>
      </c>
      <c r="C168" s="511">
        <f t="shared" ref="C168:O168" si="32">SUM(E82,E84)</f>
        <v>0</v>
      </c>
      <c r="D168" s="511">
        <f t="shared" si="32"/>
        <v>2211022.0819999003</v>
      </c>
      <c r="E168" s="187">
        <f t="shared" si="32"/>
        <v>2290228.5960638938</v>
      </c>
      <c r="F168" s="187">
        <f t="shared" si="32"/>
        <v>2374660.1884041871</v>
      </c>
      <c r="G168" s="187">
        <f t="shared" si="32"/>
        <v>2464421.0116913598</v>
      </c>
      <c r="H168" s="187">
        <f t="shared" si="32"/>
        <v>15940460.326777507</v>
      </c>
      <c r="I168" s="187">
        <f t="shared" si="32"/>
        <v>16478096.112154298</v>
      </c>
      <c r="J168" s="187">
        <f t="shared" si="32"/>
        <v>16948268.977993339</v>
      </c>
      <c r="K168" s="187">
        <f t="shared" si="32"/>
        <v>17342882.623428401</v>
      </c>
      <c r="L168" s="187">
        <f t="shared" si="32"/>
        <v>17750944.87577343</v>
      </c>
      <c r="M168" s="187">
        <f t="shared" si="32"/>
        <v>18172541.473121699</v>
      </c>
      <c r="N168" s="187">
        <f t="shared" si="32"/>
        <v>18607815.371109515</v>
      </c>
      <c r="O168" s="187">
        <f t="shared" si="32"/>
        <v>19122460.337041523</v>
      </c>
      <c r="R168" s="118">
        <f>SUM(B168:O168)</f>
        <v>149703801.97555906</v>
      </c>
    </row>
    <row r="169" spans="1:18" ht="30.75" thickBot="1" x14ac:dyDescent="0.3">
      <c r="A169" s="491" t="s">
        <v>179</v>
      </c>
      <c r="B169" s="514">
        <f t="shared" ref="B169:O169" si="33">SUM(D$118:D$121,D123,D$125:D$130,D131:D140,D142:D143)</f>
        <v>0</v>
      </c>
      <c r="C169" s="514">
        <f t="shared" si="33"/>
        <v>3000000</v>
      </c>
      <c r="D169" s="514">
        <f t="shared" si="33"/>
        <v>3000000</v>
      </c>
      <c r="E169" s="188">
        <f t="shared" si="33"/>
        <v>7285714.2857142864</v>
      </c>
      <c r="F169" s="188">
        <f t="shared" si="33"/>
        <v>7285714.2857142864</v>
      </c>
      <c r="G169" s="188">
        <f t="shared" si="33"/>
        <v>27659429.076992657</v>
      </c>
      <c r="H169" s="188">
        <f t="shared" si="33"/>
        <v>29876673.983754307</v>
      </c>
      <c r="I169" s="188">
        <f t="shared" si="33"/>
        <v>58159734.104156852</v>
      </c>
      <c r="J169" s="188">
        <f t="shared" si="33"/>
        <v>58625765.529902428</v>
      </c>
      <c r="K169" s="188">
        <f t="shared" si="33"/>
        <v>59240898.798309423</v>
      </c>
      <c r="L169" s="188">
        <f t="shared" si="33"/>
        <v>59494950.225342244</v>
      </c>
      <c r="M169" s="188">
        <f t="shared" si="33"/>
        <v>60171391.539583556</v>
      </c>
      <c r="N169" s="188">
        <f t="shared" si="33"/>
        <v>60858544.546110459</v>
      </c>
      <c r="O169" s="188">
        <f t="shared" si="33"/>
        <v>61612294.373425849</v>
      </c>
      <c r="R169" s="118"/>
    </row>
    <row r="170" spans="1:18" ht="15.75" thickTop="1" x14ac:dyDescent="0.25">
      <c r="A170" s="515" t="s">
        <v>79</v>
      </c>
      <c r="B170" s="516">
        <f>SUM(B168:B169)</f>
        <v>0</v>
      </c>
      <c r="C170" s="516">
        <f t="shared" ref="C170:O170" si="34">SUM(C168:C169)</f>
        <v>3000000</v>
      </c>
      <c r="D170" s="516">
        <f t="shared" si="34"/>
        <v>5211022.0819998998</v>
      </c>
      <c r="E170" s="189">
        <f t="shared" si="34"/>
        <v>9575942.8817781806</v>
      </c>
      <c r="F170" s="189">
        <f t="shared" si="34"/>
        <v>9660374.474118473</v>
      </c>
      <c r="G170" s="189">
        <f t="shared" si="34"/>
        <v>30123850.088684015</v>
      </c>
      <c r="H170" s="189">
        <f t="shared" si="34"/>
        <v>45817134.31053181</v>
      </c>
      <c r="I170" s="189">
        <f t="shared" si="34"/>
        <v>74637830.216311157</v>
      </c>
      <c r="J170" s="189">
        <f t="shared" si="34"/>
        <v>75574034.507895768</v>
      </c>
      <c r="K170" s="189">
        <f t="shared" si="34"/>
        <v>76583781.42173782</v>
      </c>
      <c r="L170" s="189">
        <f t="shared" si="34"/>
        <v>77245895.101115674</v>
      </c>
      <c r="M170" s="189">
        <f t="shared" si="34"/>
        <v>78343933.012705252</v>
      </c>
      <c r="N170" s="189">
        <f t="shared" si="34"/>
        <v>79466359.917219967</v>
      </c>
      <c r="O170" s="189">
        <f t="shared" si="34"/>
        <v>80734754.710467368</v>
      </c>
    </row>
    <row r="172" spans="1:18" ht="15" customHeight="1" x14ac:dyDescent="0.25">
      <c r="A172" s="8" t="s">
        <v>359</v>
      </c>
      <c r="B172" s="302">
        <v>2019</v>
      </c>
      <c r="C172" s="302">
        <v>2020</v>
      </c>
      <c r="D172" s="302">
        <v>2021</v>
      </c>
      <c r="E172" s="307">
        <v>2022</v>
      </c>
      <c r="F172" s="307">
        <v>2023</v>
      </c>
      <c r="G172" s="307">
        <v>2024</v>
      </c>
      <c r="H172" s="307">
        <v>2025</v>
      </c>
      <c r="I172" s="307">
        <v>2026</v>
      </c>
      <c r="J172" s="307">
        <v>2027</v>
      </c>
      <c r="K172" s="307">
        <v>2028</v>
      </c>
      <c r="L172" s="307">
        <v>2029</v>
      </c>
      <c r="M172" s="307">
        <v>2030</v>
      </c>
      <c r="N172" s="84">
        <v>2031</v>
      </c>
      <c r="O172" s="84">
        <v>2032</v>
      </c>
    </row>
    <row r="173" spans="1:18" ht="30" x14ac:dyDescent="0.25">
      <c r="A173" s="426" t="s">
        <v>180</v>
      </c>
      <c r="B173" s="511">
        <f t="shared" ref="B173:O173" si="35">D$82</f>
        <v>0</v>
      </c>
      <c r="C173" s="511">
        <f t="shared" si="35"/>
        <v>0</v>
      </c>
      <c r="D173" s="511">
        <f t="shared" si="35"/>
        <v>2211022.0819999003</v>
      </c>
      <c r="E173" s="187">
        <f t="shared" si="35"/>
        <v>2290228.5960638938</v>
      </c>
      <c r="F173" s="187">
        <f t="shared" si="35"/>
        <v>2374660.1884041871</v>
      </c>
      <c r="G173" s="187">
        <f t="shared" si="35"/>
        <v>2464421.0116913598</v>
      </c>
      <c r="H173" s="187">
        <f t="shared" si="35"/>
        <v>2559643.1159419548</v>
      </c>
      <c r="I173" s="187">
        <f t="shared" si="35"/>
        <v>2704983.8012673934</v>
      </c>
      <c r="J173" s="187">
        <f t="shared" si="35"/>
        <v>2771038.2055332926</v>
      </c>
      <c r="K173" s="187">
        <f t="shared" si="35"/>
        <v>2843326.4533049404</v>
      </c>
      <c r="L173" s="187">
        <f t="shared" si="35"/>
        <v>2921700.2126488159</v>
      </c>
      <c r="M173" s="187">
        <f t="shared" si="35"/>
        <v>3006076.2476093513</v>
      </c>
      <c r="N173" s="187">
        <f t="shared" si="35"/>
        <v>3096424.6448192312</v>
      </c>
      <c r="O173" s="187">
        <f t="shared" si="35"/>
        <v>3244397.7960922145</v>
      </c>
    </row>
    <row r="174" spans="1:18" ht="30.75" thickBot="1" x14ac:dyDescent="0.3">
      <c r="A174" s="491" t="s">
        <v>179</v>
      </c>
      <c r="B174" s="514">
        <f t="shared" ref="B174:O174" si="36">SUM(D$125:D$130,D131:D140,D142:D143)</f>
        <v>0</v>
      </c>
      <c r="C174" s="514">
        <f t="shared" si="36"/>
        <v>3000000</v>
      </c>
      <c r="D174" s="514">
        <f t="shared" si="36"/>
        <v>3000000</v>
      </c>
      <c r="E174" s="188">
        <f t="shared" si="36"/>
        <v>7285714.2857142864</v>
      </c>
      <c r="F174" s="188">
        <f t="shared" si="36"/>
        <v>7285714.2857142864</v>
      </c>
      <c r="G174" s="188">
        <f t="shared" si="36"/>
        <v>26603687.609214924</v>
      </c>
      <c r="H174" s="188">
        <f t="shared" si="36"/>
        <v>26756406.681109641</v>
      </c>
      <c r="I174" s="188">
        <f t="shared" si="36"/>
        <v>54947987.667286605</v>
      </c>
      <c r="J174" s="188">
        <f t="shared" si="36"/>
        <v>55319782.873960249</v>
      </c>
      <c r="K174" s="188">
        <f t="shared" si="36"/>
        <v>55859753.21447622</v>
      </c>
      <c r="L174" s="188">
        <f t="shared" si="36"/>
        <v>56036924.7164222</v>
      </c>
      <c r="M174" s="188">
        <f t="shared" si="36"/>
        <v>56634729.7053914</v>
      </c>
      <c r="N174" s="188">
        <f t="shared" si="36"/>
        <v>57241449.675208546</v>
      </c>
      <c r="O174" s="188">
        <f t="shared" si="36"/>
        <v>57909695.451758228</v>
      </c>
    </row>
    <row r="175" spans="1:18" ht="15.75" thickTop="1" x14ac:dyDescent="0.25">
      <c r="A175" s="515" t="s">
        <v>79</v>
      </c>
      <c r="B175" s="516">
        <f>SUM(B173:B174)</f>
        <v>0</v>
      </c>
      <c r="C175" s="516">
        <f t="shared" ref="C175" si="37">SUM(C173:C174)</f>
        <v>3000000</v>
      </c>
      <c r="D175" s="516">
        <f t="shared" ref="D175" si="38">SUM(D173:D174)</f>
        <v>5211022.0819998998</v>
      </c>
      <c r="E175" s="189">
        <f t="shared" ref="E175" si="39">SUM(E173:E174)</f>
        <v>9575942.8817781806</v>
      </c>
      <c r="F175" s="189">
        <f t="shared" ref="F175" si="40">SUM(F173:F174)</f>
        <v>9660374.474118473</v>
      </c>
      <c r="G175" s="189">
        <f t="shared" ref="G175" si="41">SUM(G173:G174)</f>
        <v>29068108.620906286</v>
      </c>
      <c r="H175" s="189">
        <f t="shared" ref="H175" si="42">SUM(H173:H174)</f>
        <v>29316049.797051594</v>
      </c>
      <c r="I175" s="189">
        <f t="shared" ref="I175" si="43">SUM(I173:I174)</f>
        <v>57652971.468553998</v>
      </c>
      <c r="J175" s="189">
        <f t="shared" ref="J175" si="44">SUM(J173:J174)</f>
        <v>58090821.079493545</v>
      </c>
      <c r="K175" s="189">
        <f t="shared" ref="K175" si="45">SUM(K173:K174)</f>
        <v>58703079.667781159</v>
      </c>
      <c r="L175" s="189">
        <f t="shared" ref="L175" si="46">SUM(L173:L174)</f>
        <v>58958624.929071017</v>
      </c>
      <c r="M175" s="189">
        <f t="shared" ref="M175" si="47">SUM(M173:M174)</f>
        <v>59640805.953000754</v>
      </c>
      <c r="N175" s="189">
        <f t="shared" ref="N175" si="48">SUM(N173:N174)</f>
        <v>60337874.320027776</v>
      </c>
      <c r="O175" s="189">
        <f t="shared" ref="O175" si="49">SUM(O173:O174)</f>
        <v>61154093.24785044</v>
      </c>
    </row>
    <row r="177" spans="1:18" ht="13.9" customHeight="1" x14ac:dyDescent="0.25">
      <c r="A177" s="8" t="s">
        <v>587</v>
      </c>
      <c r="B177" s="302">
        <v>2019</v>
      </c>
      <c r="C177" s="302">
        <v>2020</v>
      </c>
      <c r="D177" s="302">
        <v>2021</v>
      </c>
      <c r="E177" s="307">
        <v>2022</v>
      </c>
      <c r="F177" s="307">
        <v>2023</v>
      </c>
      <c r="G177" s="307">
        <v>2024</v>
      </c>
      <c r="H177" s="307">
        <v>2025</v>
      </c>
      <c r="I177" s="307">
        <v>2026</v>
      </c>
      <c r="J177" s="307">
        <v>2027</v>
      </c>
      <c r="K177" s="307">
        <v>2028</v>
      </c>
      <c r="L177" s="307">
        <v>2029</v>
      </c>
      <c r="M177" s="307">
        <v>2030</v>
      </c>
      <c r="N177" s="84">
        <v>2031</v>
      </c>
      <c r="O177" s="84">
        <v>2032</v>
      </c>
    </row>
    <row r="178" spans="1:18" x14ac:dyDescent="0.25">
      <c r="A178" s="426" t="s">
        <v>85</v>
      </c>
      <c r="B178" s="511">
        <f t="shared" ref="B178:O178" si="50">SUM(D82)</f>
        <v>0</v>
      </c>
      <c r="C178" s="511">
        <f t="shared" si="50"/>
        <v>0</v>
      </c>
      <c r="D178" s="511">
        <f t="shared" si="50"/>
        <v>2211022.0819999003</v>
      </c>
      <c r="E178" s="187">
        <f t="shared" si="50"/>
        <v>2290228.5960638938</v>
      </c>
      <c r="F178" s="187">
        <f t="shared" si="50"/>
        <v>2374660.1884041871</v>
      </c>
      <c r="G178" s="187">
        <f t="shared" si="50"/>
        <v>2464421.0116913598</v>
      </c>
      <c r="H178" s="187">
        <f t="shared" si="50"/>
        <v>2559643.1159419548</v>
      </c>
      <c r="I178" s="187">
        <f t="shared" si="50"/>
        <v>2704983.8012673934</v>
      </c>
      <c r="J178" s="187">
        <f t="shared" si="50"/>
        <v>2771038.2055332926</v>
      </c>
      <c r="K178" s="187">
        <f t="shared" si="50"/>
        <v>2843326.4533049404</v>
      </c>
      <c r="L178" s="187">
        <f t="shared" si="50"/>
        <v>2921700.2126488159</v>
      </c>
      <c r="M178" s="187">
        <f t="shared" si="50"/>
        <v>3006076.2476093513</v>
      </c>
      <c r="N178" s="187">
        <f t="shared" si="50"/>
        <v>3096424.6448192312</v>
      </c>
      <c r="O178" s="187">
        <f t="shared" si="50"/>
        <v>3244397.7960922145</v>
      </c>
      <c r="R178" s="118"/>
    </row>
    <row r="179" spans="1:18" x14ac:dyDescent="0.25">
      <c r="A179" s="426" t="s">
        <v>15</v>
      </c>
      <c r="B179" s="511">
        <f t="shared" ref="B179:O179" si="51">SUM(D84)+SUM(D118:D121,D123)</f>
        <v>0</v>
      </c>
      <c r="C179" s="511">
        <f t="shared" si="51"/>
        <v>0</v>
      </c>
      <c r="D179" s="511">
        <f t="shared" si="51"/>
        <v>0</v>
      </c>
      <c r="E179" s="187">
        <f t="shared" si="51"/>
        <v>0</v>
      </c>
      <c r="F179" s="187">
        <f t="shared" si="51"/>
        <v>0</v>
      </c>
      <c r="G179" s="187">
        <f t="shared" si="51"/>
        <v>1055741.4677777337</v>
      </c>
      <c r="H179" s="187">
        <f t="shared" si="51"/>
        <v>16501084.51348022</v>
      </c>
      <c r="I179" s="187">
        <f t="shared" si="51"/>
        <v>16984858.747757152</v>
      </c>
      <c r="J179" s="187">
        <f t="shared" si="51"/>
        <v>17483213.428402223</v>
      </c>
      <c r="K179" s="187">
        <f t="shared" si="51"/>
        <v>17880701.753956668</v>
      </c>
      <c r="L179" s="187">
        <f t="shared" si="51"/>
        <v>18287270.172044657</v>
      </c>
      <c r="M179" s="187">
        <f t="shared" si="51"/>
        <v>18703127.059704497</v>
      </c>
      <c r="N179" s="187">
        <f t="shared" si="51"/>
        <v>19128485.597192198</v>
      </c>
      <c r="O179" s="187">
        <f t="shared" si="51"/>
        <v>19580661.462616928</v>
      </c>
    </row>
    <row r="180" spans="1:18" x14ac:dyDescent="0.25">
      <c r="A180" s="349" t="s">
        <v>768</v>
      </c>
      <c r="B180" s="511">
        <f t="shared" ref="B180:O180" si="52">SUM(D125:D127,D131:D133,D137,D139,D142)</f>
        <v>0</v>
      </c>
      <c r="C180" s="511">
        <f t="shared" si="52"/>
        <v>3000000</v>
      </c>
      <c r="D180" s="511">
        <f t="shared" si="52"/>
        <v>3000000</v>
      </c>
      <c r="E180" s="187">
        <f t="shared" si="52"/>
        <v>3000000</v>
      </c>
      <c r="F180" s="187">
        <f t="shared" si="52"/>
        <v>3000000</v>
      </c>
      <c r="G180" s="187">
        <f t="shared" si="52"/>
        <v>22317973.323500637</v>
      </c>
      <c r="H180" s="187">
        <f t="shared" si="52"/>
        <v>22470692.395395353</v>
      </c>
      <c r="I180" s="187">
        <f t="shared" si="52"/>
        <v>22625641.98064743</v>
      </c>
      <c r="J180" s="187">
        <f t="shared" si="52"/>
        <v>22690165.852351807</v>
      </c>
      <c r="K180" s="187">
        <f t="shared" si="52"/>
        <v>22930241.098566446</v>
      </c>
      <c r="L180" s="187">
        <f t="shared" si="52"/>
        <v>23173851.254481539</v>
      </c>
      <c r="M180" s="187">
        <f t="shared" si="52"/>
        <v>23421071.171771169</v>
      </c>
      <c r="N180" s="187">
        <f t="shared" si="52"/>
        <v>23671977.844555542</v>
      </c>
      <c r="O180" s="187">
        <f t="shared" si="52"/>
        <v>23948328.274304584</v>
      </c>
      <c r="R180" s="9"/>
    </row>
    <row r="181" spans="1:18" ht="15.75" thickBot="1" x14ac:dyDescent="0.3">
      <c r="A181" s="532" t="s">
        <v>825</v>
      </c>
      <c r="B181" s="514">
        <f t="shared" ref="B181:O181" si="53">SUM(D128:D130,D134:D136,D138,D140,D143)</f>
        <v>0</v>
      </c>
      <c r="C181" s="514">
        <f t="shared" si="53"/>
        <v>0</v>
      </c>
      <c r="D181" s="514">
        <f t="shared" si="53"/>
        <v>0</v>
      </c>
      <c r="E181" s="188">
        <f t="shared" si="53"/>
        <v>4285714.2857142854</v>
      </c>
      <c r="F181" s="188">
        <f t="shared" si="53"/>
        <v>4285714.2857142854</v>
      </c>
      <c r="G181" s="188">
        <f t="shared" si="53"/>
        <v>4285714.2857142854</v>
      </c>
      <c r="H181" s="188">
        <f t="shared" si="53"/>
        <v>4285714.2857142854</v>
      </c>
      <c r="I181" s="188">
        <f t="shared" si="53"/>
        <v>32322345.686639186</v>
      </c>
      <c r="J181" s="188">
        <f t="shared" si="53"/>
        <v>32629617.021608453</v>
      </c>
      <c r="K181" s="188">
        <f t="shared" si="53"/>
        <v>32929512.115909781</v>
      </c>
      <c r="L181" s="188">
        <f t="shared" si="53"/>
        <v>32863073.461940661</v>
      </c>
      <c r="M181" s="188">
        <f t="shared" si="53"/>
        <v>33213658.533620238</v>
      </c>
      <c r="N181" s="188">
        <f t="shared" si="53"/>
        <v>33569471.830652997</v>
      </c>
      <c r="O181" s="188">
        <f t="shared" si="53"/>
        <v>33961367.177453645</v>
      </c>
      <c r="R181" s="9"/>
    </row>
    <row r="182" spans="1:18" ht="15.75" thickTop="1" x14ac:dyDescent="0.25">
      <c r="A182" s="515" t="s">
        <v>79</v>
      </c>
      <c r="B182" s="516">
        <f>SUM(B178:B181)</f>
        <v>0</v>
      </c>
      <c r="C182" s="516">
        <f t="shared" ref="C182:O182" si="54">SUM(C178:C181)</f>
        <v>3000000</v>
      </c>
      <c r="D182" s="516">
        <f t="shared" si="54"/>
        <v>5211022.0819998998</v>
      </c>
      <c r="E182" s="189">
        <f t="shared" si="54"/>
        <v>9575942.8817781787</v>
      </c>
      <c r="F182" s="189">
        <f t="shared" si="54"/>
        <v>9660374.474118473</v>
      </c>
      <c r="G182" s="189">
        <f t="shared" si="54"/>
        <v>30123850.088684015</v>
      </c>
      <c r="H182" s="189">
        <f t="shared" si="54"/>
        <v>45817134.31053181</v>
      </c>
      <c r="I182" s="189">
        <f t="shared" si="54"/>
        <v>74637830.216311157</v>
      </c>
      <c r="J182" s="189">
        <f t="shared" si="54"/>
        <v>75574034.507895783</v>
      </c>
      <c r="K182" s="189">
        <f t="shared" si="54"/>
        <v>76583781.421737835</v>
      </c>
      <c r="L182" s="189">
        <f t="shared" si="54"/>
        <v>77245895.101115674</v>
      </c>
      <c r="M182" s="189">
        <f t="shared" si="54"/>
        <v>78343933.012705252</v>
      </c>
      <c r="N182" s="189">
        <f t="shared" si="54"/>
        <v>79466359.917219967</v>
      </c>
      <c r="O182" s="189">
        <f t="shared" si="54"/>
        <v>80734754.710467368</v>
      </c>
    </row>
    <row r="183" spans="1:18" ht="30" x14ac:dyDescent="0.25">
      <c r="A183" s="424" t="s">
        <v>363</v>
      </c>
      <c r="B183" s="424"/>
      <c r="C183" s="424"/>
    </row>
    <row r="184" spans="1:18" x14ac:dyDescent="0.25">
      <c r="Q184" s="118"/>
    </row>
    <row r="185" spans="1:18" s="83" customFormat="1" ht="15" customHeight="1" x14ac:dyDescent="0.25">
      <c r="A185" s="393" t="s">
        <v>665</v>
      </c>
      <c r="B185" s="520">
        <v>2019</v>
      </c>
      <c r="C185" s="520">
        <v>2020</v>
      </c>
      <c r="D185" s="520">
        <v>2021</v>
      </c>
      <c r="E185" s="158">
        <v>2022</v>
      </c>
      <c r="F185" s="158">
        <v>2023</v>
      </c>
      <c r="G185" s="158">
        <v>2024</v>
      </c>
      <c r="H185" s="158">
        <v>2025</v>
      </c>
      <c r="I185" s="158">
        <v>2026</v>
      </c>
      <c r="J185" s="158">
        <v>2027</v>
      </c>
      <c r="K185" s="158">
        <v>2028</v>
      </c>
      <c r="L185" s="158">
        <v>2029</v>
      </c>
      <c r="M185" s="158">
        <v>2030</v>
      </c>
      <c r="N185" s="158">
        <v>2031</v>
      </c>
      <c r="O185" s="158">
        <v>2032</v>
      </c>
    </row>
    <row r="186" spans="1:18" s="83" customFormat="1" ht="30" x14ac:dyDescent="0.25">
      <c r="A186" s="522" t="s">
        <v>180</v>
      </c>
      <c r="B186" s="524">
        <f t="shared" ref="B186:O186" si="55">SUM(D86:D98)</f>
        <v>6573.0668721484853</v>
      </c>
      <c r="C186" s="524">
        <f t="shared" si="55"/>
        <v>698625.40561922488</v>
      </c>
      <c r="D186" s="524">
        <f t="shared" si="55"/>
        <v>1830147.5202505752</v>
      </c>
      <c r="E186" s="201">
        <f t="shared" si="55"/>
        <v>1895709.7805654027</v>
      </c>
      <c r="F186" s="201">
        <f t="shared" si="55"/>
        <v>1986553.7334166346</v>
      </c>
      <c r="G186" s="201">
        <f t="shared" si="55"/>
        <v>6699125.801719185</v>
      </c>
      <c r="H186" s="201">
        <f t="shared" si="55"/>
        <v>14157612.115242444</v>
      </c>
      <c r="I186" s="201">
        <f t="shared" si="55"/>
        <v>14630869.23076671</v>
      </c>
      <c r="J186" s="201">
        <f t="shared" si="55"/>
        <v>15049135.694004504</v>
      </c>
      <c r="K186" s="201">
        <f t="shared" si="55"/>
        <v>15398971.850052994</v>
      </c>
      <c r="L186" s="201">
        <f t="shared" si="55"/>
        <v>15760469.890659992</v>
      </c>
      <c r="M186" s="201">
        <f t="shared" si="55"/>
        <v>15636540.337534279</v>
      </c>
      <c r="N186" s="201">
        <f t="shared" si="55"/>
        <v>16006716.529499948</v>
      </c>
      <c r="O186" s="201">
        <f t="shared" si="55"/>
        <v>16434625.865885274</v>
      </c>
      <c r="R186" s="285">
        <f>SUM(B186:O186)</f>
        <v>136191676.82208931</v>
      </c>
    </row>
    <row r="187" spans="1:18" s="83" customFormat="1" ht="30.75" thickBot="1" x14ac:dyDescent="0.3">
      <c r="A187" s="637" t="s">
        <v>179</v>
      </c>
      <c r="B187" s="638">
        <f t="shared" ref="B187:O187" si="56">D145+D146</f>
        <v>0</v>
      </c>
      <c r="C187" s="638">
        <f t="shared" si="56"/>
        <v>0</v>
      </c>
      <c r="D187" s="638">
        <f t="shared" si="56"/>
        <v>0</v>
      </c>
      <c r="E187" s="261">
        <f t="shared" si="56"/>
        <v>0</v>
      </c>
      <c r="F187" s="261">
        <f t="shared" si="56"/>
        <v>105956.69545548999</v>
      </c>
      <c r="G187" s="261">
        <f t="shared" si="56"/>
        <v>103604.4434759252</v>
      </c>
      <c r="H187" s="261">
        <f t="shared" si="56"/>
        <v>89336.129746620732</v>
      </c>
      <c r="I187" s="261">
        <f t="shared" si="56"/>
        <v>90047.074995570292</v>
      </c>
      <c r="J187" s="261">
        <f t="shared" si="56"/>
        <v>91033.958353570779</v>
      </c>
      <c r="K187" s="261">
        <f t="shared" si="56"/>
        <v>91997.150959029925</v>
      </c>
      <c r="L187" s="261">
        <f t="shared" si="56"/>
        <v>0</v>
      </c>
      <c r="M187" s="261">
        <f t="shared" si="56"/>
        <v>0</v>
      </c>
      <c r="N187" s="261">
        <f t="shared" si="56"/>
        <v>0</v>
      </c>
      <c r="O187" s="261">
        <f t="shared" si="56"/>
        <v>0</v>
      </c>
      <c r="R187" s="285"/>
    </row>
    <row r="188" spans="1:18" s="83" customFormat="1" ht="15.75" thickTop="1" x14ac:dyDescent="0.25">
      <c r="A188" s="639" t="s">
        <v>79</v>
      </c>
      <c r="B188" s="640">
        <f>SUM(B186:B187)</f>
        <v>6573.0668721484853</v>
      </c>
      <c r="C188" s="640">
        <f t="shared" ref="C188:O188" si="57">SUM(C186:C187)</f>
        <v>698625.40561922488</v>
      </c>
      <c r="D188" s="640">
        <f t="shared" si="57"/>
        <v>1830147.5202505752</v>
      </c>
      <c r="E188" s="262">
        <f t="shared" si="57"/>
        <v>1895709.7805654027</v>
      </c>
      <c r="F188" s="262">
        <f t="shared" si="57"/>
        <v>2092510.4288721245</v>
      </c>
      <c r="G188" s="262">
        <f t="shared" si="57"/>
        <v>6802730.2451951103</v>
      </c>
      <c r="H188" s="262">
        <f t="shared" si="57"/>
        <v>14246948.244989065</v>
      </c>
      <c r="I188" s="262">
        <f t="shared" si="57"/>
        <v>14720916.30576228</v>
      </c>
      <c r="J188" s="262">
        <f t="shared" si="57"/>
        <v>15140169.652358076</v>
      </c>
      <c r="K188" s="262">
        <f t="shared" si="57"/>
        <v>15490969.001012024</v>
      </c>
      <c r="L188" s="262">
        <f t="shared" si="57"/>
        <v>15760469.890659992</v>
      </c>
      <c r="M188" s="262">
        <f t="shared" si="57"/>
        <v>15636540.337534279</v>
      </c>
      <c r="N188" s="262">
        <f t="shared" si="57"/>
        <v>16006716.529499948</v>
      </c>
      <c r="O188" s="262">
        <f t="shared" si="57"/>
        <v>16434625.865885274</v>
      </c>
    </row>
  </sheetData>
  <pageMargins left="0.7" right="0.7" top="0.75" bottom="0.75" header="0.3" footer="0.3"/>
  <pageSetup paperSize="5" pageOrder="overThenDown" orientation="landscape" r:id="rId1"/>
  <headerFooter>
    <oddHeader>&amp;CPRELIMINARY DISCUSSION DRAFT - DO NOT CITE OR QUOTE</oddHeader>
    <oddFooter>&amp;L&amp;f&amp;CPage &amp;P of &amp;N&amp;R&amp;d</oddFooter>
  </headerFooter>
  <rowBreaks count="8" manualBreakCount="8">
    <brk id="32" max="16" man="1"/>
    <brk id="55" max="16383" man="1"/>
    <brk id="79" max="16383" man="1"/>
    <brk id="100" max="16383" man="1"/>
    <brk id="116" max="16383" man="1"/>
    <brk id="136" max="16" man="1"/>
    <brk id="148" max="16383" man="1"/>
    <brk id="16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144"/>
  <sheetViews>
    <sheetView topLeftCell="A166" zoomScale="70" zoomScaleNormal="70" workbookViewId="0">
      <selection activeCell="I64" sqref="I64"/>
    </sheetView>
  </sheetViews>
  <sheetFormatPr defaultColWidth="9.140625" defaultRowHeight="15" x14ac:dyDescent="0.25"/>
  <cols>
    <col min="1" max="1" width="57.85546875" style="38" customWidth="1"/>
    <col min="2" max="2" width="16.7109375" style="38" customWidth="1"/>
    <col min="3" max="3" width="18.42578125" style="38" customWidth="1"/>
    <col min="4" max="4" width="12.7109375" style="38" customWidth="1"/>
    <col min="5" max="6" width="11.85546875" style="38" customWidth="1"/>
    <col min="7" max="7" width="14.28515625" style="38" bestFit="1" customWidth="1"/>
    <col min="8" max="8" width="20.28515625" style="38" bestFit="1" customWidth="1"/>
    <col min="9" max="10" width="12.42578125" style="38" bestFit="1" customWidth="1"/>
    <col min="11" max="11" width="13" style="1" bestFit="1" customWidth="1"/>
    <col min="12" max="12" width="12.42578125" style="1" customWidth="1"/>
    <col min="13" max="17" width="13.7109375" style="1" bestFit="1" customWidth="1"/>
    <col min="18" max="16384" width="9.140625" style="1"/>
  </cols>
  <sheetData>
    <row r="1" spans="1:10" ht="30.75" x14ac:dyDescent="0.3">
      <c r="A1" s="314" t="s">
        <v>40</v>
      </c>
      <c r="B1" s="408" t="s">
        <v>497</v>
      </c>
      <c r="C1" s="409"/>
      <c r="D1" s="409"/>
      <c r="E1" s="122"/>
    </row>
    <row r="2" spans="1:10" ht="45" x14ac:dyDescent="0.25">
      <c r="B2" s="395" t="s">
        <v>464</v>
      </c>
      <c r="C2" s="122"/>
      <c r="D2" s="122"/>
      <c r="E2" s="122"/>
    </row>
    <row r="3" spans="1:10" x14ac:dyDescent="0.25">
      <c r="B3" s="575" t="s">
        <v>460</v>
      </c>
      <c r="C3" s="470"/>
      <c r="D3" s="470"/>
      <c r="E3" s="122"/>
    </row>
    <row r="4" spans="1:10" x14ac:dyDescent="0.25">
      <c r="C4" s="122"/>
      <c r="D4" s="122"/>
      <c r="E4" s="122"/>
    </row>
    <row r="5" spans="1:10" ht="15.75" x14ac:dyDescent="0.25">
      <c r="A5" s="315" t="s">
        <v>321</v>
      </c>
    </row>
    <row r="6" spans="1:10" x14ac:dyDescent="0.25">
      <c r="A6" s="113" t="s">
        <v>25</v>
      </c>
      <c r="B6" s="113" t="s">
        <v>16</v>
      </c>
      <c r="C6" s="113" t="s">
        <v>26</v>
      </c>
    </row>
    <row r="7" spans="1:10" ht="30" customHeight="1" x14ac:dyDescent="0.25">
      <c r="A7" s="22" t="s">
        <v>673</v>
      </c>
      <c r="B7" s="395" t="str">
        <f>'Cost Inputs'!B54</f>
        <v>Cost per berth upgrade ($)</v>
      </c>
      <c r="C7" s="518">
        <f>'Cost Inputs'!C54</f>
        <v>7010813.2800000003</v>
      </c>
    </row>
    <row r="8" spans="1:10" ht="27.6" customHeight="1" x14ac:dyDescent="0.25">
      <c r="A8" s="22" t="s">
        <v>626</v>
      </c>
      <c r="B8" s="395" t="str">
        <f>'Cost Inputs'!B55</f>
        <v>Cost per new vault ($)</v>
      </c>
      <c r="C8" s="518">
        <f>'Cost Inputs'!C55</f>
        <v>1993254.7500000002</v>
      </c>
    </row>
    <row r="9" spans="1:10" ht="13.9" customHeight="1" x14ac:dyDescent="0.25">
      <c r="A9" s="22" t="s">
        <v>672</v>
      </c>
      <c r="B9" s="395" t="str">
        <f>'Cost Inputs'!B56</f>
        <v>Cost per berth upgrade ($)</v>
      </c>
      <c r="C9" s="518">
        <f>'Cost Inputs'!C56</f>
        <v>83200000</v>
      </c>
    </row>
    <row r="10" spans="1:10" ht="13.9" customHeight="1" x14ac:dyDescent="0.25">
      <c r="A10" s="22" t="s">
        <v>737</v>
      </c>
      <c r="B10" s="395" t="str">
        <f>'Cost Inputs'!B57</f>
        <v>Cost per berth upgrade ($)</v>
      </c>
      <c r="C10" s="518">
        <f>'Cost Inputs'!C57</f>
        <v>21983333</v>
      </c>
    </row>
    <row r="11" spans="1:10" x14ac:dyDescent="0.25">
      <c r="A11" s="22" t="s">
        <v>627</v>
      </c>
      <c r="B11" s="395" t="str">
        <f>'Cost Inputs'!B58</f>
        <v>percent</v>
      </c>
      <c r="C11" s="576">
        <f>'Cost Inputs'!C58</f>
        <v>0.5</v>
      </c>
    </row>
    <row r="12" spans="1:10" x14ac:dyDescent="0.25">
      <c r="A12" s="22" t="s">
        <v>184</v>
      </c>
      <c r="B12" s="395" t="str">
        <f>'Cost Inputs'!B71</f>
        <v>fraction</v>
      </c>
      <c r="C12" s="577">
        <f>'Cost Inputs'!C71</f>
        <v>8.0199999999999994E-2</v>
      </c>
    </row>
    <row r="13" spans="1:10" ht="13.9" customHeight="1" x14ac:dyDescent="0.25">
      <c r="A13" s="22" t="s">
        <v>628</v>
      </c>
      <c r="B13" s="395" t="str">
        <f>'Cost Inputs'!B63</f>
        <v>Cost per reel ($)</v>
      </c>
      <c r="C13" s="518">
        <f>'Cost Inputs'!C63</f>
        <v>250000</v>
      </c>
    </row>
    <row r="14" spans="1:10" ht="15" customHeight="1" x14ac:dyDescent="0.25">
      <c r="A14" s="22" t="s">
        <v>629</v>
      </c>
      <c r="B14" s="395" t="str">
        <f>'Cost Inputs'!B65</f>
        <v>Annual Cost per berth upgrade ($)</v>
      </c>
      <c r="C14" s="592">
        <f>'Cost Inputs'!C65</f>
        <v>24285</v>
      </c>
    </row>
    <row r="15" spans="1:10" x14ac:dyDescent="0.25">
      <c r="A15" s="19"/>
      <c r="B15" s="19"/>
      <c r="C15" s="425"/>
      <c r="D15" s="425"/>
      <c r="E15" s="425"/>
      <c r="G15" s="425"/>
      <c r="H15" s="425"/>
      <c r="I15" s="425"/>
      <c r="J15" s="425"/>
    </row>
    <row r="16" spans="1:10" ht="45" x14ac:dyDescent="0.25">
      <c r="A16" s="593" t="s">
        <v>111</v>
      </c>
      <c r="B16" s="113" t="s">
        <v>588</v>
      </c>
      <c r="C16" s="353"/>
      <c r="D16" s="353"/>
      <c r="E16" s="353"/>
      <c r="F16" s="456" t="s">
        <v>38</v>
      </c>
      <c r="G16" s="353"/>
      <c r="H16" s="353"/>
      <c r="I16" s="353"/>
      <c r="J16" s="425"/>
    </row>
    <row r="17" spans="1:10" ht="30" customHeight="1" x14ac:dyDescent="0.25">
      <c r="A17" s="594"/>
      <c r="B17" s="8" t="s">
        <v>236</v>
      </c>
      <c r="C17" s="8" t="s">
        <v>236</v>
      </c>
      <c r="D17" s="8" t="s">
        <v>817</v>
      </c>
      <c r="E17" s="8" t="s">
        <v>817</v>
      </c>
      <c r="F17" s="8" t="s">
        <v>236</v>
      </c>
      <c r="G17" s="8" t="s">
        <v>236</v>
      </c>
      <c r="H17" s="8" t="s">
        <v>817</v>
      </c>
      <c r="I17" s="8" t="s">
        <v>817</v>
      </c>
    </row>
    <row r="18" spans="1:10" ht="41.45" customHeight="1" x14ac:dyDescent="0.25">
      <c r="A18" s="272" t="s">
        <v>610</v>
      </c>
      <c r="B18" s="308" t="s">
        <v>10</v>
      </c>
      <c r="C18" s="302" t="s">
        <v>11</v>
      </c>
      <c r="D18" s="302" t="s">
        <v>10</v>
      </c>
      <c r="E18" s="302" t="s">
        <v>11</v>
      </c>
      <c r="F18" s="308" t="s">
        <v>10</v>
      </c>
      <c r="G18" s="302" t="s">
        <v>11</v>
      </c>
      <c r="H18" s="302" t="s">
        <v>10</v>
      </c>
      <c r="I18" s="302" t="s">
        <v>11</v>
      </c>
    </row>
    <row r="19" spans="1:10" x14ac:dyDescent="0.25">
      <c r="A19" s="545" t="s">
        <v>0</v>
      </c>
      <c r="B19" s="536">
        <f>Apportion!B7</f>
        <v>1</v>
      </c>
      <c r="C19" s="539">
        <f>Apportion!C7</f>
        <v>0</v>
      </c>
      <c r="D19" s="539">
        <f>Apportion!D7</f>
        <v>1</v>
      </c>
      <c r="E19" s="539">
        <f>Apportion!E7</f>
        <v>0</v>
      </c>
      <c r="F19" s="536">
        <f>Apportion!B17</f>
        <v>1</v>
      </c>
      <c r="G19" s="539">
        <f>Apportion!C17</f>
        <v>0</v>
      </c>
      <c r="H19" s="539">
        <f>Apportion!D17</f>
        <v>1</v>
      </c>
      <c r="I19" s="539">
        <f>Apportion!E17</f>
        <v>0</v>
      </c>
    </row>
    <row r="20" spans="1:10" x14ac:dyDescent="0.25">
      <c r="A20" s="545" t="s">
        <v>1</v>
      </c>
      <c r="B20" s="536">
        <f>Apportion!B8</f>
        <v>1</v>
      </c>
      <c r="C20" s="539">
        <f>Apportion!C8</f>
        <v>0</v>
      </c>
      <c r="D20" s="539">
        <f>Apportion!D8</f>
        <v>0</v>
      </c>
      <c r="E20" s="539">
        <f>Apportion!E8</f>
        <v>1</v>
      </c>
      <c r="F20" s="536">
        <f>Apportion!B18</f>
        <v>1</v>
      </c>
      <c r="G20" s="539">
        <f>Apportion!C18</f>
        <v>0</v>
      </c>
      <c r="H20" s="539">
        <f>Apportion!D18</f>
        <v>0</v>
      </c>
      <c r="I20" s="539">
        <f>Apportion!E18</f>
        <v>1</v>
      </c>
    </row>
    <row r="21" spans="1:10" x14ac:dyDescent="0.25">
      <c r="A21" s="545" t="s">
        <v>2</v>
      </c>
      <c r="B21" s="536">
        <f>Apportion!B9</f>
        <v>1</v>
      </c>
      <c r="C21" s="539">
        <f>Apportion!C9</f>
        <v>0</v>
      </c>
      <c r="D21" s="539">
        <f>Apportion!D9</f>
        <v>1</v>
      </c>
      <c r="E21" s="539">
        <f>Apportion!E9</f>
        <v>0</v>
      </c>
      <c r="F21" s="536">
        <f>Apportion!B19</f>
        <v>1</v>
      </c>
      <c r="G21" s="539">
        <f>Apportion!C19</f>
        <v>0</v>
      </c>
      <c r="H21" s="539">
        <f>Apportion!D19</f>
        <v>1</v>
      </c>
      <c r="I21" s="539">
        <f>Apportion!E19</f>
        <v>0</v>
      </c>
    </row>
    <row r="22" spans="1:10" x14ac:dyDescent="0.25">
      <c r="A22" s="545" t="s">
        <v>3</v>
      </c>
      <c r="B22" s="536">
        <f>Apportion!B10</f>
        <v>1</v>
      </c>
      <c r="C22" s="539">
        <f>Apportion!C10</f>
        <v>0</v>
      </c>
      <c r="D22" s="539">
        <f>Apportion!D10</f>
        <v>1</v>
      </c>
      <c r="E22" s="539">
        <f>Apportion!E10</f>
        <v>0</v>
      </c>
      <c r="F22" s="536">
        <f>Apportion!B20</f>
        <v>1</v>
      </c>
      <c r="G22" s="539">
        <f>Apportion!C20</f>
        <v>0</v>
      </c>
      <c r="H22" s="539">
        <f>Apportion!D20</f>
        <v>1</v>
      </c>
      <c r="I22" s="539">
        <f>Apportion!E20</f>
        <v>0</v>
      </c>
    </row>
    <row r="23" spans="1:10" x14ac:dyDescent="0.25">
      <c r="A23" s="545" t="s">
        <v>4</v>
      </c>
      <c r="B23" s="536">
        <f>Apportion!B11</f>
        <v>1</v>
      </c>
      <c r="C23" s="539">
        <f>Apportion!C11</f>
        <v>0</v>
      </c>
      <c r="D23" s="539">
        <f>Apportion!D11</f>
        <v>1</v>
      </c>
      <c r="E23" s="539">
        <f>Apportion!E11</f>
        <v>0</v>
      </c>
      <c r="F23" s="536">
        <f>Apportion!B21</f>
        <v>1</v>
      </c>
      <c r="G23" s="539">
        <f>Apportion!C21</f>
        <v>0</v>
      </c>
      <c r="H23" s="539">
        <f>Apportion!D21</f>
        <v>1</v>
      </c>
      <c r="I23" s="539">
        <f>Apportion!E21</f>
        <v>0</v>
      </c>
    </row>
    <row r="24" spans="1:10" x14ac:dyDescent="0.25">
      <c r="A24" s="545" t="s">
        <v>5</v>
      </c>
      <c r="B24" s="536">
        <f>Apportion!B12</f>
        <v>1</v>
      </c>
      <c r="C24" s="539">
        <f>Apportion!C12</f>
        <v>0</v>
      </c>
      <c r="D24" s="539">
        <f>Apportion!D12</f>
        <v>1</v>
      </c>
      <c r="E24" s="539">
        <f>Apportion!E12</f>
        <v>0</v>
      </c>
      <c r="F24" s="536">
        <f>Apportion!B22</f>
        <v>1</v>
      </c>
      <c r="G24" s="539">
        <f>Apportion!C22</f>
        <v>0</v>
      </c>
      <c r="H24" s="539">
        <f>Apportion!D22</f>
        <v>1</v>
      </c>
      <c r="I24" s="539">
        <f>Apportion!E22</f>
        <v>0</v>
      </c>
    </row>
    <row r="25" spans="1:10" x14ac:dyDescent="0.25">
      <c r="A25" s="545" t="s">
        <v>778</v>
      </c>
      <c r="B25" s="540"/>
      <c r="C25" s="461"/>
      <c r="D25" s="461"/>
      <c r="E25" s="461"/>
      <c r="F25" s="536">
        <f>Apportion!B23</f>
        <v>0</v>
      </c>
      <c r="G25" s="539">
        <f>Apportion!C23</f>
        <v>1</v>
      </c>
      <c r="H25" s="539">
        <f>Apportion!D23</f>
        <v>0</v>
      </c>
      <c r="I25" s="539">
        <f>Apportion!E23</f>
        <v>1</v>
      </c>
    </row>
    <row r="26" spans="1:10" x14ac:dyDescent="0.25">
      <c r="A26" s="545" t="s">
        <v>779</v>
      </c>
      <c r="B26" s="540"/>
      <c r="C26" s="461"/>
      <c r="D26" s="461"/>
      <c r="E26" s="461"/>
      <c r="F26" s="536">
        <f>Apportion!B24</f>
        <v>0</v>
      </c>
      <c r="G26" s="539">
        <f>Apportion!C24</f>
        <v>1</v>
      </c>
      <c r="H26" s="539">
        <f>Apportion!D24</f>
        <v>0</v>
      </c>
      <c r="I26" s="539">
        <f>Apportion!E24</f>
        <v>1</v>
      </c>
    </row>
    <row r="27" spans="1:10" x14ac:dyDescent="0.25">
      <c r="A27" s="545" t="s">
        <v>810</v>
      </c>
      <c r="B27" s="540"/>
      <c r="C27" s="461"/>
      <c r="D27" s="461"/>
      <c r="E27" s="461"/>
      <c r="F27" s="536">
        <f>Apportion!B25</f>
        <v>0</v>
      </c>
      <c r="G27" s="539">
        <f>Apportion!C25</f>
        <v>1</v>
      </c>
      <c r="H27" s="539">
        <f>Apportion!D25</f>
        <v>0</v>
      </c>
      <c r="I27" s="539">
        <f>Apportion!E25</f>
        <v>1</v>
      </c>
    </row>
    <row r="28" spans="1:10" x14ac:dyDescent="0.25">
      <c r="A28" s="545" t="s">
        <v>811</v>
      </c>
      <c r="B28" s="540"/>
      <c r="C28" s="461"/>
      <c r="D28" s="461"/>
      <c r="E28" s="461"/>
      <c r="F28" s="536">
        <f>Apportion!B26</f>
        <v>0</v>
      </c>
      <c r="G28" s="539">
        <f>Apportion!C26</f>
        <v>1</v>
      </c>
      <c r="H28" s="539">
        <f>Apportion!D26</f>
        <v>0</v>
      </c>
      <c r="I28" s="539">
        <f>Apportion!E26</f>
        <v>1</v>
      </c>
    </row>
    <row r="30" spans="1:10" s="16" customFormat="1" ht="27.6" customHeight="1" x14ac:dyDescent="0.25">
      <c r="A30" s="113" t="s">
        <v>754</v>
      </c>
      <c r="B30" s="301" t="s">
        <v>299</v>
      </c>
      <c r="C30" s="301" t="s">
        <v>303</v>
      </c>
      <c r="D30" s="301" t="s">
        <v>302</v>
      </c>
      <c r="E30" s="19"/>
      <c r="F30" s="19"/>
      <c r="G30" s="19"/>
      <c r="H30" s="19"/>
      <c r="I30" s="19"/>
      <c r="J30" s="19"/>
    </row>
    <row r="31" spans="1:10" s="16" customFormat="1" x14ac:dyDescent="0.25">
      <c r="A31" s="578" t="s">
        <v>85</v>
      </c>
      <c r="B31" s="111"/>
      <c r="C31" s="111"/>
      <c r="D31" s="112"/>
      <c r="E31" s="19"/>
      <c r="F31" s="19"/>
      <c r="G31" s="19"/>
      <c r="H31" s="19"/>
      <c r="I31" s="19"/>
      <c r="J31" s="19"/>
    </row>
    <row r="32" spans="1:10" s="109" customFormat="1" x14ac:dyDescent="0.25">
      <c r="A32" s="81" t="s">
        <v>300</v>
      </c>
      <c r="B32" s="579">
        <f>'Berths, Terminals, Vessels'!G13</f>
        <v>2020</v>
      </c>
      <c r="C32" s="579">
        <f>B32</f>
        <v>2020</v>
      </c>
      <c r="D32" s="395">
        <f>C32</f>
        <v>2020</v>
      </c>
      <c r="E32" s="122"/>
      <c r="F32" s="122"/>
      <c r="G32" s="122"/>
      <c r="H32" s="122"/>
      <c r="I32" s="122"/>
      <c r="J32" s="122"/>
    </row>
    <row r="33" spans="1:11" s="109" customFormat="1" x14ac:dyDescent="0.25">
      <c r="A33" s="81" t="s">
        <v>301</v>
      </c>
      <c r="B33" s="579">
        <f>'Cost Inputs'!C67</f>
        <v>2021</v>
      </c>
      <c r="C33" s="579">
        <f>B33</f>
        <v>2021</v>
      </c>
      <c r="D33" s="457" t="s">
        <v>304</v>
      </c>
      <c r="E33" s="122"/>
      <c r="F33" s="122"/>
      <c r="G33" s="122"/>
      <c r="H33" s="122"/>
      <c r="I33" s="122"/>
      <c r="J33" s="122"/>
    </row>
    <row r="34" spans="1:11" s="109" customFormat="1" x14ac:dyDescent="0.25">
      <c r="A34" s="580" t="s">
        <v>618</v>
      </c>
      <c r="B34" s="581"/>
      <c r="C34" s="581"/>
      <c r="D34" s="122"/>
      <c r="E34" s="122"/>
      <c r="F34" s="122"/>
      <c r="G34" s="122"/>
      <c r="H34" s="122"/>
      <c r="I34" s="122"/>
      <c r="J34" s="122"/>
    </row>
    <row r="35" spans="1:11" s="16" customFormat="1" x14ac:dyDescent="0.25">
      <c r="A35" s="81" t="str">
        <f>'Berths, Terminals, Vessels'!A13</f>
        <v>Los Angeles</v>
      </c>
      <c r="B35" s="582">
        <f>'Berths, Terminals, Vessels'!$D13</f>
        <v>0</v>
      </c>
      <c r="C35" s="582">
        <f>'Berths, Terminals, Vessels'!E13</f>
        <v>2</v>
      </c>
      <c r="D35" s="582">
        <f>'Berths, Terminals, Vessels'!F13</f>
        <v>0</v>
      </c>
      <c r="E35" s="19"/>
      <c r="F35" s="19"/>
      <c r="G35" s="19"/>
      <c r="H35" s="19"/>
      <c r="I35" s="19"/>
      <c r="J35" s="19"/>
    </row>
    <row r="36" spans="1:11" s="16" customFormat="1" x14ac:dyDescent="0.25">
      <c r="A36" s="81" t="str">
        <f>'Berths, Terminals, Vessels'!A14</f>
        <v>Long Beach</v>
      </c>
      <c r="B36" s="582">
        <f>'Berths, Terminals, Vessels'!$D14</f>
        <v>0</v>
      </c>
      <c r="C36" s="582">
        <f>'Berths, Terminals, Vessels'!E14</f>
        <v>0</v>
      </c>
      <c r="D36" s="582">
        <f>'Berths, Terminals, Vessels'!F14</f>
        <v>0</v>
      </c>
      <c r="E36" s="19"/>
      <c r="F36" s="19"/>
      <c r="G36" s="19"/>
      <c r="H36" s="19"/>
      <c r="I36" s="19"/>
      <c r="J36" s="19"/>
    </row>
    <row r="37" spans="1:11" s="16" customFormat="1" x14ac:dyDescent="0.25">
      <c r="A37" s="81" t="str">
        <f>'Berths, Terminals, Vessels'!A15</f>
        <v>Oakland</v>
      </c>
      <c r="B37" s="582">
        <f>'Berths, Terminals, Vessels'!$D15</f>
        <v>0</v>
      </c>
      <c r="C37" s="582">
        <f>'Berths, Terminals, Vessels'!E15</f>
        <v>3</v>
      </c>
      <c r="D37" s="582">
        <f>'Berths, Terminals, Vessels'!F15</f>
        <v>0</v>
      </c>
      <c r="E37" s="19"/>
      <c r="F37" s="19"/>
      <c r="G37" s="19"/>
      <c r="H37" s="19"/>
      <c r="I37" s="19"/>
      <c r="J37" s="19"/>
    </row>
    <row r="38" spans="1:11" s="16" customFormat="1" x14ac:dyDescent="0.25">
      <c r="A38" s="81" t="str">
        <f>'Berths, Terminals, Vessels'!A16</f>
        <v>San Diego</v>
      </c>
      <c r="B38" s="582">
        <f>'Berths, Terminals, Vessels'!$D16</f>
        <v>0</v>
      </c>
      <c r="C38" s="582">
        <f>'Berths, Terminals, Vessels'!E16</f>
        <v>0</v>
      </c>
      <c r="D38" s="582">
        <f>'Berths, Terminals, Vessels'!F16</f>
        <v>0</v>
      </c>
      <c r="E38" s="19"/>
      <c r="F38" s="19"/>
      <c r="G38" s="19"/>
      <c r="H38" s="19"/>
      <c r="I38" s="19"/>
      <c r="J38" s="19"/>
    </row>
    <row r="39" spans="1:11" s="16" customFormat="1" ht="15.75" thickBot="1" x14ac:dyDescent="0.3">
      <c r="A39" s="564" t="str">
        <f>'Berths, Terminals, Vessels'!A17</f>
        <v>Hueneme</v>
      </c>
      <c r="B39" s="583">
        <f>'Berths, Terminals, Vessels'!$D17</f>
        <v>0</v>
      </c>
      <c r="C39" s="583">
        <f>'Berths, Terminals, Vessels'!E17</f>
        <v>0</v>
      </c>
      <c r="D39" s="583">
        <f>'Berths, Terminals, Vessels'!F17</f>
        <v>0</v>
      </c>
      <c r="E39" s="19"/>
      <c r="F39" s="19"/>
      <c r="G39" s="19"/>
      <c r="H39" s="19"/>
      <c r="I39" s="19"/>
      <c r="J39" s="19"/>
    </row>
    <row r="40" spans="1:11" ht="15.75" thickTop="1" x14ac:dyDescent="0.25">
      <c r="A40" s="110" t="s">
        <v>79</v>
      </c>
      <c r="B40" s="273">
        <f>SUM(B35:B39)</f>
        <v>0</v>
      </c>
      <c r="C40" s="273">
        <f>SUM(C35:C39)</f>
        <v>5</v>
      </c>
      <c r="D40" s="273">
        <f>SUM(D35:D39)</f>
        <v>0</v>
      </c>
    </row>
    <row r="41" spans="1:11" s="16" customFormat="1" x14ac:dyDescent="0.25">
      <c r="A41" s="578" t="s">
        <v>14</v>
      </c>
      <c r="B41" s="111"/>
      <c r="C41" s="111"/>
      <c r="D41" s="112"/>
      <c r="E41" s="19"/>
      <c r="F41" s="19"/>
      <c r="G41" s="19"/>
      <c r="H41" s="19"/>
      <c r="I41" s="19"/>
      <c r="J41" s="19"/>
    </row>
    <row r="42" spans="1:11" s="109" customFormat="1" x14ac:dyDescent="0.25">
      <c r="A42" s="81" t="s">
        <v>300</v>
      </c>
      <c r="B42" s="579">
        <f>'Berths, Terminals, Vessels'!G41</f>
        <v>2020</v>
      </c>
      <c r="C42" s="579">
        <f>B42</f>
        <v>2020</v>
      </c>
      <c r="D42" s="395">
        <f>C42</f>
        <v>2020</v>
      </c>
      <c r="E42" s="122"/>
      <c r="F42" s="122"/>
      <c r="G42" s="122"/>
      <c r="H42" s="122"/>
      <c r="I42" s="122"/>
      <c r="J42" s="122"/>
    </row>
    <row r="43" spans="1:11" s="109" customFormat="1" x14ac:dyDescent="0.25">
      <c r="A43" s="81" t="s">
        <v>301</v>
      </c>
      <c r="B43" s="579">
        <f>'Cost Inputs'!C67</f>
        <v>2021</v>
      </c>
      <c r="C43" s="579">
        <f>B43</f>
        <v>2021</v>
      </c>
      <c r="D43" s="457" t="s">
        <v>304</v>
      </c>
      <c r="E43" s="122"/>
      <c r="F43" s="122"/>
      <c r="G43" s="122"/>
      <c r="H43" s="122"/>
      <c r="I43" s="122"/>
      <c r="J43" s="122"/>
    </row>
    <row r="44" spans="1:11" s="109" customFormat="1" x14ac:dyDescent="0.25">
      <c r="A44" s="580" t="s">
        <v>618</v>
      </c>
      <c r="B44" s="581"/>
      <c r="C44" s="581"/>
      <c r="D44" s="122"/>
      <c r="E44" s="122"/>
      <c r="F44" s="122"/>
      <c r="G44" s="122"/>
      <c r="H44" s="122"/>
      <c r="I44" s="122"/>
      <c r="J44" s="122"/>
    </row>
    <row r="45" spans="1:11" x14ac:dyDescent="0.25">
      <c r="A45" s="81" t="str">
        <f>'Berths, Terminals, Vessels'!A41</f>
        <v>Los Angeles</v>
      </c>
      <c r="B45" s="582">
        <f>'Berths, Terminals, Vessels'!$D41</f>
        <v>0</v>
      </c>
      <c r="C45" s="582">
        <f>'Berths, Terminals, Vessels'!E41</f>
        <v>0</v>
      </c>
      <c r="D45" s="582">
        <f>'Berths, Terminals, Vessels'!F41</f>
        <v>0</v>
      </c>
      <c r="F45" s="584"/>
      <c r="G45" s="584"/>
      <c r="H45" s="584"/>
      <c r="I45" s="124"/>
      <c r="J45" s="122"/>
      <c r="K45" s="109"/>
    </row>
    <row r="46" spans="1:11" x14ac:dyDescent="0.25">
      <c r="A46" s="81" t="str">
        <f>'Berths, Terminals, Vessels'!A42</f>
        <v>Long Beach</v>
      </c>
      <c r="B46" s="582">
        <f>'Berths, Terminals, Vessels'!$D42</f>
        <v>0</v>
      </c>
      <c r="C46" s="582">
        <f>'Berths, Terminals, Vessels'!E42</f>
        <v>0</v>
      </c>
      <c r="D46" s="582">
        <f>'Berths, Terminals, Vessels'!F42</f>
        <v>0</v>
      </c>
      <c r="F46" s="122"/>
      <c r="G46" s="122"/>
      <c r="H46" s="122"/>
      <c r="I46" s="122"/>
      <c r="J46" s="122"/>
      <c r="K46" s="109"/>
    </row>
    <row r="47" spans="1:11" x14ac:dyDescent="0.25">
      <c r="A47" s="81" t="str">
        <f>'Berths, Terminals, Vessels'!A43</f>
        <v>San Francisco</v>
      </c>
      <c r="B47" s="582">
        <f>'Berths, Terminals, Vessels'!$D43</f>
        <v>1</v>
      </c>
      <c r="C47" s="582">
        <f>'Berths, Terminals, Vessels'!E43</f>
        <v>0</v>
      </c>
      <c r="D47" s="582">
        <f>'Berths, Terminals, Vessels'!F43</f>
        <v>0</v>
      </c>
      <c r="F47" s="122"/>
      <c r="G47" s="122"/>
      <c r="H47" s="122"/>
      <c r="I47" s="122"/>
      <c r="J47" s="425"/>
    </row>
    <row r="48" spans="1:11" ht="15.75" thickBot="1" x14ac:dyDescent="0.3">
      <c r="A48" s="564" t="str">
        <f>'Berths, Terminals, Vessels'!A44</f>
        <v>San Diego</v>
      </c>
      <c r="B48" s="583">
        <f>'Berths, Terminals, Vessels'!$D44</f>
        <v>0</v>
      </c>
      <c r="C48" s="583">
        <f>'Berths, Terminals, Vessels'!E44</f>
        <v>0</v>
      </c>
      <c r="D48" s="583">
        <f>'Berths, Terminals, Vessels'!F44</f>
        <v>0</v>
      </c>
      <c r="F48" s="450"/>
      <c r="G48" s="425"/>
      <c r="H48" s="425"/>
      <c r="I48" s="425"/>
      <c r="J48" s="425"/>
    </row>
    <row r="49" spans="1:11" s="14" customFormat="1" ht="15.75" thickTop="1" x14ac:dyDescent="0.25">
      <c r="A49" s="110" t="s">
        <v>79</v>
      </c>
      <c r="B49" s="273">
        <f>SUM(B45:B48)</f>
        <v>1</v>
      </c>
      <c r="C49" s="273">
        <f t="shared" ref="C49:D49" si="0">SUM(C45:C48)</f>
        <v>0</v>
      </c>
      <c r="D49" s="273">
        <f t="shared" si="0"/>
        <v>0</v>
      </c>
      <c r="E49" s="64"/>
      <c r="F49" s="122"/>
      <c r="G49" s="122"/>
      <c r="H49" s="122"/>
      <c r="I49" s="425"/>
      <c r="J49" s="425"/>
      <c r="K49" s="1"/>
    </row>
    <row r="51" spans="1:11" ht="75" x14ac:dyDescent="0.25">
      <c r="A51" s="272" t="s">
        <v>556</v>
      </c>
      <c r="B51" s="301" t="s">
        <v>306</v>
      </c>
      <c r="C51" s="301" t="s">
        <v>755</v>
      </c>
      <c r="D51" s="301" t="s">
        <v>756</v>
      </c>
    </row>
    <row r="52" spans="1:11" x14ac:dyDescent="0.25">
      <c r="A52" s="584"/>
      <c r="C52" s="19"/>
      <c r="D52" s="19"/>
    </row>
    <row r="53" spans="1:11" x14ac:dyDescent="0.25">
      <c r="A53" s="81" t="s">
        <v>300</v>
      </c>
      <c r="B53" s="579">
        <f>'Berths, Terminals, Vessels'!D58</f>
        <v>2024</v>
      </c>
      <c r="C53" s="579">
        <f>'Berths, Terminals, Vessels'!D78</f>
        <v>2024</v>
      </c>
      <c r="D53" s="579">
        <f>'Berths, Terminals, Vessels'!D80</f>
        <v>2026</v>
      </c>
    </row>
    <row r="54" spans="1:11" x14ac:dyDescent="0.25">
      <c r="A54" s="81" t="s">
        <v>301</v>
      </c>
      <c r="B54" s="579">
        <f>'Cost Inputs'!C68</f>
        <v>2025</v>
      </c>
      <c r="C54" s="579">
        <f>'Cost Inputs'!C69</f>
        <v>2027</v>
      </c>
      <c r="D54" s="579">
        <f>'Cost Inputs'!C70</f>
        <v>2029</v>
      </c>
    </row>
    <row r="55" spans="1:11" x14ac:dyDescent="0.25">
      <c r="A55" s="580" t="s">
        <v>618</v>
      </c>
      <c r="B55" s="489"/>
      <c r="C55" s="122"/>
      <c r="D55" s="122"/>
    </row>
    <row r="56" spans="1:11" x14ac:dyDescent="0.25">
      <c r="A56" s="545" t="str">
        <f>'Berths, Terminals, Vessels'!A58</f>
        <v>Los Angeles</v>
      </c>
      <c r="B56" s="582">
        <f>'Berths, Terminals, Vessels'!$E58</f>
        <v>4</v>
      </c>
      <c r="C56" s="582">
        <f>'Berths, Terminals, Vessels'!$E78</f>
        <v>8</v>
      </c>
      <c r="D56" s="461"/>
    </row>
    <row r="57" spans="1:11" x14ac:dyDescent="0.25">
      <c r="A57" s="545" t="str">
        <f>'Berths, Terminals, Vessels'!A59</f>
        <v>Long Beach</v>
      </c>
      <c r="B57" s="582">
        <f>'Berths, Terminals, Vessels'!$E59</f>
        <v>4</v>
      </c>
      <c r="C57" s="582">
        <f>'Berths, Terminals, Vessels'!$E79</f>
        <v>6</v>
      </c>
      <c r="D57" s="461"/>
    </row>
    <row r="58" spans="1:11" x14ac:dyDescent="0.25">
      <c r="A58" s="545" t="str">
        <f>'Berths, Terminals, Vessels'!A60</f>
        <v>San Francisco</v>
      </c>
      <c r="B58" s="582">
        <f>'Berths, Terminals, Vessels'!$E60</f>
        <v>1</v>
      </c>
      <c r="C58" s="461"/>
      <c r="D58" s="461"/>
    </row>
    <row r="59" spans="1:11" x14ac:dyDescent="0.25">
      <c r="A59" s="545" t="str">
        <f>'Berths, Terminals, Vessels'!A61</f>
        <v>San Diego</v>
      </c>
      <c r="B59" s="582">
        <f>'Berths, Terminals, Vessels'!$E61</f>
        <v>5</v>
      </c>
      <c r="C59" s="461"/>
      <c r="D59" s="461"/>
    </row>
    <row r="60" spans="1:11" x14ac:dyDescent="0.25">
      <c r="A60" s="545" t="str">
        <f>'Berths, Terminals, Vessels'!A80</f>
        <v>Stockton Area</v>
      </c>
      <c r="B60" s="461"/>
      <c r="C60" s="461"/>
      <c r="D60" s="582">
        <f>'Berths, Terminals, Vessels'!$E80</f>
        <v>3</v>
      </c>
    </row>
    <row r="61" spans="1:11" x14ac:dyDescent="0.25">
      <c r="A61" s="545" t="str">
        <f>'Berths, Terminals, Vessels'!A62</f>
        <v>Hueneme</v>
      </c>
      <c r="B61" s="582">
        <f>'Berths, Terminals, Vessels'!$E62</f>
        <v>4</v>
      </c>
      <c r="C61" s="461"/>
      <c r="D61" s="461"/>
    </row>
    <row r="62" spans="1:11" x14ac:dyDescent="0.25">
      <c r="A62" s="81" t="str">
        <f>'Berths, Terminals, Vessels'!A63</f>
        <v>Richmond Area</v>
      </c>
      <c r="B62" s="582">
        <f>'Berths, Terminals, Vessels'!$E63</f>
        <v>1</v>
      </c>
      <c r="C62" s="461"/>
      <c r="D62" s="582">
        <f>'Berths, Terminals, Vessels'!$E81</f>
        <v>8</v>
      </c>
    </row>
    <row r="63" spans="1:11" x14ac:dyDescent="0.25">
      <c r="A63" s="81" t="str">
        <f>'Berths, Terminals, Vessels'!A82</f>
        <v>Carquinez Area</v>
      </c>
      <c r="B63" s="461"/>
      <c r="C63" s="461"/>
      <c r="D63" s="582">
        <f>'Berths, Terminals, Vessels'!$E82</f>
        <v>6</v>
      </c>
    </row>
    <row r="64" spans="1:11" ht="15.75" thickBot="1" x14ac:dyDescent="0.3">
      <c r="A64" s="564" t="str">
        <f>'Berths, Terminals, Vessels'!A83</f>
        <v>Rodeo Area</v>
      </c>
      <c r="B64" s="585"/>
      <c r="C64" s="585"/>
      <c r="D64" s="583">
        <f>'Berths, Terminals, Vessels'!$E83</f>
        <v>3</v>
      </c>
    </row>
    <row r="65" spans="1:17" ht="15.75" thickTop="1" x14ac:dyDescent="0.25">
      <c r="A65" s="273" t="s">
        <v>79</v>
      </c>
      <c r="B65" s="273">
        <f>SUM(B56:B64)</f>
        <v>19</v>
      </c>
      <c r="C65" s="273">
        <f>SUM(C56:C64)</f>
        <v>14</v>
      </c>
      <c r="D65" s="273">
        <f>SUM(D56:D64)</f>
        <v>20</v>
      </c>
    </row>
    <row r="67" spans="1:17" s="16" customFormat="1" x14ac:dyDescent="0.25">
      <c r="A67" s="113" t="s">
        <v>293</v>
      </c>
      <c r="B67" s="113" t="s">
        <v>16</v>
      </c>
      <c r="C67" s="301">
        <v>2019</v>
      </c>
      <c r="D67" s="301">
        <v>2020</v>
      </c>
      <c r="E67" s="301">
        <v>2021</v>
      </c>
      <c r="F67" s="301">
        <v>2022</v>
      </c>
      <c r="G67" s="301">
        <v>2023</v>
      </c>
      <c r="H67" s="301">
        <v>2024</v>
      </c>
      <c r="I67" s="301">
        <v>2025</v>
      </c>
      <c r="J67" s="300">
        <v>2026</v>
      </c>
      <c r="K67" s="300">
        <v>2027</v>
      </c>
      <c r="L67" s="300">
        <v>2028</v>
      </c>
      <c r="M67" s="300">
        <v>2029</v>
      </c>
      <c r="N67" s="300">
        <v>2030</v>
      </c>
      <c r="O67" s="300">
        <v>2031</v>
      </c>
      <c r="P67" s="300">
        <v>2032</v>
      </c>
    </row>
    <row r="68" spans="1:17" x14ac:dyDescent="0.25">
      <c r="A68" s="22" t="s">
        <v>288</v>
      </c>
      <c r="B68" s="22" t="s">
        <v>28</v>
      </c>
      <c r="C68" s="510">
        <f>Growth!$F8</f>
        <v>7.9641297146510415E-2</v>
      </c>
      <c r="D68" s="510">
        <f>Growth!$F9</f>
        <v>0.15256235056907913</v>
      </c>
      <c r="E68" s="510">
        <f>Growth!$F10</f>
        <v>0.19385114943417511</v>
      </c>
      <c r="F68" s="510">
        <f>Growth!$F11</f>
        <v>0.23786367889837565</v>
      </c>
      <c r="G68" s="510">
        <f>Growth!$F12</f>
        <v>0.28465423170158566</v>
      </c>
      <c r="H68" s="510">
        <f>Growth!$F13</f>
        <v>0.33429164292179847</v>
      </c>
      <c r="I68" s="510">
        <f>Growth!$F14</f>
        <v>0.41005488530447487</v>
      </c>
      <c r="J68" s="108">
        <f>Growth!$F15</f>
        <v>0.44448774785521072</v>
      </c>
      <c r="K68" s="108">
        <f>Growth!$F16</f>
        <v>0.48217019049045101</v>
      </c>
      <c r="L68" s="108">
        <f>Growth!$F17</f>
        <v>0.5230248906889251</v>
      </c>
      <c r="M68" s="108">
        <f>Growth!$F18</f>
        <v>0.56700845918311726</v>
      </c>
      <c r="N68" s="108">
        <f>Growth!$F19</f>
        <v>0.61410530272263486</v>
      </c>
      <c r="O68" s="108">
        <f>Growth!$F20</f>
        <v>0.69124079785891168</v>
      </c>
      <c r="P68" s="108">
        <f>Growth!$F21</f>
        <v>0.77207653050777736</v>
      </c>
    </row>
    <row r="69" spans="1:17" x14ac:dyDescent="0.25">
      <c r="A69" s="22" t="s">
        <v>289</v>
      </c>
      <c r="B69" s="22" t="s">
        <v>28</v>
      </c>
      <c r="C69" s="510">
        <f>Growth!$G8</f>
        <v>7.4968755249000291E-2</v>
      </c>
      <c r="D69" s="510">
        <f>Growth!$G9</f>
        <v>0.15961450248024708</v>
      </c>
      <c r="E69" s="510">
        <f>Growth!$G10</f>
        <v>0.20229643347303783</v>
      </c>
      <c r="F69" s="510">
        <f>Growth!$G11</f>
        <v>0.24654935829988212</v>
      </c>
      <c r="G69" s="510">
        <f>Growth!$G12</f>
        <v>0.29243110053082899</v>
      </c>
      <c r="H69" s="510">
        <f>Growth!$G13</f>
        <v>0.34000161204806295</v>
      </c>
      <c r="I69" s="510">
        <f>Growth!$G14</f>
        <v>0.38932305138271844</v>
      </c>
      <c r="J69" s="108">
        <f>Growth!$G15</f>
        <v>0.44045986493496619</v>
      </c>
      <c r="K69" s="108">
        <f>Growth!$G16</f>
        <v>0.4934788711836221</v>
      </c>
      <c r="L69" s="108">
        <f>Growth!$G17</f>
        <v>0.548449347995285</v>
      </c>
      <c r="M69" s="108">
        <f>Growth!$G18</f>
        <v>0.60544312314694371</v>
      </c>
      <c r="N69" s="108">
        <f>Growth!$G19</f>
        <v>0.66453466818061258</v>
      </c>
      <c r="O69" s="108">
        <f>Growth!$G20</f>
        <v>0.7258011957123357</v>
      </c>
      <c r="P69" s="108">
        <f>Growth!$G21</f>
        <v>0.78932276032292392</v>
      </c>
    </row>
    <row r="70" spans="1:17" x14ac:dyDescent="0.25">
      <c r="A70" s="22" t="s">
        <v>290</v>
      </c>
      <c r="B70" s="22" t="s">
        <v>28</v>
      </c>
      <c r="C70" s="510">
        <f>Growth!$H8</f>
        <v>7.4987179834447554E-2</v>
      </c>
      <c r="D70" s="510">
        <f>Growth!$H9</f>
        <v>0.11487071873903137</v>
      </c>
      <c r="E70" s="510">
        <f>Growth!$H10</f>
        <v>0.15102739754508301</v>
      </c>
      <c r="F70" s="510">
        <f>Growth!$H11</f>
        <v>0.18440519556548982</v>
      </c>
      <c r="G70" s="510">
        <f>Growth!$H12</f>
        <v>0.21887580559911993</v>
      </c>
      <c r="H70" s="510">
        <f>Growth!$H13</f>
        <v>0.2544794366551939</v>
      </c>
      <c r="I70" s="510">
        <f>Growth!$H14</f>
        <v>0.29125791799611689</v>
      </c>
      <c r="J70" s="108">
        <f>Growth!$H15</f>
        <v>0.32914486406438159</v>
      </c>
      <c r="K70" s="108">
        <f>Growth!$H16</f>
        <v>0.35936354031630968</v>
      </c>
      <c r="L70" s="108">
        <f>Growth!$H17</f>
        <v>0.39027252206645779</v>
      </c>
      <c r="M70" s="108">
        <f>Growth!$H18</f>
        <v>0.42188765098325831</v>
      </c>
      <c r="N70" s="108">
        <f>Growth!$H19</f>
        <v>0.45422513389525299</v>
      </c>
      <c r="O70" s="108">
        <f>Growth!$H20</f>
        <v>0.48860137895136968</v>
      </c>
      <c r="P70" s="108">
        <f>Growth!$H21</f>
        <v>0.52279793624620852</v>
      </c>
    </row>
    <row r="71" spans="1:17" x14ac:dyDescent="0.25">
      <c r="A71" s="22" t="s">
        <v>291</v>
      </c>
      <c r="B71" s="22" t="s">
        <v>28</v>
      </c>
      <c r="C71" s="510">
        <f>Growth!$I8</f>
        <v>9.7795845679310989E-3</v>
      </c>
      <c r="D71" s="510">
        <f>Growth!$I9</f>
        <v>1.492791402705583E-2</v>
      </c>
      <c r="E71" s="510">
        <f>Growth!$I10</f>
        <v>2.6628462023319498E-2</v>
      </c>
      <c r="F71" s="510">
        <f>Growth!$I11</f>
        <v>3.4642567685373271E-2</v>
      </c>
      <c r="G71" s="510">
        <f>Growth!$I12</f>
        <v>4.2769630813193044E-2</v>
      </c>
      <c r="H71" s="510">
        <f>Growth!$I13</f>
        <v>5.1013291136714503E-2</v>
      </c>
      <c r="I71" s="510">
        <f>Growth!$I14</f>
        <v>5.9377352889062179E-2</v>
      </c>
      <c r="J71" s="108">
        <f>Growth!$I15</f>
        <v>7.0987745336126756E-2</v>
      </c>
      <c r="K71" s="108">
        <f>Growth!$I16</f>
        <v>8.2319423047410883E-2</v>
      </c>
      <c r="L71" s="108">
        <f>Growth!$I17</f>
        <v>9.3817950353126484E-2</v>
      </c>
      <c r="M71" s="108">
        <f>Growth!$I18</f>
        <v>0.10548686029160387</v>
      </c>
      <c r="N71" s="108">
        <f>Growth!$I19</f>
        <v>0.11732978702575415</v>
      </c>
      <c r="O71" s="108">
        <f>Growth!$I20</f>
        <v>0.13037367245195625</v>
      </c>
      <c r="P71" s="108">
        <f>Growth!$I21</f>
        <v>0.14323738568409056</v>
      </c>
    </row>
    <row r="73" spans="1:17" ht="15.75" x14ac:dyDescent="0.25">
      <c r="A73" s="315" t="s">
        <v>320</v>
      </c>
    </row>
    <row r="74" spans="1:17" s="3" customFormat="1" ht="30" x14ac:dyDescent="0.25">
      <c r="A74" s="8" t="s">
        <v>312</v>
      </c>
      <c r="B74" s="302" t="s">
        <v>22</v>
      </c>
      <c r="C74" s="302" t="s">
        <v>81</v>
      </c>
      <c r="D74" s="302">
        <v>2019</v>
      </c>
      <c r="E74" s="302">
        <v>2020</v>
      </c>
      <c r="F74" s="302">
        <v>2021</v>
      </c>
      <c r="G74" s="302">
        <v>2022</v>
      </c>
      <c r="H74" s="302">
        <v>2023</v>
      </c>
      <c r="I74" s="302">
        <v>2024</v>
      </c>
      <c r="J74" s="302">
        <v>2025</v>
      </c>
      <c r="K74" s="307">
        <v>2026</v>
      </c>
      <c r="L74" s="307">
        <v>2027</v>
      </c>
      <c r="M74" s="307">
        <v>2028</v>
      </c>
      <c r="N74" s="307">
        <v>2029</v>
      </c>
      <c r="O74" s="307">
        <v>2030</v>
      </c>
      <c r="P74" s="84">
        <v>2031</v>
      </c>
      <c r="Q74" s="84">
        <v>2032</v>
      </c>
    </row>
    <row r="75" spans="1:17" x14ac:dyDescent="0.25">
      <c r="A75" s="82" t="s">
        <v>292</v>
      </c>
      <c r="B75" s="82" t="s">
        <v>36</v>
      </c>
      <c r="C75" s="22" t="s">
        <v>85</v>
      </c>
      <c r="D75" s="570"/>
      <c r="E75" s="511">
        <f t="shared" ref="E75:Q75" si="1">($B$35*$B$19+$B$36*$B$20+$B$37*$B$21+$B$38*$B$23+$B$39*$B$24)*$C$7*$C$12*(1+D$68)</f>
        <v>0</v>
      </c>
      <c r="F75" s="511">
        <f t="shared" si="1"/>
        <v>0</v>
      </c>
      <c r="G75" s="511">
        <f t="shared" si="1"/>
        <v>0</v>
      </c>
      <c r="H75" s="511">
        <f t="shared" si="1"/>
        <v>0</v>
      </c>
      <c r="I75" s="511">
        <f t="shared" si="1"/>
        <v>0</v>
      </c>
      <c r="J75" s="511">
        <f t="shared" si="1"/>
        <v>0</v>
      </c>
      <c r="K75" s="187">
        <f t="shared" si="1"/>
        <v>0</v>
      </c>
      <c r="L75" s="187">
        <f t="shared" si="1"/>
        <v>0</v>
      </c>
      <c r="M75" s="187">
        <f t="shared" si="1"/>
        <v>0</v>
      </c>
      <c r="N75" s="187">
        <f t="shared" si="1"/>
        <v>0</v>
      </c>
      <c r="O75" s="187">
        <f t="shared" si="1"/>
        <v>0</v>
      </c>
      <c r="P75" s="187">
        <f t="shared" si="1"/>
        <v>0</v>
      </c>
      <c r="Q75" s="187">
        <f t="shared" si="1"/>
        <v>0</v>
      </c>
    </row>
    <row r="76" spans="1:17" x14ac:dyDescent="0.25">
      <c r="A76" s="82" t="s">
        <v>292</v>
      </c>
      <c r="B76" s="586"/>
      <c r="C76" s="22" t="s">
        <v>14</v>
      </c>
      <c r="D76" s="570"/>
      <c r="E76" s="511">
        <f t="shared" ref="E76:Q76" si="2">($B$45*$B$19+$B$46*$B$20+$B$47*$B$22+$B$48*$B$23)*$C$9*$C$12*(1+D$69)</f>
        <v>7737690.1138297953</v>
      </c>
      <c r="F76" s="511">
        <f t="shared" si="2"/>
        <v>8022491.2738495311</v>
      </c>
      <c r="G76" s="511">
        <f t="shared" si="2"/>
        <v>8317775.1101661241</v>
      </c>
      <c r="H76" s="511">
        <f t="shared" si="2"/>
        <v>8623927.4586460311</v>
      </c>
      <c r="I76" s="511">
        <f t="shared" si="2"/>
        <v>8941348.3566163853</v>
      </c>
      <c r="J76" s="511">
        <f t="shared" si="2"/>
        <v>9270452.5655783806</v>
      </c>
      <c r="K76" s="187">
        <f t="shared" si="2"/>
        <v>9611670.1131596509</v>
      </c>
      <c r="L76" s="187">
        <f t="shared" si="2"/>
        <v>9965446.8550146837</v>
      </c>
      <c r="M76" s="187">
        <f t="shared" si="2"/>
        <v>10332245.057407256</v>
      </c>
      <c r="N76" s="187">
        <f t="shared" si="2"/>
        <v>10712544.001235221</v>
      </c>
      <c r="O76" s="187">
        <f t="shared" si="2"/>
        <v>11106840.608288681</v>
      </c>
      <c r="P76" s="187">
        <f t="shared" si="2"/>
        <v>11515650.090557959</v>
      </c>
      <c r="Q76" s="187">
        <f t="shared" si="2"/>
        <v>11939506.623441154</v>
      </c>
    </row>
    <row r="77" spans="1:17" x14ac:dyDescent="0.25">
      <c r="A77" s="82" t="s">
        <v>294</v>
      </c>
      <c r="B77" s="82" t="s">
        <v>37</v>
      </c>
      <c r="C77" s="22" t="s">
        <v>85</v>
      </c>
      <c r="D77" s="570"/>
      <c r="E77" s="511">
        <f t="shared" ref="E77:Q77" si="3">($B$35*$C$19+$B$36*$C$20+$B$37*$C$21+$B$38*$C$23+$B$39*$C$24)*$C$7*$C$12*(1+D$68)</f>
        <v>0</v>
      </c>
      <c r="F77" s="511">
        <f t="shared" si="3"/>
        <v>0</v>
      </c>
      <c r="G77" s="511">
        <f t="shared" si="3"/>
        <v>0</v>
      </c>
      <c r="H77" s="511">
        <f t="shared" si="3"/>
        <v>0</v>
      </c>
      <c r="I77" s="511">
        <f t="shared" si="3"/>
        <v>0</v>
      </c>
      <c r="J77" s="511">
        <f t="shared" si="3"/>
        <v>0</v>
      </c>
      <c r="K77" s="187">
        <f t="shared" si="3"/>
        <v>0</v>
      </c>
      <c r="L77" s="187">
        <f t="shared" si="3"/>
        <v>0</v>
      </c>
      <c r="M77" s="187">
        <f t="shared" si="3"/>
        <v>0</v>
      </c>
      <c r="N77" s="187">
        <f t="shared" si="3"/>
        <v>0</v>
      </c>
      <c r="O77" s="187">
        <f t="shared" si="3"/>
        <v>0</v>
      </c>
      <c r="P77" s="187">
        <f t="shared" si="3"/>
        <v>0</v>
      </c>
      <c r="Q77" s="187">
        <f t="shared" si="3"/>
        <v>0</v>
      </c>
    </row>
    <row r="78" spans="1:17" x14ac:dyDescent="0.25">
      <c r="A78" s="82" t="s">
        <v>294</v>
      </c>
      <c r="B78" s="586"/>
      <c r="C78" s="22" t="s">
        <v>14</v>
      </c>
      <c r="D78" s="570"/>
      <c r="E78" s="511">
        <f t="shared" ref="E78:Q78" si="4">($B$45*$C$19+$B$46*$C$20+$B$47*$C$22+$B$48*$C$23)*$C$9*$C$12*(1+D$69)</f>
        <v>0</v>
      </c>
      <c r="F78" s="511">
        <f t="shared" si="4"/>
        <v>0</v>
      </c>
      <c r="G78" s="511">
        <f t="shared" si="4"/>
        <v>0</v>
      </c>
      <c r="H78" s="511">
        <f t="shared" si="4"/>
        <v>0</v>
      </c>
      <c r="I78" s="511">
        <f t="shared" si="4"/>
        <v>0</v>
      </c>
      <c r="J78" s="511">
        <f t="shared" si="4"/>
        <v>0</v>
      </c>
      <c r="K78" s="187">
        <f t="shared" si="4"/>
        <v>0</v>
      </c>
      <c r="L78" s="187">
        <f t="shared" si="4"/>
        <v>0</v>
      </c>
      <c r="M78" s="187">
        <f t="shared" si="4"/>
        <v>0</v>
      </c>
      <c r="N78" s="187">
        <f t="shared" si="4"/>
        <v>0</v>
      </c>
      <c r="O78" s="187">
        <f t="shared" si="4"/>
        <v>0</v>
      </c>
      <c r="P78" s="187">
        <f t="shared" si="4"/>
        <v>0</v>
      </c>
      <c r="Q78" s="187">
        <f t="shared" si="4"/>
        <v>0</v>
      </c>
    </row>
    <row r="79" spans="1:17" x14ac:dyDescent="0.25">
      <c r="A79" s="82" t="s">
        <v>295</v>
      </c>
      <c r="B79" s="82" t="s">
        <v>36</v>
      </c>
      <c r="C79" s="22" t="s">
        <v>85</v>
      </c>
      <c r="D79" s="570"/>
      <c r="E79" s="570"/>
      <c r="F79" s="511">
        <f t="shared" ref="F79:Q79" si="5">($B$35*$D$19+$B$36*$D$20+$B$37*$D$21+$B$38*$D$23+$B$39*$D$24)*$C$14*(1+E$68)</f>
        <v>0</v>
      </c>
      <c r="G79" s="511">
        <f t="shared" si="5"/>
        <v>0</v>
      </c>
      <c r="H79" s="511">
        <f t="shared" si="5"/>
        <v>0</v>
      </c>
      <c r="I79" s="511">
        <f t="shared" si="5"/>
        <v>0</v>
      </c>
      <c r="J79" s="511">
        <f t="shared" si="5"/>
        <v>0</v>
      </c>
      <c r="K79" s="187">
        <f t="shared" si="5"/>
        <v>0</v>
      </c>
      <c r="L79" s="187">
        <f t="shared" si="5"/>
        <v>0</v>
      </c>
      <c r="M79" s="187">
        <f t="shared" si="5"/>
        <v>0</v>
      </c>
      <c r="N79" s="187">
        <f t="shared" si="5"/>
        <v>0</v>
      </c>
      <c r="O79" s="187">
        <f t="shared" si="5"/>
        <v>0</v>
      </c>
      <c r="P79" s="187">
        <f t="shared" si="5"/>
        <v>0</v>
      </c>
      <c r="Q79" s="187">
        <f t="shared" si="5"/>
        <v>0</v>
      </c>
    </row>
    <row r="80" spans="1:17" x14ac:dyDescent="0.25">
      <c r="A80" s="82" t="s">
        <v>295</v>
      </c>
      <c r="B80" s="586"/>
      <c r="C80" s="22" t="s">
        <v>14</v>
      </c>
      <c r="D80" s="570"/>
      <c r="E80" s="570"/>
      <c r="F80" s="511">
        <f t="shared" ref="F80:Q80" si="6">($B$45*$D$19+$B$46*$D$20+$B$47*$D$22+$B$48*$D$23)*$C$14*(1+E$69)</f>
        <v>29197.768886892725</v>
      </c>
      <c r="G80" s="511">
        <f t="shared" si="6"/>
        <v>30272.451166312636</v>
      </c>
      <c r="H80" s="511">
        <f t="shared" si="6"/>
        <v>31386.689276391186</v>
      </c>
      <c r="I80" s="511">
        <f t="shared" si="6"/>
        <v>32541.939148587207</v>
      </c>
      <c r="J80" s="511">
        <f t="shared" si="6"/>
        <v>33739.710302829313</v>
      </c>
      <c r="K80" s="187">
        <f t="shared" si="6"/>
        <v>34981.567819945652</v>
      </c>
      <c r="L80" s="187">
        <f t="shared" si="6"/>
        <v>36269.134386694263</v>
      </c>
      <c r="M80" s="187">
        <f t="shared" si="6"/>
        <v>37604.092416065498</v>
      </c>
      <c r="N80" s="187">
        <f t="shared" si="6"/>
        <v>38988.186245623525</v>
      </c>
      <c r="O80" s="187">
        <f t="shared" si="6"/>
        <v>40423.224416766177</v>
      </c>
      <c r="P80" s="187">
        <f t="shared" si="6"/>
        <v>41911.082037874075</v>
      </c>
      <c r="Q80" s="187">
        <f t="shared" si="6"/>
        <v>43453.703234442211</v>
      </c>
    </row>
    <row r="81" spans="1:17" x14ac:dyDescent="0.25">
      <c r="A81" s="82" t="s">
        <v>296</v>
      </c>
      <c r="B81" s="82" t="s">
        <v>37</v>
      </c>
      <c r="C81" s="22" t="s">
        <v>85</v>
      </c>
      <c r="D81" s="570"/>
      <c r="E81" s="570"/>
      <c r="F81" s="511">
        <f t="shared" ref="F81:Q81" si="7">($B$35*$E$19+$B$36*$E$20+$B$37*$E$21+$B$38*$E$23+$B$39*$E$24)*$C$14*(1+E$68)</f>
        <v>0</v>
      </c>
      <c r="G81" s="511">
        <f t="shared" si="7"/>
        <v>0</v>
      </c>
      <c r="H81" s="511">
        <f t="shared" si="7"/>
        <v>0</v>
      </c>
      <c r="I81" s="511">
        <f t="shared" si="7"/>
        <v>0</v>
      </c>
      <c r="J81" s="511">
        <f t="shared" si="7"/>
        <v>0</v>
      </c>
      <c r="K81" s="187">
        <f t="shared" si="7"/>
        <v>0</v>
      </c>
      <c r="L81" s="187">
        <f t="shared" si="7"/>
        <v>0</v>
      </c>
      <c r="M81" s="187">
        <f t="shared" si="7"/>
        <v>0</v>
      </c>
      <c r="N81" s="187">
        <f t="shared" si="7"/>
        <v>0</v>
      </c>
      <c r="O81" s="187">
        <f t="shared" si="7"/>
        <v>0</v>
      </c>
      <c r="P81" s="187">
        <f t="shared" si="7"/>
        <v>0</v>
      </c>
      <c r="Q81" s="187">
        <f t="shared" si="7"/>
        <v>0</v>
      </c>
    </row>
    <row r="82" spans="1:17" x14ac:dyDescent="0.25">
      <c r="A82" s="82" t="s">
        <v>296</v>
      </c>
      <c r="B82" s="586"/>
      <c r="C82" s="22" t="s">
        <v>14</v>
      </c>
      <c r="D82" s="570"/>
      <c r="E82" s="570"/>
      <c r="F82" s="511">
        <f t="shared" ref="F82:Q82" si="8">($B$45*$E$19+$B$46*$E$20+$B$47*$E$22+$B$48*$E$23)*$C$14*(1+E$69)</f>
        <v>0</v>
      </c>
      <c r="G82" s="511">
        <f t="shared" si="8"/>
        <v>0</v>
      </c>
      <c r="H82" s="511">
        <f t="shared" si="8"/>
        <v>0</v>
      </c>
      <c r="I82" s="511">
        <f t="shared" si="8"/>
        <v>0</v>
      </c>
      <c r="J82" s="511">
        <f t="shared" si="8"/>
        <v>0</v>
      </c>
      <c r="K82" s="187">
        <f t="shared" si="8"/>
        <v>0</v>
      </c>
      <c r="L82" s="187">
        <f t="shared" si="8"/>
        <v>0</v>
      </c>
      <c r="M82" s="187">
        <f t="shared" si="8"/>
        <v>0</v>
      </c>
      <c r="N82" s="187">
        <f t="shared" si="8"/>
        <v>0</v>
      </c>
      <c r="O82" s="187">
        <f t="shared" si="8"/>
        <v>0</v>
      </c>
      <c r="P82" s="187">
        <f t="shared" si="8"/>
        <v>0</v>
      </c>
      <c r="Q82" s="187">
        <f t="shared" si="8"/>
        <v>0</v>
      </c>
    </row>
    <row r="83" spans="1:17" x14ac:dyDescent="0.25">
      <c r="A83" s="82" t="s">
        <v>307</v>
      </c>
      <c r="B83" s="82" t="s">
        <v>36</v>
      </c>
      <c r="C83" s="22" t="s">
        <v>85</v>
      </c>
      <c r="D83" s="570"/>
      <c r="E83" s="511">
        <f t="shared" ref="E83:Q83" si="9">($C$35*$B$19+$C$36*$B$20+$C$37*$B$21+$C$38*$B$23+$C$39*$B$24)*$C$8*$C$12*(1+D$68)</f>
        <v>921237.50235713599</v>
      </c>
      <c r="F83" s="511">
        <f t="shared" si="9"/>
        <v>954239.43923545443</v>
      </c>
      <c r="G83" s="511">
        <f t="shared" si="9"/>
        <v>989418.44078448159</v>
      </c>
      <c r="H83" s="511">
        <f t="shared" si="9"/>
        <v>1026817.9029281614</v>
      </c>
      <c r="I83" s="511">
        <f t="shared" si="9"/>
        <v>1066492.8452108107</v>
      </c>
      <c r="J83" s="511">
        <f t="shared" si="9"/>
        <v>1127050.0377554337</v>
      </c>
      <c r="K83" s="187">
        <f t="shared" si="9"/>
        <v>1154572.0579564099</v>
      </c>
      <c r="L83" s="187">
        <f t="shared" si="9"/>
        <v>1184691.4517739022</v>
      </c>
      <c r="M83" s="187">
        <f t="shared" si="9"/>
        <v>1217346.4156913066</v>
      </c>
      <c r="N83" s="187">
        <f t="shared" si="9"/>
        <v>1252502.2688773288</v>
      </c>
      <c r="O83" s="187">
        <f t="shared" si="9"/>
        <v>1290146.5477224842</v>
      </c>
      <c r="P83" s="187">
        <f t="shared" si="9"/>
        <v>1351800.5752441525</v>
      </c>
      <c r="Q83" s="187">
        <f t="shared" si="9"/>
        <v>1416412.1846810572</v>
      </c>
    </row>
    <row r="84" spans="1:17" x14ac:dyDescent="0.25">
      <c r="A84" s="82" t="s">
        <v>307</v>
      </c>
      <c r="B84" s="398"/>
      <c r="C84" s="22" t="s">
        <v>14</v>
      </c>
      <c r="D84" s="570"/>
      <c r="E84" s="511">
        <f t="shared" ref="E84:Q84" si="10">($C$45*$B$19+$C$46*$B$20+$C$47*$B$22+$C$48*$B$23)*$C$8*$C$12*(1+D$69)</f>
        <v>0</v>
      </c>
      <c r="F84" s="511">
        <f t="shared" si="10"/>
        <v>0</v>
      </c>
      <c r="G84" s="511">
        <f t="shared" si="10"/>
        <v>0</v>
      </c>
      <c r="H84" s="511">
        <f t="shared" si="10"/>
        <v>0</v>
      </c>
      <c r="I84" s="511">
        <f t="shared" si="10"/>
        <v>0</v>
      </c>
      <c r="J84" s="511">
        <f t="shared" si="10"/>
        <v>0</v>
      </c>
      <c r="K84" s="187">
        <f t="shared" si="10"/>
        <v>0</v>
      </c>
      <c r="L84" s="187">
        <f t="shared" si="10"/>
        <v>0</v>
      </c>
      <c r="M84" s="187">
        <f t="shared" si="10"/>
        <v>0</v>
      </c>
      <c r="N84" s="187">
        <f t="shared" si="10"/>
        <v>0</v>
      </c>
      <c r="O84" s="187">
        <f t="shared" si="10"/>
        <v>0</v>
      </c>
      <c r="P84" s="187">
        <f t="shared" si="10"/>
        <v>0</v>
      </c>
      <c r="Q84" s="187">
        <f t="shared" si="10"/>
        <v>0</v>
      </c>
    </row>
    <row r="85" spans="1:17" x14ac:dyDescent="0.25">
      <c r="A85" s="82" t="s">
        <v>308</v>
      </c>
      <c r="B85" s="82" t="s">
        <v>37</v>
      </c>
      <c r="C85" s="22" t="s">
        <v>85</v>
      </c>
      <c r="D85" s="570"/>
      <c r="E85" s="511">
        <f t="shared" ref="E85:Q85" si="11">($C$35*$C$19+$C$36*$C$20+$C$37*$C$21+$C$38*$C$23+$C$39*$C$24)*$C$8*$C$12*(1+D$68)</f>
        <v>0</v>
      </c>
      <c r="F85" s="511">
        <f t="shared" si="11"/>
        <v>0</v>
      </c>
      <c r="G85" s="511">
        <f t="shared" si="11"/>
        <v>0</v>
      </c>
      <c r="H85" s="511">
        <f t="shared" si="11"/>
        <v>0</v>
      </c>
      <c r="I85" s="511">
        <f t="shared" si="11"/>
        <v>0</v>
      </c>
      <c r="J85" s="511">
        <f t="shared" si="11"/>
        <v>0</v>
      </c>
      <c r="K85" s="187">
        <f t="shared" si="11"/>
        <v>0</v>
      </c>
      <c r="L85" s="187">
        <f t="shared" si="11"/>
        <v>0</v>
      </c>
      <c r="M85" s="187">
        <f t="shared" si="11"/>
        <v>0</v>
      </c>
      <c r="N85" s="187">
        <f t="shared" si="11"/>
        <v>0</v>
      </c>
      <c r="O85" s="187">
        <f t="shared" si="11"/>
        <v>0</v>
      </c>
      <c r="P85" s="187">
        <f t="shared" si="11"/>
        <v>0</v>
      </c>
      <c r="Q85" s="187">
        <f t="shared" si="11"/>
        <v>0</v>
      </c>
    </row>
    <row r="86" spans="1:17" x14ac:dyDescent="0.25">
      <c r="A86" s="82" t="s">
        <v>308</v>
      </c>
      <c r="B86" s="398"/>
      <c r="C86" s="22" t="s">
        <v>14</v>
      </c>
      <c r="D86" s="570"/>
      <c r="E86" s="511">
        <f t="shared" ref="E86:Q86" si="12">($C$45*$C$19+$C$46*$C$20+$C$47*$C$22+$C$48*$C$23)*$C$8*$C$12*(1+D$69)</f>
        <v>0</v>
      </c>
      <c r="F86" s="511">
        <f t="shared" si="12"/>
        <v>0</v>
      </c>
      <c r="G86" s="511">
        <f t="shared" si="12"/>
        <v>0</v>
      </c>
      <c r="H86" s="511">
        <f t="shared" si="12"/>
        <v>0</v>
      </c>
      <c r="I86" s="511">
        <f t="shared" si="12"/>
        <v>0</v>
      </c>
      <c r="J86" s="511">
        <f t="shared" si="12"/>
        <v>0</v>
      </c>
      <c r="K86" s="187">
        <f t="shared" si="12"/>
        <v>0</v>
      </c>
      <c r="L86" s="187">
        <f t="shared" si="12"/>
        <v>0</v>
      </c>
      <c r="M86" s="187">
        <f t="shared" si="12"/>
        <v>0</v>
      </c>
      <c r="N86" s="187">
        <f t="shared" si="12"/>
        <v>0</v>
      </c>
      <c r="O86" s="187">
        <f t="shared" si="12"/>
        <v>0</v>
      </c>
      <c r="P86" s="187">
        <f t="shared" si="12"/>
        <v>0</v>
      </c>
      <c r="Q86" s="187">
        <f t="shared" si="12"/>
        <v>0</v>
      </c>
    </row>
    <row r="87" spans="1:17" x14ac:dyDescent="0.25">
      <c r="A87" s="82" t="s">
        <v>309</v>
      </c>
      <c r="B87" s="82" t="s">
        <v>37</v>
      </c>
      <c r="C87" s="22" t="s">
        <v>85</v>
      </c>
      <c r="D87" s="570"/>
      <c r="E87" s="511">
        <f t="shared" ref="E87:Q87" si="13">($D$35*$C$19+$D$36*$C$20+$D$37*$C$21+$D$38*$C$23+$D$39*$C$24)*$C$13*$C$12*(1+D$68)</f>
        <v>0</v>
      </c>
      <c r="F87" s="511">
        <f t="shared" si="13"/>
        <v>0</v>
      </c>
      <c r="G87" s="511">
        <f t="shared" si="13"/>
        <v>0</v>
      </c>
      <c r="H87" s="511">
        <f t="shared" si="13"/>
        <v>0</v>
      </c>
      <c r="I87" s="511">
        <f t="shared" si="13"/>
        <v>0</v>
      </c>
      <c r="J87" s="511">
        <f t="shared" si="13"/>
        <v>0</v>
      </c>
      <c r="K87" s="187">
        <f t="shared" si="13"/>
        <v>0</v>
      </c>
      <c r="L87" s="187">
        <f t="shared" si="13"/>
        <v>0</v>
      </c>
      <c r="M87" s="187">
        <f t="shared" si="13"/>
        <v>0</v>
      </c>
      <c r="N87" s="187">
        <f t="shared" si="13"/>
        <v>0</v>
      </c>
      <c r="O87" s="187">
        <f t="shared" si="13"/>
        <v>0</v>
      </c>
      <c r="P87" s="187">
        <f t="shared" si="13"/>
        <v>0</v>
      </c>
      <c r="Q87" s="187">
        <f t="shared" si="13"/>
        <v>0</v>
      </c>
    </row>
    <row r="88" spans="1:17" x14ac:dyDescent="0.25">
      <c r="A88" s="82" t="s">
        <v>309</v>
      </c>
      <c r="B88" s="586"/>
      <c r="C88" s="22" t="s">
        <v>14</v>
      </c>
      <c r="D88" s="570"/>
      <c r="E88" s="511">
        <f t="shared" ref="E88:Q88" si="14">($D$45*$C$19+$D$46*$C$20+$D$47*$C$22+$D$48*$C$23)*$C$13*$C$12*(1+D$69)</f>
        <v>0</v>
      </c>
      <c r="F88" s="511">
        <f t="shared" si="14"/>
        <v>0</v>
      </c>
      <c r="G88" s="511">
        <f t="shared" si="14"/>
        <v>0</v>
      </c>
      <c r="H88" s="511">
        <f t="shared" si="14"/>
        <v>0</v>
      </c>
      <c r="I88" s="511">
        <f t="shared" si="14"/>
        <v>0</v>
      </c>
      <c r="J88" s="511">
        <f t="shared" si="14"/>
        <v>0</v>
      </c>
      <c r="K88" s="187">
        <f t="shared" si="14"/>
        <v>0</v>
      </c>
      <c r="L88" s="187">
        <f t="shared" si="14"/>
        <v>0</v>
      </c>
      <c r="M88" s="187">
        <f t="shared" si="14"/>
        <v>0</v>
      </c>
      <c r="N88" s="187">
        <f t="shared" si="14"/>
        <v>0</v>
      </c>
      <c r="O88" s="187">
        <f t="shared" si="14"/>
        <v>0</v>
      </c>
      <c r="P88" s="187">
        <f t="shared" si="14"/>
        <v>0</v>
      </c>
      <c r="Q88" s="187">
        <f t="shared" si="14"/>
        <v>0</v>
      </c>
    </row>
    <row r="89" spans="1:17" s="16" customFormat="1" x14ac:dyDescent="0.25">
      <c r="A89" s="587"/>
      <c r="B89" s="587"/>
      <c r="C89" s="122"/>
      <c r="D89" s="588"/>
      <c r="E89" s="588"/>
      <c r="F89" s="588"/>
      <c r="G89" s="588"/>
      <c r="H89" s="588"/>
      <c r="I89" s="122"/>
      <c r="J89" s="122"/>
      <c r="K89" s="10"/>
      <c r="L89" s="10"/>
      <c r="M89" s="10"/>
      <c r="N89" s="10"/>
      <c r="O89" s="10"/>
      <c r="P89" s="10"/>
      <c r="Q89" s="10"/>
    </row>
    <row r="90" spans="1:17" s="16" customFormat="1" x14ac:dyDescent="0.25">
      <c r="A90" s="587"/>
      <c r="B90" s="587"/>
      <c r="C90" s="122"/>
      <c r="D90" s="588"/>
      <c r="E90" s="588"/>
      <c r="F90" s="588"/>
      <c r="G90" s="588"/>
      <c r="H90" s="588"/>
      <c r="I90" s="122"/>
      <c r="J90" s="122"/>
      <c r="K90" s="10"/>
      <c r="L90" s="10"/>
      <c r="M90" s="10"/>
      <c r="N90" s="10"/>
      <c r="O90" s="10"/>
      <c r="P90" s="10"/>
      <c r="Q90" s="10"/>
    </row>
    <row r="91" spans="1:17" s="3" customFormat="1" ht="30" x14ac:dyDescent="0.25">
      <c r="A91" s="8" t="s">
        <v>313</v>
      </c>
      <c r="B91" s="302" t="s">
        <v>22</v>
      </c>
      <c r="C91" s="302" t="s">
        <v>81</v>
      </c>
      <c r="D91" s="302">
        <v>2019</v>
      </c>
      <c r="E91" s="302">
        <v>2020</v>
      </c>
      <c r="F91" s="302">
        <v>2021</v>
      </c>
      <c r="G91" s="302">
        <v>2022</v>
      </c>
      <c r="H91" s="302">
        <v>2023</v>
      </c>
      <c r="I91" s="302">
        <v>2024</v>
      </c>
      <c r="J91" s="302">
        <v>2025</v>
      </c>
      <c r="K91" s="307">
        <v>2026</v>
      </c>
      <c r="L91" s="307">
        <v>2027</v>
      </c>
      <c r="M91" s="307">
        <v>2028</v>
      </c>
      <c r="N91" s="307">
        <v>2029</v>
      </c>
      <c r="O91" s="307">
        <v>2030</v>
      </c>
      <c r="P91" s="84">
        <v>2031</v>
      </c>
      <c r="Q91" s="84">
        <v>2032</v>
      </c>
    </row>
    <row r="92" spans="1:17" x14ac:dyDescent="0.25">
      <c r="A92" s="82" t="s">
        <v>292</v>
      </c>
      <c r="B92" s="82" t="s">
        <v>36</v>
      </c>
      <c r="C92" s="297" t="s">
        <v>15</v>
      </c>
      <c r="D92" s="570"/>
      <c r="E92" s="570"/>
      <c r="F92" s="570"/>
      <c r="G92" s="570"/>
      <c r="H92" s="570"/>
      <c r="I92" s="511">
        <f t="shared" ref="I92:Q92" si="15">($B$56*$F$19+$B$57*$F$20+$B$58*$F$22+$B$59*$F$23+$B$61*$F$24+$B$62*$F$26)*$C$7*$C$12*(1+H$70)</f>
        <v>12696348.091282738</v>
      </c>
      <c r="J92" s="511">
        <f t="shared" si="15"/>
        <v>13068576.114898762</v>
      </c>
      <c r="K92" s="187">
        <f t="shared" si="15"/>
        <v>13452022.699468454</v>
      </c>
      <c r="L92" s="187">
        <f t="shared" si="15"/>
        <v>13757860.181807123</v>
      </c>
      <c r="M92" s="187">
        <f t="shared" si="15"/>
        <v>14070684.114970446</v>
      </c>
      <c r="N92" s="187">
        <f t="shared" si="15"/>
        <v>14390654.829475515</v>
      </c>
      <c r="O92" s="187">
        <f t="shared" si="15"/>
        <v>14717936.35155553</v>
      </c>
      <c r="P92" s="187">
        <f t="shared" si="15"/>
        <v>15065851.798035389</v>
      </c>
      <c r="Q92" s="187">
        <f t="shared" si="15"/>
        <v>15411948.658814866</v>
      </c>
    </row>
    <row r="93" spans="1:17" ht="30" x14ac:dyDescent="0.25">
      <c r="A93" s="82" t="s">
        <v>292</v>
      </c>
      <c r="B93" s="82" t="s">
        <v>36</v>
      </c>
      <c r="C93" s="297" t="s">
        <v>768</v>
      </c>
      <c r="D93" s="570"/>
      <c r="E93" s="570"/>
      <c r="F93" s="570"/>
      <c r="G93" s="570"/>
      <c r="H93" s="570"/>
      <c r="I93" s="511">
        <f t="shared" ref="I93:Q93" si="16">($C$56*$F$19+$C$57*$F$20)*$C$10*$C$12*(1+H$71)</f>
        <v>25942041.55692862</v>
      </c>
      <c r="J93" s="511">
        <f t="shared" si="16"/>
        <v>26148490.74210443</v>
      </c>
      <c r="K93" s="187">
        <f t="shared" si="16"/>
        <v>26435068.738685463</v>
      </c>
      <c r="L93" s="187">
        <f t="shared" si="16"/>
        <v>26714767.251135215</v>
      </c>
      <c r="M93" s="187">
        <f t="shared" si="16"/>
        <v>26998584.093152247</v>
      </c>
      <c r="N93" s="187">
        <f t="shared" si="16"/>
        <v>27286606.470319942</v>
      </c>
      <c r="O93" s="187">
        <f t="shared" si="16"/>
        <v>27578924.084268197</v>
      </c>
      <c r="P93" s="187">
        <f t="shared" si="16"/>
        <v>27900884.825054236</v>
      </c>
      <c r="Q93" s="187">
        <f t="shared" si="16"/>
        <v>28218398.396061048</v>
      </c>
    </row>
    <row r="94" spans="1:17" x14ac:dyDescent="0.25">
      <c r="A94" s="82" t="s">
        <v>292</v>
      </c>
      <c r="B94" s="82" t="s">
        <v>36</v>
      </c>
      <c r="C94" s="297" t="s">
        <v>769</v>
      </c>
      <c r="D94" s="570"/>
      <c r="E94" s="570"/>
      <c r="F94" s="570"/>
      <c r="G94" s="570"/>
      <c r="H94" s="570"/>
      <c r="I94" s="570"/>
      <c r="J94" s="570"/>
      <c r="K94" s="187">
        <f t="shared" ref="K94:Q94" si="17">($D$60*$F$25+$D$62*$F$26+$D$63*$F$27+$D$64*$F$28)*$C$10*$C$12*(1+J$71)</f>
        <v>0</v>
      </c>
      <c r="L94" s="187">
        <f t="shared" si="17"/>
        <v>0</v>
      </c>
      <c r="M94" s="187">
        <f t="shared" si="17"/>
        <v>0</v>
      </c>
      <c r="N94" s="187">
        <f t="shared" si="17"/>
        <v>0</v>
      </c>
      <c r="O94" s="187">
        <f t="shared" si="17"/>
        <v>0</v>
      </c>
      <c r="P94" s="187">
        <f t="shared" si="17"/>
        <v>0</v>
      </c>
      <c r="Q94" s="187">
        <f t="shared" si="17"/>
        <v>0</v>
      </c>
    </row>
    <row r="95" spans="1:17" x14ac:dyDescent="0.25">
      <c r="A95" s="82" t="s">
        <v>294</v>
      </c>
      <c r="B95" s="82" t="s">
        <v>37</v>
      </c>
      <c r="C95" s="297" t="s">
        <v>15</v>
      </c>
      <c r="D95" s="570"/>
      <c r="E95" s="570"/>
      <c r="F95" s="570"/>
      <c r="G95" s="570"/>
      <c r="H95" s="570"/>
      <c r="I95" s="511">
        <f t="shared" ref="I95:Q95" si="18">($B$56*$G$19+$B$57*$G$20+$B$58*$G$22+$B$59*$G$23+$B$61*$G$24+$B$62*$G$26)*$C$7*$C$12*(1+H$70)</f>
        <v>705352.67173792992</v>
      </c>
      <c r="J95" s="511">
        <f t="shared" si="18"/>
        <v>726032.00638326455</v>
      </c>
      <c r="K95" s="187">
        <f t="shared" si="18"/>
        <v>747334.59441491414</v>
      </c>
      <c r="L95" s="187">
        <f t="shared" si="18"/>
        <v>764325.56565595127</v>
      </c>
      <c r="M95" s="187">
        <f t="shared" si="18"/>
        <v>781704.67305391363</v>
      </c>
      <c r="N95" s="187">
        <f t="shared" si="18"/>
        <v>799480.82385975076</v>
      </c>
      <c r="O95" s="187">
        <f t="shared" si="18"/>
        <v>817663.13064197381</v>
      </c>
      <c r="P95" s="187">
        <f t="shared" si="18"/>
        <v>836991.76655752165</v>
      </c>
      <c r="Q95" s="187">
        <f t="shared" si="18"/>
        <v>856219.36993415921</v>
      </c>
    </row>
    <row r="96" spans="1:17" ht="30" x14ac:dyDescent="0.25">
      <c r="A96" s="82" t="s">
        <v>294</v>
      </c>
      <c r="B96" s="82" t="s">
        <v>37</v>
      </c>
      <c r="C96" s="297" t="s">
        <v>768</v>
      </c>
      <c r="D96" s="570"/>
      <c r="E96" s="570"/>
      <c r="F96" s="570"/>
      <c r="G96" s="570"/>
      <c r="H96" s="570"/>
      <c r="I96" s="511">
        <f t="shared" ref="I96:Q96" si="19">($C$56*$G$19+$C$57*$G$20)*$C$10*$C$12*(1+H$71)</f>
        <v>0</v>
      </c>
      <c r="J96" s="511">
        <f t="shared" si="19"/>
        <v>0</v>
      </c>
      <c r="K96" s="187">
        <f t="shared" si="19"/>
        <v>0</v>
      </c>
      <c r="L96" s="187">
        <f t="shared" si="19"/>
        <v>0</v>
      </c>
      <c r="M96" s="187">
        <f t="shared" si="19"/>
        <v>0</v>
      </c>
      <c r="N96" s="187">
        <f t="shared" si="19"/>
        <v>0</v>
      </c>
      <c r="O96" s="187">
        <f t="shared" si="19"/>
        <v>0</v>
      </c>
      <c r="P96" s="187">
        <f t="shared" si="19"/>
        <v>0</v>
      </c>
      <c r="Q96" s="187">
        <f t="shared" si="19"/>
        <v>0</v>
      </c>
    </row>
    <row r="97" spans="1:17" x14ac:dyDescent="0.25">
      <c r="A97" s="82" t="s">
        <v>294</v>
      </c>
      <c r="B97" s="82" t="s">
        <v>37</v>
      </c>
      <c r="C97" s="297" t="s">
        <v>769</v>
      </c>
      <c r="D97" s="570"/>
      <c r="E97" s="570"/>
      <c r="F97" s="570"/>
      <c r="G97" s="570"/>
      <c r="H97" s="570"/>
      <c r="I97" s="570"/>
      <c r="J97" s="570"/>
      <c r="K97" s="187">
        <f t="shared" ref="K97:Q97" si="20">($D$60*$G$25+$D$62*$G$26+$D$63*$G$27+$D$64*$G$28)*$C$10*$C$12*(1+J$71)</f>
        <v>37764383.912407808</v>
      </c>
      <c r="L97" s="187">
        <f t="shared" si="20"/>
        <v>38163953.215907447</v>
      </c>
      <c r="M97" s="187">
        <f t="shared" si="20"/>
        <v>38569405.847360358</v>
      </c>
      <c r="N97" s="187">
        <f t="shared" si="20"/>
        <v>38980866.386171348</v>
      </c>
      <c r="O97" s="187">
        <f t="shared" si="20"/>
        <v>39398462.977525994</v>
      </c>
      <c r="P97" s="187">
        <f t="shared" si="20"/>
        <v>39858406.89293462</v>
      </c>
      <c r="Q97" s="187">
        <f t="shared" si="20"/>
        <v>40311997.708658643</v>
      </c>
    </row>
    <row r="98" spans="1:17" x14ac:dyDescent="0.25">
      <c r="A98" s="82" t="s">
        <v>295</v>
      </c>
      <c r="B98" s="82" t="s">
        <v>36</v>
      </c>
      <c r="C98" s="297" t="s">
        <v>15</v>
      </c>
      <c r="D98" s="570"/>
      <c r="E98" s="570"/>
      <c r="F98" s="570"/>
      <c r="G98" s="570"/>
      <c r="H98" s="570"/>
      <c r="I98" s="570"/>
      <c r="J98" s="511">
        <f t="shared" ref="J98:Q98" si="21">($B$56*$H$19+$B$57*$H$20+$B$58*$H$22+$B$59*$H$23+$B$61*$H$24+$B$62*$H$26)*$C$14*(1+I$70)</f>
        <v>439014.77953949972</v>
      </c>
      <c r="K98" s="187">
        <f t="shared" si="21"/>
        <v>451895.96233324916</v>
      </c>
      <c r="L98" s="187">
        <f t="shared" si="21"/>
        <v>462170.01007214212</v>
      </c>
      <c r="M98" s="187">
        <f t="shared" si="21"/>
        <v>472678.75477737497</v>
      </c>
      <c r="N98" s="187">
        <f t="shared" si="21"/>
        <v>483427.58245779801</v>
      </c>
      <c r="O98" s="187">
        <f t="shared" si="21"/>
        <v>494422.00327304704</v>
      </c>
      <c r="P98" s="187">
        <f t="shared" si="21"/>
        <v>506109.58282967616</v>
      </c>
      <c r="Q98" s="187">
        <f t="shared" si="21"/>
        <v>517736.07034434844</v>
      </c>
    </row>
    <row r="99" spans="1:17" ht="30" x14ac:dyDescent="0.25">
      <c r="A99" s="82" t="s">
        <v>295</v>
      </c>
      <c r="B99" s="82" t="s">
        <v>36</v>
      </c>
      <c r="C99" s="297" t="s">
        <v>768</v>
      </c>
      <c r="D99" s="570"/>
      <c r="E99" s="570"/>
      <c r="F99" s="570"/>
      <c r="G99" s="570"/>
      <c r="H99" s="570"/>
      <c r="I99" s="570"/>
      <c r="J99" s="570"/>
      <c r="K99" s="186"/>
      <c r="L99" s="187">
        <f t="shared" ref="L99:Q99" si="22">($C$56*$F$19+$C$57*$F$20)*$C$14*(1+K$71)</f>
        <v>367977.78064188926</v>
      </c>
      <c r="M99" s="187">
        <f t="shared" si="22"/>
        <v>371887.16494055948</v>
      </c>
      <c r="N99" s="187">
        <f t="shared" si="22"/>
        <v>375854.47763054242</v>
      </c>
      <c r="O99" s="187">
        <f t="shared" si="22"/>
        <v>379880.95429088618</v>
      </c>
      <c r="P99" s="187">
        <f t="shared" si="22"/>
        <v>384315.7448969406</v>
      </c>
      <c r="Q99" s="187">
        <f t="shared" si="22"/>
        <v>388689.27875873394</v>
      </c>
    </row>
    <row r="100" spans="1:17" x14ac:dyDescent="0.25">
      <c r="A100" s="82" t="s">
        <v>295</v>
      </c>
      <c r="B100" s="82" t="s">
        <v>36</v>
      </c>
      <c r="C100" s="297" t="s">
        <v>769</v>
      </c>
      <c r="D100" s="570"/>
      <c r="E100" s="570"/>
      <c r="F100" s="570"/>
      <c r="G100" s="570"/>
      <c r="H100" s="570"/>
      <c r="I100" s="570"/>
      <c r="J100" s="570"/>
      <c r="K100" s="186"/>
      <c r="L100" s="186"/>
      <c r="M100" s="186"/>
      <c r="N100" s="187">
        <f>($D$60*$F$25+$D$62*$F$26+$D$63*$F$27+$D$64*$F$28)*$C$14*(1+M$71)</f>
        <v>0</v>
      </c>
      <c r="O100" s="187">
        <f>($D$60*$F$25+$D$62*$F$26+$D$63*$F$27+$D$64*$F$28)*$C$14*(1+N$71)</f>
        <v>0</v>
      </c>
      <c r="P100" s="187">
        <f>($D$60*$F$25+$D$62*$F$26+$D$63*$F$27+$D$64*$F$28)*$C$14*(1+O$71)</f>
        <v>0</v>
      </c>
      <c r="Q100" s="187">
        <f>($D$60*$F$25+$D$62*$F$26+$D$63*$F$27+$D$64*$F$28)*$C$14*(1+P$71)</f>
        <v>0</v>
      </c>
    </row>
    <row r="101" spans="1:17" x14ac:dyDescent="0.25">
      <c r="A101" s="82" t="s">
        <v>296</v>
      </c>
      <c r="B101" s="82" t="s">
        <v>37</v>
      </c>
      <c r="C101" s="297" t="s">
        <v>15</v>
      </c>
      <c r="D101" s="570"/>
      <c r="E101" s="570"/>
      <c r="F101" s="570"/>
      <c r="G101" s="570"/>
      <c r="H101" s="570"/>
      <c r="I101" s="570"/>
      <c r="J101" s="511">
        <f t="shared" ref="J101:Q101" si="23">($B$56*$I$19+$B$57*$I$20+$B$58*$I$22+$B$59*$I$23+$B$61*$I$24+$B$62*$I$26)*$C$14*(1+I$70)</f>
        <v>156790.99269267847</v>
      </c>
      <c r="K101" s="187">
        <f t="shared" si="23"/>
        <v>161391.41511901756</v>
      </c>
      <c r="L101" s="187">
        <f t="shared" si="23"/>
        <v>165060.71788290789</v>
      </c>
      <c r="M101" s="187">
        <f t="shared" si="23"/>
        <v>168813.84099191963</v>
      </c>
      <c r="N101" s="187">
        <f t="shared" si="23"/>
        <v>172652.70802064214</v>
      </c>
      <c r="O101" s="187">
        <f t="shared" si="23"/>
        <v>176579.28688323111</v>
      </c>
      <c r="P101" s="187">
        <f t="shared" si="23"/>
        <v>180753.42243917007</v>
      </c>
      <c r="Q101" s="187">
        <f t="shared" si="23"/>
        <v>184905.73940869587</v>
      </c>
    </row>
    <row r="102" spans="1:17" ht="30" x14ac:dyDescent="0.25">
      <c r="A102" s="82" t="s">
        <v>296</v>
      </c>
      <c r="B102" s="82" t="s">
        <v>37</v>
      </c>
      <c r="C102" s="297" t="s">
        <v>768</v>
      </c>
      <c r="D102" s="570"/>
      <c r="E102" s="570"/>
      <c r="F102" s="570"/>
      <c r="G102" s="570"/>
      <c r="H102" s="570"/>
      <c r="I102" s="570"/>
      <c r="J102" s="570"/>
      <c r="K102" s="186"/>
      <c r="L102" s="187">
        <f t="shared" ref="L102:Q102" si="24">($C$56*$G$19+$C$57*$G$20)*$C$14*(1+K$71)</f>
        <v>0</v>
      </c>
      <c r="M102" s="187">
        <f t="shared" si="24"/>
        <v>0</v>
      </c>
      <c r="N102" s="187">
        <f t="shared" si="24"/>
        <v>0</v>
      </c>
      <c r="O102" s="187">
        <f t="shared" si="24"/>
        <v>0</v>
      </c>
      <c r="P102" s="187">
        <f t="shared" si="24"/>
        <v>0</v>
      </c>
      <c r="Q102" s="187">
        <f t="shared" si="24"/>
        <v>0</v>
      </c>
    </row>
    <row r="103" spans="1:17" x14ac:dyDescent="0.25">
      <c r="A103" s="82" t="s">
        <v>296</v>
      </c>
      <c r="B103" s="82" t="s">
        <v>37</v>
      </c>
      <c r="C103" s="297" t="s">
        <v>769</v>
      </c>
      <c r="D103" s="570"/>
      <c r="E103" s="570"/>
      <c r="F103" s="570"/>
      <c r="G103" s="570"/>
      <c r="H103" s="570"/>
      <c r="I103" s="570"/>
      <c r="J103" s="570"/>
      <c r="K103" s="186"/>
      <c r="L103" s="186"/>
      <c r="M103" s="186"/>
      <c r="N103" s="187">
        <f>($D$60*$G$25+$D$62*$G$26+$D$63*$G$27+$D$64*$G$28)*$C$14*(1+M$71)</f>
        <v>536934.96804363199</v>
      </c>
      <c r="O103" s="187">
        <f>($D$60*$G$25+$D$62*$G$26+$D$63*$G$27+$D$64*$G$28)*$C$14*(1+N$71)</f>
        <v>542687.07755840884</v>
      </c>
      <c r="P103" s="187">
        <f>($D$60*$G$25+$D$62*$G$26+$D$63*$G$27+$D$64*$G$28)*$C$14*(1+O$71)</f>
        <v>549022.49270991515</v>
      </c>
      <c r="Q103" s="187">
        <f>($D$60*$G$25+$D$62*$G$26+$D$63*$G$27+$D$64*$G$28)*$C$14*(1+P$71)</f>
        <v>555270.39822676277</v>
      </c>
    </row>
    <row r="104" spans="1:17" s="16" customFormat="1" x14ac:dyDescent="0.25">
      <c r="A104" s="587"/>
      <c r="B104" s="587"/>
      <c r="C104" s="122"/>
      <c r="D104" s="588"/>
      <c r="E104" s="588"/>
      <c r="F104" s="588"/>
      <c r="G104" s="588"/>
      <c r="H104" s="588"/>
      <c r="I104" s="122"/>
      <c r="J104" s="122"/>
      <c r="K104" s="10"/>
      <c r="L104" s="10"/>
      <c r="M104" s="10"/>
      <c r="N104" s="10"/>
      <c r="O104" s="10"/>
      <c r="P104" s="10"/>
      <c r="Q104" s="10"/>
    </row>
    <row r="105" spans="1:17" s="16" customFormat="1" x14ac:dyDescent="0.25">
      <c r="A105" s="125" t="s">
        <v>192</v>
      </c>
      <c r="B105" s="587"/>
      <c r="C105" s="122"/>
      <c r="D105" s="588"/>
      <c r="E105" s="588"/>
      <c r="F105" s="588"/>
      <c r="G105" s="588"/>
      <c r="H105" s="588"/>
      <c r="I105" s="122"/>
      <c r="J105" s="122"/>
      <c r="K105" s="10"/>
      <c r="L105" s="10"/>
      <c r="M105" s="10"/>
      <c r="N105" s="10"/>
      <c r="O105" s="10"/>
      <c r="P105" s="10"/>
      <c r="Q105" s="10"/>
    </row>
    <row r="106" spans="1:17" s="16" customFormat="1" ht="60" x14ac:dyDescent="0.25">
      <c r="A106" s="123" t="s">
        <v>612</v>
      </c>
      <c r="B106" s="587"/>
      <c r="C106" s="122"/>
      <c r="D106" s="588"/>
      <c r="E106" s="588"/>
      <c r="F106" s="588"/>
      <c r="G106" s="588"/>
      <c r="H106" s="588"/>
      <c r="I106" s="122"/>
      <c r="J106" s="122"/>
      <c r="K106" s="10"/>
      <c r="L106" s="10"/>
      <c r="M106" s="10"/>
      <c r="N106" s="10"/>
      <c r="O106" s="10"/>
      <c r="P106" s="10"/>
      <c r="Q106" s="10"/>
    </row>
    <row r="107" spans="1:17" s="16" customFormat="1" ht="45" x14ac:dyDescent="0.25">
      <c r="A107" s="589" t="s">
        <v>498</v>
      </c>
      <c r="B107" s="587"/>
      <c r="C107" s="122"/>
      <c r="D107" s="588"/>
      <c r="E107" s="588"/>
      <c r="F107" s="588"/>
      <c r="G107" s="588"/>
      <c r="H107" s="588"/>
      <c r="I107" s="122"/>
      <c r="J107" s="122"/>
      <c r="K107" s="10"/>
      <c r="L107" s="10"/>
      <c r="M107" s="10"/>
      <c r="N107" s="10"/>
      <c r="O107" s="10"/>
      <c r="P107" s="10"/>
      <c r="Q107" s="10"/>
    </row>
    <row r="108" spans="1:17" s="16" customFormat="1" ht="60" x14ac:dyDescent="0.25">
      <c r="A108" s="123" t="s">
        <v>613</v>
      </c>
      <c r="B108" s="587"/>
      <c r="C108" s="122"/>
      <c r="D108" s="588"/>
      <c r="E108" s="588"/>
      <c r="F108" s="588"/>
      <c r="G108" s="588"/>
      <c r="H108" s="588"/>
      <c r="I108" s="122"/>
      <c r="J108" s="122"/>
      <c r="K108" s="10"/>
      <c r="L108" s="10"/>
      <c r="M108" s="10"/>
      <c r="N108" s="10"/>
      <c r="O108" s="10"/>
      <c r="P108" s="10"/>
      <c r="Q108" s="10"/>
    </row>
    <row r="109" spans="1:17" s="16" customFormat="1" ht="45" x14ac:dyDescent="0.25">
      <c r="A109" s="589" t="s">
        <v>498</v>
      </c>
      <c r="B109" s="587"/>
      <c r="C109" s="122"/>
      <c r="D109" s="588"/>
      <c r="E109" s="588"/>
      <c r="F109" s="588"/>
      <c r="G109" s="588"/>
      <c r="H109" s="588"/>
      <c r="I109" s="122"/>
      <c r="J109" s="122"/>
      <c r="K109" s="10"/>
      <c r="L109" s="10"/>
      <c r="M109" s="10"/>
      <c r="N109" s="10"/>
      <c r="O109" s="10"/>
      <c r="P109" s="10"/>
      <c r="Q109" s="10"/>
    </row>
    <row r="110" spans="1:17" s="16" customFormat="1" ht="60" x14ac:dyDescent="0.25">
      <c r="A110" s="123" t="s">
        <v>614</v>
      </c>
      <c r="B110" s="587"/>
      <c r="C110" s="122"/>
      <c r="D110" s="588"/>
      <c r="E110" s="588"/>
      <c r="F110" s="588"/>
      <c r="G110" s="588"/>
      <c r="H110" s="588"/>
      <c r="I110" s="122"/>
      <c r="J110" s="122"/>
      <c r="K110" s="10"/>
      <c r="L110" s="10"/>
      <c r="M110" s="10"/>
      <c r="N110" s="10"/>
      <c r="O110" s="10"/>
      <c r="P110" s="10"/>
      <c r="Q110" s="10"/>
    </row>
    <row r="111" spans="1:17" s="16" customFormat="1" ht="60" x14ac:dyDescent="0.25">
      <c r="A111" s="123" t="s">
        <v>615</v>
      </c>
      <c r="B111" s="587"/>
      <c r="C111" s="122"/>
      <c r="D111" s="588"/>
      <c r="E111" s="588"/>
      <c r="F111" s="588"/>
      <c r="G111" s="588"/>
      <c r="H111" s="588"/>
      <c r="I111" s="122"/>
      <c r="J111" s="122"/>
      <c r="K111" s="10"/>
      <c r="L111" s="10"/>
      <c r="M111" s="10"/>
      <c r="N111" s="10"/>
      <c r="O111" s="10"/>
      <c r="P111" s="10"/>
      <c r="Q111" s="10"/>
    </row>
    <row r="112" spans="1:17" s="16" customFormat="1" ht="45" x14ac:dyDescent="0.25">
      <c r="A112" s="123" t="s">
        <v>611</v>
      </c>
      <c r="B112" s="587"/>
      <c r="C112" s="122"/>
      <c r="D112" s="588"/>
      <c r="E112" s="588"/>
      <c r="F112" s="588"/>
      <c r="G112" s="588"/>
      <c r="H112" s="588"/>
      <c r="I112" s="122"/>
      <c r="J112" s="122"/>
      <c r="K112" s="10"/>
      <c r="L112" s="10"/>
      <c r="M112" s="10"/>
      <c r="N112" s="10"/>
      <c r="O112" s="10"/>
      <c r="P112" s="10"/>
      <c r="Q112" s="10"/>
    </row>
    <row r="113" spans="1:17" s="16" customFormat="1" ht="45" x14ac:dyDescent="0.25">
      <c r="A113" s="123" t="s">
        <v>616</v>
      </c>
      <c r="B113" s="587"/>
      <c r="C113" s="122"/>
      <c r="D113" s="588"/>
      <c r="E113" s="588"/>
      <c r="F113" s="588"/>
      <c r="G113" s="588"/>
      <c r="H113" s="588"/>
      <c r="I113" s="122"/>
      <c r="J113" s="122"/>
      <c r="K113" s="10"/>
      <c r="L113" s="10"/>
      <c r="M113" s="10"/>
      <c r="N113" s="10"/>
      <c r="O113" s="10"/>
      <c r="P113" s="10"/>
      <c r="Q113" s="10"/>
    </row>
    <row r="114" spans="1:17" s="16" customFormat="1" ht="60" x14ac:dyDescent="0.25">
      <c r="A114" s="123" t="s">
        <v>617</v>
      </c>
      <c r="B114" s="587"/>
      <c r="C114" s="122"/>
      <c r="D114" s="588"/>
      <c r="E114" s="588"/>
      <c r="F114" s="588"/>
      <c r="G114" s="588"/>
      <c r="H114" s="588"/>
      <c r="I114" s="122"/>
      <c r="J114" s="122"/>
      <c r="K114" s="10"/>
      <c r="L114" s="10"/>
      <c r="M114" s="10"/>
      <c r="N114" s="10"/>
      <c r="O114" s="10"/>
      <c r="P114" s="10"/>
      <c r="Q114" s="10"/>
    </row>
    <row r="115" spans="1:17" s="16" customFormat="1" x14ac:dyDescent="0.25">
      <c r="A115" s="123"/>
      <c r="B115" s="587"/>
      <c r="C115" s="122"/>
      <c r="D115" s="588"/>
      <c r="E115" s="588"/>
      <c r="F115" s="588"/>
      <c r="G115" s="588"/>
      <c r="H115" s="588"/>
      <c r="I115" s="122"/>
      <c r="J115" s="122"/>
      <c r="K115" s="10"/>
      <c r="L115" s="10"/>
      <c r="M115" s="10"/>
      <c r="N115" s="10"/>
      <c r="O115" s="10"/>
      <c r="P115" s="10"/>
      <c r="Q115" s="10"/>
    </row>
    <row r="116" spans="1:17" s="16" customFormat="1" x14ac:dyDescent="0.25">
      <c r="A116" s="590" t="s">
        <v>283</v>
      </c>
      <c r="B116" s="587"/>
      <c r="C116" s="122"/>
      <c r="D116" s="588"/>
      <c r="E116" s="588"/>
      <c r="F116" s="588"/>
      <c r="G116" s="588"/>
      <c r="H116" s="588"/>
      <c r="I116" s="122"/>
      <c r="J116" s="122"/>
      <c r="K116" s="10"/>
      <c r="L116" s="10"/>
      <c r="M116" s="10"/>
      <c r="N116" s="10"/>
      <c r="O116" s="10"/>
      <c r="P116" s="10"/>
      <c r="Q116" s="10"/>
    </row>
    <row r="117" spans="1:17" s="16" customFormat="1" ht="30" customHeight="1" x14ac:dyDescent="0.25">
      <c r="A117" s="8" t="s">
        <v>589</v>
      </c>
      <c r="B117" s="302">
        <v>2019</v>
      </c>
      <c r="C117" s="302">
        <v>2020</v>
      </c>
      <c r="D117" s="302">
        <v>2021</v>
      </c>
      <c r="E117" s="302">
        <v>2022</v>
      </c>
      <c r="F117" s="302">
        <v>2023</v>
      </c>
      <c r="G117" s="302">
        <v>2024</v>
      </c>
      <c r="H117" s="302">
        <v>2025</v>
      </c>
      <c r="I117" s="302">
        <v>2026</v>
      </c>
      <c r="J117" s="302">
        <v>2027</v>
      </c>
      <c r="K117" s="307">
        <v>2028</v>
      </c>
      <c r="L117" s="307">
        <v>2029</v>
      </c>
      <c r="M117" s="307">
        <v>2030</v>
      </c>
      <c r="N117" s="84">
        <v>2031</v>
      </c>
      <c r="O117" s="84">
        <v>2032</v>
      </c>
    </row>
    <row r="118" spans="1:17" ht="30" x14ac:dyDescent="0.25">
      <c r="A118" s="426" t="s">
        <v>318</v>
      </c>
      <c r="B118" s="511">
        <f t="shared" ref="B118:O118" si="25">SUM(D75:D78,D83:D88)</f>
        <v>0</v>
      </c>
      <c r="C118" s="511">
        <f t="shared" si="25"/>
        <v>8658927.6161869317</v>
      </c>
      <c r="D118" s="511">
        <f t="shared" si="25"/>
        <v>8976730.7130849846</v>
      </c>
      <c r="E118" s="511">
        <f t="shared" si="25"/>
        <v>9307193.5509506054</v>
      </c>
      <c r="F118" s="511">
        <f t="shared" si="25"/>
        <v>9650745.3615741916</v>
      </c>
      <c r="G118" s="511">
        <f t="shared" si="25"/>
        <v>10007841.201827196</v>
      </c>
      <c r="H118" s="511">
        <f t="shared" si="25"/>
        <v>10397502.603333814</v>
      </c>
      <c r="I118" s="511">
        <f t="shared" si="25"/>
        <v>10766242.171116062</v>
      </c>
      <c r="J118" s="511">
        <f t="shared" si="25"/>
        <v>11150138.306788586</v>
      </c>
      <c r="K118" s="187">
        <f t="shared" si="25"/>
        <v>11549591.473098563</v>
      </c>
      <c r="L118" s="187">
        <f t="shared" si="25"/>
        <v>11965046.27011255</v>
      </c>
      <c r="M118" s="187">
        <f t="shared" si="25"/>
        <v>12396987.156011166</v>
      </c>
      <c r="N118" s="187">
        <f t="shared" si="25"/>
        <v>12867450.665802112</v>
      </c>
      <c r="O118" s="187">
        <f t="shared" si="25"/>
        <v>13355918.808122212</v>
      </c>
    </row>
    <row r="119" spans="1:17" ht="15.75" thickBot="1" x14ac:dyDescent="0.3">
      <c r="A119" s="491" t="s">
        <v>35</v>
      </c>
      <c r="B119" s="514">
        <f t="shared" ref="B119:O119" si="26">SUM(D79:D82)</f>
        <v>0</v>
      </c>
      <c r="C119" s="514">
        <f t="shared" si="26"/>
        <v>0</v>
      </c>
      <c r="D119" s="514">
        <f t="shared" si="26"/>
        <v>29197.768886892725</v>
      </c>
      <c r="E119" s="514">
        <f t="shared" si="26"/>
        <v>30272.451166312636</v>
      </c>
      <c r="F119" s="514">
        <f t="shared" si="26"/>
        <v>31386.689276391186</v>
      </c>
      <c r="G119" s="514">
        <f t="shared" si="26"/>
        <v>32541.939148587207</v>
      </c>
      <c r="H119" s="514">
        <f t="shared" si="26"/>
        <v>33739.710302829313</v>
      </c>
      <c r="I119" s="514">
        <f t="shared" si="26"/>
        <v>34981.567819945652</v>
      </c>
      <c r="J119" s="514">
        <f t="shared" si="26"/>
        <v>36269.134386694263</v>
      </c>
      <c r="K119" s="188">
        <f t="shared" si="26"/>
        <v>37604.092416065498</v>
      </c>
      <c r="L119" s="188">
        <f t="shared" si="26"/>
        <v>38988.186245623525</v>
      </c>
      <c r="M119" s="188">
        <f t="shared" si="26"/>
        <v>40423.224416766177</v>
      </c>
      <c r="N119" s="188">
        <f t="shared" si="26"/>
        <v>41911.082037874075</v>
      </c>
      <c r="O119" s="188">
        <f t="shared" si="26"/>
        <v>43453.703234442211</v>
      </c>
    </row>
    <row r="120" spans="1:17" ht="15.75" thickTop="1" x14ac:dyDescent="0.25">
      <c r="A120" s="515" t="s">
        <v>79</v>
      </c>
      <c r="B120" s="516">
        <f>SUM(B118:B119)</f>
        <v>0</v>
      </c>
      <c r="C120" s="516">
        <f t="shared" ref="C120:O120" si="27">SUM(C118:C119)</f>
        <v>8658927.6161869317</v>
      </c>
      <c r="D120" s="516">
        <f t="shared" si="27"/>
        <v>9005928.4819718767</v>
      </c>
      <c r="E120" s="516">
        <f t="shared" si="27"/>
        <v>9337466.0021169186</v>
      </c>
      <c r="F120" s="516">
        <f t="shared" si="27"/>
        <v>9682132.0508505832</v>
      </c>
      <c r="G120" s="516">
        <f t="shared" si="27"/>
        <v>10040383.140975785</v>
      </c>
      <c r="H120" s="516">
        <f t="shared" si="27"/>
        <v>10431242.313636644</v>
      </c>
      <c r="I120" s="516">
        <f t="shared" si="27"/>
        <v>10801223.738936007</v>
      </c>
      <c r="J120" s="516">
        <f t="shared" si="27"/>
        <v>11186407.44117528</v>
      </c>
      <c r="K120" s="189">
        <f t="shared" si="27"/>
        <v>11587195.565514628</v>
      </c>
      <c r="L120" s="189">
        <f t="shared" si="27"/>
        <v>12004034.456358174</v>
      </c>
      <c r="M120" s="189">
        <f t="shared" si="27"/>
        <v>12437410.380427932</v>
      </c>
      <c r="N120" s="189">
        <f t="shared" si="27"/>
        <v>12909361.747839985</v>
      </c>
      <c r="O120" s="189">
        <f t="shared" si="27"/>
        <v>13399372.511356654</v>
      </c>
    </row>
    <row r="122" spans="1:17" s="16" customFormat="1" ht="30" customHeight="1" x14ac:dyDescent="0.25">
      <c r="A122" s="8" t="s">
        <v>587</v>
      </c>
      <c r="B122" s="302">
        <v>2019</v>
      </c>
      <c r="C122" s="302">
        <v>2020</v>
      </c>
      <c r="D122" s="302">
        <v>2021</v>
      </c>
      <c r="E122" s="302">
        <v>2022</v>
      </c>
      <c r="F122" s="302">
        <v>2023</v>
      </c>
      <c r="G122" s="302">
        <v>2024</v>
      </c>
      <c r="H122" s="302">
        <v>2025</v>
      </c>
      <c r="I122" s="302">
        <v>2026</v>
      </c>
      <c r="J122" s="302">
        <v>2027</v>
      </c>
      <c r="K122" s="307">
        <v>2028</v>
      </c>
      <c r="L122" s="307">
        <v>2029</v>
      </c>
      <c r="M122" s="307">
        <v>2030</v>
      </c>
      <c r="N122" s="84">
        <v>2031</v>
      </c>
      <c r="O122" s="84">
        <v>2032</v>
      </c>
    </row>
    <row r="123" spans="1:17" x14ac:dyDescent="0.25">
      <c r="A123" s="426" t="s">
        <v>85</v>
      </c>
      <c r="B123" s="511">
        <f t="shared" ref="B123:O124" si="28">SUM(D75,D77,D79,D81,D83,D85,D87)</f>
        <v>0</v>
      </c>
      <c r="C123" s="511">
        <f t="shared" si="28"/>
        <v>921237.50235713599</v>
      </c>
      <c r="D123" s="511">
        <f t="shared" si="28"/>
        <v>954239.43923545443</v>
      </c>
      <c r="E123" s="511">
        <f t="shared" si="28"/>
        <v>989418.44078448159</v>
      </c>
      <c r="F123" s="511">
        <f t="shared" si="28"/>
        <v>1026817.9029281614</v>
      </c>
      <c r="G123" s="511">
        <f t="shared" si="28"/>
        <v>1066492.8452108107</v>
      </c>
      <c r="H123" s="511">
        <f t="shared" si="28"/>
        <v>1127050.0377554337</v>
      </c>
      <c r="I123" s="511">
        <f t="shared" si="28"/>
        <v>1154572.0579564099</v>
      </c>
      <c r="J123" s="511">
        <f t="shared" si="28"/>
        <v>1184691.4517739022</v>
      </c>
      <c r="K123" s="187">
        <f t="shared" si="28"/>
        <v>1217346.4156913066</v>
      </c>
      <c r="L123" s="187">
        <f t="shared" si="28"/>
        <v>1252502.2688773288</v>
      </c>
      <c r="M123" s="187">
        <f t="shared" si="28"/>
        <v>1290146.5477224842</v>
      </c>
      <c r="N123" s="187">
        <f t="shared" si="28"/>
        <v>1351800.5752441525</v>
      </c>
      <c r="O123" s="187">
        <f t="shared" si="28"/>
        <v>1416412.1846810572</v>
      </c>
    </row>
    <row r="124" spans="1:17" ht="15.75" thickBot="1" x14ac:dyDescent="0.3">
      <c r="A124" s="491" t="s">
        <v>14</v>
      </c>
      <c r="B124" s="514">
        <f t="shared" si="28"/>
        <v>0</v>
      </c>
      <c r="C124" s="514">
        <f t="shared" si="28"/>
        <v>7737690.1138297953</v>
      </c>
      <c r="D124" s="514">
        <f t="shared" si="28"/>
        <v>8051689.0427364241</v>
      </c>
      <c r="E124" s="514">
        <f t="shared" si="28"/>
        <v>8348047.5613324363</v>
      </c>
      <c r="F124" s="514">
        <f t="shared" si="28"/>
        <v>8655314.1479224227</v>
      </c>
      <c r="G124" s="514">
        <f t="shared" si="28"/>
        <v>8973890.2957649734</v>
      </c>
      <c r="H124" s="514">
        <f t="shared" si="28"/>
        <v>9304192.2758812103</v>
      </c>
      <c r="I124" s="514">
        <f t="shared" si="28"/>
        <v>9646651.6809795965</v>
      </c>
      <c r="J124" s="514">
        <f t="shared" si="28"/>
        <v>10001715.989401378</v>
      </c>
      <c r="K124" s="188">
        <f t="shared" si="28"/>
        <v>10369849.149823321</v>
      </c>
      <c r="L124" s="188">
        <f t="shared" si="28"/>
        <v>10751532.187480845</v>
      </c>
      <c r="M124" s="188">
        <f t="shared" si="28"/>
        <v>11147263.832705447</v>
      </c>
      <c r="N124" s="188">
        <f t="shared" si="28"/>
        <v>11557561.172595832</v>
      </c>
      <c r="O124" s="188">
        <f t="shared" si="28"/>
        <v>11982960.326675596</v>
      </c>
    </row>
    <row r="125" spans="1:17" ht="15.75" thickTop="1" x14ac:dyDescent="0.25">
      <c r="A125" s="515" t="s">
        <v>79</v>
      </c>
      <c r="B125" s="516">
        <f>SUM(B123:B124)</f>
        <v>0</v>
      </c>
      <c r="C125" s="516">
        <f t="shared" ref="C125" si="29">SUM(C123:C124)</f>
        <v>8658927.6161869317</v>
      </c>
      <c r="D125" s="516">
        <f t="shared" ref="D125" si="30">SUM(D123:D124)</f>
        <v>9005928.4819718786</v>
      </c>
      <c r="E125" s="516">
        <f t="shared" ref="E125" si="31">SUM(E123:E124)</f>
        <v>9337466.0021169186</v>
      </c>
      <c r="F125" s="516">
        <f t="shared" ref="F125" si="32">SUM(F123:F124)</f>
        <v>9682132.0508505851</v>
      </c>
      <c r="G125" s="516">
        <f t="shared" ref="G125" si="33">SUM(G123:G124)</f>
        <v>10040383.140975785</v>
      </c>
      <c r="H125" s="516">
        <f t="shared" ref="H125" si="34">SUM(H123:H124)</f>
        <v>10431242.313636644</v>
      </c>
      <c r="I125" s="516">
        <f t="shared" ref="I125" si="35">SUM(I123:I124)</f>
        <v>10801223.738936007</v>
      </c>
      <c r="J125" s="516">
        <f t="shared" ref="J125" si="36">SUM(J123:J124)</f>
        <v>11186407.44117528</v>
      </c>
      <c r="K125" s="189">
        <f t="shared" ref="K125" si="37">SUM(K123:K124)</f>
        <v>11587195.565514628</v>
      </c>
      <c r="L125" s="189">
        <f t="shared" ref="L125" si="38">SUM(L123:L124)</f>
        <v>12004034.456358174</v>
      </c>
      <c r="M125" s="189">
        <f t="shared" ref="M125" si="39">SUM(M123:M124)</f>
        <v>12437410.380427932</v>
      </c>
      <c r="N125" s="189">
        <f t="shared" ref="N125" si="40">SUM(N123:N124)</f>
        <v>12909361.747839985</v>
      </c>
      <c r="O125" s="189">
        <f t="shared" ref="O125" si="41">SUM(O123:O124)</f>
        <v>13399372.511356654</v>
      </c>
    </row>
    <row r="126" spans="1:17" s="14" customFormat="1" ht="60" x14ac:dyDescent="0.25">
      <c r="A126" s="424" t="s">
        <v>590</v>
      </c>
      <c r="B126" s="424"/>
      <c r="C126" s="424"/>
      <c r="D126" s="363"/>
      <c r="E126" s="363"/>
      <c r="F126" s="363"/>
      <c r="G126" s="363"/>
      <c r="H126" s="363"/>
      <c r="I126" s="363"/>
      <c r="J126" s="363"/>
      <c r="K126" s="117"/>
      <c r="L126" s="117"/>
      <c r="M126" s="117"/>
      <c r="N126" s="117"/>
      <c r="O126" s="117"/>
      <c r="P126" s="117"/>
      <c r="Q126" s="117"/>
    </row>
    <row r="128" spans="1:17" s="16" customFormat="1" ht="30" customHeight="1" x14ac:dyDescent="0.25">
      <c r="A128" s="8" t="s">
        <v>43</v>
      </c>
      <c r="B128" s="302">
        <v>2019</v>
      </c>
      <c r="C128" s="302">
        <v>2020</v>
      </c>
      <c r="D128" s="302">
        <v>2021</v>
      </c>
      <c r="E128" s="302">
        <v>2022</v>
      </c>
      <c r="F128" s="302">
        <v>2023</v>
      </c>
      <c r="G128" s="302">
        <v>2024</v>
      </c>
      <c r="H128" s="302">
        <v>2025</v>
      </c>
      <c r="I128" s="302">
        <v>2026</v>
      </c>
      <c r="J128" s="302">
        <v>2027</v>
      </c>
      <c r="K128" s="307">
        <v>2028</v>
      </c>
      <c r="L128" s="307">
        <v>2029</v>
      </c>
      <c r="M128" s="307">
        <v>2030</v>
      </c>
      <c r="N128" s="84">
        <v>2031</v>
      </c>
      <c r="O128" s="84">
        <v>2032</v>
      </c>
    </row>
    <row r="129" spans="1:17" ht="30" x14ac:dyDescent="0.25">
      <c r="A129" s="426" t="s">
        <v>318</v>
      </c>
      <c r="B129" s="511">
        <f t="shared" ref="B129:O129" si="42">SUM(D75:D78,D83:D88,D92:D97)</f>
        <v>0</v>
      </c>
      <c r="C129" s="511">
        <f t="shared" si="42"/>
        <v>8658927.6161869317</v>
      </c>
      <c r="D129" s="511">
        <f t="shared" si="42"/>
        <v>8976730.7130849846</v>
      </c>
      <c r="E129" s="511">
        <f t="shared" si="42"/>
        <v>9307193.5509506054</v>
      </c>
      <c r="F129" s="511">
        <f t="shared" si="42"/>
        <v>9650745.3615741916</v>
      </c>
      <c r="G129" s="511">
        <f t="shared" si="42"/>
        <v>49351583.52177649</v>
      </c>
      <c r="H129" s="511">
        <f t="shared" si="42"/>
        <v>50340601.466720268</v>
      </c>
      <c r="I129" s="511">
        <f t="shared" si="42"/>
        <v>89165052.116092697</v>
      </c>
      <c r="J129" s="511">
        <f t="shared" si="42"/>
        <v>90551044.521294326</v>
      </c>
      <c r="K129" s="187">
        <f t="shared" si="42"/>
        <v>91969970.201635525</v>
      </c>
      <c r="L129" s="187">
        <f t="shared" si="42"/>
        <v>93422654.779939115</v>
      </c>
      <c r="M129" s="187">
        <f t="shared" si="42"/>
        <v>94909973.700002864</v>
      </c>
      <c r="N129" s="187">
        <f t="shared" si="42"/>
        <v>96529585.948383868</v>
      </c>
      <c r="O129" s="187">
        <f t="shared" si="42"/>
        <v>98154482.941590935</v>
      </c>
    </row>
    <row r="130" spans="1:17" ht="15.75" thickBot="1" x14ac:dyDescent="0.3">
      <c r="A130" s="573" t="s">
        <v>35</v>
      </c>
      <c r="B130" s="528">
        <f t="shared" ref="B130:O130" si="43">SUM(D79:D82,D98:D103)</f>
        <v>0</v>
      </c>
      <c r="C130" s="528">
        <f t="shared" si="43"/>
        <v>0</v>
      </c>
      <c r="D130" s="528">
        <f t="shared" si="43"/>
        <v>29197.768886892725</v>
      </c>
      <c r="E130" s="528">
        <f t="shared" si="43"/>
        <v>30272.451166312636</v>
      </c>
      <c r="F130" s="528">
        <f t="shared" si="43"/>
        <v>31386.689276391186</v>
      </c>
      <c r="G130" s="528">
        <f t="shared" si="43"/>
        <v>32541.939148587207</v>
      </c>
      <c r="H130" s="528">
        <f t="shared" si="43"/>
        <v>629545.48253500753</v>
      </c>
      <c r="I130" s="528">
        <f t="shared" si="43"/>
        <v>648268.94527221238</v>
      </c>
      <c r="J130" s="528">
        <f t="shared" si="43"/>
        <v>1031477.6429836336</v>
      </c>
      <c r="K130" s="190">
        <f t="shared" si="43"/>
        <v>1050983.8531259196</v>
      </c>
      <c r="L130" s="190">
        <f t="shared" si="43"/>
        <v>1607857.922398238</v>
      </c>
      <c r="M130" s="190">
        <f t="shared" si="43"/>
        <v>1633992.5464223395</v>
      </c>
      <c r="N130" s="190">
        <f t="shared" si="43"/>
        <v>1662112.324913576</v>
      </c>
      <c r="O130" s="190">
        <f t="shared" si="43"/>
        <v>1690055.1899729832</v>
      </c>
    </row>
    <row r="131" spans="1:17" ht="15.75" thickTop="1" x14ac:dyDescent="0.25">
      <c r="A131" s="574" t="s">
        <v>79</v>
      </c>
      <c r="B131" s="591">
        <f>SUM(B129:B130)</f>
        <v>0</v>
      </c>
      <c r="C131" s="591">
        <f t="shared" ref="C131:O131" si="44">SUM(C129:C130)</f>
        <v>8658927.6161869317</v>
      </c>
      <c r="D131" s="591">
        <f t="shared" si="44"/>
        <v>9005928.4819718767</v>
      </c>
      <c r="E131" s="591">
        <f t="shared" si="44"/>
        <v>9337466.0021169186</v>
      </c>
      <c r="F131" s="591">
        <f t="shared" si="44"/>
        <v>9682132.0508505832</v>
      </c>
      <c r="G131" s="591">
        <f t="shared" si="44"/>
        <v>49384125.46092508</v>
      </c>
      <c r="H131" s="591">
        <f t="shared" si="44"/>
        <v>50970146.949255273</v>
      </c>
      <c r="I131" s="591">
        <f t="shared" si="44"/>
        <v>89813321.061364904</v>
      </c>
      <c r="J131" s="591">
        <f t="shared" si="44"/>
        <v>91582522.164277956</v>
      </c>
      <c r="K131" s="191">
        <f t="shared" si="44"/>
        <v>93020954.05476144</v>
      </c>
      <c r="L131" s="191">
        <f t="shared" si="44"/>
        <v>95030512.702337354</v>
      </c>
      <c r="M131" s="191">
        <f t="shared" si="44"/>
        <v>96543966.246425197</v>
      </c>
      <c r="N131" s="191">
        <f t="shared" si="44"/>
        <v>98191698.273297444</v>
      </c>
      <c r="O131" s="191">
        <f t="shared" si="44"/>
        <v>99844538.131563917</v>
      </c>
    </row>
    <row r="133" spans="1:17" s="16" customFormat="1" ht="30" customHeight="1" x14ac:dyDescent="0.25">
      <c r="A133" s="8" t="s">
        <v>319</v>
      </c>
      <c r="B133" s="302">
        <v>2019</v>
      </c>
      <c r="C133" s="302">
        <v>2020</v>
      </c>
      <c r="D133" s="302">
        <v>2021</v>
      </c>
      <c r="E133" s="302">
        <v>2022</v>
      </c>
      <c r="F133" s="302">
        <v>2023</v>
      </c>
      <c r="G133" s="302">
        <v>2024</v>
      </c>
      <c r="H133" s="302">
        <v>2025</v>
      </c>
      <c r="I133" s="302">
        <v>2026</v>
      </c>
      <c r="J133" s="302">
        <v>2027</v>
      </c>
      <c r="K133" s="307">
        <v>2028</v>
      </c>
      <c r="L133" s="307">
        <v>2029</v>
      </c>
      <c r="M133" s="307">
        <v>2030</v>
      </c>
      <c r="N133" s="84">
        <v>2031</v>
      </c>
      <c r="O133" s="84">
        <v>2032</v>
      </c>
    </row>
    <row r="134" spans="1:17" x14ac:dyDescent="0.25">
      <c r="A134" s="426" t="s">
        <v>85</v>
      </c>
      <c r="B134" s="511">
        <f t="shared" ref="B134:O135" si="45">SUM(D75,D77,D79,D81,D83,D85,D87)</f>
        <v>0</v>
      </c>
      <c r="C134" s="511">
        <f t="shared" si="45"/>
        <v>921237.50235713599</v>
      </c>
      <c r="D134" s="511">
        <f t="shared" si="45"/>
        <v>954239.43923545443</v>
      </c>
      <c r="E134" s="511">
        <f t="shared" si="45"/>
        <v>989418.44078448159</v>
      </c>
      <c r="F134" s="511">
        <f t="shared" si="45"/>
        <v>1026817.9029281614</v>
      </c>
      <c r="G134" s="511">
        <f t="shared" si="45"/>
        <v>1066492.8452108107</v>
      </c>
      <c r="H134" s="511">
        <f t="shared" si="45"/>
        <v>1127050.0377554337</v>
      </c>
      <c r="I134" s="511">
        <f t="shared" si="45"/>
        <v>1154572.0579564099</v>
      </c>
      <c r="J134" s="511">
        <f t="shared" si="45"/>
        <v>1184691.4517739022</v>
      </c>
      <c r="K134" s="187">
        <f t="shared" si="45"/>
        <v>1217346.4156913066</v>
      </c>
      <c r="L134" s="187">
        <f t="shared" si="45"/>
        <v>1252502.2688773288</v>
      </c>
      <c r="M134" s="187">
        <f t="shared" si="45"/>
        <v>1290146.5477224842</v>
      </c>
      <c r="N134" s="187">
        <f t="shared" si="45"/>
        <v>1351800.5752441525</v>
      </c>
      <c r="O134" s="187">
        <f t="shared" si="45"/>
        <v>1416412.1846810572</v>
      </c>
    </row>
    <row r="135" spans="1:17" x14ac:dyDescent="0.25">
      <c r="A135" s="426" t="s">
        <v>14</v>
      </c>
      <c r="B135" s="511">
        <f t="shared" si="45"/>
        <v>0</v>
      </c>
      <c r="C135" s="511">
        <f t="shared" si="45"/>
        <v>7737690.1138297953</v>
      </c>
      <c r="D135" s="511">
        <f t="shared" si="45"/>
        <v>8051689.0427364241</v>
      </c>
      <c r="E135" s="511">
        <f t="shared" si="45"/>
        <v>8348047.5613324363</v>
      </c>
      <c r="F135" s="511">
        <f t="shared" si="45"/>
        <v>8655314.1479224227</v>
      </c>
      <c r="G135" s="511">
        <f t="shared" si="45"/>
        <v>8973890.2957649734</v>
      </c>
      <c r="H135" s="511">
        <f t="shared" si="45"/>
        <v>9304192.2758812103</v>
      </c>
      <c r="I135" s="511">
        <f t="shared" si="45"/>
        <v>9646651.6809795965</v>
      </c>
      <c r="J135" s="511">
        <f t="shared" si="45"/>
        <v>10001715.989401378</v>
      </c>
      <c r="K135" s="187">
        <f t="shared" si="45"/>
        <v>10369849.149823321</v>
      </c>
      <c r="L135" s="187">
        <f t="shared" si="45"/>
        <v>10751532.187480845</v>
      </c>
      <c r="M135" s="187">
        <f t="shared" si="45"/>
        <v>11147263.832705447</v>
      </c>
      <c r="N135" s="187">
        <f t="shared" si="45"/>
        <v>11557561.172595832</v>
      </c>
      <c r="O135" s="187">
        <f t="shared" si="45"/>
        <v>11982960.326675596</v>
      </c>
    </row>
    <row r="136" spans="1:17" x14ac:dyDescent="0.25">
      <c r="A136" s="426" t="s">
        <v>15</v>
      </c>
      <c r="B136" s="511">
        <f t="shared" ref="B136:O136" si="46">SUM(D92,D95,D98,D101)</f>
        <v>0</v>
      </c>
      <c r="C136" s="511">
        <f t="shared" si="46"/>
        <v>0</v>
      </c>
      <c r="D136" s="511">
        <f t="shared" si="46"/>
        <v>0</v>
      </c>
      <c r="E136" s="511">
        <f t="shared" si="46"/>
        <v>0</v>
      </c>
      <c r="F136" s="511">
        <f t="shared" si="46"/>
        <v>0</v>
      </c>
      <c r="G136" s="511">
        <f t="shared" si="46"/>
        <v>13401700.763020668</v>
      </c>
      <c r="H136" s="511">
        <f t="shared" si="46"/>
        <v>14390413.893514205</v>
      </c>
      <c r="I136" s="511">
        <f t="shared" si="46"/>
        <v>14812644.671335636</v>
      </c>
      <c r="J136" s="511">
        <f t="shared" si="46"/>
        <v>15149416.475418122</v>
      </c>
      <c r="K136" s="187">
        <f t="shared" si="46"/>
        <v>15493881.383793654</v>
      </c>
      <c r="L136" s="187">
        <f t="shared" si="46"/>
        <v>15846215.943813706</v>
      </c>
      <c r="M136" s="187">
        <f t="shared" si="46"/>
        <v>16206600.772353783</v>
      </c>
      <c r="N136" s="187">
        <f t="shared" si="46"/>
        <v>16589706.569861759</v>
      </c>
      <c r="O136" s="187">
        <f t="shared" si="46"/>
        <v>16970809.838502068</v>
      </c>
    </row>
    <row r="137" spans="1:17" ht="15.75" thickBot="1" x14ac:dyDescent="0.3">
      <c r="A137" s="491" t="s">
        <v>109</v>
      </c>
      <c r="B137" s="514">
        <f t="shared" ref="B137:O137" si="47">SUM(D93:D94,D96:D97,D99:D100,D102:D103)</f>
        <v>0</v>
      </c>
      <c r="C137" s="514">
        <f t="shared" si="47"/>
        <v>0</v>
      </c>
      <c r="D137" s="514">
        <f t="shared" si="47"/>
        <v>0</v>
      </c>
      <c r="E137" s="514">
        <f t="shared" si="47"/>
        <v>0</v>
      </c>
      <c r="F137" s="514">
        <f t="shared" si="47"/>
        <v>0</v>
      </c>
      <c r="G137" s="514">
        <f t="shared" si="47"/>
        <v>25942041.55692862</v>
      </c>
      <c r="H137" s="514">
        <f t="shared" si="47"/>
        <v>26148490.74210443</v>
      </c>
      <c r="I137" s="514">
        <f t="shared" si="47"/>
        <v>64199452.651093274</v>
      </c>
      <c r="J137" s="514">
        <f t="shared" si="47"/>
        <v>65246698.247684553</v>
      </c>
      <c r="K137" s="188">
        <f t="shared" si="47"/>
        <v>65939877.105453163</v>
      </c>
      <c r="L137" s="188">
        <f t="shared" si="47"/>
        <v>67180262.302165464</v>
      </c>
      <c r="M137" s="188">
        <f t="shared" si="47"/>
        <v>67899955.093643486</v>
      </c>
      <c r="N137" s="188">
        <f t="shared" si="47"/>
        <v>68692629.955595702</v>
      </c>
      <c r="O137" s="188">
        <f t="shared" si="47"/>
        <v>69474355.781705201</v>
      </c>
    </row>
    <row r="138" spans="1:17" ht="15.75" thickTop="1" x14ac:dyDescent="0.25">
      <c r="A138" s="515" t="s">
        <v>79</v>
      </c>
      <c r="B138" s="516">
        <f>SUM(B134:B137)</f>
        <v>0</v>
      </c>
      <c r="C138" s="516">
        <f t="shared" ref="C138:O138" si="48">SUM(C134:C137)</f>
        <v>8658927.6161869317</v>
      </c>
      <c r="D138" s="516">
        <f t="shared" si="48"/>
        <v>9005928.4819718786</v>
      </c>
      <c r="E138" s="516">
        <f t="shared" si="48"/>
        <v>9337466.0021169186</v>
      </c>
      <c r="F138" s="516">
        <f t="shared" si="48"/>
        <v>9682132.0508505851</v>
      </c>
      <c r="G138" s="516">
        <f t="shared" si="48"/>
        <v>49384125.460925072</v>
      </c>
      <c r="H138" s="516">
        <f t="shared" si="48"/>
        <v>50970146.949255273</v>
      </c>
      <c r="I138" s="516">
        <f t="shared" si="48"/>
        <v>89813321.061364919</v>
      </c>
      <c r="J138" s="516">
        <f t="shared" si="48"/>
        <v>91582522.164277956</v>
      </c>
      <c r="K138" s="189">
        <f t="shared" si="48"/>
        <v>93020954.05476144</v>
      </c>
      <c r="L138" s="189">
        <f t="shared" si="48"/>
        <v>95030512.70233734</v>
      </c>
      <c r="M138" s="189">
        <f t="shared" si="48"/>
        <v>96543966.246425211</v>
      </c>
      <c r="N138" s="189">
        <f t="shared" si="48"/>
        <v>98191698.273297444</v>
      </c>
      <c r="O138" s="189">
        <f t="shared" si="48"/>
        <v>99844538.131563932</v>
      </c>
    </row>
    <row r="140" spans="1:17" s="16" customFormat="1" ht="30" customHeight="1" x14ac:dyDescent="0.25">
      <c r="A140" s="8" t="s">
        <v>44</v>
      </c>
      <c r="B140" s="302">
        <v>2019</v>
      </c>
      <c r="C140" s="302">
        <v>2020</v>
      </c>
      <c r="D140" s="302">
        <v>2021</v>
      </c>
      <c r="E140" s="302">
        <v>2022</v>
      </c>
      <c r="F140" s="302">
        <v>2023</v>
      </c>
      <c r="G140" s="302">
        <v>2024</v>
      </c>
      <c r="H140" s="302">
        <v>2025</v>
      </c>
      <c r="I140" s="302">
        <v>2026</v>
      </c>
      <c r="J140" s="302">
        <v>2027</v>
      </c>
      <c r="K140" s="307">
        <v>2028</v>
      </c>
      <c r="L140" s="307">
        <v>2029</v>
      </c>
      <c r="M140" s="307">
        <v>2030</v>
      </c>
      <c r="N140" s="84">
        <v>2031</v>
      </c>
      <c r="O140" s="84">
        <v>2032</v>
      </c>
    </row>
    <row r="141" spans="1:17" ht="30" x14ac:dyDescent="0.25">
      <c r="A141" s="426" t="s">
        <v>318</v>
      </c>
      <c r="B141" s="511">
        <f t="shared" ref="B141:O141" si="49">SUM(D75:D78,D83:D88)</f>
        <v>0</v>
      </c>
      <c r="C141" s="511">
        <f t="shared" si="49"/>
        <v>8658927.6161869317</v>
      </c>
      <c r="D141" s="511">
        <f t="shared" si="49"/>
        <v>8976730.7130849846</v>
      </c>
      <c r="E141" s="511">
        <f t="shared" si="49"/>
        <v>9307193.5509506054</v>
      </c>
      <c r="F141" s="511">
        <f t="shared" si="49"/>
        <v>9650745.3615741916</v>
      </c>
      <c r="G141" s="511">
        <f t="shared" si="49"/>
        <v>10007841.201827196</v>
      </c>
      <c r="H141" s="511">
        <f t="shared" si="49"/>
        <v>10397502.603333814</v>
      </c>
      <c r="I141" s="511">
        <f t="shared" si="49"/>
        <v>10766242.171116062</v>
      </c>
      <c r="J141" s="511">
        <f t="shared" si="49"/>
        <v>11150138.306788586</v>
      </c>
      <c r="K141" s="187">
        <f t="shared" si="49"/>
        <v>11549591.473098563</v>
      </c>
      <c r="L141" s="187">
        <f t="shared" si="49"/>
        <v>11965046.27011255</v>
      </c>
      <c r="M141" s="187">
        <f t="shared" si="49"/>
        <v>12396987.156011166</v>
      </c>
      <c r="N141" s="187">
        <f t="shared" si="49"/>
        <v>12867450.665802112</v>
      </c>
      <c r="O141" s="187">
        <f t="shared" si="49"/>
        <v>13355918.808122212</v>
      </c>
    </row>
    <row r="142" spans="1:17" ht="15.75" thickBot="1" x14ac:dyDescent="0.3">
      <c r="A142" s="426" t="s">
        <v>35</v>
      </c>
      <c r="B142" s="511">
        <f t="shared" ref="B142:O142" si="50">SUM(D79:D82)</f>
        <v>0</v>
      </c>
      <c r="C142" s="511">
        <f t="shared" si="50"/>
        <v>0</v>
      </c>
      <c r="D142" s="511">
        <f t="shared" si="50"/>
        <v>29197.768886892725</v>
      </c>
      <c r="E142" s="511">
        <f t="shared" si="50"/>
        <v>30272.451166312636</v>
      </c>
      <c r="F142" s="511">
        <f t="shared" si="50"/>
        <v>31386.689276391186</v>
      </c>
      <c r="G142" s="511">
        <f t="shared" si="50"/>
        <v>32541.939148587207</v>
      </c>
      <c r="H142" s="511">
        <f t="shared" si="50"/>
        <v>33739.710302829313</v>
      </c>
      <c r="I142" s="511">
        <f t="shared" si="50"/>
        <v>34981.567819945652</v>
      </c>
      <c r="J142" s="511">
        <f t="shared" si="50"/>
        <v>36269.134386694263</v>
      </c>
      <c r="K142" s="187">
        <f t="shared" si="50"/>
        <v>37604.092416065498</v>
      </c>
      <c r="L142" s="187">
        <f t="shared" si="50"/>
        <v>38988.186245623525</v>
      </c>
      <c r="M142" s="187">
        <f t="shared" si="50"/>
        <v>40423.224416766177</v>
      </c>
      <c r="N142" s="187">
        <f t="shared" si="50"/>
        <v>41911.082037874075</v>
      </c>
      <c r="O142" s="187">
        <f t="shared" si="50"/>
        <v>43453.703234442211</v>
      </c>
    </row>
    <row r="143" spans="1:17" ht="15.75" thickTop="1" x14ac:dyDescent="0.25">
      <c r="A143" s="574" t="s">
        <v>79</v>
      </c>
      <c r="B143" s="591">
        <f>SUM(B141:B142)</f>
        <v>0</v>
      </c>
      <c r="C143" s="591">
        <f t="shared" ref="C143:O143" si="51">SUM(C141:C142)</f>
        <v>8658927.6161869317</v>
      </c>
      <c r="D143" s="591">
        <f t="shared" si="51"/>
        <v>9005928.4819718767</v>
      </c>
      <c r="E143" s="591">
        <f t="shared" si="51"/>
        <v>9337466.0021169186</v>
      </c>
      <c r="F143" s="591">
        <f t="shared" si="51"/>
        <v>9682132.0508505832</v>
      </c>
      <c r="G143" s="591">
        <f t="shared" si="51"/>
        <v>10040383.140975785</v>
      </c>
      <c r="H143" s="591">
        <f t="shared" si="51"/>
        <v>10431242.313636644</v>
      </c>
      <c r="I143" s="591">
        <f t="shared" si="51"/>
        <v>10801223.738936007</v>
      </c>
      <c r="J143" s="591">
        <f t="shared" si="51"/>
        <v>11186407.44117528</v>
      </c>
      <c r="K143" s="191">
        <f t="shared" si="51"/>
        <v>11587195.565514628</v>
      </c>
      <c r="L143" s="191">
        <f t="shared" si="51"/>
        <v>12004034.456358174</v>
      </c>
      <c r="M143" s="191">
        <f t="shared" si="51"/>
        <v>12437410.380427932</v>
      </c>
      <c r="N143" s="191">
        <f t="shared" si="51"/>
        <v>12909361.747839985</v>
      </c>
      <c r="O143" s="191">
        <f t="shared" si="51"/>
        <v>13399372.511356654</v>
      </c>
    </row>
    <row r="144" spans="1:17" x14ac:dyDescent="0.25">
      <c r="Q144" s="118"/>
    </row>
  </sheetData>
  <pageMargins left="0.7" right="0.7" top="0.75" bottom="0.75" header="0.3" footer="0.3"/>
  <pageSetup paperSize="5" pageOrder="overThenDown" orientation="landscape" r:id="rId1"/>
  <headerFooter>
    <oddHeader>&amp;CPRELIMINARY DISCUSSION DRAFT - DO NOT CITE OR QUOTE</oddHeader>
    <oddFooter>&amp;L&amp;F&amp;CPage &amp;P of &amp;N&amp;R&amp;D</oddFooter>
  </headerFooter>
  <rowBreaks count="5" manualBreakCount="5">
    <brk id="50" max="16383" man="1"/>
    <brk id="72" max="16383" man="1"/>
    <brk id="90" max="16383" man="1"/>
    <brk id="114" max="16383" man="1"/>
    <brk id="13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70"/>
  <sheetViews>
    <sheetView topLeftCell="A57" zoomScale="70" zoomScaleNormal="70" workbookViewId="0">
      <selection activeCell="F24" sqref="E20:F24"/>
    </sheetView>
  </sheetViews>
  <sheetFormatPr defaultColWidth="9.140625" defaultRowHeight="15" x14ac:dyDescent="0.25"/>
  <cols>
    <col min="1" max="1" width="46" style="38" customWidth="1"/>
    <col min="2" max="2" width="18.140625" style="38" bestFit="1" customWidth="1"/>
    <col min="3" max="3" width="12.42578125" style="38" customWidth="1"/>
    <col min="4" max="4" width="13.7109375" style="38" customWidth="1"/>
    <col min="5" max="6" width="12.42578125" style="38" customWidth="1"/>
    <col min="7" max="7" width="14.140625" style="38" bestFit="1" customWidth="1"/>
    <col min="8" max="9" width="13.7109375" style="38" bestFit="1" customWidth="1"/>
    <col min="10" max="16" width="13.7109375" style="38" customWidth="1"/>
    <col min="17" max="17" width="9.140625" style="38"/>
    <col min="18" max="16384" width="9.140625" style="1"/>
  </cols>
  <sheetData>
    <row r="1" spans="1:17" ht="30.75" x14ac:dyDescent="0.3">
      <c r="A1" s="314" t="s">
        <v>41</v>
      </c>
      <c r="B1" s="408" t="s">
        <v>497</v>
      </c>
      <c r="C1" s="409"/>
      <c r="D1" s="409"/>
      <c r="E1" s="122"/>
    </row>
    <row r="2" spans="1:17" ht="45" x14ac:dyDescent="0.25">
      <c r="B2" s="395" t="s">
        <v>464</v>
      </c>
      <c r="C2" s="122"/>
      <c r="D2" s="122"/>
      <c r="E2" s="122"/>
    </row>
    <row r="3" spans="1:17" x14ac:dyDescent="0.25">
      <c r="B3" s="411" t="s">
        <v>460</v>
      </c>
      <c r="C3" s="124"/>
      <c r="D3" s="124"/>
      <c r="E3" s="122"/>
    </row>
    <row r="4" spans="1:17" x14ac:dyDescent="0.25">
      <c r="C4" s="122"/>
      <c r="D4" s="122"/>
      <c r="E4" s="122"/>
    </row>
    <row r="5" spans="1:17" ht="15.75" x14ac:dyDescent="0.25">
      <c r="A5" s="315" t="s">
        <v>321</v>
      </c>
      <c r="D5" s="122"/>
      <c r="E5" s="122"/>
      <c r="F5" s="122"/>
    </row>
    <row r="6" spans="1:17" x14ac:dyDescent="0.25">
      <c r="A6" s="113" t="s">
        <v>25</v>
      </c>
      <c r="B6" s="113" t="s">
        <v>16</v>
      </c>
      <c r="C6" s="301" t="s">
        <v>26</v>
      </c>
      <c r="D6" s="353"/>
      <c r="E6" s="353"/>
      <c r="F6" s="122"/>
    </row>
    <row r="7" spans="1:17" s="120" customFormat="1" ht="13.9" customHeight="1" x14ac:dyDescent="0.25">
      <c r="A7" s="102" t="s">
        <v>674</v>
      </c>
      <c r="B7" s="399" t="str">
        <f>'Cost Inputs'!B59</f>
        <v>Cost per vessel upgrade ($)</v>
      </c>
      <c r="C7" s="568">
        <f>'Cost Inputs'!C59</f>
        <v>878540.58000000007</v>
      </c>
      <c r="D7" s="488"/>
      <c r="E7" s="488"/>
      <c r="F7" s="488"/>
      <c r="G7" s="569"/>
      <c r="H7" s="569"/>
      <c r="I7" s="569"/>
      <c r="J7" s="569"/>
      <c r="K7" s="569"/>
      <c r="L7" s="569"/>
      <c r="M7" s="569"/>
      <c r="N7" s="569"/>
      <c r="O7" s="569"/>
      <c r="P7" s="569"/>
      <c r="Q7" s="569"/>
    </row>
    <row r="8" spans="1:17" s="120" customFormat="1" ht="13.9" customHeight="1" x14ac:dyDescent="0.25">
      <c r="A8" s="102" t="s">
        <v>675</v>
      </c>
      <c r="B8" s="399" t="str">
        <f>'Cost Inputs'!B60</f>
        <v>Cost per vessel upgrade ($)</v>
      </c>
      <c r="C8" s="568">
        <f>'Cost Inputs'!C60</f>
        <v>1629682.0200000003</v>
      </c>
      <c r="D8" s="488"/>
      <c r="E8" s="488"/>
      <c r="F8" s="488"/>
      <c r="G8" s="569"/>
      <c r="H8" s="569"/>
      <c r="I8" s="569"/>
      <c r="J8" s="569"/>
      <c r="K8" s="569"/>
      <c r="L8" s="569"/>
      <c r="M8" s="569"/>
      <c r="N8" s="569"/>
      <c r="O8" s="569"/>
      <c r="P8" s="569"/>
      <c r="Q8" s="569"/>
    </row>
    <row r="9" spans="1:17" s="120" customFormat="1" ht="13.9" customHeight="1" x14ac:dyDescent="0.25">
      <c r="A9" s="102" t="s">
        <v>676</v>
      </c>
      <c r="B9" s="399" t="str">
        <f>'Cost Inputs'!B61</f>
        <v>Cost per vessel upgrade ($)</v>
      </c>
      <c r="C9" s="568">
        <f>'Cost Inputs'!C61</f>
        <v>3163500.0000000005</v>
      </c>
      <c r="D9" s="488"/>
      <c r="E9" s="488"/>
      <c r="F9" s="488"/>
      <c r="G9" s="569"/>
      <c r="H9" s="569"/>
      <c r="I9" s="569"/>
      <c r="J9" s="569"/>
      <c r="K9" s="569"/>
      <c r="L9" s="569"/>
      <c r="M9" s="569"/>
      <c r="N9" s="569"/>
      <c r="O9" s="569"/>
      <c r="P9" s="569"/>
      <c r="Q9" s="569"/>
    </row>
    <row r="10" spans="1:17" s="120" customFormat="1" ht="13.9" customHeight="1" x14ac:dyDescent="0.25">
      <c r="A10" s="102" t="s">
        <v>677</v>
      </c>
      <c r="B10" s="399" t="str">
        <f>'Cost Inputs'!B62</f>
        <v>Cost per vessel upgrade ($)</v>
      </c>
      <c r="C10" s="568">
        <f>'Cost Inputs'!C62</f>
        <v>2504468.58</v>
      </c>
      <c r="D10" s="488"/>
      <c r="E10" s="488"/>
      <c r="F10" s="488"/>
      <c r="G10" s="569"/>
      <c r="H10" s="569"/>
      <c r="I10" s="569"/>
      <c r="J10" s="569"/>
      <c r="K10" s="569"/>
      <c r="L10" s="569"/>
      <c r="M10" s="569"/>
      <c r="N10" s="569"/>
      <c r="O10" s="569"/>
      <c r="P10" s="569"/>
      <c r="Q10" s="569"/>
    </row>
    <row r="11" spans="1:17" s="120" customFormat="1" x14ac:dyDescent="0.25">
      <c r="A11" s="102" t="s">
        <v>29</v>
      </c>
      <c r="B11" s="399" t="str">
        <f>'Cost Inputs'!B72</f>
        <v>fraction</v>
      </c>
      <c r="C11" s="399">
        <f>'Cost Inputs'!C72</f>
        <v>0.1295</v>
      </c>
      <c r="D11" s="488"/>
      <c r="E11" s="488"/>
      <c r="F11" s="488"/>
      <c r="G11" s="569"/>
      <c r="H11" s="569"/>
      <c r="I11" s="569"/>
      <c r="J11" s="569"/>
      <c r="K11" s="569"/>
      <c r="L11" s="569"/>
      <c r="M11" s="569"/>
      <c r="N11" s="569"/>
      <c r="O11" s="569"/>
      <c r="P11" s="569"/>
      <c r="Q11" s="569"/>
    </row>
    <row r="12" spans="1:17" s="120" customFormat="1" ht="13.9" customHeight="1" x14ac:dyDescent="0.25">
      <c r="A12" s="102" t="s">
        <v>625</v>
      </c>
      <c r="B12" s="399" t="str">
        <f>'Cost Inputs'!B66</f>
        <v>Annual Cost per vessel upgrade ($)</v>
      </c>
      <c r="C12" s="568">
        <f>'Cost Inputs'!C66</f>
        <v>10000</v>
      </c>
      <c r="D12" s="488"/>
      <c r="E12" s="488"/>
      <c r="F12" s="488"/>
      <c r="G12" s="569"/>
      <c r="H12" s="569"/>
      <c r="I12" s="569"/>
      <c r="J12" s="569"/>
      <c r="K12" s="569"/>
      <c r="L12" s="569"/>
      <c r="M12" s="569"/>
      <c r="N12" s="569"/>
      <c r="O12" s="569"/>
      <c r="P12" s="569"/>
      <c r="Q12" s="569"/>
    </row>
    <row r="13" spans="1:17" x14ac:dyDescent="0.25">
      <c r="E13" s="122"/>
      <c r="F13" s="122"/>
    </row>
    <row r="14" spans="1:17" ht="60" customHeight="1" x14ac:dyDescent="0.25">
      <c r="A14" s="113" t="s">
        <v>81</v>
      </c>
      <c r="B14" s="301" t="s">
        <v>596</v>
      </c>
      <c r="C14" s="301" t="s">
        <v>322</v>
      </c>
      <c r="D14" s="113" t="s">
        <v>237</v>
      </c>
      <c r="E14" s="353"/>
      <c r="F14" s="122"/>
    </row>
    <row r="15" spans="1:17" x14ac:dyDescent="0.25">
      <c r="A15" s="22" t="s">
        <v>85</v>
      </c>
      <c r="B15" s="395">
        <f>'Berths, Terminals, Vessels'!B8</f>
        <v>57</v>
      </c>
      <c r="C15" s="395">
        <f>'Berths, Terminals, Vessels'!B9</f>
        <v>62</v>
      </c>
      <c r="D15" s="395">
        <f>'Berths, Terminals, Vessels'!C8</f>
        <v>2020</v>
      </c>
      <c r="E15" s="122"/>
      <c r="F15" s="122"/>
    </row>
    <row r="16" spans="1:17" x14ac:dyDescent="0.25">
      <c r="A16" s="22" t="s">
        <v>14</v>
      </c>
      <c r="B16" s="395">
        <f>'Berths, Terminals, Vessels'!B37</f>
        <v>26</v>
      </c>
      <c r="C16" s="395">
        <f>B16</f>
        <v>26</v>
      </c>
      <c r="D16" s="395">
        <f>'Berths, Terminals, Vessels'!C37</f>
        <v>2020</v>
      </c>
      <c r="E16" s="122"/>
      <c r="F16" s="122"/>
    </row>
    <row r="17" spans="1:17" x14ac:dyDescent="0.25">
      <c r="A17" s="22" t="s">
        <v>15</v>
      </c>
      <c r="B17" s="395">
        <f>'Berths, Terminals, Vessels'!B51</f>
        <v>0</v>
      </c>
      <c r="C17" s="395">
        <f>'Berths, Terminals, Vessels'!B53</f>
        <v>261</v>
      </c>
      <c r="D17" s="395">
        <f>'Berths, Terminals, Vessels'!B54</f>
        <v>2024</v>
      </c>
      <c r="E17" s="122"/>
      <c r="F17" s="122"/>
    </row>
    <row r="18" spans="1:17" x14ac:dyDescent="0.25">
      <c r="A18" s="22" t="s">
        <v>109</v>
      </c>
      <c r="B18" s="395">
        <f>'Berths, Terminals, Vessels'!B71</f>
        <v>0</v>
      </c>
      <c r="C18" s="395">
        <f>'Berths, Terminals, Vessels'!B73</f>
        <v>446</v>
      </c>
      <c r="D18" s="395">
        <f>'Berths, Terminals, Vessels'!B74</f>
        <v>2026</v>
      </c>
      <c r="E18" s="122"/>
      <c r="F18" s="122"/>
    </row>
    <row r="19" spans="1:17" x14ac:dyDescent="0.25">
      <c r="E19" s="122"/>
      <c r="F19" s="122"/>
    </row>
    <row r="20" spans="1:17" s="16" customFormat="1" x14ac:dyDescent="0.25">
      <c r="A20" s="113" t="s">
        <v>293</v>
      </c>
      <c r="B20" s="113" t="s">
        <v>118</v>
      </c>
      <c r="C20" s="301">
        <v>2019</v>
      </c>
      <c r="D20" s="301">
        <v>2020</v>
      </c>
      <c r="E20" s="301">
        <v>2021</v>
      </c>
      <c r="F20" s="301">
        <v>2022</v>
      </c>
      <c r="G20" s="301">
        <v>2023</v>
      </c>
      <c r="H20" s="301">
        <v>2024</v>
      </c>
      <c r="I20" s="301">
        <v>2025</v>
      </c>
      <c r="J20" s="301">
        <v>2026</v>
      </c>
      <c r="K20" s="301">
        <v>2027</v>
      </c>
      <c r="L20" s="301">
        <v>2028</v>
      </c>
      <c r="M20" s="301">
        <v>2029</v>
      </c>
      <c r="N20" s="301">
        <v>2030</v>
      </c>
      <c r="O20" s="301">
        <v>2031</v>
      </c>
      <c r="P20" s="301">
        <v>2032</v>
      </c>
      <c r="Q20" s="19"/>
    </row>
    <row r="21" spans="1:17" x14ac:dyDescent="0.25">
      <c r="A21" s="22" t="s">
        <v>288</v>
      </c>
      <c r="B21" s="22" t="s">
        <v>28</v>
      </c>
      <c r="C21" s="510">
        <f>Growth!$F7</f>
        <v>3.8665099247932266E-2</v>
      </c>
      <c r="D21" s="510">
        <f>Growth!$F8</f>
        <v>7.9641297146510415E-2</v>
      </c>
      <c r="E21" s="510">
        <f>Growth!$F9</f>
        <v>0.15256235056907913</v>
      </c>
      <c r="F21" s="510">
        <f>Growth!$F10</f>
        <v>0.19385114943417511</v>
      </c>
      <c r="G21" s="510">
        <f>Growth!$F11</f>
        <v>0.23786367889837565</v>
      </c>
      <c r="H21" s="510">
        <f>Growth!$F12</f>
        <v>0.28465423170158566</v>
      </c>
      <c r="I21" s="510">
        <f>Growth!$F13</f>
        <v>0.33429164292179847</v>
      </c>
      <c r="J21" s="510">
        <f>Growth!$F14</f>
        <v>0.41005488530447487</v>
      </c>
      <c r="K21" s="510">
        <f>Growth!$F15</f>
        <v>0.44448774785521072</v>
      </c>
      <c r="L21" s="510">
        <f>Growth!$F16</f>
        <v>0.48217019049045101</v>
      </c>
      <c r="M21" s="510">
        <f>Growth!$F17</f>
        <v>0.5230248906889251</v>
      </c>
      <c r="N21" s="510">
        <f>Growth!$F18</f>
        <v>0.56700845918311726</v>
      </c>
      <c r="O21" s="510">
        <f>Growth!$F19</f>
        <v>0.61410530272263486</v>
      </c>
      <c r="P21" s="510">
        <f>Growth!$F20</f>
        <v>0.69124079785891168</v>
      </c>
    </row>
    <row r="22" spans="1:17" x14ac:dyDescent="0.25">
      <c r="A22" s="22" t="s">
        <v>289</v>
      </c>
      <c r="B22" s="22" t="s">
        <v>28</v>
      </c>
      <c r="C22" s="510">
        <f>Growth!$G7</f>
        <v>3.680699999999959E-2</v>
      </c>
      <c r="D22" s="510">
        <f>Growth!$G8</f>
        <v>7.4968755249000291E-2</v>
      </c>
      <c r="E22" s="510">
        <f>Growth!$G9</f>
        <v>0.15961450248024708</v>
      </c>
      <c r="F22" s="510">
        <f>Growth!$G10</f>
        <v>0.20229643347303783</v>
      </c>
      <c r="G22" s="510">
        <f>Growth!$G11</f>
        <v>0.24654935829988212</v>
      </c>
      <c r="H22" s="510">
        <f>Growth!$G12</f>
        <v>0.29243110053082899</v>
      </c>
      <c r="I22" s="510">
        <f>Growth!$G13</f>
        <v>0.34000161204806295</v>
      </c>
      <c r="J22" s="510">
        <f>Growth!$G14</f>
        <v>0.38932305138271844</v>
      </c>
      <c r="K22" s="510">
        <f>Growth!$G15</f>
        <v>0.44045986493496619</v>
      </c>
      <c r="L22" s="510">
        <f>Growth!$G16</f>
        <v>0.4934788711836221</v>
      </c>
      <c r="M22" s="510">
        <f>Growth!$G17</f>
        <v>0.548449347995285</v>
      </c>
      <c r="N22" s="510">
        <f>Growth!$G18</f>
        <v>0.60544312314694371</v>
      </c>
      <c r="O22" s="510">
        <f>Growth!$G19</f>
        <v>0.66453466818061258</v>
      </c>
      <c r="P22" s="510">
        <f>Growth!$G20</f>
        <v>0.7258011957123357</v>
      </c>
    </row>
    <row r="23" spans="1:17" x14ac:dyDescent="0.25">
      <c r="A23" s="22" t="s">
        <v>290</v>
      </c>
      <c r="B23" s="22" t="s">
        <v>28</v>
      </c>
      <c r="C23" s="510">
        <f>Growth!$H7</f>
        <v>3.6721349367557554E-2</v>
      </c>
      <c r="D23" s="510">
        <f>Growth!$H8</f>
        <v>7.4987179834447554E-2</v>
      </c>
      <c r="E23" s="510">
        <f>Growth!$H9</f>
        <v>0.11487071873903137</v>
      </c>
      <c r="F23" s="510">
        <f>Growth!$H10</f>
        <v>0.15102739754508301</v>
      </c>
      <c r="G23" s="510">
        <f>Growth!$H11</f>
        <v>0.18440519556548982</v>
      </c>
      <c r="H23" s="510">
        <f>Growth!$H12</f>
        <v>0.21887580559911993</v>
      </c>
      <c r="I23" s="510">
        <f>Growth!$H13</f>
        <v>0.2544794366551939</v>
      </c>
      <c r="J23" s="510">
        <f>Growth!$H14</f>
        <v>0.29125791799611689</v>
      </c>
      <c r="K23" s="510">
        <f>Growth!$H15</f>
        <v>0.32914486406438159</v>
      </c>
      <c r="L23" s="510">
        <f>Growth!$H16</f>
        <v>0.35936354031630968</v>
      </c>
      <c r="M23" s="510">
        <f>Growth!$H17</f>
        <v>0.39027252206645779</v>
      </c>
      <c r="N23" s="510">
        <f>Growth!$H18</f>
        <v>0.42188765098325831</v>
      </c>
      <c r="O23" s="510">
        <f>Growth!$H19</f>
        <v>0.45422513389525299</v>
      </c>
      <c r="P23" s="510">
        <f>Growth!$H20</f>
        <v>0.48860137895136968</v>
      </c>
    </row>
    <row r="24" spans="1:17" x14ac:dyDescent="0.25">
      <c r="A24" s="22" t="s">
        <v>291</v>
      </c>
      <c r="B24" s="22" t="s">
        <v>28</v>
      </c>
      <c r="C24" s="510">
        <f>Growth!$I7</f>
        <v>4.8046931054337438E-3</v>
      </c>
      <c r="D24" s="510">
        <f>Growth!$I8</f>
        <v>9.7795845679310989E-3</v>
      </c>
      <c r="E24" s="510">
        <f>Growth!$I9</f>
        <v>1.492791402705583E-2</v>
      </c>
      <c r="F24" s="510">
        <f>Growth!$I10</f>
        <v>2.6628462023319498E-2</v>
      </c>
      <c r="G24" s="510">
        <f>Growth!$I11</f>
        <v>3.4642567685373271E-2</v>
      </c>
      <c r="H24" s="510">
        <f>Growth!$I12</f>
        <v>4.2769630813193044E-2</v>
      </c>
      <c r="I24" s="510">
        <f>Growth!$I13</f>
        <v>5.1013291136714503E-2</v>
      </c>
      <c r="J24" s="510">
        <f>Growth!$I14</f>
        <v>5.9377352889062179E-2</v>
      </c>
      <c r="K24" s="510">
        <f>Growth!$I15</f>
        <v>7.0987745336126756E-2</v>
      </c>
      <c r="L24" s="510">
        <f>Growth!$I16</f>
        <v>8.2319423047410883E-2</v>
      </c>
      <c r="M24" s="510">
        <f>Growth!$I17</f>
        <v>9.3817950353126484E-2</v>
      </c>
      <c r="N24" s="510">
        <f>Growth!$I18</f>
        <v>0.10548686029160387</v>
      </c>
      <c r="O24" s="510">
        <f>Growth!$I19</f>
        <v>0.11732978702575415</v>
      </c>
      <c r="P24" s="510">
        <f>Growth!$I20</f>
        <v>0.13037367245195625</v>
      </c>
    </row>
    <row r="26" spans="1:17" ht="15.75" x14ac:dyDescent="0.25">
      <c r="A26" s="315" t="s">
        <v>320</v>
      </c>
    </row>
    <row r="27" spans="1:17" s="3" customFormat="1" ht="30" x14ac:dyDescent="0.25">
      <c r="A27" s="8" t="s">
        <v>591</v>
      </c>
      <c r="B27" s="8" t="s">
        <v>81</v>
      </c>
      <c r="C27" s="302">
        <v>2019</v>
      </c>
      <c r="D27" s="302">
        <v>2020</v>
      </c>
      <c r="E27" s="302">
        <v>2021</v>
      </c>
      <c r="F27" s="302">
        <v>2022</v>
      </c>
      <c r="G27" s="302">
        <v>2023</v>
      </c>
      <c r="H27" s="302">
        <v>2024</v>
      </c>
      <c r="I27" s="302">
        <v>2025</v>
      </c>
      <c r="J27" s="302">
        <v>2026</v>
      </c>
      <c r="K27" s="302">
        <v>2027</v>
      </c>
      <c r="L27" s="302">
        <v>2028</v>
      </c>
      <c r="M27" s="302">
        <v>2029</v>
      </c>
      <c r="N27" s="302">
        <v>2030</v>
      </c>
      <c r="O27" s="49">
        <v>2031</v>
      </c>
      <c r="P27" s="49">
        <v>2032</v>
      </c>
      <c r="Q27" s="430"/>
    </row>
    <row r="28" spans="1:17" ht="30" x14ac:dyDescent="0.25">
      <c r="A28" s="102" t="s">
        <v>325</v>
      </c>
      <c r="B28" s="22" t="s">
        <v>85</v>
      </c>
      <c r="C28" s="570"/>
      <c r="D28" s="511">
        <f t="shared" ref="D28:P28" si="0">$B$15*$C$7*$C$11*(1+D$21)</f>
        <v>7001416.9054734921</v>
      </c>
      <c r="E28" s="511">
        <f t="shared" si="0"/>
        <v>7474306.0933427354</v>
      </c>
      <c r="F28" s="511">
        <f t="shared" si="0"/>
        <v>7742061.7777027301</v>
      </c>
      <c r="G28" s="511">
        <f t="shared" si="0"/>
        <v>8027480.7114335392</v>
      </c>
      <c r="H28" s="511">
        <f t="shared" si="0"/>
        <v>8330914.9800917422</v>
      </c>
      <c r="I28" s="511">
        <f t="shared" si="0"/>
        <v>8652810.9755299147</v>
      </c>
      <c r="J28" s="511">
        <f t="shared" si="0"/>
        <v>9144131.6089972854</v>
      </c>
      <c r="K28" s="511">
        <f t="shared" si="0"/>
        <v>9367426.907726353</v>
      </c>
      <c r="L28" s="511">
        <f t="shared" si="0"/>
        <v>9611795.5620221905</v>
      </c>
      <c r="M28" s="511">
        <f t="shared" si="0"/>
        <v>9876736.1394099351</v>
      </c>
      <c r="N28" s="511">
        <f t="shared" si="0"/>
        <v>10161967.262776734</v>
      </c>
      <c r="O28" s="511">
        <f t="shared" si="0"/>
        <v>10467387.810715696</v>
      </c>
      <c r="P28" s="511">
        <f t="shared" si="0"/>
        <v>10967607.430960465</v>
      </c>
    </row>
    <row r="29" spans="1:17" x14ac:dyDescent="0.25">
      <c r="A29" s="102"/>
      <c r="B29" s="22" t="s">
        <v>14</v>
      </c>
      <c r="C29" s="570"/>
      <c r="D29" s="511">
        <f t="shared" ref="D29:P29" si="1">$B$16*$C$8*$C$11*(1+D$22)</f>
        <v>5898503.3691374548</v>
      </c>
      <c r="E29" s="511">
        <f t="shared" si="1"/>
        <v>6362966.3805400655</v>
      </c>
      <c r="F29" s="511">
        <f t="shared" si="1"/>
        <v>6597168.084108606</v>
      </c>
      <c r="G29" s="511">
        <f t="shared" si="1"/>
        <v>6839990.0497804023</v>
      </c>
      <c r="H29" s="511">
        <f t="shared" si="1"/>
        <v>7091749.5635426873</v>
      </c>
      <c r="I29" s="511">
        <f t="shared" si="1"/>
        <v>7352775.5897279782</v>
      </c>
      <c r="J29" s="511">
        <f t="shared" si="1"/>
        <v>7623409.2008591099</v>
      </c>
      <c r="K29" s="511">
        <f t="shared" si="1"/>
        <v>7904004.023315154</v>
      </c>
      <c r="L29" s="511">
        <f t="shared" si="1"/>
        <v>8194926.6994012855</v>
      </c>
      <c r="M29" s="511">
        <f t="shared" si="1"/>
        <v>8496557.3664261885</v>
      </c>
      <c r="N29" s="511">
        <f t="shared" si="1"/>
        <v>8809290.1534122154</v>
      </c>
      <c r="O29" s="511">
        <f t="shared" si="1"/>
        <v>9133533.6960888561</v>
      </c>
      <c r="P29" s="511">
        <f t="shared" si="1"/>
        <v>9469711.6708407961</v>
      </c>
    </row>
    <row r="30" spans="1:17" ht="45" x14ac:dyDescent="0.25">
      <c r="A30" s="102" t="s">
        <v>326</v>
      </c>
      <c r="B30" s="22" t="s">
        <v>85</v>
      </c>
      <c r="C30" s="570"/>
      <c r="D30" s="570"/>
      <c r="E30" s="511">
        <f t="shared" ref="E30:P30" si="2">$B$15*$C12*(1+E$21)</f>
        <v>656960.53982437518</v>
      </c>
      <c r="F30" s="511">
        <f t="shared" si="2"/>
        <v>680495.15517747973</v>
      </c>
      <c r="G30" s="511">
        <f t="shared" si="2"/>
        <v>705582.29697207408</v>
      </c>
      <c r="H30" s="511">
        <f t="shared" si="2"/>
        <v>732252.9120699038</v>
      </c>
      <c r="I30" s="511">
        <f t="shared" si="2"/>
        <v>760546.23646542511</v>
      </c>
      <c r="J30" s="511">
        <f t="shared" si="2"/>
        <v>803731.2846235506</v>
      </c>
      <c r="K30" s="511">
        <f t="shared" si="2"/>
        <v>823358.01627747016</v>
      </c>
      <c r="L30" s="511">
        <f t="shared" si="2"/>
        <v>844837.00857955706</v>
      </c>
      <c r="M30" s="511">
        <f t="shared" si="2"/>
        <v>868124.18769268738</v>
      </c>
      <c r="N30" s="511">
        <f t="shared" si="2"/>
        <v>893194.82173437683</v>
      </c>
      <c r="O30" s="511">
        <f t="shared" si="2"/>
        <v>920040.02255190187</v>
      </c>
      <c r="P30" s="511">
        <f t="shared" si="2"/>
        <v>964007.2547795797</v>
      </c>
    </row>
    <row r="31" spans="1:17" x14ac:dyDescent="0.25">
      <c r="A31" s="102"/>
      <c r="B31" s="22" t="s">
        <v>14</v>
      </c>
      <c r="C31" s="570"/>
      <c r="D31" s="570"/>
      <c r="E31" s="511">
        <f t="shared" ref="E31:P31" si="3">$B$16*$C$12*(1+E$22)</f>
        <v>301499.77064486424</v>
      </c>
      <c r="F31" s="511">
        <f t="shared" si="3"/>
        <v>312597.07270298986</v>
      </c>
      <c r="G31" s="511">
        <f t="shared" si="3"/>
        <v>324102.83315796935</v>
      </c>
      <c r="H31" s="511">
        <f t="shared" si="3"/>
        <v>336032.08613801555</v>
      </c>
      <c r="I31" s="511">
        <f t="shared" si="3"/>
        <v>348400.41913249635</v>
      </c>
      <c r="J31" s="511">
        <f t="shared" si="3"/>
        <v>361223.99335950677</v>
      </c>
      <c r="K31" s="511">
        <f t="shared" si="3"/>
        <v>374519.5648830912</v>
      </c>
      <c r="L31" s="511">
        <f t="shared" si="3"/>
        <v>388304.50650774175</v>
      </c>
      <c r="M31" s="511">
        <f t="shared" si="3"/>
        <v>402596.83047877409</v>
      </c>
      <c r="N31" s="511">
        <f t="shared" si="3"/>
        <v>417415.21201820538</v>
      </c>
      <c r="O31" s="511">
        <f t="shared" si="3"/>
        <v>432779.0137269593</v>
      </c>
      <c r="P31" s="511">
        <f t="shared" si="3"/>
        <v>448708.31088520732</v>
      </c>
    </row>
    <row r="32" spans="1:17" ht="75" x14ac:dyDescent="0.25">
      <c r="A32" s="424" t="s">
        <v>590</v>
      </c>
      <c r="B32" s="122"/>
      <c r="C32" s="425"/>
      <c r="D32" s="425"/>
      <c r="E32" s="425"/>
      <c r="F32" s="425"/>
      <c r="G32" s="425"/>
      <c r="H32" s="425"/>
      <c r="I32" s="425"/>
      <c r="J32" s="425"/>
      <c r="K32" s="425"/>
      <c r="L32" s="425"/>
      <c r="M32" s="425"/>
      <c r="N32" s="425"/>
      <c r="O32" s="425"/>
      <c r="P32" s="425"/>
    </row>
    <row r="33" spans="1:17" x14ac:dyDescent="0.25">
      <c r="A33" s="122"/>
      <c r="B33" s="122"/>
    </row>
    <row r="34" spans="1:17" s="3" customFormat="1" ht="30" x14ac:dyDescent="0.25">
      <c r="A34" s="8" t="s">
        <v>43</v>
      </c>
      <c r="B34" s="8" t="s">
        <v>81</v>
      </c>
      <c r="C34" s="302">
        <v>2019</v>
      </c>
      <c r="D34" s="302">
        <v>2020</v>
      </c>
      <c r="E34" s="302">
        <v>2021</v>
      </c>
      <c r="F34" s="302">
        <v>2022</v>
      </c>
      <c r="G34" s="302">
        <v>2023</v>
      </c>
      <c r="H34" s="302">
        <v>2024</v>
      </c>
      <c r="I34" s="302">
        <v>2025</v>
      </c>
      <c r="J34" s="302">
        <v>2026</v>
      </c>
      <c r="K34" s="302">
        <v>2027</v>
      </c>
      <c r="L34" s="302">
        <v>2028</v>
      </c>
      <c r="M34" s="302">
        <v>2029</v>
      </c>
      <c r="N34" s="302">
        <v>2030</v>
      </c>
      <c r="O34" s="49">
        <v>2031</v>
      </c>
      <c r="P34" s="49">
        <v>2032</v>
      </c>
      <c r="Q34" s="430"/>
    </row>
    <row r="35" spans="1:17" ht="30" x14ac:dyDescent="0.25">
      <c r="A35" s="82" t="s">
        <v>325</v>
      </c>
      <c r="B35" s="22" t="s">
        <v>85</v>
      </c>
      <c r="C35" s="570"/>
      <c r="D35" s="511">
        <f t="shared" ref="D35:P35" si="4">$C$15*$C$7*$C$11*(1+D$21)</f>
        <v>7615576.2831466058</v>
      </c>
      <c r="E35" s="511">
        <f t="shared" si="4"/>
        <v>8129946.9787236769</v>
      </c>
      <c r="F35" s="511">
        <f t="shared" si="4"/>
        <v>8421190.0038170051</v>
      </c>
      <c r="G35" s="511">
        <f t="shared" si="4"/>
        <v>8731645.6861206926</v>
      </c>
      <c r="H35" s="511">
        <f t="shared" si="4"/>
        <v>9061696.9958892632</v>
      </c>
      <c r="I35" s="511">
        <f t="shared" si="4"/>
        <v>9411829.4821553472</v>
      </c>
      <c r="J35" s="511">
        <f t="shared" si="4"/>
        <v>9946248.4168040659</v>
      </c>
      <c r="K35" s="511">
        <f t="shared" si="4"/>
        <v>10189131.022439191</v>
      </c>
      <c r="L35" s="511">
        <f t="shared" si="4"/>
        <v>10454935.523603085</v>
      </c>
      <c r="M35" s="511">
        <f t="shared" si="4"/>
        <v>10743116.50251607</v>
      </c>
      <c r="N35" s="511">
        <f t="shared" si="4"/>
        <v>11053367.899862412</v>
      </c>
      <c r="O35" s="511">
        <f t="shared" si="4"/>
        <v>11385579.723936372</v>
      </c>
      <c r="P35" s="511">
        <f t="shared" si="4"/>
        <v>11929678.258237699</v>
      </c>
    </row>
    <row r="36" spans="1:17" ht="30" x14ac:dyDescent="0.25">
      <c r="A36" s="82" t="s">
        <v>325</v>
      </c>
      <c r="B36" s="22" t="s">
        <v>14</v>
      </c>
      <c r="C36" s="570"/>
      <c r="D36" s="511">
        <f t="shared" ref="D36:P36" si="5">$C$16*$C$8*$C$11*(1+D$22)</f>
        <v>5898503.3691374548</v>
      </c>
      <c r="E36" s="511">
        <f t="shared" si="5"/>
        <v>6362966.3805400655</v>
      </c>
      <c r="F36" s="511">
        <f t="shared" si="5"/>
        <v>6597168.084108606</v>
      </c>
      <c r="G36" s="511">
        <f t="shared" si="5"/>
        <v>6839990.0497804023</v>
      </c>
      <c r="H36" s="511">
        <f t="shared" si="5"/>
        <v>7091749.5635426873</v>
      </c>
      <c r="I36" s="511">
        <f t="shared" si="5"/>
        <v>7352775.5897279782</v>
      </c>
      <c r="J36" s="511">
        <f t="shared" si="5"/>
        <v>7623409.2008591099</v>
      </c>
      <c r="K36" s="511">
        <f t="shared" si="5"/>
        <v>7904004.023315154</v>
      </c>
      <c r="L36" s="511">
        <f t="shared" si="5"/>
        <v>8194926.6994012855</v>
      </c>
      <c r="M36" s="511">
        <f t="shared" si="5"/>
        <v>8496557.3664261885</v>
      </c>
      <c r="N36" s="511">
        <f t="shared" si="5"/>
        <v>8809290.1534122154</v>
      </c>
      <c r="O36" s="511">
        <f t="shared" si="5"/>
        <v>9133533.6960888561</v>
      </c>
      <c r="P36" s="511">
        <f t="shared" si="5"/>
        <v>9469711.6708407961</v>
      </c>
    </row>
    <row r="37" spans="1:17" ht="30" x14ac:dyDescent="0.25">
      <c r="A37" s="82" t="s">
        <v>325</v>
      </c>
      <c r="B37" s="22" t="s">
        <v>15</v>
      </c>
      <c r="C37" s="570"/>
      <c r="D37" s="570"/>
      <c r="E37" s="570"/>
      <c r="F37" s="570"/>
      <c r="G37" s="570"/>
      <c r="H37" s="511">
        <f t="shared" ref="H37:P37" si="6">$C$17*$C$9*$C$11*(1+H$23)</f>
        <v>130327952.09542769</v>
      </c>
      <c r="I37" s="511">
        <f t="shared" si="6"/>
        <v>134134860.31477535</v>
      </c>
      <c r="J37" s="511">
        <f t="shared" si="6"/>
        <v>138067389.06981641</v>
      </c>
      <c r="K37" s="511">
        <f t="shared" si="6"/>
        <v>142118440.10351858</v>
      </c>
      <c r="L37" s="511">
        <f t="shared" si="6"/>
        <v>145349563.54764393</v>
      </c>
      <c r="M37" s="511">
        <f t="shared" si="6"/>
        <v>148654497.71267292</v>
      </c>
      <c r="N37" s="511">
        <f t="shared" si="6"/>
        <v>152034936.46453926</v>
      </c>
      <c r="O37" s="511">
        <f t="shared" si="6"/>
        <v>155492612.71381846</v>
      </c>
      <c r="P37" s="511">
        <f t="shared" si="6"/>
        <v>159168283.03093672</v>
      </c>
    </row>
    <row r="38" spans="1:17" ht="30" x14ac:dyDescent="0.25">
      <c r="A38" s="82" t="s">
        <v>325</v>
      </c>
      <c r="B38" s="22" t="s">
        <v>109</v>
      </c>
      <c r="C38" s="570"/>
      <c r="D38" s="570"/>
      <c r="E38" s="570"/>
      <c r="F38" s="570"/>
      <c r="G38" s="570"/>
      <c r="H38" s="570"/>
      <c r="I38" s="570"/>
      <c r="J38" s="511">
        <f t="shared" ref="J38:P38" si="7">$C$18*$C$10*$C$11*(1+J$24)</f>
        <v>153239561.00849944</v>
      </c>
      <c r="K38" s="511">
        <f t="shared" si="7"/>
        <v>154919011.14670801</v>
      </c>
      <c r="L38" s="511">
        <f t="shared" si="7"/>
        <v>156558145.03344953</v>
      </c>
      <c r="M38" s="511">
        <f t="shared" si="7"/>
        <v>158221413.81276298</v>
      </c>
      <c r="N38" s="511">
        <f t="shared" si="7"/>
        <v>159909328.54073361</v>
      </c>
      <c r="O38" s="511">
        <f t="shared" si="7"/>
        <v>161622414.90117714</v>
      </c>
      <c r="P38" s="511">
        <f t="shared" si="7"/>
        <v>163509220.64712334</v>
      </c>
    </row>
    <row r="39" spans="1:17" ht="45" x14ac:dyDescent="0.25">
      <c r="A39" s="102" t="s">
        <v>326</v>
      </c>
      <c r="B39" s="22" t="s">
        <v>85</v>
      </c>
      <c r="C39" s="570"/>
      <c r="D39" s="570"/>
      <c r="E39" s="511">
        <f t="shared" ref="E39:P39" si="8">$C$15*$C$12*(1+E$21)</f>
        <v>714588.65735282912</v>
      </c>
      <c r="F39" s="511">
        <f t="shared" si="8"/>
        <v>740187.71264918847</v>
      </c>
      <c r="G39" s="511">
        <f t="shared" si="8"/>
        <v>767475.48091699288</v>
      </c>
      <c r="H39" s="511">
        <f t="shared" si="8"/>
        <v>796485.62365498312</v>
      </c>
      <c r="I39" s="511">
        <f t="shared" si="8"/>
        <v>827260.81861151499</v>
      </c>
      <c r="J39" s="511">
        <f t="shared" si="8"/>
        <v>874234.02888877434</v>
      </c>
      <c r="K39" s="511">
        <f t="shared" si="8"/>
        <v>895582.40367023065</v>
      </c>
      <c r="L39" s="511">
        <f t="shared" si="8"/>
        <v>918945.51810407965</v>
      </c>
      <c r="M39" s="511">
        <f t="shared" si="8"/>
        <v>944275.43222713366</v>
      </c>
      <c r="N39" s="511">
        <f t="shared" si="8"/>
        <v>971545.2446935327</v>
      </c>
      <c r="O39" s="511">
        <f t="shared" si="8"/>
        <v>1000745.2876880337</v>
      </c>
      <c r="P39" s="511">
        <f t="shared" si="8"/>
        <v>1048569.2946725253</v>
      </c>
    </row>
    <row r="40" spans="1:17" ht="45" x14ac:dyDescent="0.25">
      <c r="A40" s="102" t="s">
        <v>326</v>
      </c>
      <c r="B40" s="22" t="s">
        <v>14</v>
      </c>
      <c r="C40" s="570"/>
      <c r="D40" s="570"/>
      <c r="E40" s="511">
        <f t="shared" ref="E40:P40" si="9">$C$16*$C$12*(1+E$22)</f>
        <v>301499.77064486424</v>
      </c>
      <c r="F40" s="511">
        <f t="shared" si="9"/>
        <v>312597.07270298986</v>
      </c>
      <c r="G40" s="511">
        <f t="shared" si="9"/>
        <v>324102.83315796935</v>
      </c>
      <c r="H40" s="511">
        <f t="shared" si="9"/>
        <v>336032.08613801555</v>
      </c>
      <c r="I40" s="511">
        <f t="shared" si="9"/>
        <v>348400.41913249635</v>
      </c>
      <c r="J40" s="511">
        <f t="shared" si="9"/>
        <v>361223.99335950677</v>
      </c>
      <c r="K40" s="511">
        <f t="shared" si="9"/>
        <v>374519.5648830912</v>
      </c>
      <c r="L40" s="511">
        <f t="shared" si="9"/>
        <v>388304.50650774175</v>
      </c>
      <c r="M40" s="511">
        <f t="shared" si="9"/>
        <v>402596.83047877409</v>
      </c>
      <c r="N40" s="511">
        <f t="shared" si="9"/>
        <v>417415.21201820538</v>
      </c>
      <c r="O40" s="511">
        <f t="shared" si="9"/>
        <v>432779.0137269593</v>
      </c>
      <c r="P40" s="511">
        <f t="shared" si="9"/>
        <v>448708.31088520732</v>
      </c>
    </row>
    <row r="41" spans="1:17" ht="45" x14ac:dyDescent="0.25">
      <c r="A41" s="102" t="s">
        <v>326</v>
      </c>
      <c r="B41" s="22" t="s">
        <v>15</v>
      </c>
      <c r="C41" s="570"/>
      <c r="D41" s="570"/>
      <c r="E41" s="570"/>
      <c r="F41" s="570"/>
      <c r="G41" s="570"/>
      <c r="H41" s="511">
        <f t="shared" ref="H41:P41" si="10">$C$17*$C$12*(1+H$23)</f>
        <v>3181265.8526137033</v>
      </c>
      <c r="I41" s="511">
        <f t="shared" si="10"/>
        <v>3274191.3296700562</v>
      </c>
      <c r="J41" s="511">
        <f t="shared" si="10"/>
        <v>3370183.1659698649</v>
      </c>
      <c r="K41" s="511">
        <f t="shared" si="10"/>
        <v>3469068.0952080362</v>
      </c>
      <c r="L41" s="511">
        <f t="shared" si="10"/>
        <v>3547938.840225568</v>
      </c>
      <c r="M41" s="511">
        <f t="shared" si="10"/>
        <v>3628611.2825934547</v>
      </c>
      <c r="N41" s="511">
        <f t="shared" si="10"/>
        <v>3711126.769066304</v>
      </c>
      <c r="O41" s="511">
        <f t="shared" si="10"/>
        <v>3795527.5994666102</v>
      </c>
      <c r="P41" s="511">
        <f t="shared" si="10"/>
        <v>3885249.5990630747</v>
      </c>
    </row>
    <row r="42" spans="1:17" ht="45" x14ac:dyDescent="0.25">
      <c r="A42" s="102" t="s">
        <v>326</v>
      </c>
      <c r="B42" s="22" t="s">
        <v>109</v>
      </c>
      <c r="C42" s="570"/>
      <c r="D42" s="570"/>
      <c r="E42" s="570"/>
      <c r="F42" s="570"/>
      <c r="G42" s="570"/>
      <c r="H42" s="570"/>
      <c r="I42" s="570"/>
      <c r="J42" s="511">
        <f t="shared" ref="J42:P42" si="11">$C$18*$C$12*(1+J$24)</f>
        <v>4724822.9938852172</v>
      </c>
      <c r="K42" s="511">
        <f t="shared" si="11"/>
        <v>4776605.3441991257</v>
      </c>
      <c r="L42" s="511">
        <f t="shared" si="11"/>
        <v>4827144.626791453</v>
      </c>
      <c r="M42" s="511">
        <f t="shared" si="11"/>
        <v>4878428.0585749438</v>
      </c>
      <c r="N42" s="511">
        <f t="shared" si="11"/>
        <v>4930471.3969005533</v>
      </c>
      <c r="O42" s="511">
        <f t="shared" si="11"/>
        <v>4983290.8501348635</v>
      </c>
      <c r="P42" s="511">
        <f t="shared" si="11"/>
        <v>5041466.5791357243</v>
      </c>
    </row>
    <row r="43" spans="1:17" s="14" customFormat="1" x14ac:dyDescent="0.25">
      <c r="A43" s="123"/>
      <c r="B43" s="124"/>
      <c r="C43" s="571"/>
      <c r="D43" s="571"/>
      <c r="E43" s="571"/>
      <c r="F43" s="571"/>
      <c r="G43" s="571"/>
      <c r="H43" s="571"/>
      <c r="I43" s="571"/>
      <c r="J43" s="572"/>
      <c r="K43" s="572"/>
      <c r="L43" s="572"/>
      <c r="M43" s="572"/>
      <c r="N43" s="572"/>
      <c r="O43" s="572"/>
      <c r="P43" s="572"/>
      <c r="Q43" s="64"/>
    </row>
    <row r="44" spans="1:17" s="14" customFormat="1" x14ac:dyDescent="0.25">
      <c r="A44" s="125" t="s">
        <v>192</v>
      </c>
      <c r="B44" s="124"/>
      <c r="C44" s="571"/>
      <c r="D44" s="571"/>
      <c r="E44" s="571"/>
      <c r="F44" s="571"/>
      <c r="G44" s="571"/>
      <c r="H44" s="571"/>
      <c r="I44" s="571"/>
      <c r="J44" s="572"/>
      <c r="K44" s="572"/>
      <c r="L44" s="572"/>
      <c r="M44" s="572"/>
      <c r="N44" s="572"/>
      <c r="O44" s="572"/>
      <c r="P44" s="572"/>
      <c r="Q44" s="64"/>
    </row>
    <row r="45" spans="1:17" s="14" customFormat="1" ht="45" x14ac:dyDescent="0.25">
      <c r="A45" s="123" t="s">
        <v>678</v>
      </c>
      <c r="B45" s="124"/>
      <c r="C45" s="571"/>
      <c r="D45" s="571"/>
      <c r="E45" s="571"/>
      <c r="F45" s="571"/>
      <c r="G45" s="571"/>
      <c r="H45" s="571"/>
      <c r="I45" s="571"/>
      <c r="J45" s="572"/>
      <c r="K45" s="572"/>
      <c r="L45" s="572"/>
      <c r="M45" s="572"/>
      <c r="N45" s="572"/>
      <c r="O45" s="572"/>
      <c r="P45" s="572"/>
      <c r="Q45" s="64"/>
    </row>
    <row r="46" spans="1:17" s="14" customFormat="1" ht="45" x14ac:dyDescent="0.25">
      <c r="A46" s="123" t="s">
        <v>679</v>
      </c>
      <c r="B46" s="124"/>
      <c r="C46" s="571"/>
      <c r="D46" s="571"/>
      <c r="E46" s="571"/>
      <c r="F46" s="571"/>
      <c r="G46" s="571"/>
      <c r="H46" s="571"/>
      <c r="I46" s="571"/>
      <c r="J46" s="572"/>
      <c r="K46" s="572"/>
      <c r="L46" s="572"/>
      <c r="M46" s="572"/>
      <c r="N46" s="572"/>
      <c r="O46" s="572"/>
      <c r="P46" s="572"/>
      <c r="Q46" s="64"/>
    </row>
    <row r="48" spans="1:17" ht="15.75" x14ac:dyDescent="0.25">
      <c r="A48" s="315" t="s">
        <v>283</v>
      </c>
    </row>
    <row r="49" spans="1:15" ht="13.9" customHeight="1" x14ac:dyDescent="0.25">
      <c r="A49" s="8" t="s">
        <v>592</v>
      </c>
      <c r="B49" s="302">
        <v>2019</v>
      </c>
      <c r="C49" s="302">
        <v>2020</v>
      </c>
      <c r="D49" s="302">
        <v>2021</v>
      </c>
      <c r="E49" s="302">
        <v>2022</v>
      </c>
      <c r="F49" s="302">
        <v>2023</v>
      </c>
      <c r="G49" s="302">
        <v>2024</v>
      </c>
      <c r="H49" s="302">
        <v>2025</v>
      </c>
      <c r="I49" s="302">
        <v>2026</v>
      </c>
      <c r="J49" s="302">
        <v>2027</v>
      </c>
      <c r="K49" s="302">
        <v>2028</v>
      </c>
      <c r="L49" s="302">
        <v>2029</v>
      </c>
      <c r="M49" s="302">
        <v>2030</v>
      </c>
      <c r="N49" s="49">
        <v>2031</v>
      </c>
      <c r="O49" s="49">
        <v>2032</v>
      </c>
    </row>
    <row r="50" spans="1:15" x14ac:dyDescent="0.25">
      <c r="A50" s="426" t="s">
        <v>85</v>
      </c>
      <c r="B50" s="511">
        <f t="shared" ref="B50:O50" si="12">C28+C30</f>
        <v>0</v>
      </c>
      <c r="C50" s="511">
        <f t="shared" si="12"/>
        <v>7001416.9054734921</v>
      </c>
      <c r="D50" s="511">
        <f t="shared" si="12"/>
        <v>8131266.6331671104</v>
      </c>
      <c r="E50" s="511">
        <f t="shared" si="12"/>
        <v>8422556.9328802098</v>
      </c>
      <c r="F50" s="511">
        <f t="shared" si="12"/>
        <v>8733063.0084056128</v>
      </c>
      <c r="G50" s="511">
        <f t="shared" si="12"/>
        <v>9063167.8921616469</v>
      </c>
      <c r="H50" s="511">
        <f t="shared" si="12"/>
        <v>9413357.211995339</v>
      </c>
      <c r="I50" s="511">
        <f t="shared" si="12"/>
        <v>9947862.8936208356</v>
      </c>
      <c r="J50" s="511">
        <f t="shared" si="12"/>
        <v>10190784.924003823</v>
      </c>
      <c r="K50" s="511">
        <f t="shared" si="12"/>
        <v>10456632.570601748</v>
      </c>
      <c r="L50" s="511">
        <f t="shared" si="12"/>
        <v>10744860.327102622</v>
      </c>
      <c r="M50" s="511">
        <f t="shared" si="12"/>
        <v>11055162.084511111</v>
      </c>
      <c r="N50" s="511">
        <f t="shared" si="12"/>
        <v>11387427.833267597</v>
      </c>
      <c r="O50" s="511">
        <f t="shared" si="12"/>
        <v>11931614.685740044</v>
      </c>
    </row>
    <row r="51" spans="1:15" ht="15.75" thickBot="1" x14ac:dyDescent="0.3">
      <c r="A51" s="491" t="s">
        <v>14</v>
      </c>
      <c r="B51" s="514">
        <f t="shared" ref="B51:O51" si="13">C29+C31</f>
        <v>0</v>
      </c>
      <c r="C51" s="514">
        <f t="shared" si="13"/>
        <v>5898503.3691374548</v>
      </c>
      <c r="D51" s="514">
        <f t="shared" si="13"/>
        <v>6664466.1511849295</v>
      </c>
      <c r="E51" s="514">
        <f t="shared" si="13"/>
        <v>6909765.1568115959</v>
      </c>
      <c r="F51" s="514">
        <f t="shared" si="13"/>
        <v>7164092.882938372</v>
      </c>
      <c r="G51" s="514">
        <f t="shared" si="13"/>
        <v>7427781.6496807029</v>
      </c>
      <c r="H51" s="514">
        <f t="shared" si="13"/>
        <v>7701176.0088604745</v>
      </c>
      <c r="I51" s="514">
        <f t="shared" si="13"/>
        <v>7984633.1942186169</v>
      </c>
      <c r="J51" s="514">
        <f t="shared" si="13"/>
        <v>8278523.5881982455</v>
      </c>
      <c r="K51" s="514">
        <f t="shared" si="13"/>
        <v>8583231.2059090268</v>
      </c>
      <c r="L51" s="514">
        <f t="shared" si="13"/>
        <v>8899154.1969049629</v>
      </c>
      <c r="M51" s="514">
        <f t="shared" si="13"/>
        <v>9226705.3654304203</v>
      </c>
      <c r="N51" s="514">
        <f t="shared" si="13"/>
        <v>9566312.7098158151</v>
      </c>
      <c r="O51" s="514">
        <f t="shared" si="13"/>
        <v>9918419.9817260038</v>
      </c>
    </row>
    <row r="52" spans="1:15" ht="15.75" thickTop="1" x14ac:dyDescent="0.25">
      <c r="A52" s="515" t="s">
        <v>79</v>
      </c>
      <c r="B52" s="516">
        <f>SUM(B50:B51)</f>
        <v>0</v>
      </c>
      <c r="C52" s="516">
        <f t="shared" ref="C52" si="14">SUM(C50:C51)</f>
        <v>12899920.274610948</v>
      </c>
      <c r="D52" s="516">
        <f t="shared" ref="D52" si="15">SUM(D50:D51)</f>
        <v>14795732.78435204</v>
      </c>
      <c r="E52" s="516">
        <f t="shared" ref="E52" si="16">SUM(E50:E51)</f>
        <v>15332322.089691807</v>
      </c>
      <c r="F52" s="516">
        <f t="shared" ref="F52" si="17">SUM(F50:F51)</f>
        <v>15897155.891343985</v>
      </c>
      <c r="G52" s="516">
        <f t="shared" ref="G52" si="18">SUM(G50:G51)</f>
        <v>16490949.541842349</v>
      </c>
      <c r="H52" s="516">
        <f t="shared" ref="H52" si="19">SUM(H50:H51)</f>
        <v>17114533.220855813</v>
      </c>
      <c r="I52" s="516">
        <f t="shared" ref="I52" si="20">SUM(I50:I51)</f>
        <v>17932496.087839454</v>
      </c>
      <c r="J52" s="516">
        <f t="shared" ref="J52" si="21">SUM(J50:J51)</f>
        <v>18469308.512202069</v>
      </c>
      <c r="K52" s="516">
        <f t="shared" ref="K52" si="22">SUM(K50:K51)</f>
        <v>19039863.776510775</v>
      </c>
      <c r="L52" s="516">
        <f t="shared" ref="L52" si="23">SUM(L50:L51)</f>
        <v>19644014.524007585</v>
      </c>
      <c r="M52" s="516">
        <f t="shared" ref="M52" si="24">SUM(M50:M51)</f>
        <v>20281867.449941531</v>
      </c>
      <c r="N52" s="516">
        <f t="shared" ref="N52" si="25">SUM(N50:N51)</f>
        <v>20953740.543083414</v>
      </c>
      <c r="O52" s="516">
        <f t="shared" ref="O52" si="26">SUM(O50:O51)</f>
        <v>21850034.667466048</v>
      </c>
    </row>
    <row r="53" spans="1:15" ht="75" x14ac:dyDescent="0.25">
      <c r="A53" s="424" t="s">
        <v>595</v>
      </c>
      <c r="B53" s="424"/>
    </row>
    <row r="55" spans="1:15" ht="13.9" customHeight="1" x14ac:dyDescent="0.25">
      <c r="A55" s="8" t="s">
        <v>593</v>
      </c>
      <c r="B55" s="302">
        <v>2019</v>
      </c>
      <c r="C55" s="302">
        <v>2020</v>
      </c>
      <c r="D55" s="302">
        <v>2021</v>
      </c>
      <c r="E55" s="302">
        <v>2022</v>
      </c>
      <c r="F55" s="302">
        <v>2023</v>
      </c>
      <c r="G55" s="302">
        <v>2024</v>
      </c>
      <c r="H55" s="302">
        <v>2025</v>
      </c>
      <c r="I55" s="302">
        <v>2026</v>
      </c>
      <c r="J55" s="302">
        <v>2027</v>
      </c>
      <c r="K55" s="302">
        <v>2028</v>
      </c>
      <c r="L55" s="302">
        <v>2029</v>
      </c>
      <c r="M55" s="302">
        <v>2030</v>
      </c>
      <c r="N55" s="49">
        <v>2031</v>
      </c>
      <c r="O55" s="49">
        <v>2032</v>
      </c>
    </row>
    <row r="56" spans="1:15" x14ac:dyDescent="0.25">
      <c r="A56" s="426" t="s">
        <v>323</v>
      </c>
      <c r="B56" s="511">
        <f t="shared" ref="B56:O56" si="27">SUM(C28:C29)</f>
        <v>0</v>
      </c>
      <c r="C56" s="511">
        <f t="shared" si="27"/>
        <v>12899920.274610948</v>
      </c>
      <c r="D56" s="511">
        <f t="shared" si="27"/>
        <v>13837272.473882802</v>
      </c>
      <c r="E56" s="511">
        <f t="shared" si="27"/>
        <v>14339229.861811336</v>
      </c>
      <c r="F56" s="511">
        <f t="shared" si="27"/>
        <v>14867470.761213941</v>
      </c>
      <c r="G56" s="511">
        <f t="shared" si="27"/>
        <v>15422664.54363443</v>
      </c>
      <c r="H56" s="511">
        <f t="shared" si="27"/>
        <v>16005586.565257892</v>
      </c>
      <c r="I56" s="511">
        <f t="shared" si="27"/>
        <v>16767540.809856396</v>
      </c>
      <c r="J56" s="511">
        <f t="shared" si="27"/>
        <v>17271430.931041509</v>
      </c>
      <c r="K56" s="511">
        <f t="shared" si="27"/>
        <v>17806722.261423476</v>
      </c>
      <c r="L56" s="511">
        <f t="shared" si="27"/>
        <v>18373293.505836122</v>
      </c>
      <c r="M56" s="511">
        <f t="shared" si="27"/>
        <v>18971257.416188948</v>
      </c>
      <c r="N56" s="511">
        <f t="shared" si="27"/>
        <v>19600921.506804552</v>
      </c>
      <c r="O56" s="511">
        <f t="shared" si="27"/>
        <v>20437319.101801261</v>
      </c>
    </row>
    <row r="57" spans="1:15" ht="15.75" thickBot="1" x14ac:dyDescent="0.3">
      <c r="A57" s="573" t="s">
        <v>324</v>
      </c>
      <c r="B57" s="514">
        <f t="shared" ref="B57:O57" si="28">SUM(C30:C31)</f>
        <v>0</v>
      </c>
      <c r="C57" s="514">
        <f t="shared" si="28"/>
        <v>0</v>
      </c>
      <c r="D57" s="514">
        <f t="shared" si="28"/>
        <v>958460.31046923948</v>
      </c>
      <c r="E57" s="514">
        <f t="shared" si="28"/>
        <v>993092.22788046952</v>
      </c>
      <c r="F57" s="514">
        <f t="shared" si="28"/>
        <v>1029685.1301300435</v>
      </c>
      <c r="G57" s="514">
        <f t="shared" si="28"/>
        <v>1068284.9982079193</v>
      </c>
      <c r="H57" s="514">
        <f t="shared" si="28"/>
        <v>1108946.6555979215</v>
      </c>
      <c r="I57" s="514">
        <f t="shared" si="28"/>
        <v>1164955.2779830573</v>
      </c>
      <c r="J57" s="514">
        <f t="shared" si="28"/>
        <v>1197877.5811605614</v>
      </c>
      <c r="K57" s="514">
        <f t="shared" si="28"/>
        <v>1233141.5150872988</v>
      </c>
      <c r="L57" s="514">
        <f t="shared" si="28"/>
        <v>1270721.0181714615</v>
      </c>
      <c r="M57" s="514">
        <f t="shared" si="28"/>
        <v>1310610.0337525823</v>
      </c>
      <c r="N57" s="514">
        <f t="shared" si="28"/>
        <v>1352819.0362788611</v>
      </c>
      <c r="O57" s="514">
        <f t="shared" si="28"/>
        <v>1412715.5656647871</v>
      </c>
    </row>
    <row r="58" spans="1:15" ht="15.75" thickTop="1" x14ac:dyDescent="0.25">
      <c r="A58" s="574" t="s">
        <v>79</v>
      </c>
      <c r="B58" s="516">
        <f>SUM(B56:B57)</f>
        <v>0</v>
      </c>
      <c r="C58" s="516">
        <f t="shared" ref="C58:O58" si="29">SUM(C56:C57)</f>
        <v>12899920.274610948</v>
      </c>
      <c r="D58" s="516">
        <f t="shared" si="29"/>
        <v>14795732.784352042</v>
      </c>
      <c r="E58" s="516">
        <f t="shared" si="29"/>
        <v>15332322.089691807</v>
      </c>
      <c r="F58" s="516">
        <f t="shared" si="29"/>
        <v>15897155.891343985</v>
      </c>
      <c r="G58" s="516">
        <f t="shared" si="29"/>
        <v>16490949.541842349</v>
      </c>
      <c r="H58" s="516">
        <f t="shared" si="29"/>
        <v>17114533.220855813</v>
      </c>
      <c r="I58" s="516">
        <f t="shared" si="29"/>
        <v>17932496.087839454</v>
      </c>
      <c r="J58" s="516">
        <f t="shared" si="29"/>
        <v>18469308.512202069</v>
      </c>
      <c r="K58" s="516">
        <f t="shared" si="29"/>
        <v>19039863.776510775</v>
      </c>
      <c r="L58" s="516">
        <f t="shared" si="29"/>
        <v>19644014.524007585</v>
      </c>
      <c r="M58" s="516">
        <f t="shared" si="29"/>
        <v>20281867.449941531</v>
      </c>
      <c r="N58" s="516">
        <f t="shared" si="29"/>
        <v>20953740.543083414</v>
      </c>
      <c r="O58" s="516">
        <f t="shared" si="29"/>
        <v>21850034.667466048</v>
      </c>
    </row>
    <row r="60" spans="1:15" x14ac:dyDescent="0.25">
      <c r="A60" s="8" t="s">
        <v>319</v>
      </c>
      <c r="B60" s="302">
        <v>2019</v>
      </c>
      <c r="C60" s="302">
        <v>2020</v>
      </c>
      <c r="D60" s="302">
        <v>2021</v>
      </c>
      <c r="E60" s="302">
        <v>2022</v>
      </c>
      <c r="F60" s="302">
        <v>2023</v>
      </c>
      <c r="G60" s="302">
        <v>2024</v>
      </c>
      <c r="H60" s="302">
        <v>2025</v>
      </c>
      <c r="I60" s="302">
        <v>2026</v>
      </c>
      <c r="J60" s="302">
        <v>2027</v>
      </c>
      <c r="K60" s="302">
        <v>2028</v>
      </c>
      <c r="L60" s="302">
        <v>2029</v>
      </c>
      <c r="M60" s="302">
        <v>2030</v>
      </c>
      <c r="N60" s="49">
        <v>2031</v>
      </c>
      <c r="O60" s="49">
        <v>2032</v>
      </c>
    </row>
    <row r="61" spans="1:15" x14ac:dyDescent="0.25">
      <c r="A61" s="426" t="s">
        <v>85</v>
      </c>
      <c r="B61" s="511">
        <f t="shared" ref="B61:O61" si="30">SUM(C35,C39)</f>
        <v>0</v>
      </c>
      <c r="C61" s="511">
        <f t="shared" si="30"/>
        <v>7615576.2831466058</v>
      </c>
      <c r="D61" s="511">
        <f t="shared" si="30"/>
        <v>8844535.6360765062</v>
      </c>
      <c r="E61" s="511">
        <f t="shared" si="30"/>
        <v>9161377.716466194</v>
      </c>
      <c r="F61" s="511">
        <f t="shared" si="30"/>
        <v>9499121.1670376863</v>
      </c>
      <c r="G61" s="511">
        <f t="shared" si="30"/>
        <v>9858182.6195442472</v>
      </c>
      <c r="H61" s="511">
        <f t="shared" si="30"/>
        <v>10239090.300766863</v>
      </c>
      <c r="I61" s="511">
        <f t="shared" si="30"/>
        <v>10820482.445692841</v>
      </c>
      <c r="J61" s="511">
        <f t="shared" si="30"/>
        <v>11084713.426109422</v>
      </c>
      <c r="K61" s="511">
        <f t="shared" si="30"/>
        <v>11373881.041707166</v>
      </c>
      <c r="L61" s="511">
        <f t="shared" si="30"/>
        <v>11687391.934743203</v>
      </c>
      <c r="M61" s="511">
        <f t="shared" si="30"/>
        <v>12024913.144555945</v>
      </c>
      <c r="N61" s="511">
        <f t="shared" si="30"/>
        <v>12386325.011624405</v>
      </c>
      <c r="O61" s="511">
        <f t="shared" si="30"/>
        <v>12978247.552910224</v>
      </c>
    </row>
    <row r="62" spans="1:15" x14ac:dyDescent="0.25">
      <c r="A62" s="426" t="s">
        <v>14</v>
      </c>
      <c r="B62" s="511">
        <f t="shared" ref="B62:O62" si="31">SUM(C36,C40)</f>
        <v>0</v>
      </c>
      <c r="C62" s="511">
        <f t="shared" si="31"/>
        <v>5898503.3691374548</v>
      </c>
      <c r="D62" s="511">
        <f t="shared" si="31"/>
        <v>6664466.1511849295</v>
      </c>
      <c r="E62" s="511">
        <f t="shared" si="31"/>
        <v>6909765.1568115959</v>
      </c>
      <c r="F62" s="511">
        <f t="shared" si="31"/>
        <v>7164092.882938372</v>
      </c>
      <c r="G62" s="511">
        <f t="shared" si="31"/>
        <v>7427781.6496807029</v>
      </c>
      <c r="H62" s="511">
        <f t="shared" si="31"/>
        <v>7701176.0088604745</v>
      </c>
      <c r="I62" s="511">
        <f t="shared" si="31"/>
        <v>7984633.1942186169</v>
      </c>
      <c r="J62" s="511">
        <f t="shared" si="31"/>
        <v>8278523.5881982455</v>
      </c>
      <c r="K62" s="511">
        <f t="shared" si="31"/>
        <v>8583231.2059090268</v>
      </c>
      <c r="L62" s="511">
        <f t="shared" si="31"/>
        <v>8899154.1969049629</v>
      </c>
      <c r="M62" s="511">
        <f t="shared" si="31"/>
        <v>9226705.3654304203</v>
      </c>
      <c r="N62" s="511">
        <f t="shared" si="31"/>
        <v>9566312.7098158151</v>
      </c>
      <c r="O62" s="511">
        <f t="shared" si="31"/>
        <v>9918419.9817260038</v>
      </c>
    </row>
    <row r="63" spans="1:15" x14ac:dyDescent="0.25">
      <c r="A63" s="426" t="s">
        <v>15</v>
      </c>
      <c r="B63" s="511">
        <f t="shared" ref="B63:O63" si="32">SUM(C37,C41)</f>
        <v>0</v>
      </c>
      <c r="C63" s="511">
        <f t="shared" si="32"/>
        <v>0</v>
      </c>
      <c r="D63" s="511">
        <f t="shared" si="32"/>
        <v>0</v>
      </c>
      <c r="E63" s="511">
        <f t="shared" si="32"/>
        <v>0</v>
      </c>
      <c r="F63" s="511">
        <f t="shared" si="32"/>
        <v>0</v>
      </c>
      <c r="G63" s="511">
        <f t="shared" si="32"/>
        <v>133509217.94804139</v>
      </c>
      <c r="H63" s="511">
        <f t="shared" si="32"/>
        <v>137409051.64444539</v>
      </c>
      <c r="I63" s="511">
        <f t="shared" si="32"/>
        <v>141437572.23578629</v>
      </c>
      <c r="J63" s="511">
        <f t="shared" si="32"/>
        <v>145587508.19872662</v>
      </c>
      <c r="K63" s="511">
        <f t="shared" si="32"/>
        <v>148897502.38786951</v>
      </c>
      <c r="L63" s="511">
        <f t="shared" si="32"/>
        <v>152283108.99526638</v>
      </c>
      <c r="M63" s="511">
        <f t="shared" si="32"/>
        <v>155746063.23360556</v>
      </c>
      <c r="N63" s="511">
        <f t="shared" si="32"/>
        <v>159288140.31328508</v>
      </c>
      <c r="O63" s="511">
        <f t="shared" si="32"/>
        <v>163053532.62999979</v>
      </c>
    </row>
    <row r="64" spans="1:15" ht="15.75" thickBot="1" x14ac:dyDescent="0.3">
      <c r="A64" s="491" t="s">
        <v>109</v>
      </c>
      <c r="B64" s="514">
        <f t="shared" ref="B64:O64" si="33">SUM(C38,C42)</f>
        <v>0</v>
      </c>
      <c r="C64" s="514">
        <f t="shared" si="33"/>
        <v>0</v>
      </c>
      <c r="D64" s="514">
        <f t="shared" si="33"/>
        <v>0</v>
      </c>
      <c r="E64" s="514">
        <f t="shared" si="33"/>
        <v>0</v>
      </c>
      <c r="F64" s="514">
        <f t="shared" si="33"/>
        <v>0</v>
      </c>
      <c r="G64" s="514">
        <f t="shared" si="33"/>
        <v>0</v>
      </c>
      <c r="H64" s="514">
        <f t="shared" si="33"/>
        <v>0</v>
      </c>
      <c r="I64" s="514">
        <f t="shared" si="33"/>
        <v>157964384.00238466</v>
      </c>
      <c r="J64" s="514">
        <f t="shared" si="33"/>
        <v>159695616.49090713</v>
      </c>
      <c r="K64" s="514">
        <f t="shared" si="33"/>
        <v>161385289.66024098</v>
      </c>
      <c r="L64" s="514">
        <f t="shared" si="33"/>
        <v>163099841.87133792</v>
      </c>
      <c r="M64" s="514">
        <f t="shared" si="33"/>
        <v>164839799.93763417</v>
      </c>
      <c r="N64" s="514">
        <f t="shared" si="33"/>
        <v>166605705.75131199</v>
      </c>
      <c r="O64" s="514">
        <f t="shared" si="33"/>
        <v>168550687.22625905</v>
      </c>
    </row>
    <row r="65" spans="1:15" ht="15.75" thickTop="1" x14ac:dyDescent="0.25">
      <c r="A65" s="515" t="s">
        <v>79</v>
      </c>
      <c r="B65" s="516">
        <f>SUM(B61:B64)</f>
        <v>0</v>
      </c>
      <c r="C65" s="516">
        <f t="shared" ref="C65:O65" si="34">SUM(C61:C64)</f>
        <v>13514079.65228406</v>
      </c>
      <c r="D65" s="516">
        <f t="shared" si="34"/>
        <v>15509001.787261436</v>
      </c>
      <c r="E65" s="516">
        <f t="shared" si="34"/>
        <v>16071142.873277791</v>
      </c>
      <c r="F65" s="516">
        <f t="shared" si="34"/>
        <v>16663214.049976058</v>
      </c>
      <c r="G65" s="516">
        <f t="shared" si="34"/>
        <v>150795182.21726635</v>
      </c>
      <c r="H65" s="516">
        <f t="shared" si="34"/>
        <v>155349317.95407271</v>
      </c>
      <c r="I65" s="516">
        <f t="shared" si="34"/>
        <v>318207071.87808239</v>
      </c>
      <c r="J65" s="516">
        <f t="shared" si="34"/>
        <v>324646361.70394146</v>
      </c>
      <c r="K65" s="516">
        <f t="shared" si="34"/>
        <v>330239904.29572666</v>
      </c>
      <c r="L65" s="516">
        <f t="shared" si="34"/>
        <v>335969496.99825251</v>
      </c>
      <c r="M65" s="516">
        <f t="shared" si="34"/>
        <v>341837481.68122613</v>
      </c>
      <c r="N65" s="516">
        <f t="shared" si="34"/>
        <v>347846483.78603733</v>
      </c>
      <c r="O65" s="516">
        <f t="shared" si="34"/>
        <v>354500887.39089507</v>
      </c>
    </row>
    <row r="67" spans="1:15" ht="13.9" customHeight="1" x14ac:dyDescent="0.25">
      <c r="A67" s="8" t="s">
        <v>358</v>
      </c>
      <c r="B67" s="302">
        <v>2019</v>
      </c>
      <c r="C67" s="302">
        <v>2020</v>
      </c>
      <c r="D67" s="302">
        <v>2021</v>
      </c>
      <c r="E67" s="302">
        <v>2022</v>
      </c>
      <c r="F67" s="302">
        <v>2023</v>
      </c>
      <c r="G67" s="302">
        <v>2024</v>
      </c>
      <c r="H67" s="302">
        <v>2025</v>
      </c>
      <c r="I67" s="302">
        <v>2026</v>
      </c>
      <c r="J67" s="302">
        <v>2027</v>
      </c>
      <c r="K67" s="302">
        <v>2028</v>
      </c>
      <c r="L67" s="302">
        <v>2029</v>
      </c>
      <c r="M67" s="302">
        <v>2030</v>
      </c>
      <c r="N67" s="49">
        <v>2031</v>
      </c>
      <c r="O67" s="49">
        <v>2032</v>
      </c>
    </row>
    <row r="68" spans="1:15" x14ac:dyDescent="0.25">
      <c r="A68" s="426" t="s">
        <v>323</v>
      </c>
      <c r="B68" s="511">
        <f t="shared" ref="B68:O68" si="35">SUM(C35:C38)</f>
        <v>0</v>
      </c>
      <c r="C68" s="511">
        <f t="shared" si="35"/>
        <v>13514079.65228406</v>
      </c>
      <c r="D68" s="511">
        <f t="shared" si="35"/>
        <v>14492913.359263742</v>
      </c>
      <c r="E68" s="511">
        <f t="shared" si="35"/>
        <v>15018358.087925611</v>
      </c>
      <c r="F68" s="511">
        <f t="shared" si="35"/>
        <v>15571635.735901095</v>
      </c>
      <c r="G68" s="511">
        <f t="shared" si="35"/>
        <v>146481398.65485963</v>
      </c>
      <c r="H68" s="511">
        <f t="shared" si="35"/>
        <v>150899465.38665867</v>
      </c>
      <c r="I68" s="511">
        <f t="shared" si="35"/>
        <v>308876607.695979</v>
      </c>
      <c r="J68" s="511">
        <f t="shared" si="35"/>
        <v>315130586.29598093</v>
      </c>
      <c r="K68" s="511">
        <f t="shared" si="35"/>
        <v>320557570.80409783</v>
      </c>
      <c r="L68" s="511">
        <f t="shared" si="35"/>
        <v>326115585.39437819</v>
      </c>
      <c r="M68" s="511">
        <f t="shared" si="35"/>
        <v>331806923.0585475</v>
      </c>
      <c r="N68" s="511">
        <f t="shared" si="35"/>
        <v>337634141.03502083</v>
      </c>
      <c r="O68" s="511">
        <f t="shared" si="35"/>
        <v>344076893.60713851</v>
      </c>
    </row>
    <row r="69" spans="1:15" ht="15.75" thickBot="1" x14ac:dyDescent="0.3">
      <c r="A69" s="573" t="s">
        <v>324</v>
      </c>
      <c r="B69" s="514">
        <f t="shared" ref="B69:O69" si="36">SUM(C39:C42)</f>
        <v>0</v>
      </c>
      <c r="C69" s="514">
        <f t="shared" si="36"/>
        <v>0</v>
      </c>
      <c r="D69" s="514">
        <f t="shared" si="36"/>
        <v>1016088.4279976934</v>
      </c>
      <c r="E69" s="514">
        <f t="shared" si="36"/>
        <v>1052784.7853521784</v>
      </c>
      <c r="F69" s="514">
        <f t="shared" si="36"/>
        <v>1091578.3140749622</v>
      </c>
      <c r="G69" s="514">
        <f t="shared" si="36"/>
        <v>4313783.562406702</v>
      </c>
      <c r="H69" s="514">
        <f t="shared" si="36"/>
        <v>4449852.5674140677</v>
      </c>
      <c r="I69" s="514">
        <f t="shared" si="36"/>
        <v>9330464.1821033638</v>
      </c>
      <c r="J69" s="514">
        <f t="shared" si="36"/>
        <v>9515775.4079604838</v>
      </c>
      <c r="K69" s="514">
        <f t="shared" si="36"/>
        <v>9682333.4916288424</v>
      </c>
      <c r="L69" s="514">
        <f t="shared" si="36"/>
        <v>9853911.6038743071</v>
      </c>
      <c r="M69" s="514">
        <f t="shared" si="36"/>
        <v>10030558.622678597</v>
      </c>
      <c r="N69" s="514">
        <f t="shared" si="36"/>
        <v>10212342.751016468</v>
      </c>
      <c r="O69" s="514">
        <f t="shared" si="36"/>
        <v>10423993.783756532</v>
      </c>
    </row>
    <row r="70" spans="1:15" ht="15.75" thickTop="1" x14ac:dyDescent="0.25">
      <c r="A70" s="574" t="s">
        <v>79</v>
      </c>
      <c r="B70" s="516">
        <f>SUM(B68:B69)</f>
        <v>0</v>
      </c>
      <c r="C70" s="516">
        <f t="shared" ref="C70" si="37">SUM(C68:C69)</f>
        <v>13514079.65228406</v>
      </c>
      <c r="D70" s="516">
        <f t="shared" ref="D70" si="38">SUM(D68:D69)</f>
        <v>15509001.787261436</v>
      </c>
      <c r="E70" s="516">
        <f t="shared" ref="E70" si="39">SUM(E68:E69)</f>
        <v>16071142.873277789</v>
      </c>
      <c r="F70" s="516">
        <f t="shared" ref="F70" si="40">SUM(F68:F69)</f>
        <v>16663214.049976056</v>
      </c>
      <c r="G70" s="516">
        <f t="shared" ref="G70" si="41">SUM(G68:G69)</f>
        <v>150795182.21726632</v>
      </c>
      <c r="H70" s="516">
        <f t="shared" ref="H70" si="42">SUM(H68:H69)</f>
        <v>155349317.95407274</v>
      </c>
      <c r="I70" s="516">
        <f t="shared" ref="I70" si="43">SUM(I68:I69)</f>
        <v>318207071.87808233</v>
      </c>
      <c r="J70" s="516">
        <f t="shared" ref="J70" si="44">SUM(J68:J69)</f>
        <v>324646361.7039414</v>
      </c>
      <c r="K70" s="516">
        <f t="shared" ref="K70" si="45">SUM(K68:K69)</f>
        <v>330239904.29572666</v>
      </c>
      <c r="L70" s="516">
        <f t="shared" ref="L70" si="46">SUM(L68:L69)</f>
        <v>335969496.99825251</v>
      </c>
      <c r="M70" s="516">
        <f t="shared" ref="M70" si="47">SUM(M68:M69)</f>
        <v>341837481.68122607</v>
      </c>
      <c r="N70" s="516">
        <f t="shared" ref="N70" si="48">SUM(N68:N69)</f>
        <v>347846483.78603733</v>
      </c>
      <c r="O70" s="516">
        <f t="shared" ref="O70" si="49">SUM(O68:O69)</f>
        <v>354500887.39089507</v>
      </c>
    </row>
  </sheetData>
  <pageMargins left="0.7" right="0.7" top="0.75" bottom="0.75" header="0.3" footer="0.3"/>
  <pageSetup paperSize="5" pageOrder="overThenDown" orientation="landscape" r:id="rId1"/>
  <headerFooter>
    <oddHeader>&amp;CPRELIMINARY DISCUSSION DRAFT - DO NOT CITE OR QUOTE</oddHeader>
    <oddFooter>&amp;L&amp;f&amp;CPage &amp;P of &amp;N&amp;R&amp;d</oddFooter>
  </headerFooter>
  <rowBreaks count="2" manualBreakCount="2">
    <brk id="25" max="16383" man="1"/>
    <brk id="4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183"/>
  <sheetViews>
    <sheetView topLeftCell="A161" zoomScale="70" zoomScaleNormal="70" workbookViewId="0">
      <selection activeCell="C61" sqref="C61"/>
    </sheetView>
  </sheetViews>
  <sheetFormatPr defaultColWidth="9.140625" defaultRowHeight="15" x14ac:dyDescent="0.25"/>
  <cols>
    <col min="1" max="1" width="47.140625" style="38" customWidth="1"/>
    <col min="2" max="3" width="18.5703125" style="38" customWidth="1"/>
    <col min="4" max="4" width="14.28515625" style="38" customWidth="1"/>
    <col min="5" max="6" width="12.42578125" style="38" bestFit="1" customWidth="1"/>
    <col min="7" max="9" width="12.42578125" style="38" customWidth="1"/>
    <col min="10" max="10" width="13.28515625" style="38" customWidth="1"/>
    <col min="11" max="11" width="13.42578125" style="1" customWidth="1"/>
    <col min="12" max="15" width="13.7109375" style="1" bestFit="1" customWidth="1"/>
    <col min="16" max="17" width="13.7109375" style="131" bestFit="1" customWidth="1"/>
    <col min="18" max="16384" width="9.140625" style="1"/>
  </cols>
  <sheetData>
    <row r="1" spans="1:8" ht="37.5" x14ac:dyDescent="0.3">
      <c r="A1" s="314" t="s">
        <v>52</v>
      </c>
      <c r="D1" s="408" t="s">
        <v>497</v>
      </c>
      <c r="E1" s="409"/>
      <c r="F1" s="409"/>
      <c r="G1" s="409"/>
      <c r="H1" s="122"/>
    </row>
    <row r="2" spans="1:8" ht="45" x14ac:dyDescent="0.25">
      <c r="D2" s="395" t="s">
        <v>464</v>
      </c>
      <c r="E2" s="122"/>
      <c r="F2" s="122"/>
      <c r="G2" s="122"/>
      <c r="H2" s="122"/>
    </row>
    <row r="3" spans="1:8" x14ac:dyDescent="0.25">
      <c r="D3" s="411" t="s">
        <v>460</v>
      </c>
      <c r="E3" s="124"/>
      <c r="F3" s="124"/>
      <c r="G3" s="124"/>
      <c r="H3" s="122"/>
    </row>
    <row r="4" spans="1:8" x14ac:dyDescent="0.25">
      <c r="E4" s="122"/>
      <c r="F4" s="122"/>
      <c r="G4" s="122"/>
      <c r="H4" s="122"/>
    </row>
    <row r="5" spans="1:8" ht="15.75" x14ac:dyDescent="0.25">
      <c r="A5" s="315" t="s">
        <v>321</v>
      </c>
    </row>
    <row r="7" spans="1:8" x14ac:dyDescent="0.25">
      <c r="A7" s="504" t="s">
        <v>328</v>
      </c>
      <c r="B7" s="504" t="s">
        <v>16</v>
      </c>
      <c r="C7" s="136" t="s">
        <v>26</v>
      </c>
    </row>
    <row r="8" spans="1:8" ht="15" customHeight="1" x14ac:dyDescent="0.25">
      <c r="A8" s="297" t="s">
        <v>85</v>
      </c>
      <c r="B8" s="297" t="s">
        <v>348</v>
      </c>
      <c r="C8" s="505">
        <f>'Electricity &amp; Fuel'!C10</f>
        <v>11.243408662899901</v>
      </c>
    </row>
    <row r="9" spans="1:8" x14ac:dyDescent="0.25">
      <c r="A9" s="297" t="s">
        <v>14</v>
      </c>
      <c r="B9" s="297" t="s">
        <v>348</v>
      </c>
      <c r="C9" s="505">
        <f>'Electricity &amp; Fuel'!C9</f>
        <v>38.7546172626759</v>
      </c>
    </row>
    <row r="10" spans="1:8" x14ac:dyDescent="0.25">
      <c r="A10" s="297" t="s">
        <v>15</v>
      </c>
      <c r="B10" s="297" t="s">
        <v>348</v>
      </c>
      <c r="C10" s="506">
        <f>'Electricity &amp; Fuel'!C11</f>
        <v>19.8</v>
      </c>
    </row>
    <row r="11" spans="1:8" x14ac:dyDescent="0.25">
      <c r="A11" s="297" t="s">
        <v>281</v>
      </c>
      <c r="B11" s="297" t="s">
        <v>348</v>
      </c>
      <c r="C11" s="506">
        <f>AVERAGE('Electricity &amp; Fuel'!C12:C12)</f>
        <v>40.700000000000003</v>
      </c>
    </row>
    <row r="12" spans="1:8" x14ac:dyDescent="0.25">
      <c r="A12" s="417"/>
      <c r="B12" s="417"/>
      <c r="C12" s="417"/>
    </row>
    <row r="13" spans="1:8" x14ac:dyDescent="0.25">
      <c r="A13" s="113" t="s">
        <v>329</v>
      </c>
      <c r="B13" s="113" t="s">
        <v>16</v>
      </c>
      <c r="C13" s="301" t="s">
        <v>26</v>
      </c>
    </row>
    <row r="14" spans="1:8" x14ac:dyDescent="0.25">
      <c r="A14" s="22" t="s">
        <v>45</v>
      </c>
      <c r="B14" s="22" t="s">
        <v>349</v>
      </c>
      <c r="C14" s="507">
        <f>'Electricity &amp; Fuel'!B9</f>
        <v>1053.351354175441</v>
      </c>
    </row>
    <row r="15" spans="1:8" x14ac:dyDescent="0.25">
      <c r="A15" s="22" t="s">
        <v>46</v>
      </c>
      <c r="B15" s="22" t="s">
        <v>349</v>
      </c>
      <c r="C15" s="395">
        <f>'Electricity &amp; Fuel'!B10</f>
        <v>5620</v>
      </c>
    </row>
    <row r="16" spans="1:8" x14ac:dyDescent="0.25">
      <c r="A16" s="22" t="s">
        <v>47</v>
      </c>
      <c r="B16" s="22" t="s">
        <v>349</v>
      </c>
      <c r="C16" s="395">
        <f>'Electricity &amp; Fuel'!B11</f>
        <v>1159</v>
      </c>
    </row>
    <row r="17" spans="1:17" x14ac:dyDescent="0.25">
      <c r="A17" s="22" t="s">
        <v>330</v>
      </c>
      <c r="B17" s="22" t="s">
        <v>349</v>
      </c>
      <c r="C17" s="507">
        <f>'Electricity &amp; Fuel'!B12</f>
        <v>938.32729256138236</v>
      </c>
    </row>
    <row r="18" spans="1:17" x14ac:dyDescent="0.25">
      <c r="A18" s="533"/>
      <c r="B18" s="533"/>
      <c r="C18" s="533"/>
    </row>
    <row r="19" spans="1:17" x14ac:dyDescent="0.25">
      <c r="A19" s="113" t="s">
        <v>331</v>
      </c>
      <c r="B19" s="113" t="s">
        <v>16</v>
      </c>
      <c r="C19" s="301" t="s">
        <v>26</v>
      </c>
    </row>
    <row r="20" spans="1:17" x14ac:dyDescent="0.25">
      <c r="A20" s="22" t="s">
        <v>333</v>
      </c>
      <c r="B20" s="395" t="str">
        <f>'Electricity &amp; Fuel'!C82</f>
        <v>g/kW-hr</v>
      </c>
      <c r="C20" s="395">
        <f>'Electricity &amp; Fuel'!B82</f>
        <v>217</v>
      </c>
    </row>
    <row r="21" spans="1:17" x14ac:dyDescent="0.25">
      <c r="A21" s="22" t="s">
        <v>334</v>
      </c>
      <c r="B21" s="395" t="str">
        <f>'Electricity &amp; Fuel'!C77</f>
        <v>percent</v>
      </c>
      <c r="C21" s="534">
        <f>'Electricity &amp; Fuel'!B77</f>
        <v>1</v>
      </c>
      <c r="D21" s="533"/>
    </row>
    <row r="23" spans="1:17" x14ac:dyDescent="0.25">
      <c r="A23" s="113" t="s">
        <v>347</v>
      </c>
      <c r="B23" s="113" t="s">
        <v>16</v>
      </c>
      <c r="C23" s="301" t="s">
        <v>26</v>
      </c>
    </row>
    <row r="24" spans="1:17" x14ac:dyDescent="0.25">
      <c r="A24" s="22" t="s">
        <v>648</v>
      </c>
      <c r="B24" s="395" t="str">
        <f>'Cost Inputs'!B64:C64</f>
        <v>Cost per visit ($)</v>
      </c>
      <c r="C24" s="518">
        <f>'Cost Inputs'!C64</f>
        <v>2355</v>
      </c>
    </row>
    <row r="26" spans="1:17" x14ac:dyDescent="0.25">
      <c r="A26" s="8" t="s">
        <v>327</v>
      </c>
      <c r="B26" s="20" t="s">
        <v>594</v>
      </c>
      <c r="C26" s="20" t="s">
        <v>856</v>
      </c>
      <c r="D26" s="21" t="s">
        <v>311</v>
      </c>
      <c r="E26" s="21" t="s">
        <v>450</v>
      </c>
      <c r="O26" s="131"/>
      <c r="Q26" s="1"/>
    </row>
    <row r="27" spans="1:17" ht="13.9" customHeight="1" x14ac:dyDescent="0.25">
      <c r="A27" s="535" t="s">
        <v>610</v>
      </c>
      <c r="B27" s="397" t="s">
        <v>10</v>
      </c>
      <c r="C27" s="401" t="s">
        <v>11</v>
      </c>
      <c r="D27" s="362" t="s">
        <v>10</v>
      </c>
      <c r="E27" s="8" t="s">
        <v>11</v>
      </c>
      <c r="O27" s="131"/>
      <c r="Q27" s="1"/>
    </row>
    <row r="28" spans="1:17" x14ac:dyDescent="0.25">
      <c r="A28" s="22" t="s">
        <v>0</v>
      </c>
      <c r="B28" s="536">
        <f>Apportion!F7</f>
        <v>1</v>
      </c>
      <c r="C28" s="537">
        <f>Apportion!G7</f>
        <v>0</v>
      </c>
      <c r="D28" s="538">
        <f>Apportion!F17</f>
        <v>1</v>
      </c>
      <c r="E28" s="539">
        <f>Apportion!G17</f>
        <v>0</v>
      </c>
      <c r="O28" s="131"/>
      <c r="Q28" s="1"/>
    </row>
    <row r="29" spans="1:17" x14ac:dyDescent="0.25">
      <c r="A29" s="22" t="s">
        <v>1</v>
      </c>
      <c r="B29" s="536">
        <f>Apportion!F8</f>
        <v>0</v>
      </c>
      <c r="C29" s="537">
        <f>Apportion!G8</f>
        <v>1</v>
      </c>
      <c r="D29" s="538">
        <f>Apportion!F18</f>
        <v>0</v>
      </c>
      <c r="E29" s="539">
        <f>Apportion!G18</f>
        <v>1</v>
      </c>
      <c r="O29" s="131"/>
      <c r="Q29" s="1"/>
    </row>
    <row r="30" spans="1:17" x14ac:dyDescent="0.25">
      <c r="A30" s="22" t="s">
        <v>2</v>
      </c>
      <c r="B30" s="536">
        <f>Apportion!F9</f>
        <v>0</v>
      </c>
      <c r="C30" s="537">
        <f>Apportion!G9</f>
        <v>1</v>
      </c>
      <c r="D30" s="538">
        <f>Apportion!F19</f>
        <v>0</v>
      </c>
      <c r="E30" s="539">
        <f>Apportion!G19</f>
        <v>1</v>
      </c>
      <c r="O30" s="131"/>
      <c r="Q30" s="1"/>
    </row>
    <row r="31" spans="1:17" x14ac:dyDescent="0.25">
      <c r="A31" s="22" t="s">
        <v>3</v>
      </c>
      <c r="B31" s="536">
        <f>Apportion!F10</f>
        <v>0</v>
      </c>
      <c r="C31" s="537">
        <f>Apportion!G10</f>
        <v>1</v>
      </c>
      <c r="D31" s="538">
        <f>Apportion!F20</f>
        <v>0</v>
      </c>
      <c r="E31" s="539">
        <f>Apportion!G20</f>
        <v>1</v>
      </c>
      <c r="O31" s="131"/>
      <c r="Q31" s="1"/>
    </row>
    <row r="32" spans="1:17" x14ac:dyDescent="0.25">
      <c r="A32" s="22" t="s">
        <v>4</v>
      </c>
      <c r="B32" s="536">
        <f>Apportion!F11</f>
        <v>0</v>
      </c>
      <c r="C32" s="537">
        <f>Apportion!G11</f>
        <v>1</v>
      </c>
      <c r="D32" s="538">
        <f>Apportion!F21</f>
        <v>0</v>
      </c>
      <c r="E32" s="539">
        <f>Apportion!G21</f>
        <v>1</v>
      </c>
      <c r="O32" s="131"/>
      <c r="Q32" s="1"/>
    </row>
    <row r="33" spans="1:17" x14ac:dyDescent="0.25">
      <c r="A33" s="22" t="s">
        <v>5</v>
      </c>
      <c r="B33" s="536">
        <f>Apportion!F12</f>
        <v>0</v>
      </c>
      <c r="C33" s="537">
        <f>Apportion!G12</f>
        <v>1</v>
      </c>
      <c r="D33" s="538">
        <f>Apportion!F22</f>
        <v>0</v>
      </c>
      <c r="E33" s="539">
        <f>Apportion!G22</f>
        <v>1</v>
      </c>
      <c r="O33" s="131"/>
      <c r="Q33" s="1"/>
    </row>
    <row r="34" spans="1:17" x14ac:dyDescent="0.25">
      <c r="A34" s="22" t="s">
        <v>778</v>
      </c>
      <c r="B34" s="540"/>
      <c r="C34" s="541"/>
      <c r="D34" s="538">
        <f>Apportion!F23</f>
        <v>0</v>
      </c>
      <c r="E34" s="539">
        <f>Apportion!G23</f>
        <v>1</v>
      </c>
      <c r="O34" s="131"/>
      <c r="Q34" s="1"/>
    </row>
    <row r="35" spans="1:17" x14ac:dyDescent="0.25">
      <c r="A35" s="22" t="s">
        <v>779</v>
      </c>
      <c r="B35" s="540"/>
      <c r="C35" s="541"/>
      <c r="D35" s="538">
        <f>Apportion!F24</f>
        <v>0</v>
      </c>
      <c r="E35" s="539">
        <f>Apportion!G24</f>
        <v>1</v>
      </c>
      <c r="O35" s="131"/>
      <c r="Q35" s="1"/>
    </row>
    <row r="36" spans="1:17" x14ac:dyDescent="0.25">
      <c r="A36" s="22" t="s">
        <v>810</v>
      </c>
      <c r="B36" s="540"/>
      <c r="C36" s="541"/>
      <c r="D36" s="538">
        <f>Apportion!F25</f>
        <v>0</v>
      </c>
      <c r="E36" s="539">
        <f>Apportion!G25</f>
        <v>1</v>
      </c>
      <c r="O36" s="131"/>
      <c r="Q36" s="1"/>
    </row>
    <row r="37" spans="1:17" x14ac:dyDescent="0.25">
      <c r="A37" s="22" t="s">
        <v>811</v>
      </c>
      <c r="B37" s="540"/>
      <c r="C37" s="541"/>
      <c r="D37" s="538">
        <f>Apportion!F26</f>
        <v>0</v>
      </c>
      <c r="E37" s="539">
        <f>Apportion!G26</f>
        <v>1</v>
      </c>
      <c r="O37" s="131"/>
      <c r="Q37" s="1"/>
    </row>
    <row r="39" spans="1:17" ht="30" customHeight="1" x14ac:dyDescent="0.25">
      <c r="A39" s="542"/>
      <c r="B39" s="8" t="s">
        <v>345</v>
      </c>
      <c r="C39" s="8" t="s">
        <v>345</v>
      </c>
      <c r="D39" s="8" t="s">
        <v>345</v>
      </c>
      <c r="E39" s="8" t="s">
        <v>345</v>
      </c>
      <c r="F39" s="8" t="s">
        <v>346</v>
      </c>
      <c r="G39" s="8" t="s">
        <v>346</v>
      </c>
      <c r="H39" s="8" t="s">
        <v>346</v>
      </c>
      <c r="I39" s="8" t="s">
        <v>346</v>
      </c>
    </row>
    <row r="40" spans="1:17" ht="15" customHeight="1" x14ac:dyDescent="0.25">
      <c r="A40" s="543"/>
      <c r="B40" s="8" t="s">
        <v>594</v>
      </c>
      <c r="C40" s="8"/>
      <c r="D40" s="8" t="s">
        <v>311</v>
      </c>
      <c r="E40" s="8"/>
      <c r="F40" s="8" t="s">
        <v>594</v>
      </c>
      <c r="G40" s="8"/>
      <c r="H40" s="8" t="s">
        <v>311</v>
      </c>
      <c r="I40" s="8"/>
      <c r="N40" s="131"/>
      <c r="O40" s="131"/>
      <c r="P40" s="1"/>
      <c r="Q40" s="1"/>
    </row>
    <row r="41" spans="1:17" x14ac:dyDescent="0.25">
      <c r="A41" s="551" t="s">
        <v>353</v>
      </c>
      <c r="B41" s="136" t="s">
        <v>343</v>
      </c>
      <c r="C41" s="136" t="s">
        <v>344</v>
      </c>
      <c r="D41" s="136" t="s">
        <v>343</v>
      </c>
      <c r="E41" s="136" t="s">
        <v>344</v>
      </c>
      <c r="F41" s="136" t="s">
        <v>343</v>
      </c>
      <c r="G41" s="136" t="s">
        <v>344</v>
      </c>
      <c r="H41" s="136" t="s">
        <v>343</v>
      </c>
      <c r="I41" s="136" t="s">
        <v>344</v>
      </c>
      <c r="P41" s="1"/>
      <c r="Q41" s="1"/>
    </row>
    <row r="42" spans="1:17" s="29" customFormat="1" x14ac:dyDescent="0.25">
      <c r="A42" s="544" t="s">
        <v>85</v>
      </c>
      <c r="B42" s="137"/>
      <c r="C42" s="137"/>
      <c r="D42" s="137"/>
      <c r="E42" s="137"/>
      <c r="F42" s="425"/>
      <c r="G42" s="425"/>
      <c r="H42" s="425"/>
      <c r="I42" s="425"/>
      <c r="J42" s="425"/>
    </row>
    <row r="43" spans="1:17" x14ac:dyDescent="0.25">
      <c r="A43" s="545" t="s">
        <v>0</v>
      </c>
      <c r="B43" s="138">
        <f>'Vessel Visits'!P9</f>
        <v>59.641263084112154</v>
      </c>
      <c r="C43" s="138">
        <f>'Vessel Visits'!P20</f>
        <v>59.641263084112154</v>
      </c>
      <c r="D43" s="138">
        <f>'Vessel Visits'!Q9</f>
        <v>59.641263084112154</v>
      </c>
      <c r="E43" s="140">
        <f>'Vessel Visits'!Q20</f>
        <v>59.641263084112154</v>
      </c>
      <c r="F43" s="142">
        <f>'Vessel Visits'!O9</f>
        <v>0</v>
      </c>
      <c r="G43" s="138">
        <f>'Vessel Visits'!N20</f>
        <v>0</v>
      </c>
      <c r="H43" s="138">
        <f>'Vessel Visits'!O9</f>
        <v>0</v>
      </c>
      <c r="I43" s="138">
        <f>'Vessel Visits'!N20</f>
        <v>0</v>
      </c>
      <c r="P43" s="1"/>
      <c r="Q43" s="1"/>
    </row>
    <row r="44" spans="1:17" x14ac:dyDescent="0.25">
      <c r="A44" s="545" t="s">
        <v>1</v>
      </c>
      <c r="B44" s="138">
        <f>'Vessel Visits'!P10</f>
        <v>17.581057476635515</v>
      </c>
      <c r="C44" s="138">
        <f>'Vessel Visits'!P21</f>
        <v>17.581057476635515</v>
      </c>
      <c r="D44" s="138">
        <f>'Vessel Visits'!Q10</f>
        <v>27.581057476635515</v>
      </c>
      <c r="E44" s="140">
        <f>'Vessel Visits'!Q21</f>
        <v>27.581057476635515</v>
      </c>
      <c r="F44" s="142">
        <f>'Vessel Visits'!O10</f>
        <v>0</v>
      </c>
      <c r="G44" s="138">
        <f>'Vessel Visits'!N21</f>
        <v>0</v>
      </c>
      <c r="H44" s="138">
        <f>'Vessel Visits'!O10</f>
        <v>0</v>
      </c>
      <c r="I44" s="138">
        <f>'Vessel Visits'!N21</f>
        <v>0</v>
      </c>
      <c r="P44" s="1"/>
      <c r="Q44" s="1"/>
    </row>
    <row r="45" spans="1:17" x14ac:dyDescent="0.25">
      <c r="A45" s="545" t="s">
        <v>2</v>
      </c>
      <c r="B45" s="138">
        <f>'Vessel Visits'!P11</f>
        <v>125.25956962616823</v>
      </c>
      <c r="C45" s="138">
        <f>'Vessel Visits'!P22</f>
        <v>125.25956962616823</v>
      </c>
      <c r="D45" s="138">
        <f>'Vessel Visits'!Q11</f>
        <v>125.25956962616823</v>
      </c>
      <c r="E45" s="140">
        <f>'Vessel Visits'!Q22</f>
        <v>125.25956962616823</v>
      </c>
      <c r="F45" s="142">
        <f>'Vessel Visits'!O11</f>
        <v>0</v>
      </c>
      <c r="G45" s="138">
        <f>'Vessel Visits'!N22</f>
        <v>29.439569626168236</v>
      </c>
      <c r="H45" s="138">
        <f>'Vessel Visits'!O11</f>
        <v>0</v>
      </c>
      <c r="I45" s="138">
        <f>'Vessel Visits'!N22</f>
        <v>29.439569626168236</v>
      </c>
      <c r="P45" s="1"/>
      <c r="Q45" s="1"/>
    </row>
    <row r="46" spans="1:17" x14ac:dyDescent="0.25">
      <c r="A46" s="545" t="s">
        <v>4</v>
      </c>
      <c r="B46" s="138">
        <f>'Vessel Visits'!P12</f>
        <v>0</v>
      </c>
      <c r="C46" s="138">
        <f>'Vessel Visits'!P23</f>
        <v>0</v>
      </c>
      <c r="D46" s="138">
        <f>'Vessel Visits'!Q12</f>
        <v>0</v>
      </c>
      <c r="E46" s="140">
        <f>'Vessel Visits'!Q23</f>
        <v>0</v>
      </c>
      <c r="F46" s="142">
        <f>'Vessel Visits'!O12</f>
        <v>0</v>
      </c>
      <c r="G46" s="138">
        <f>'Vessel Visits'!N23</f>
        <v>0</v>
      </c>
      <c r="H46" s="138">
        <f>'Vessel Visits'!O12</f>
        <v>0</v>
      </c>
      <c r="I46" s="138">
        <f>'Vessel Visits'!N23</f>
        <v>0</v>
      </c>
      <c r="P46" s="1"/>
      <c r="Q46" s="1"/>
    </row>
    <row r="47" spans="1:17" ht="15.75" thickBot="1" x14ac:dyDescent="0.3">
      <c r="A47" s="546" t="s">
        <v>5</v>
      </c>
      <c r="B47" s="139">
        <f>'Vessel Visits'!P13</f>
        <v>0</v>
      </c>
      <c r="C47" s="139">
        <f>'Vessel Visits'!P24</f>
        <v>0</v>
      </c>
      <c r="D47" s="139">
        <f>'Vessel Visits'!Q13</f>
        <v>0</v>
      </c>
      <c r="E47" s="141">
        <f>'Vessel Visits'!Q24</f>
        <v>0</v>
      </c>
      <c r="F47" s="143">
        <f>'Vessel Visits'!O13</f>
        <v>0</v>
      </c>
      <c r="G47" s="139">
        <f>'Vessel Visits'!N24</f>
        <v>0</v>
      </c>
      <c r="H47" s="139">
        <f>'Vessel Visits'!O13</f>
        <v>0</v>
      </c>
      <c r="I47" s="139">
        <f>'Vessel Visits'!N24</f>
        <v>0</v>
      </c>
      <c r="P47" s="1"/>
      <c r="Q47" s="1"/>
    </row>
    <row r="48" spans="1:17" s="14" customFormat="1" ht="15.75" thickTop="1" x14ac:dyDescent="0.25">
      <c r="A48" s="547" t="s">
        <v>79</v>
      </c>
      <c r="B48" s="548">
        <f>SUM(B43:B47)</f>
        <v>202.4818901869159</v>
      </c>
      <c r="C48" s="548">
        <f>SUM(C43:C47)</f>
        <v>202.4818901869159</v>
      </c>
      <c r="D48" s="548">
        <f t="shared" ref="D48:E48" si="0">SUM(D43:D47)</f>
        <v>212.4818901869159</v>
      </c>
      <c r="E48" s="549">
        <f t="shared" si="0"/>
        <v>212.4818901869159</v>
      </c>
      <c r="F48" s="550">
        <f t="shared" ref="F48" si="1">SUM(F43:F47)</f>
        <v>0</v>
      </c>
      <c r="G48" s="548">
        <f t="shared" ref="G48" si="2">SUM(G43:G47)</f>
        <v>29.439569626168236</v>
      </c>
      <c r="H48" s="548">
        <f t="shared" ref="H48" si="3">SUM(H43:H47)</f>
        <v>0</v>
      </c>
      <c r="I48" s="548">
        <f t="shared" ref="I48" si="4">SUM(I43:I47)</f>
        <v>29.439569626168236</v>
      </c>
      <c r="J48" s="64"/>
    </row>
    <row r="49" spans="1:17" s="29" customFormat="1" x14ac:dyDescent="0.25">
      <c r="A49" s="544" t="s">
        <v>14</v>
      </c>
      <c r="B49" s="298"/>
      <c r="C49" s="298"/>
      <c r="D49" s="298"/>
      <c r="E49" s="298"/>
      <c r="F49" s="298"/>
      <c r="G49" s="298"/>
      <c r="H49" s="298"/>
      <c r="I49" s="298"/>
      <c r="J49" s="425"/>
    </row>
    <row r="50" spans="1:17" x14ac:dyDescent="0.25">
      <c r="A50" s="551" t="s">
        <v>353</v>
      </c>
      <c r="B50" s="136" t="s">
        <v>343</v>
      </c>
      <c r="C50" s="136" t="s">
        <v>344</v>
      </c>
      <c r="D50" s="136" t="s">
        <v>343</v>
      </c>
      <c r="E50" s="144" t="s">
        <v>344</v>
      </c>
      <c r="F50" s="145" t="s">
        <v>343</v>
      </c>
      <c r="G50" s="136" t="s">
        <v>344</v>
      </c>
      <c r="H50" s="136" t="s">
        <v>343</v>
      </c>
      <c r="I50" s="136" t="s">
        <v>344</v>
      </c>
      <c r="P50" s="1"/>
      <c r="Q50" s="1"/>
    </row>
    <row r="51" spans="1:17" s="29" customFormat="1" x14ac:dyDescent="0.25">
      <c r="A51" s="545" t="s">
        <v>0</v>
      </c>
      <c r="B51" s="138">
        <f>'Vessel Visits'!$N60</f>
        <v>17.842339719626167</v>
      </c>
      <c r="C51" s="138">
        <f>'Vessel Visits'!$N70</f>
        <v>17.842339719626167</v>
      </c>
      <c r="D51" s="138">
        <f>'Vessel Visits'!$N60</f>
        <v>17.842339719626167</v>
      </c>
      <c r="E51" s="140">
        <f>'Vessel Visits'!$N70</f>
        <v>17.842339719626167</v>
      </c>
      <c r="F51" s="142">
        <f>'Vessel Visits'!M60</f>
        <v>7.7423397196261661</v>
      </c>
      <c r="G51" s="138">
        <f>'Vessel Visits'!M70</f>
        <v>11.782339719626169</v>
      </c>
      <c r="H51" s="138">
        <f>'Vessel Visits'!M60</f>
        <v>7.7423397196261661</v>
      </c>
      <c r="I51" s="138">
        <f>'Vessel Visits'!M70</f>
        <v>11.782339719626169</v>
      </c>
      <c r="J51" s="425"/>
    </row>
    <row r="52" spans="1:17" s="29" customFormat="1" x14ac:dyDescent="0.25">
      <c r="A52" s="545" t="s">
        <v>1</v>
      </c>
      <c r="B52" s="138">
        <f>'Vessel Visits'!N61</f>
        <v>0</v>
      </c>
      <c r="C52" s="138">
        <f>'Vessel Visits'!N71</f>
        <v>0</v>
      </c>
      <c r="D52" s="138">
        <f>'Vessel Visits'!$N61</f>
        <v>0</v>
      </c>
      <c r="E52" s="140">
        <f>'Vessel Visits'!$N71</f>
        <v>0</v>
      </c>
      <c r="F52" s="142">
        <f>'Vessel Visits'!M61</f>
        <v>0</v>
      </c>
      <c r="G52" s="138">
        <f>'Vessel Visits'!M71</f>
        <v>0</v>
      </c>
      <c r="H52" s="138">
        <f>'Vessel Visits'!M61</f>
        <v>0</v>
      </c>
      <c r="I52" s="138">
        <f>'Vessel Visits'!M71</f>
        <v>0</v>
      </c>
      <c r="J52" s="425"/>
    </row>
    <row r="53" spans="1:17" s="29" customFormat="1" x14ac:dyDescent="0.25">
      <c r="A53" s="545" t="s">
        <v>3</v>
      </c>
      <c r="B53" s="138">
        <f>'Vessel Visits'!N62</f>
        <v>14.665638785046729</v>
      </c>
      <c r="C53" s="138">
        <f>'Vessel Visits'!N72</f>
        <v>14.665638785046729</v>
      </c>
      <c r="D53" s="138">
        <f>'Vessel Visits'!$N62</f>
        <v>14.665638785046729</v>
      </c>
      <c r="E53" s="140">
        <f>'Vessel Visits'!$N72</f>
        <v>14.665638785046729</v>
      </c>
      <c r="F53" s="142">
        <f>'Vessel Visits'!M62</f>
        <v>6.5656387850467297</v>
      </c>
      <c r="G53" s="138">
        <f>'Vessel Visits'!M72</f>
        <v>9.8056387850467299</v>
      </c>
      <c r="H53" s="138">
        <f>'Vessel Visits'!M62</f>
        <v>6.5656387850467297</v>
      </c>
      <c r="I53" s="138">
        <f>'Vessel Visits'!M72</f>
        <v>9.8056387850467299</v>
      </c>
      <c r="J53" s="425"/>
    </row>
    <row r="54" spans="1:17" s="29" customFormat="1" ht="15.75" thickBot="1" x14ac:dyDescent="0.3">
      <c r="A54" s="546" t="s">
        <v>4</v>
      </c>
      <c r="B54" s="139">
        <f>'Vessel Visits'!N63</f>
        <v>12.336319158878505</v>
      </c>
      <c r="C54" s="139">
        <f>'Vessel Visits'!N73</f>
        <v>12.336319158878505</v>
      </c>
      <c r="D54" s="139">
        <f>'Vessel Visits'!$N63</f>
        <v>12.336319158878505</v>
      </c>
      <c r="E54" s="141">
        <f>'Vessel Visits'!$N73</f>
        <v>12.336319158878505</v>
      </c>
      <c r="F54" s="143">
        <f>'Vessel Visits'!M63</f>
        <v>3.4363191588785043</v>
      </c>
      <c r="G54" s="139">
        <f>'Vessel Visits'!M73</f>
        <v>6.9963191588785048</v>
      </c>
      <c r="H54" s="139">
        <f>'Vessel Visits'!M63</f>
        <v>3.4363191588785043</v>
      </c>
      <c r="I54" s="139">
        <f>'Vessel Visits'!M73</f>
        <v>6.9963191588785048</v>
      </c>
      <c r="J54" s="425"/>
    </row>
    <row r="55" spans="1:17" s="14" customFormat="1" ht="15.75" thickTop="1" x14ac:dyDescent="0.25">
      <c r="A55" s="552" t="s">
        <v>79</v>
      </c>
      <c r="B55" s="553">
        <f>SUM(B51:B54)</f>
        <v>44.844297663551401</v>
      </c>
      <c r="C55" s="553">
        <f>SUM(C51:C54)</f>
        <v>44.844297663551401</v>
      </c>
      <c r="D55" s="553">
        <f t="shared" ref="D55:E55" si="5">SUM(D51:D54)</f>
        <v>44.844297663551401</v>
      </c>
      <c r="E55" s="554">
        <f t="shared" si="5"/>
        <v>44.844297663551401</v>
      </c>
      <c r="F55" s="555">
        <f t="shared" ref="F55" si="6">SUM(F51:F54)</f>
        <v>17.7442976635514</v>
      </c>
      <c r="G55" s="553">
        <f t="shared" ref="G55" si="7">SUM(G51:G54)</f>
        <v>28.584297663551403</v>
      </c>
      <c r="H55" s="553">
        <f t="shared" ref="H55" si="8">SUM(H51:H54)</f>
        <v>17.7442976635514</v>
      </c>
      <c r="I55" s="553">
        <f t="shared" ref="I55" si="9">SUM(I51:I54)</f>
        <v>28.584297663551403</v>
      </c>
      <c r="J55" s="64"/>
    </row>
    <row r="56" spans="1:17" s="29" customFormat="1" x14ac:dyDescent="0.25">
      <c r="A56" s="544" t="s">
        <v>15</v>
      </c>
      <c r="B56" s="298"/>
      <c r="C56" s="298"/>
      <c r="D56" s="298"/>
      <c r="E56" s="298"/>
      <c r="F56" s="298"/>
      <c r="G56" s="298"/>
      <c r="H56" s="298"/>
      <c r="I56" s="298"/>
      <c r="J56" s="425"/>
    </row>
    <row r="57" spans="1:17" x14ac:dyDescent="0.25">
      <c r="A57" s="551" t="s">
        <v>353</v>
      </c>
      <c r="B57" s="508"/>
      <c r="C57" s="508"/>
      <c r="D57" s="136">
        <v>2025</v>
      </c>
      <c r="E57" s="144" t="s">
        <v>350</v>
      </c>
      <c r="F57" s="556"/>
      <c r="G57" s="508"/>
      <c r="H57" s="136">
        <v>2025</v>
      </c>
      <c r="I57" s="136" t="s">
        <v>350</v>
      </c>
      <c r="P57" s="1"/>
      <c r="Q57" s="1"/>
    </row>
    <row r="58" spans="1:17" s="14" customFormat="1" x14ac:dyDescent="0.25">
      <c r="A58" s="545" t="s">
        <v>0</v>
      </c>
      <c r="B58" s="508"/>
      <c r="C58" s="508"/>
      <c r="D58" s="507">
        <f>'Vessel Visits'!N100</f>
        <v>90.13049439252336</v>
      </c>
      <c r="E58" s="557">
        <f>'Vessel Visits'!N113</f>
        <v>90.13049439252336</v>
      </c>
      <c r="F58" s="556"/>
      <c r="G58" s="508"/>
      <c r="H58" s="507">
        <f>'Vessel Visits'!M100</f>
        <v>80.730494392523369</v>
      </c>
      <c r="I58" s="507">
        <f>'Vessel Visits'!M113</f>
        <v>84.49049439252336</v>
      </c>
      <c r="J58" s="64"/>
    </row>
    <row r="59" spans="1:17" s="14" customFormat="1" x14ac:dyDescent="0.25">
      <c r="A59" s="545" t="s">
        <v>1</v>
      </c>
      <c r="B59" s="508"/>
      <c r="C59" s="508"/>
      <c r="D59" s="507">
        <f>'Vessel Visits'!N101</f>
        <v>202.31419485981309</v>
      </c>
      <c r="E59" s="557">
        <f>'Vessel Visits'!N114</f>
        <v>202.31419485981309</v>
      </c>
      <c r="F59" s="556"/>
      <c r="G59" s="508"/>
      <c r="H59" s="507">
        <f>'Vessel Visits'!M101</f>
        <v>181.21419485981309</v>
      </c>
      <c r="I59" s="507">
        <f>'Vessel Visits'!M114</f>
        <v>189.65419485981309</v>
      </c>
      <c r="J59" s="64"/>
    </row>
    <row r="60" spans="1:17" s="14" customFormat="1" x14ac:dyDescent="0.25">
      <c r="A60" s="545" t="s">
        <v>3</v>
      </c>
      <c r="B60" s="508"/>
      <c r="C60" s="508"/>
      <c r="D60" s="507">
        <f>'Vessel Visits'!N102</f>
        <v>24.929711214953272</v>
      </c>
      <c r="E60" s="557">
        <f>'Vessel Visits'!N115</f>
        <v>24.929711214953272</v>
      </c>
      <c r="F60" s="556"/>
      <c r="G60" s="508"/>
      <c r="H60" s="507">
        <f>'Vessel Visits'!M102</f>
        <v>22.329711214953271</v>
      </c>
      <c r="I60" s="507">
        <f>'Vessel Visits'!M115</f>
        <v>23.36971121495327</v>
      </c>
      <c r="J60" s="64"/>
    </row>
    <row r="61" spans="1:17" s="14" customFormat="1" x14ac:dyDescent="0.25">
      <c r="A61" s="545" t="s">
        <v>4</v>
      </c>
      <c r="B61" s="508"/>
      <c r="C61" s="508"/>
      <c r="D61" s="507">
        <f>'Vessel Visits'!N103</f>
        <v>242.5852668224299</v>
      </c>
      <c r="E61" s="557">
        <f>'Vessel Visits'!N116</f>
        <v>242.5852668224299</v>
      </c>
      <c r="F61" s="556"/>
      <c r="G61" s="508"/>
      <c r="H61" s="507">
        <f>'Vessel Visits'!M103</f>
        <v>217.28526682242992</v>
      </c>
      <c r="I61" s="507">
        <f>'Vessel Visits'!M116</f>
        <v>227.40526682242989</v>
      </c>
      <c r="J61" s="64"/>
    </row>
    <row r="62" spans="1:17" s="14" customFormat="1" x14ac:dyDescent="0.25">
      <c r="A62" s="545" t="s">
        <v>5</v>
      </c>
      <c r="B62" s="508"/>
      <c r="C62" s="508"/>
      <c r="D62" s="507">
        <f>'Vessel Visits'!N104</f>
        <v>230.12041121495326</v>
      </c>
      <c r="E62" s="557">
        <f>'Vessel Visits'!N117</f>
        <v>230.12041121495326</v>
      </c>
      <c r="F62" s="556"/>
      <c r="G62" s="508"/>
      <c r="H62" s="507">
        <f>'Vessel Visits'!M104</f>
        <v>206.12041121495326</v>
      </c>
      <c r="I62" s="507">
        <f>'Vessel Visits'!M117</f>
        <v>215.72041121495329</v>
      </c>
      <c r="J62" s="64"/>
    </row>
    <row r="63" spans="1:17" s="14" customFormat="1" x14ac:dyDescent="0.25">
      <c r="A63" s="545" t="s">
        <v>779</v>
      </c>
      <c r="B63" s="508"/>
      <c r="C63" s="508"/>
      <c r="D63" s="507">
        <f>'Vessel Visits'!N105</f>
        <v>68.077288317757009</v>
      </c>
      <c r="E63" s="557">
        <f>'Vessel Visits'!N118</f>
        <v>68.077288317757009</v>
      </c>
      <c r="F63" s="556"/>
      <c r="G63" s="508"/>
      <c r="H63" s="507">
        <f>'Vessel Visits'!M105</f>
        <v>60.977288317757008</v>
      </c>
      <c r="I63" s="507">
        <f>'Vessel Visits'!M118</f>
        <v>63.817288317757011</v>
      </c>
      <c r="J63" s="64"/>
    </row>
    <row r="64" spans="1:17" s="14" customFormat="1" ht="15.75" thickBot="1" x14ac:dyDescent="0.3">
      <c r="A64" s="546" t="s">
        <v>810</v>
      </c>
      <c r="B64" s="558"/>
      <c r="C64" s="558"/>
      <c r="D64" s="559">
        <f>'Vessel Visits'!N106</f>
        <v>116.97787570093458</v>
      </c>
      <c r="E64" s="560">
        <f>'Vessel Visits'!N119</f>
        <v>116.97787570093458</v>
      </c>
      <c r="F64" s="561"/>
      <c r="G64" s="558"/>
      <c r="H64" s="559">
        <f>'Vessel Visits'!M106</f>
        <v>104.77787570093457</v>
      </c>
      <c r="I64" s="559">
        <f>'Vessel Visits'!M119</f>
        <v>109.65787570093458</v>
      </c>
      <c r="J64" s="64"/>
    </row>
    <row r="65" spans="1:17" s="14" customFormat="1" ht="15.75" thickTop="1" x14ac:dyDescent="0.25">
      <c r="A65" s="552" t="s">
        <v>79</v>
      </c>
      <c r="B65" s="562"/>
      <c r="C65" s="562"/>
      <c r="D65" s="548">
        <f t="shared" ref="D65:E65" si="10">SUM(D58:D64)</f>
        <v>975.13524252336447</v>
      </c>
      <c r="E65" s="549">
        <f t="shared" si="10"/>
        <v>975.13524252336447</v>
      </c>
      <c r="F65" s="563"/>
      <c r="G65" s="562"/>
      <c r="H65" s="548">
        <f t="shared" ref="H65" si="11">SUM(H58:H64)</f>
        <v>873.43524252336454</v>
      </c>
      <c r="I65" s="548">
        <f t="shared" ref="I65" si="12">SUM(I58:I64)</f>
        <v>914.1152425233646</v>
      </c>
      <c r="J65" s="64"/>
    </row>
    <row r="66" spans="1:17" s="29" customFormat="1" x14ac:dyDescent="0.25">
      <c r="A66" s="544" t="s">
        <v>768</v>
      </c>
      <c r="B66" s="298"/>
      <c r="C66" s="298"/>
      <c r="D66" s="298"/>
      <c r="E66" s="298"/>
      <c r="F66" s="298"/>
      <c r="G66" s="298"/>
      <c r="H66" s="298"/>
      <c r="I66" s="298"/>
      <c r="J66" s="425"/>
    </row>
    <row r="67" spans="1:17" x14ac:dyDescent="0.25">
      <c r="A67" s="551" t="s">
        <v>353</v>
      </c>
      <c r="B67" s="508"/>
      <c r="C67" s="508"/>
      <c r="D67" s="136">
        <v>2027</v>
      </c>
      <c r="E67" s="144" t="s">
        <v>351</v>
      </c>
      <c r="F67" s="556"/>
      <c r="G67" s="508"/>
      <c r="H67" s="136">
        <v>2027</v>
      </c>
      <c r="I67" s="144" t="s">
        <v>351</v>
      </c>
      <c r="P67" s="1"/>
      <c r="Q67" s="1"/>
    </row>
    <row r="68" spans="1:17" s="16" customFormat="1" x14ac:dyDescent="0.25">
      <c r="A68" s="81" t="s">
        <v>0</v>
      </c>
      <c r="B68" s="508"/>
      <c r="C68" s="508"/>
      <c r="D68" s="507">
        <f>'Vessel Visits'!M146</f>
        <v>200.02698162911611</v>
      </c>
      <c r="E68" s="557">
        <f>'Vessel Visits'!M154</f>
        <v>200.02698162911611</v>
      </c>
      <c r="F68" s="556"/>
      <c r="G68" s="508"/>
      <c r="H68" s="507">
        <f>'Vessel Visits'!L146</f>
        <v>179.12698162911613</v>
      </c>
      <c r="I68" s="507">
        <f>'Vessel Visits'!L154</f>
        <v>187.48698162911612</v>
      </c>
      <c r="J68" s="19"/>
    </row>
    <row r="69" spans="1:17" s="16" customFormat="1" ht="15.75" thickBot="1" x14ac:dyDescent="0.3">
      <c r="A69" s="564" t="s">
        <v>1</v>
      </c>
      <c r="B69" s="558"/>
      <c r="C69" s="558"/>
      <c r="D69" s="559">
        <f>'Vessel Visits'!M147</f>
        <v>352.20061837088389</v>
      </c>
      <c r="E69" s="560">
        <f>'Vessel Visits'!M155</f>
        <v>352.20061837088389</v>
      </c>
      <c r="F69" s="561"/>
      <c r="G69" s="558"/>
      <c r="H69" s="559">
        <f>'Vessel Visits'!L147</f>
        <v>315.40061837088388</v>
      </c>
      <c r="I69" s="559">
        <f>'Vessel Visits'!L155</f>
        <v>330.1206183708839</v>
      </c>
      <c r="J69" s="19"/>
    </row>
    <row r="70" spans="1:17" s="14" customFormat="1" ht="15.75" thickTop="1" x14ac:dyDescent="0.25">
      <c r="A70" s="565" t="s">
        <v>79</v>
      </c>
      <c r="B70" s="562"/>
      <c r="C70" s="562"/>
      <c r="D70" s="548">
        <f t="shared" ref="D70:E70" si="13">SUM(D68:D69)</f>
        <v>552.22759999999994</v>
      </c>
      <c r="E70" s="549">
        <f t="shared" si="13"/>
        <v>552.22759999999994</v>
      </c>
      <c r="F70" s="563"/>
      <c r="G70" s="562"/>
      <c r="H70" s="548">
        <f t="shared" ref="H70" si="14">SUM(H68:H69)</f>
        <v>494.52760000000001</v>
      </c>
      <c r="I70" s="548">
        <f t="shared" ref="I70" si="15">SUM(I68:I69)</f>
        <v>517.60760000000005</v>
      </c>
      <c r="J70" s="64"/>
    </row>
    <row r="71" spans="1:17" s="29" customFormat="1" x14ac:dyDescent="0.25">
      <c r="A71" s="544" t="s">
        <v>825</v>
      </c>
      <c r="B71" s="137"/>
      <c r="C71" s="137"/>
      <c r="D71" s="137"/>
      <c r="E71" s="298"/>
      <c r="F71" s="298"/>
      <c r="G71" s="137"/>
      <c r="H71" s="137"/>
      <c r="I71" s="137"/>
      <c r="J71" s="425"/>
    </row>
    <row r="72" spans="1:17" x14ac:dyDescent="0.25">
      <c r="A72" s="551" t="s">
        <v>353</v>
      </c>
      <c r="B72" s="508"/>
      <c r="C72" s="508"/>
      <c r="D72" s="136">
        <v>2029</v>
      </c>
      <c r="E72" s="144" t="s">
        <v>352</v>
      </c>
      <c r="F72" s="556"/>
      <c r="G72" s="508"/>
      <c r="H72" s="136">
        <v>2029</v>
      </c>
      <c r="I72" s="144" t="s">
        <v>352</v>
      </c>
      <c r="P72" s="1"/>
      <c r="Q72" s="1"/>
    </row>
    <row r="73" spans="1:17" x14ac:dyDescent="0.25">
      <c r="A73" s="545" t="s">
        <v>778</v>
      </c>
      <c r="B73" s="508"/>
      <c r="C73" s="508"/>
      <c r="D73" s="507">
        <f>'Vessel Visits'!M180</f>
        <v>52.734000000000002</v>
      </c>
      <c r="E73" s="557">
        <f>'Vessel Visits'!M190</f>
        <v>52.734000000000002</v>
      </c>
      <c r="F73" s="556"/>
      <c r="G73" s="508"/>
      <c r="H73" s="507">
        <f>'Vessel Visits'!L180</f>
        <v>47.234000000000002</v>
      </c>
      <c r="I73" s="507">
        <f>'Vessel Visits'!L190</f>
        <v>49.433999999999997</v>
      </c>
      <c r="P73" s="1"/>
      <c r="Q73" s="1"/>
    </row>
    <row r="74" spans="1:17" x14ac:dyDescent="0.25">
      <c r="A74" s="545" t="s">
        <v>779</v>
      </c>
      <c r="B74" s="508"/>
      <c r="C74" s="508"/>
      <c r="D74" s="507">
        <f>'Vessel Visits'!M181</f>
        <v>386.39639999999997</v>
      </c>
      <c r="E74" s="557">
        <f>'Vessel Visits'!M191</f>
        <v>386.39639999999997</v>
      </c>
      <c r="F74" s="556"/>
      <c r="G74" s="508"/>
      <c r="H74" s="507">
        <f>'Vessel Visits'!L181</f>
        <v>346.09640000000002</v>
      </c>
      <c r="I74" s="507">
        <f>'Vessel Visits'!L191</f>
        <v>362.21640000000002</v>
      </c>
      <c r="P74" s="1"/>
      <c r="Q74" s="1"/>
    </row>
    <row r="75" spans="1:17" x14ac:dyDescent="0.25">
      <c r="A75" s="545" t="s">
        <v>810</v>
      </c>
      <c r="B75" s="508"/>
      <c r="C75" s="508"/>
      <c r="D75" s="507">
        <f>'Vessel Visits'!M182</f>
        <v>231.07079999999999</v>
      </c>
      <c r="E75" s="557">
        <f>'Vessel Visits'!M192</f>
        <v>231.07079999999999</v>
      </c>
      <c r="F75" s="556"/>
      <c r="G75" s="508"/>
      <c r="H75" s="507">
        <f>'Vessel Visits'!L182</f>
        <v>206.9708</v>
      </c>
      <c r="I75" s="507">
        <f>'Vessel Visits'!L192</f>
        <v>216.61079999999998</v>
      </c>
      <c r="P75" s="1"/>
      <c r="Q75" s="1"/>
    </row>
    <row r="76" spans="1:17" ht="15.75" thickBot="1" x14ac:dyDescent="0.3">
      <c r="A76" s="546" t="s">
        <v>811</v>
      </c>
      <c r="B76" s="558"/>
      <c r="C76" s="558"/>
      <c r="D76" s="559">
        <f>'Vessel Visits'!M183</f>
        <v>64.239599999999996</v>
      </c>
      <c r="E76" s="560">
        <f>'Vessel Visits'!M193</f>
        <v>64.239599999999996</v>
      </c>
      <c r="F76" s="561"/>
      <c r="G76" s="558"/>
      <c r="H76" s="559">
        <f>'Vessel Visits'!L183</f>
        <v>57.5396</v>
      </c>
      <c r="I76" s="559">
        <f>'Vessel Visits'!L193</f>
        <v>60.2196</v>
      </c>
      <c r="P76" s="1"/>
      <c r="Q76" s="1"/>
    </row>
    <row r="77" spans="1:17" s="14" customFormat="1" ht="15.75" thickTop="1" x14ac:dyDescent="0.25">
      <c r="A77" s="565" t="s">
        <v>79</v>
      </c>
      <c r="B77" s="562"/>
      <c r="C77" s="562"/>
      <c r="D77" s="548">
        <f t="shared" ref="D77:E77" si="16">SUM(D73:D76)</f>
        <v>734.44079999999997</v>
      </c>
      <c r="E77" s="549">
        <f t="shared" si="16"/>
        <v>734.44079999999997</v>
      </c>
      <c r="F77" s="563"/>
      <c r="G77" s="562"/>
      <c r="H77" s="548">
        <f t="shared" ref="H77" si="17">SUM(H73:H76)</f>
        <v>657.84079999999994</v>
      </c>
      <c r="I77" s="548">
        <f t="shared" ref="I77" si="18">SUM(I73:I76)</f>
        <v>688.48079999999993</v>
      </c>
      <c r="J77" s="64"/>
    </row>
    <row r="78" spans="1:17" s="16" customFormat="1" x14ac:dyDescent="0.25">
      <c r="A78" s="533"/>
      <c r="B78" s="19"/>
      <c r="C78" s="19"/>
      <c r="D78" s="19"/>
      <c r="E78" s="19"/>
      <c r="F78" s="19"/>
      <c r="G78" s="19"/>
      <c r="H78" s="19"/>
      <c r="I78" s="19"/>
      <c r="J78" s="19"/>
      <c r="N78" s="132"/>
      <c r="O78" s="132"/>
    </row>
    <row r="79" spans="1:17" x14ac:dyDescent="0.25">
      <c r="A79" s="272" t="s">
        <v>365</v>
      </c>
      <c r="B79" s="113" t="s">
        <v>16</v>
      </c>
      <c r="C79" s="136">
        <v>2021</v>
      </c>
      <c r="D79" s="136">
        <v>2022</v>
      </c>
      <c r="E79" s="136">
        <v>2023</v>
      </c>
      <c r="F79" s="136">
        <v>2024</v>
      </c>
      <c r="G79" s="136">
        <v>2025</v>
      </c>
      <c r="H79" s="136">
        <v>2026</v>
      </c>
      <c r="I79" s="136">
        <v>2027</v>
      </c>
      <c r="J79" s="129">
        <v>2028</v>
      </c>
      <c r="K79" s="129">
        <v>2029</v>
      </c>
      <c r="L79" s="129">
        <v>2030</v>
      </c>
      <c r="M79" s="129">
        <v>2031</v>
      </c>
      <c r="N79" s="129">
        <v>2032</v>
      </c>
      <c r="P79" s="1"/>
      <c r="Q79" s="1"/>
    </row>
    <row r="80" spans="1:17" x14ac:dyDescent="0.25">
      <c r="A80" s="348" t="s">
        <v>335</v>
      </c>
      <c r="B80" s="22" t="s">
        <v>50</v>
      </c>
      <c r="C80" s="566">
        <f>'Electricity &amp; Fuel'!$F43</f>
        <v>0.17695068176615891</v>
      </c>
      <c r="D80" s="566">
        <f>'Electricity &amp; Fuel'!$F44</f>
        <v>0.17538782490681984</v>
      </c>
      <c r="E80" s="566">
        <f>'Electricity &amp; Fuel'!$F45</f>
        <v>0.17629833319998378</v>
      </c>
      <c r="F80" s="566">
        <f>'Electricity &amp; Fuel'!$F46</f>
        <v>0.17724094244682223</v>
      </c>
      <c r="G80" s="566">
        <f>'Electricity &amp; Fuel'!$F47</f>
        <v>0.17915150226602261</v>
      </c>
      <c r="H80" s="566">
        <f>'Electricity &amp; Fuel'!$F48</f>
        <v>0.17883741063463929</v>
      </c>
      <c r="I80" s="566">
        <f>'Electricity &amp; Fuel'!$F49</f>
        <v>0.17936464647208561</v>
      </c>
      <c r="J80" s="130">
        <f>'Electricity &amp; Fuel'!$F50</f>
        <v>0.1804344307150883</v>
      </c>
      <c r="K80" s="130">
        <f>'Electricity &amp; Fuel'!$F51</f>
        <v>0.18260285180883787</v>
      </c>
      <c r="L80" s="130">
        <f>'Electricity &amp; Fuel'!$F52</f>
        <v>0.1846990110204377</v>
      </c>
      <c r="M80" s="133">
        <f>'Electricity &amp; Fuel'!$F53</f>
        <v>0.18548682498832578</v>
      </c>
      <c r="N80" s="133">
        <f>'Electricity &amp; Fuel'!$F54</f>
        <v>0.18627463895621385</v>
      </c>
      <c r="P80" s="1"/>
      <c r="Q80" s="1"/>
    </row>
    <row r="81" spans="1:17" x14ac:dyDescent="0.25">
      <c r="A81" s="348" t="s">
        <v>336</v>
      </c>
      <c r="B81" s="22" t="s">
        <v>49</v>
      </c>
      <c r="C81" s="518">
        <f>'Electricity &amp; Fuel'!$D97</f>
        <v>1192.7639484978542</v>
      </c>
      <c r="D81" s="518">
        <f>'Electricity &amp; Fuel'!$D98</f>
        <v>1241.9163090128759</v>
      </c>
      <c r="E81" s="518">
        <f>'Electricity &amp; Fuel'!$D99</f>
        <v>1294.3454935622321</v>
      </c>
      <c r="F81" s="518">
        <f>'Electricity &amp; Fuel'!$D100</f>
        <v>1359.8819742489275</v>
      </c>
      <c r="G81" s="518">
        <f>'Electricity &amp; Fuel'!$D101</f>
        <v>1409.0343347639487</v>
      </c>
      <c r="H81" s="518">
        <f>'Electricity &amp; Fuel'!$D102</f>
        <v>1445.0793991416313</v>
      </c>
      <c r="I81" s="518">
        <f>'Electricity &amp; Fuel'!$D103</f>
        <v>1494.2317596566525</v>
      </c>
      <c r="J81" s="39">
        <f>'Electricity &amp; Fuel'!$D104</f>
        <v>1546.6609442060089</v>
      </c>
      <c r="K81" s="39">
        <f>'Electricity &amp; Fuel'!$D105</f>
        <v>1602.3669527897</v>
      </c>
      <c r="L81" s="39">
        <f>'Electricity &amp; Fuel'!$D106</f>
        <v>1648.2424892703871</v>
      </c>
      <c r="M81" s="134">
        <f>'Electricity &amp; Fuel'!$D107</f>
        <v>1707.225321888413</v>
      </c>
      <c r="N81" s="134">
        <f>'Electricity &amp; Fuel'!$D108</f>
        <v>1753.1008583690993</v>
      </c>
      <c r="P81" s="1"/>
      <c r="Q81" s="1"/>
    </row>
    <row r="82" spans="1:17" x14ac:dyDescent="0.25">
      <c r="A82" s="348" t="s">
        <v>364</v>
      </c>
      <c r="B82" s="22" t="s">
        <v>50</v>
      </c>
      <c r="C82" s="566">
        <f>'Electricity &amp; Fuel'!B64</f>
        <v>0.10742668569259947</v>
      </c>
      <c r="D82" s="566">
        <f>'Electricity &amp; Fuel'!B65</f>
        <v>0.10633355805511226</v>
      </c>
      <c r="E82" s="566">
        <f>'Electricity &amp; Fuel'!B66</f>
        <v>0.10560685195285498</v>
      </c>
      <c r="F82" s="566">
        <f>'Electricity &amp; Fuel'!B67</f>
        <v>0.10489102848205996</v>
      </c>
      <c r="G82" s="566">
        <f>'Electricity &amp; Fuel'!B68</f>
        <v>9.9781422960452767E-2</v>
      </c>
      <c r="H82" s="566">
        <f>'Electricity &amp; Fuel'!B69</f>
        <v>0.10076410255793643</v>
      </c>
      <c r="I82" s="566">
        <f>'Electricity &amp; Fuel'!B70</f>
        <v>0.10200827198772901</v>
      </c>
      <c r="J82" s="130">
        <f>'Electricity &amp; Fuel'!B71</f>
        <v>0.10314853595703005</v>
      </c>
      <c r="K82" s="130">
        <f>'Electricity &amp; Fuel'!B72</f>
        <v>0.10442598177571655</v>
      </c>
      <c r="L82" s="130">
        <f>'Electricity &amp; Fuel'!B73</f>
        <v>0.10556652073578138</v>
      </c>
      <c r="M82" s="133">
        <f>'Electricity &amp; Fuel'!B74</f>
        <v>0.10753395574057938</v>
      </c>
      <c r="N82" s="133">
        <f>'Electricity &amp; Fuel'!B75</f>
        <v>0.1095013907453774</v>
      </c>
      <c r="P82" s="1"/>
      <c r="Q82" s="1"/>
    </row>
    <row r="83" spans="1:17" x14ac:dyDescent="0.25">
      <c r="A83" s="348" t="s">
        <v>288</v>
      </c>
      <c r="B83" s="22" t="s">
        <v>28</v>
      </c>
      <c r="C83" s="510">
        <f>Growth!$F10</f>
        <v>0.19385114943417511</v>
      </c>
      <c r="D83" s="510">
        <f>Growth!$F11</f>
        <v>0.23786367889837565</v>
      </c>
      <c r="E83" s="510">
        <f>Growth!$F12</f>
        <v>0.28465423170158566</v>
      </c>
      <c r="F83" s="510">
        <f>Growth!$F13</f>
        <v>0.33429164292179847</v>
      </c>
      <c r="G83" s="510">
        <f>Growth!$F14</f>
        <v>0.41005488530447487</v>
      </c>
      <c r="H83" s="510">
        <f>Growth!$F15</f>
        <v>0.44448774785521072</v>
      </c>
      <c r="I83" s="510">
        <f>Growth!$F16</f>
        <v>0.48217019049045101</v>
      </c>
      <c r="J83" s="108">
        <f>Growth!$F17</f>
        <v>0.5230248906889251</v>
      </c>
      <c r="K83" s="108">
        <f>Growth!$F18</f>
        <v>0.56700845918311726</v>
      </c>
      <c r="L83" s="108">
        <f>Growth!$F19</f>
        <v>0.61410530272263486</v>
      </c>
      <c r="M83" s="135">
        <f>Growth!$F20</f>
        <v>0.69124079785891168</v>
      </c>
      <c r="N83" s="135">
        <f>Growth!$F21</f>
        <v>0.77207653050777736</v>
      </c>
      <c r="P83" s="1"/>
      <c r="Q83" s="1"/>
    </row>
    <row r="84" spans="1:17" x14ac:dyDescent="0.25">
      <c r="A84" s="348" t="s">
        <v>289</v>
      </c>
      <c r="B84" s="22" t="s">
        <v>28</v>
      </c>
      <c r="C84" s="510">
        <f>Growth!$G10</f>
        <v>0.20229643347303783</v>
      </c>
      <c r="D84" s="510">
        <f>Growth!$G11</f>
        <v>0.24654935829988212</v>
      </c>
      <c r="E84" s="510">
        <f>Growth!$G12</f>
        <v>0.29243110053082899</v>
      </c>
      <c r="F84" s="510">
        <f>Growth!$G13</f>
        <v>0.34000161204806295</v>
      </c>
      <c r="G84" s="510">
        <f>Growth!$G14</f>
        <v>0.38932305138271844</v>
      </c>
      <c r="H84" s="510">
        <f>Growth!$G15</f>
        <v>0.44045986493496619</v>
      </c>
      <c r="I84" s="510">
        <f>Growth!$G16</f>
        <v>0.4934788711836221</v>
      </c>
      <c r="J84" s="108">
        <f>Growth!$G17</f>
        <v>0.548449347995285</v>
      </c>
      <c r="K84" s="108">
        <f>Growth!$G18</f>
        <v>0.60544312314694371</v>
      </c>
      <c r="L84" s="108">
        <f>Growth!$G19</f>
        <v>0.66453466818061258</v>
      </c>
      <c r="M84" s="135">
        <f>Growth!$G20</f>
        <v>0.7258011957123357</v>
      </c>
      <c r="N84" s="135">
        <f>Growth!$G21</f>
        <v>0.78932276032292392</v>
      </c>
      <c r="P84" s="1"/>
      <c r="Q84" s="1"/>
    </row>
    <row r="85" spans="1:17" x14ac:dyDescent="0.25">
      <c r="A85" s="348" t="s">
        <v>290</v>
      </c>
      <c r="B85" s="22" t="s">
        <v>28</v>
      </c>
      <c r="C85" s="510">
        <f>Growth!$H10</f>
        <v>0.15102739754508301</v>
      </c>
      <c r="D85" s="510">
        <f>Growth!$H11</f>
        <v>0.18440519556548982</v>
      </c>
      <c r="E85" s="510">
        <f>Growth!$H12</f>
        <v>0.21887580559911993</v>
      </c>
      <c r="F85" s="510">
        <f>Growth!$H13</f>
        <v>0.2544794366551939</v>
      </c>
      <c r="G85" s="510">
        <f>Growth!$H14</f>
        <v>0.29125791799611689</v>
      </c>
      <c r="H85" s="510">
        <f>Growth!$H15</f>
        <v>0.32914486406438159</v>
      </c>
      <c r="I85" s="510">
        <f>Growth!$H16</f>
        <v>0.35936354031630968</v>
      </c>
      <c r="J85" s="108">
        <f>Growth!$H17</f>
        <v>0.39027252206645779</v>
      </c>
      <c r="K85" s="108">
        <f>Growth!$H18</f>
        <v>0.42188765098325831</v>
      </c>
      <c r="L85" s="108">
        <f>Growth!$H19</f>
        <v>0.45422513389525299</v>
      </c>
      <c r="M85" s="135">
        <f>Growth!$H20</f>
        <v>0.48860137895136968</v>
      </c>
      <c r="N85" s="135">
        <f>Growth!$H21</f>
        <v>0.52279793624620852</v>
      </c>
      <c r="P85" s="1"/>
      <c r="Q85" s="1"/>
    </row>
    <row r="86" spans="1:17" x14ac:dyDescent="0.25">
      <c r="A86" s="348" t="s">
        <v>291</v>
      </c>
      <c r="B86" s="22" t="s">
        <v>28</v>
      </c>
      <c r="C86" s="510">
        <f>Growth!$I10</f>
        <v>2.6628462023319498E-2</v>
      </c>
      <c r="D86" s="510">
        <f>Growth!$I11</f>
        <v>3.4642567685373271E-2</v>
      </c>
      <c r="E86" s="510">
        <f>Growth!$I12</f>
        <v>4.2769630813193044E-2</v>
      </c>
      <c r="F86" s="510">
        <f>Growth!$I13</f>
        <v>5.1013291136714503E-2</v>
      </c>
      <c r="G86" s="510">
        <f>Growth!$I14</f>
        <v>5.9377352889062179E-2</v>
      </c>
      <c r="H86" s="510">
        <f>Growth!$I15</f>
        <v>7.0987745336126756E-2</v>
      </c>
      <c r="I86" s="510">
        <f>Growth!$I16</f>
        <v>8.2319423047410883E-2</v>
      </c>
      <c r="J86" s="108">
        <f>Growth!$I17</f>
        <v>9.3817950353126484E-2</v>
      </c>
      <c r="K86" s="108">
        <f>Growth!$I18</f>
        <v>0.10548686029160387</v>
      </c>
      <c r="L86" s="108">
        <f>Growth!$I19</f>
        <v>0.11732978702575415</v>
      </c>
      <c r="M86" s="135">
        <f>Growth!$I20</f>
        <v>0.13037367245195625</v>
      </c>
      <c r="N86" s="135">
        <f>Growth!$I21</f>
        <v>0.14323738568409056</v>
      </c>
      <c r="P86" s="1"/>
      <c r="Q86" s="1"/>
    </row>
    <row r="87" spans="1:17" s="16" customFormat="1" x14ac:dyDescent="0.25">
      <c r="A87" s="533"/>
      <c r="B87" s="19"/>
      <c r="C87" s="19"/>
      <c r="D87" s="19"/>
      <c r="E87" s="19"/>
      <c r="F87" s="19"/>
      <c r="G87" s="19"/>
      <c r="H87" s="19"/>
      <c r="I87" s="19"/>
      <c r="J87" s="19"/>
      <c r="N87" s="132"/>
      <c r="O87" s="132"/>
    </row>
    <row r="88" spans="1:17" ht="15.75" x14ac:dyDescent="0.25">
      <c r="A88" s="315" t="s">
        <v>320</v>
      </c>
      <c r="N88" s="131"/>
      <c r="O88" s="131"/>
      <c r="P88" s="1"/>
      <c r="Q88" s="1"/>
    </row>
    <row r="89" spans="1:17" s="3" customFormat="1" ht="30" x14ac:dyDescent="0.25">
      <c r="A89" s="8" t="s">
        <v>597</v>
      </c>
      <c r="B89" s="8" t="s">
        <v>22</v>
      </c>
      <c r="C89" s="8" t="s">
        <v>81</v>
      </c>
      <c r="D89" s="302">
        <v>2021</v>
      </c>
      <c r="E89" s="302">
        <v>2022</v>
      </c>
      <c r="F89" s="302">
        <v>2023</v>
      </c>
      <c r="G89" s="302">
        <v>2024</v>
      </c>
      <c r="H89" s="302">
        <v>2025</v>
      </c>
      <c r="I89" s="302">
        <v>2026</v>
      </c>
      <c r="J89" s="302">
        <v>2027</v>
      </c>
      <c r="K89" s="307">
        <v>2028</v>
      </c>
      <c r="L89" s="4">
        <v>2029</v>
      </c>
      <c r="M89" s="4">
        <v>2030</v>
      </c>
      <c r="N89" s="84">
        <v>2031</v>
      </c>
      <c r="O89" s="84">
        <v>2032</v>
      </c>
    </row>
    <row r="90" spans="1:17" x14ac:dyDescent="0.25">
      <c r="A90" s="102" t="s">
        <v>337</v>
      </c>
      <c r="B90" s="102" t="s">
        <v>31</v>
      </c>
      <c r="C90" s="22" t="s">
        <v>85</v>
      </c>
      <c r="D90" s="511">
        <f>$F$48*$C$8*$C$14*C$80*(1+C$83)</f>
        <v>0</v>
      </c>
      <c r="E90" s="511">
        <f>$F48*$C$8*$C$14*D$80*(1+D$83)</f>
        <v>0</v>
      </c>
      <c r="F90" s="511">
        <f t="shared" ref="F90:O90" si="19">$G48*$C8*$C14*E80*(1+E83)</f>
        <v>78965.459896454719</v>
      </c>
      <c r="G90" s="511">
        <f t="shared" si="19"/>
        <v>82455.100904576189</v>
      </c>
      <c r="H90" s="511">
        <f t="shared" si="19"/>
        <v>88076.324479906165</v>
      </c>
      <c r="I90" s="511">
        <f t="shared" si="19"/>
        <v>90068.918206750866</v>
      </c>
      <c r="J90" s="511">
        <f t="shared" si="19"/>
        <v>92691.013589325812</v>
      </c>
      <c r="K90" s="187">
        <f t="shared" si="19"/>
        <v>95814.034063655432</v>
      </c>
      <c r="L90" s="187">
        <f t="shared" si="19"/>
        <v>99765.781233318034</v>
      </c>
      <c r="M90" s="187">
        <f t="shared" si="19"/>
        <v>103943.93292734274</v>
      </c>
      <c r="N90" s="187">
        <f t="shared" si="19"/>
        <v>109375.79554995894</v>
      </c>
      <c r="O90" s="187">
        <f t="shared" si="19"/>
        <v>115090.35112181299</v>
      </c>
      <c r="P90" s="1"/>
      <c r="Q90" s="1"/>
    </row>
    <row r="91" spans="1:17" x14ac:dyDescent="0.25">
      <c r="A91" s="102"/>
      <c r="B91" s="102" t="s">
        <v>31</v>
      </c>
      <c r="C91" s="22" t="s">
        <v>14</v>
      </c>
      <c r="D91" s="511">
        <f>$F$55*$C$9*$C$15*C$80*(1+C$84)</f>
        <v>822209.29294720234</v>
      </c>
      <c r="E91" s="511">
        <f>$F55*$C$9*$C$15*D$80*(1+D$84)</f>
        <v>844943.17759207322</v>
      </c>
      <c r="F91" s="511">
        <f t="shared" ref="F91:O91" si="20">$G55*$C$9*$C$15*E$80*(1+E$84)</f>
        <v>1418544.2901156445</v>
      </c>
      <c r="G91" s="511">
        <f t="shared" si="20"/>
        <v>1478620.302241452</v>
      </c>
      <c r="H91" s="511">
        <f t="shared" si="20"/>
        <v>1549569.2490547108</v>
      </c>
      <c r="I91" s="511">
        <f t="shared" si="20"/>
        <v>1603787.5169883254</v>
      </c>
      <c r="J91" s="511">
        <f t="shared" si="20"/>
        <v>1667720.3272114892</v>
      </c>
      <c r="K91" s="187">
        <f t="shared" si="20"/>
        <v>1739417.001869143</v>
      </c>
      <c r="L91" s="187">
        <f t="shared" si="20"/>
        <v>1825113.0633076041</v>
      </c>
      <c r="M91" s="187">
        <f t="shared" si="20"/>
        <v>1914012.2296563254</v>
      </c>
      <c r="N91" s="187">
        <f t="shared" si="20"/>
        <v>1992925.7861019173</v>
      </c>
      <c r="O91" s="187">
        <f t="shared" si="20"/>
        <v>2075055.4669769229</v>
      </c>
      <c r="P91" s="1"/>
      <c r="Q91" s="1"/>
    </row>
    <row r="92" spans="1:17" x14ac:dyDescent="0.25">
      <c r="A92" s="102" t="s">
        <v>338</v>
      </c>
      <c r="B92" s="102" t="s">
        <v>62</v>
      </c>
      <c r="C92" s="22" t="s">
        <v>85</v>
      </c>
      <c r="D92" s="511">
        <f>($B$43*$B$28+$B$44*$B$29+$B$45*$B$30+$B$46*$B$32+$B$47*$B$33)*(1+C$83)*$C$24</f>
        <v>167682.57159611568</v>
      </c>
      <c r="E92" s="511">
        <f>($B$43*$B$28+$B$44*$B$29+$B$45*$B$30+$B$46*$B$32+$B$47*$B$33)*(1+D$83)*$C$24</f>
        <v>173864.35910497286</v>
      </c>
      <c r="F92" s="511">
        <f t="shared" ref="F92:O92" si="21">($C$43*$B$28+$C$44*$B$29+$C$45*$B$30+$C$46*$B$32+$C$47*$B$33)*$C$24*(1+E$83)</f>
        <v>180436.33436685093</v>
      </c>
      <c r="G92" s="511">
        <f t="shared" si="21"/>
        <v>187408.16562464548</v>
      </c>
      <c r="H92" s="511">
        <f t="shared" si="21"/>
        <v>198049.50505896955</v>
      </c>
      <c r="I92" s="511">
        <f t="shared" si="21"/>
        <v>202885.77877923986</v>
      </c>
      <c r="J92" s="511">
        <f t="shared" si="21"/>
        <v>208178.47283753593</v>
      </c>
      <c r="K92" s="187">
        <f t="shared" si="21"/>
        <v>213916.72688563509</v>
      </c>
      <c r="L92" s="187">
        <f t="shared" si="21"/>
        <v>220094.4466763942</v>
      </c>
      <c r="M92" s="187">
        <f t="shared" si="21"/>
        <v>226709.4420571074</v>
      </c>
      <c r="N92" s="187">
        <f t="shared" si="21"/>
        <v>237543.52149148309</v>
      </c>
      <c r="O92" s="187">
        <f t="shared" si="21"/>
        <v>248897.31843161435</v>
      </c>
      <c r="P92" s="1"/>
      <c r="Q92" s="1"/>
    </row>
    <row r="93" spans="1:17" x14ac:dyDescent="0.25">
      <c r="A93" s="102" t="s">
        <v>160</v>
      </c>
      <c r="B93" s="102" t="s">
        <v>62</v>
      </c>
      <c r="C93" s="22" t="s">
        <v>14</v>
      </c>
      <c r="D93" s="511">
        <f>($B$51*$B$28+$B$52*$B$29+$B$53*$B$31+$B$54*$B$32)*$C$24*(1+C$84)</f>
        <v>50518.945219892637</v>
      </c>
      <c r="E93" s="511">
        <f>($B$51*$B$28+$B$52*$B$29+$B$53*$B$31+$B$54*$B$32)*$C$24*(1+D$84)</f>
        <v>52378.396036601313</v>
      </c>
      <c r="F93" s="511">
        <f t="shared" ref="F93:O93" si="22">($C$51*$B$28+$C$52*$B$29+$C$53*$B$31+$C$54*$B$32)*$C$24*(1+E$84)</f>
        <v>54306.287659520633</v>
      </c>
      <c r="G93" s="511">
        <f t="shared" si="22"/>
        <v>56305.139189404421</v>
      </c>
      <c r="H93" s="511">
        <f t="shared" si="22"/>
        <v>58377.562447548939</v>
      </c>
      <c r="I93" s="511">
        <f t="shared" si="22"/>
        <v>60526.265388556043</v>
      </c>
      <c r="J93" s="511">
        <f t="shared" si="22"/>
        <v>62754.055638712402</v>
      </c>
      <c r="K93" s="187">
        <f t="shared" si="22"/>
        <v>65063.844164606788</v>
      </c>
      <c r="L93" s="187">
        <f t="shared" si="22"/>
        <v>67458.649076773319</v>
      </c>
      <c r="M93" s="187">
        <f t="shared" si="22"/>
        <v>69941.599573342086</v>
      </c>
      <c r="N93" s="187">
        <f t="shared" si="22"/>
        <v>72515.940028838057</v>
      </c>
      <c r="O93" s="187">
        <f t="shared" si="22"/>
        <v>75185.034233479688</v>
      </c>
      <c r="P93" s="1"/>
      <c r="Q93" s="1"/>
    </row>
    <row r="94" spans="1:17" x14ac:dyDescent="0.25">
      <c r="A94" s="102" t="s">
        <v>339</v>
      </c>
      <c r="B94" s="102" t="s">
        <v>32</v>
      </c>
      <c r="C94" s="22" t="s">
        <v>85</v>
      </c>
      <c r="D94" s="511">
        <f>($B$43*$C$28+$B$44*$C$29+$B$45*$C$30+$B$46*$C$32+$B$47*$C$33)*$C$24*(1+C$83)</f>
        <v>401599.20233782742</v>
      </c>
      <c r="E94" s="511">
        <f>($B$43*$C$28+$B$44*$C$29+$B$45*$C$30+$B$46*$C$32+$B$47*$C$33)*$C$24*(1+D$83)</f>
        <v>416404.5629006332</v>
      </c>
      <c r="F94" s="511">
        <f t="shared" ref="F94:O94" si="23">($C$43*$C$28+$C$44*$C$29+$C$45*$C$30+$C$46*$C$32+$C$47*$C$33)*$C$24*(1+E$83)</f>
        <v>432144.42183666647</v>
      </c>
      <c r="G94" s="511">
        <f t="shared" si="23"/>
        <v>448841.93455556786</v>
      </c>
      <c r="H94" s="511">
        <f t="shared" si="23"/>
        <v>474327.90717604983</v>
      </c>
      <c r="I94" s="511">
        <f t="shared" si="23"/>
        <v>485910.76668172394</v>
      </c>
      <c r="J94" s="511">
        <f t="shared" si="23"/>
        <v>498586.75138184824</v>
      </c>
      <c r="K94" s="187">
        <f t="shared" si="23"/>
        <v>512329.85077848117</v>
      </c>
      <c r="L94" s="187">
        <f t="shared" si="23"/>
        <v>527125.46916994522</v>
      </c>
      <c r="M94" s="187">
        <f t="shared" si="23"/>
        <v>542968.36114778009</v>
      </c>
      <c r="N94" s="187">
        <f t="shared" si="23"/>
        <v>568915.94542857085</v>
      </c>
      <c r="O94" s="187">
        <f t="shared" si="23"/>
        <v>596108.25141040492</v>
      </c>
      <c r="P94" s="1"/>
      <c r="Q94" s="1"/>
    </row>
    <row r="95" spans="1:17" x14ac:dyDescent="0.25">
      <c r="A95" s="102" t="s">
        <v>160</v>
      </c>
      <c r="B95" s="102" t="s">
        <v>32</v>
      </c>
      <c r="C95" s="22" t="s">
        <v>14</v>
      </c>
      <c r="D95" s="511">
        <f>($B$51*$C$28+$B$52*$C$29+$B$53*$C$31+$B$54*$C$32)*$C$24*(1+C$84)</f>
        <v>76453.562460674002</v>
      </c>
      <c r="E95" s="511">
        <f>($B$51*$C$28+$B$52*$C$29+$B$53*$C$31+$B$54*$C$32)*$C$24*(1+D$84)</f>
        <v>79267.58873416415</v>
      </c>
      <c r="F95" s="511">
        <f t="shared" ref="F95:O95" si="24">($C$51*$C$28+$C$52*$C$29+$C$53*$C$31+$C$54*$C$32)*$C$24*(1+E$84)</f>
        <v>82185.190872702748</v>
      </c>
      <c r="G95" s="511">
        <f t="shared" si="24"/>
        <v>85210.181193154029</v>
      </c>
      <c r="H95" s="511">
        <f t="shared" si="24"/>
        <v>88346.512332330603</v>
      </c>
      <c r="I95" s="511">
        <f t="shared" si="24"/>
        <v>91598.282411746957</v>
      </c>
      <c r="J95" s="511">
        <f t="shared" si="24"/>
        <v>94969.740392475796</v>
      </c>
      <c r="K95" s="187">
        <f t="shared" si="24"/>
        <v>98465.291627102109</v>
      </c>
      <c r="L95" s="187">
        <f t="shared" si="24"/>
        <v>102089.50361602062</v>
      </c>
      <c r="M95" s="187">
        <f t="shared" si="24"/>
        <v>105847.11197561544</v>
      </c>
      <c r="N95" s="187">
        <f t="shared" si="24"/>
        <v>109743.02662610188</v>
      </c>
      <c r="O95" s="187">
        <f t="shared" si="24"/>
        <v>113782.33820712908</v>
      </c>
      <c r="P95" s="1"/>
      <c r="Q95" s="1"/>
    </row>
    <row r="96" spans="1:17" x14ac:dyDescent="0.25">
      <c r="N96" s="131"/>
      <c r="O96" s="131"/>
      <c r="P96" s="1"/>
      <c r="Q96" s="1"/>
    </row>
    <row r="97" spans="1:17" s="3" customFormat="1" ht="30" customHeight="1" x14ac:dyDescent="0.25">
      <c r="A97" s="8" t="s">
        <v>598</v>
      </c>
      <c r="B97" s="8" t="s">
        <v>51</v>
      </c>
      <c r="C97" s="8" t="s">
        <v>81</v>
      </c>
      <c r="D97" s="302">
        <v>2021</v>
      </c>
      <c r="E97" s="302">
        <v>2022</v>
      </c>
      <c r="F97" s="302">
        <v>2023</v>
      </c>
      <c r="G97" s="302">
        <v>2024</v>
      </c>
      <c r="H97" s="302">
        <v>2025</v>
      </c>
      <c r="I97" s="302">
        <v>2026</v>
      </c>
      <c r="J97" s="302">
        <v>2027</v>
      </c>
      <c r="K97" s="307">
        <v>2028</v>
      </c>
      <c r="L97" s="4">
        <v>2029</v>
      </c>
      <c r="M97" s="4">
        <v>2030</v>
      </c>
      <c r="N97" s="84">
        <v>2031</v>
      </c>
      <c r="O97" s="84">
        <v>2032</v>
      </c>
    </row>
    <row r="98" spans="1:17" x14ac:dyDescent="0.25">
      <c r="A98" s="102" t="s">
        <v>340</v>
      </c>
      <c r="B98" s="82" t="s">
        <v>31</v>
      </c>
      <c r="C98" s="22" t="s">
        <v>85</v>
      </c>
      <c r="D98" s="511">
        <f>$F$48*$C$8*$C$14*$C$20*C$81/10^6*(1+C$83)</f>
        <v>0</v>
      </c>
      <c r="E98" s="511">
        <f>$F$48*$C$8*$C$14*$C$20*D$81/10^6*(1+D83)</f>
        <v>0</v>
      </c>
      <c r="F98" s="511">
        <f t="shared" ref="F98:O98" si="25">$G$48*$C$8*$C$14*$C$20*E$81/10^6*(1+E83)</f>
        <v>125805.29272184792</v>
      </c>
      <c r="G98" s="511">
        <f t="shared" si="25"/>
        <v>137282.26242188623</v>
      </c>
      <c r="H98" s="511">
        <f t="shared" si="25"/>
        <v>150321.13224501349</v>
      </c>
      <c r="I98" s="511">
        <f t="shared" si="25"/>
        <v>157931.22976865195</v>
      </c>
      <c r="J98" s="511">
        <f t="shared" si="25"/>
        <v>167563.13697774187</v>
      </c>
      <c r="K98" s="187">
        <f t="shared" si="25"/>
        <v>178223.33445924337</v>
      </c>
      <c r="L98" s="187">
        <f t="shared" si="25"/>
        <v>189974.69905106883</v>
      </c>
      <c r="M98" s="187">
        <f t="shared" si="25"/>
        <v>201286.85508351677</v>
      </c>
      <c r="N98" s="187">
        <f t="shared" si="25"/>
        <v>218453.36307559372</v>
      </c>
      <c r="O98" s="187">
        <f t="shared" si="25"/>
        <v>235045.43506553289</v>
      </c>
      <c r="P98" s="1"/>
      <c r="Q98" s="1"/>
    </row>
    <row r="99" spans="1:17" x14ac:dyDescent="0.25">
      <c r="A99" s="102"/>
      <c r="B99" s="82" t="s">
        <v>31</v>
      </c>
      <c r="C99" s="22" t="s">
        <v>14</v>
      </c>
      <c r="D99" s="511">
        <f>$F$55*$C$9*$C$15*$C$20*C$81/10^6*(1+C$84)</f>
        <v>1202664.1868348594</v>
      </c>
      <c r="E99" s="511">
        <f>$F$55*$C$9*$C$15*$C$20*D$81/10^6*(1+D$84)</f>
        <v>1298315.1522668223</v>
      </c>
      <c r="F99" s="511">
        <f t="shared" ref="F99:O99" si="26">$G$55*$C$9*$C$15*$C$20*E$81/10^6*(1+E$84)</f>
        <v>2259980.2482112418</v>
      </c>
      <c r="G99" s="511">
        <f t="shared" si="26"/>
        <v>2461804.523040418</v>
      </c>
      <c r="H99" s="511">
        <f t="shared" si="26"/>
        <v>2644672.1679797284</v>
      </c>
      <c r="I99" s="511">
        <f t="shared" si="26"/>
        <v>2812159.1764226882</v>
      </c>
      <c r="J99" s="511">
        <f t="shared" si="26"/>
        <v>3014838.6430125758</v>
      </c>
      <c r="K99" s="187">
        <f t="shared" si="26"/>
        <v>3235483.2057510759</v>
      </c>
      <c r="L99" s="187">
        <f t="shared" si="26"/>
        <v>3475393.0721513079</v>
      </c>
      <c r="M99" s="187">
        <f t="shared" si="26"/>
        <v>3706474.167840213</v>
      </c>
      <c r="N99" s="187">
        <f t="shared" si="26"/>
        <v>3980417.5882330164</v>
      </c>
      <c r="O99" s="187">
        <f t="shared" si="26"/>
        <v>4237821.0707210526</v>
      </c>
      <c r="P99" s="1"/>
      <c r="Q99" s="1"/>
    </row>
    <row r="100" spans="1:17" x14ac:dyDescent="0.25">
      <c r="A100" s="102" t="s">
        <v>341</v>
      </c>
      <c r="B100" s="102" t="s">
        <v>32</v>
      </c>
      <c r="C100" s="22" t="s">
        <v>85</v>
      </c>
      <c r="D100" s="511">
        <f>$F$48*$C$8*$C$14*C82*$C$21*(1+C$83)</f>
        <v>0</v>
      </c>
      <c r="E100" s="511">
        <f>$F$48*$C$8*$C$14*D82*$C$21*(1+D$83)</f>
        <v>0</v>
      </c>
      <c r="F100" s="511">
        <f t="shared" ref="F100:O100" si="27">$G$48*$C$8*$C$14*E82*$C$21*(1+E$83)</f>
        <v>47302.169460753394</v>
      </c>
      <c r="G100" s="511">
        <f t="shared" si="27"/>
        <v>48796.853695742095</v>
      </c>
      <c r="H100" s="511">
        <f t="shared" si="27"/>
        <v>49055.580749089691</v>
      </c>
      <c r="I100" s="511">
        <f t="shared" si="27"/>
        <v>50748.407054544674</v>
      </c>
      <c r="J100" s="511">
        <f t="shared" si="27"/>
        <v>52715.238543453699</v>
      </c>
      <c r="K100" s="187">
        <f t="shared" si="27"/>
        <v>54773.788453982808</v>
      </c>
      <c r="L100" s="187">
        <f t="shared" si="27"/>
        <v>57053.542974329175</v>
      </c>
      <c r="M100" s="187">
        <f t="shared" si="27"/>
        <v>59410.168414593136</v>
      </c>
      <c r="N100" s="187">
        <f t="shared" si="27"/>
        <v>63409.419825371428</v>
      </c>
      <c r="O100" s="187">
        <f t="shared" si="27"/>
        <v>67655.766667059346</v>
      </c>
      <c r="P100" s="1"/>
      <c r="Q100" s="1"/>
    </row>
    <row r="101" spans="1:17" x14ac:dyDescent="0.25">
      <c r="A101" s="102"/>
      <c r="B101" s="102" t="s">
        <v>32</v>
      </c>
      <c r="C101" s="22" t="s">
        <v>14</v>
      </c>
      <c r="D101" s="511">
        <f>$F$55*$C$9*$C$15*C82*$C$21*(1+C$84)</f>
        <v>499162.92158567865</v>
      </c>
      <c r="E101" s="511">
        <f>$F$55*$C$9*$C$15*D82*$C$21*(1+D$84)</f>
        <v>512269.39199166809</v>
      </c>
      <c r="F101" s="511">
        <f t="shared" ref="F101:O101" si="28">$G$55*$C$9*$C$15*E82*$C$21*(1+E$84)</f>
        <v>849741.42475230386</v>
      </c>
      <c r="G101" s="511">
        <f t="shared" si="28"/>
        <v>875046.14958303585</v>
      </c>
      <c r="H101" s="511">
        <f t="shared" si="28"/>
        <v>863058.48787606717</v>
      </c>
      <c r="I101" s="511">
        <f t="shared" si="28"/>
        <v>903637.60730747506</v>
      </c>
      <c r="J101" s="511">
        <f t="shared" si="28"/>
        <v>948465.99975948909</v>
      </c>
      <c r="K101" s="187">
        <f t="shared" si="28"/>
        <v>994368.51631092466</v>
      </c>
      <c r="L101" s="187">
        <f t="shared" si="28"/>
        <v>1043736.2921752445</v>
      </c>
      <c r="M101" s="187">
        <f t="shared" si="28"/>
        <v>1093972.3532585423</v>
      </c>
      <c r="N101" s="187">
        <f t="shared" si="28"/>
        <v>1155376.9023240926</v>
      </c>
      <c r="O101" s="187">
        <f t="shared" si="28"/>
        <v>1219819.6210767201</v>
      </c>
      <c r="P101" s="1"/>
      <c r="Q101" s="1"/>
    </row>
    <row r="102" spans="1:17" x14ac:dyDescent="0.25">
      <c r="N102" s="131"/>
      <c r="O102" s="131"/>
      <c r="P102" s="1"/>
      <c r="Q102" s="1"/>
    </row>
    <row r="103" spans="1:17" s="3" customFormat="1" ht="30" x14ac:dyDescent="0.25">
      <c r="A103" s="8" t="s">
        <v>43</v>
      </c>
      <c r="B103" s="8" t="s">
        <v>22</v>
      </c>
      <c r="C103" s="8"/>
      <c r="D103" s="302">
        <v>2021</v>
      </c>
      <c r="E103" s="302">
        <v>2022</v>
      </c>
      <c r="F103" s="302">
        <v>2023</v>
      </c>
      <c r="G103" s="302">
        <v>2024</v>
      </c>
      <c r="H103" s="302">
        <v>2025</v>
      </c>
      <c r="I103" s="302">
        <v>2026</v>
      </c>
      <c r="J103" s="302">
        <v>2027</v>
      </c>
      <c r="K103" s="307">
        <v>2028</v>
      </c>
      <c r="L103" s="4">
        <v>2029</v>
      </c>
      <c r="M103" s="4">
        <v>2030</v>
      </c>
      <c r="N103" s="84">
        <v>2031</v>
      </c>
      <c r="O103" s="84">
        <v>2032</v>
      </c>
    </row>
    <row r="104" spans="1:17" x14ac:dyDescent="0.25">
      <c r="A104" s="82" t="s">
        <v>337</v>
      </c>
      <c r="B104" s="82" t="s">
        <v>31</v>
      </c>
      <c r="C104" s="22" t="s">
        <v>85</v>
      </c>
      <c r="D104" s="511">
        <f>$H$48*$C$8*$C$14*C$80*(1+C$83)</f>
        <v>0</v>
      </c>
      <c r="E104" s="511">
        <f>$H$48*$C$8*$C$14*D$80*(1+D$83)</f>
        <v>0</v>
      </c>
      <c r="F104" s="511">
        <f t="shared" ref="F104:O104" si="29">$I$48*$C$8*$C$14*E$80*(1+E$83)</f>
        <v>78965.459896454719</v>
      </c>
      <c r="G104" s="511">
        <f t="shared" si="29"/>
        <v>82455.100904576189</v>
      </c>
      <c r="H104" s="511">
        <f t="shared" si="29"/>
        <v>88076.324479906165</v>
      </c>
      <c r="I104" s="511">
        <f t="shared" si="29"/>
        <v>90068.918206750866</v>
      </c>
      <c r="J104" s="511">
        <f t="shared" si="29"/>
        <v>92691.013589325812</v>
      </c>
      <c r="K104" s="187">
        <f t="shared" si="29"/>
        <v>95814.034063655432</v>
      </c>
      <c r="L104" s="187">
        <f t="shared" si="29"/>
        <v>99765.781233318034</v>
      </c>
      <c r="M104" s="187">
        <f t="shared" si="29"/>
        <v>103943.93292734274</v>
      </c>
      <c r="N104" s="187">
        <f t="shared" si="29"/>
        <v>109375.79554995894</v>
      </c>
      <c r="O104" s="187">
        <f t="shared" si="29"/>
        <v>115090.35112181299</v>
      </c>
      <c r="P104" s="1"/>
      <c r="Q104" s="1"/>
    </row>
    <row r="105" spans="1:17" x14ac:dyDescent="0.25">
      <c r="A105" s="82" t="s">
        <v>337</v>
      </c>
      <c r="B105" s="82" t="s">
        <v>31</v>
      </c>
      <c r="C105" s="22" t="s">
        <v>14</v>
      </c>
      <c r="D105" s="511">
        <f>$H$55*$C$9*$C$15*C$80*(1+C$84)</f>
        <v>822209.29294720234</v>
      </c>
      <c r="E105" s="511">
        <f>$H$55*$C$9*$C$15*D$80*(1+D$84)</f>
        <v>844943.17759207322</v>
      </c>
      <c r="F105" s="511">
        <f t="shared" ref="F105:O105" si="30">$I$55*$C$9*$C$15*E$80*(1+E$84)</f>
        <v>1418544.2901156445</v>
      </c>
      <c r="G105" s="511">
        <f t="shared" si="30"/>
        <v>1478620.302241452</v>
      </c>
      <c r="H105" s="511">
        <f t="shared" si="30"/>
        <v>1549569.2490547108</v>
      </c>
      <c r="I105" s="511">
        <f t="shared" si="30"/>
        <v>1603787.5169883254</v>
      </c>
      <c r="J105" s="511">
        <f t="shared" si="30"/>
        <v>1667720.3272114892</v>
      </c>
      <c r="K105" s="187">
        <f t="shared" si="30"/>
        <v>1739417.001869143</v>
      </c>
      <c r="L105" s="187">
        <f t="shared" si="30"/>
        <v>1825113.0633076041</v>
      </c>
      <c r="M105" s="187">
        <f t="shared" si="30"/>
        <v>1914012.2296563254</v>
      </c>
      <c r="N105" s="187">
        <f t="shared" si="30"/>
        <v>1992925.7861019173</v>
      </c>
      <c r="O105" s="187">
        <f t="shared" si="30"/>
        <v>2075055.4669769229</v>
      </c>
      <c r="P105" s="1"/>
      <c r="Q105" s="1"/>
    </row>
    <row r="106" spans="1:17" x14ac:dyDescent="0.25">
      <c r="A106" s="82" t="s">
        <v>337</v>
      </c>
      <c r="B106" s="82" t="s">
        <v>31</v>
      </c>
      <c r="C106" s="22" t="s">
        <v>15</v>
      </c>
      <c r="D106" s="519"/>
      <c r="E106" s="519"/>
      <c r="F106" s="519"/>
      <c r="G106" s="519"/>
      <c r="H106" s="511">
        <f>$H$65*$C$10*$C$16*G$80*(1+G$85)</f>
        <v>4636740.4863588307</v>
      </c>
      <c r="I106" s="511">
        <f t="shared" ref="I106:O106" si="31">$I$65*$C$10*$C$16*H$80*(1+H$85)</f>
        <v>4986321.3934468785</v>
      </c>
      <c r="J106" s="511">
        <f t="shared" si="31"/>
        <v>5114722.0793557083</v>
      </c>
      <c r="K106" s="187">
        <f t="shared" si="31"/>
        <v>5262219.140024784</v>
      </c>
      <c r="L106" s="187">
        <f t="shared" si="31"/>
        <v>5446561.5420650057</v>
      </c>
      <c r="M106" s="187">
        <f t="shared" si="31"/>
        <v>5634375.5832522186</v>
      </c>
      <c r="N106" s="187">
        <f t="shared" si="31"/>
        <v>5792166.8173075961</v>
      </c>
      <c r="O106" s="187">
        <f t="shared" si="31"/>
        <v>5950392.1325047147</v>
      </c>
      <c r="P106" s="1"/>
      <c r="Q106" s="1"/>
    </row>
    <row r="107" spans="1:17" ht="30" x14ac:dyDescent="0.25">
      <c r="A107" s="82" t="s">
        <v>337</v>
      </c>
      <c r="B107" s="82" t="s">
        <v>31</v>
      </c>
      <c r="C107" s="22" t="s">
        <v>768</v>
      </c>
      <c r="D107" s="519"/>
      <c r="E107" s="519"/>
      <c r="F107" s="519"/>
      <c r="G107" s="519"/>
      <c r="H107" s="519"/>
      <c r="I107" s="519"/>
      <c r="J107" s="511">
        <f>$H$70*$C$11*$C$17*I$80*(1+I$86)</f>
        <v>3666330.3241756223</v>
      </c>
      <c r="K107" s="187">
        <f>$I$70*$C$11*$C$17*J$80*(1+J$86)</f>
        <v>3901340.553298559</v>
      </c>
      <c r="L107" s="187">
        <f>$I$70*$C$11*$C$17*K$80*(1+K$86)</f>
        <v>3990345.8931880542</v>
      </c>
      <c r="M107" s="187">
        <f>$I$70*$C$11*$C$17*L$80*(1+L$86)</f>
        <v>4079391.1468515126</v>
      </c>
      <c r="N107" s="187">
        <f>$I$70*$C$11*$C$17*M$80*(1+M$86)</f>
        <v>4144617.9485601848</v>
      </c>
      <c r="O107" s="187">
        <f>$I$70*$C$11*$C$17*N$80*(1+N$86)</f>
        <v>4209587.5922939517</v>
      </c>
      <c r="P107" s="1"/>
      <c r="Q107" s="1"/>
    </row>
    <row r="108" spans="1:17" x14ac:dyDescent="0.25">
      <c r="A108" s="82" t="s">
        <v>337</v>
      </c>
      <c r="B108" s="82" t="s">
        <v>31</v>
      </c>
      <c r="C108" s="22" t="s">
        <v>769</v>
      </c>
      <c r="D108" s="519"/>
      <c r="E108" s="519"/>
      <c r="F108" s="519"/>
      <c r="G108" s="519"/>
      <c r="H108" s="519"/>
      <c r="I108" s="519"/>
      <c r="J108" s="519"/>
      <c r="K108" s="204"/>
      <c r="L108" s="187">
        <f>$H$77*$C$11*$C$17*K$80*(1+K$86)</f>
        <v>5071433.1370937061</v>
      </c>
      <c r="M108" s="187">
        <f>$I$77*$C$11*$C$17*L$80*(1+L$86)</f>
        <v>5426084.3161832364</v>
      </c>
      <c r="N108" s="187">
        <f>$I$77*$C$11*$C$17*M$80*(1+M$86)</f>
        <v>5512843.8626462873</v>
      </c>
      <c r="O108" s="187">
        <f>$I$77*$C$11*$C$17*N$80*(1+N$86)</f>
        <v>5599261.3578560539</v>
      </c>
      <c r="P108" s="1"/>
      <c r="Q108" s="1"/>
    </row>
    <row r="109" spans="1:17" x14ac:dyDescent="0.25">
      <c r="A109" s="82" t="s">
        <v>338</v>
      </c>
      <c r="B109" s="82" t="s">
        <v>62</v>
      </c>
      <c r="C109" s="22" t="s">
        <v>85</v>
      </c>
      <c r="D109" s="511">
        <f>($D$43*$D$28+$D$44*$D$29+$D$45*$D$30+$D$46*$D$32+$D$47*$D$33)*(1+C$83)*$C$24</f>
        <v>167682.57159611568</v>
      </c>
      <c r="E109" s="511">
        <f>($D$43*$D$28+$D$44*$D$29+$D$45*$D$30+$D$46*$D$32+$D$47*$D$33)*(1+D$83)*$C$24</f>
        <v>173864.35910497286</v>
      </c>
      <c r="F109" s="511">
        <f t="shared" ref="F109:O109" si="32">($E$43*$D$28+$E$44*$D$29+$E$45*$D$30+$E$46*$D$32+$E$47*$D$33)*(1+E$83)*$C$24</f>
        <v>180436.33436685093</v>
      </c>
      <c r="G109" s="511">
        <f t="shared" si="32"/>
        <v>187408.16562464551</v>
      </c>
      <c r="H109" s="511">
        <f t="shared" si="32"/>
        <v>198049.50505896957</v>
      </c>
      <c r="I109" s="511">
        <f t="shared" si="32"/>
        <v>202885.77877923986</v>
      </c>
      <c r="J109" s="511">
        <f t="shared" si="32"/>
        <v>208178.47283753593</v>
      </c>
      <c r="K109" s="187">
        <f t="shared" si="32"/>
        <v>213916.72688563509</v>
      </c>
      <c r="L109" s="187">
        <f t="shared" si="32"/>
        <v>220094.44667639423</v>
      </c>
      <c r="M109" s="187">
        <f t="shared" si="32"/>
        <v>226709.44205710743</v>
      </c>
      <c r="N109" s="187">
        <f t="shared" si="32"/>
        <v>237543.52149148312</v>
      </c>
      <c r="O109" s="187">
        <f t="shared" si="32"/>
        <v>248897.31843161437</v>
      </c>
      <c r="P109" s="1"/>
      <c r="Q109" s="1"/>
    </row>
    <row r="110" spans="1:17" x14ac:dyDescent="0.25">
      <c r="A110" s="82" t="s">
        <v>338</v>
      </c>
      <c r="B110" s="82" t="s">
        <v>62</v>
      </c>
      <c r="C110" s="22" t="s">
        <v>14</v>
      </c>
      <c r="D110" s="511">
        <f>($D$51*$D$28+$D$52*$D$29+$D$53*$D$31+$D$54*$D$32)*$C$24*(1+C$84)</f>
        <v>50518.945219892637</v>
      </c>
      <c r="E110" s="511">
        <f>($D$51*$D$28+$D$52*$D$29+$D$53*$D$31+$D$54*$D$32)*$C$24*(1+D$84)</f>
        <v>52378.396036601313</v>
      </c>
      <c r="F110" s="511">
        <f t="shared" ref="F110:O110" si="33">($E$51*$D$28+$E$52*$D$29+$E$53*$D$31+$E$54*$D$32)*$C$24*(1+E$84)</f>
        <v>54306.287659520633</v>
      </c>
      <c r="G110" s="511">
        <f t="shared" si="33"/>
        <v>56305.139189404421</v>
      </c>
      <c r="H110" s="511">
        <f t="shared" si="33"/>
        <v>58377.562447548939</v>
      </c>
      <c r="I110" s="511">
        <f t="shared" si="33"/>
        <v>60526.265388556043</v>
      </c>
      <c r="J110" s="511">
        <f t="shared" si="33"/>
        <v>62754.055638712402</v>
      </c>
      <c r="K110" s="187">
        <f t="shared" si="33"/>
        <v>65063.844164606788</v>
      </c>
      <c r="L110" s="187">
        <f t="shared" si="33"/>
        <v>67458.649076773319</v>
      </c>
      <c r="M110" s="187">
        <f t="shared" si="33"/>
        <v>69941.599573342086</v>
      </c>
      <c r="N110" s="187">
        <f t="shared" si="33"/>
        <v>72515.940028838057</v>
      </c>
      <c r="O110" s="187">
        <f t="shared" si="33"/>
        <v>75185.034233479688</v>
      </c>
      <c r="P110" s="1"/>
      <c r="Q110" s="1"/>
    </row>
    <row r="111" spans="1:17" x14ac:dyDescent="0.25">
      <c r="A111" s="82" t="s">
        <v>338</v>
      </c>
      <c r="B111" s="82" t="s">
        <v>62</v>
      </c>
      <c r="C111" s="22" t="s">
        <v>15</v>
      </c>
      <c r="D111" s="519"/>
      <c r="E111" s="519"/>
      <c r="F111" s="519"/>
      <c r="G111" s="519"/>
      <c r="H111" s="511">
        <f>($D$58*$D$28+$D$59*$D$29+$D$60*$D$31+$D$61*$D$32+$D$62*$D$33+$D$63*$D$35+$D$64*$D$36)*$C$24*(1+G$85)</f>
        <v>274078.93773522467</v>
      </c>
      <c r="I111" s="511">
        <f t="shared" ref="I111:O111" si="34">($E$58*$D$28+$E$59*$D$29+$E$60*$D$31+$E$61*$D$32+$E$62*$D$33+$E$63*$D$35+$E$64*$D$36)*$C$24*(1+H$85)</f>
        <v>282120.71915449109</v>
      </c>
      <c r="J111" s="511">
        <f t="shared" si="34"/>
        <v>288534.854217257</v>
      </c>
      <c r="K111" s="187">
        <f t="shared" si="34"/>
        <v>295095.51167111786</v>
      </c>
      <c r="L111" s="187">
        <f t="shared" si="34"/>
        <v>301806.05402606894</v>
      </c>
      <c r="M111" s="187">
        <f t="shared" si="34"/>
        <v>308669.92130000971</v>
      </c>
      <c r="N111" s="187">
        <f t="shared" si="34"/>
        <v>315966.53075114696</v>
      </c>
      <c r="O111" s="187">
        <f t="shared" si="34"/>
        <v>323225.00016066374</v>
      </c>
      <c r="P111" s="1"/>
      <c r="Q111" s="1"/>
    </row>
    <row r="112" spans="1:17" ht="30" x14ac:dyDescent="0.25">
      <c r="A112" s="82" t="s">
        <v>338</v>
      </c>
      <c r="B112" s="82" t="s">
        <v>62</v>
      </c>
      <c r="C112" s="22" t="s">
        <v>768</v>
      </c>
      <c r="D112" s="519"/>
      <c r="E112" s="519"/>
      <c r="F112" s="519"/>
      <c r="G112" s="519"/>
      <c r="H112" s="519"/>
      <c r="I112" s="519"/>
      <c r="J112" s="511">
        <f>($D$68*$D$28+$D$69*$D$29)*$C$24*(1+I$86)</f>
        <v>509841.2207109927</v>
      </c>
      <c r="K112" s="187">
        <f>($E$68*$D$28+$E$69*$D$29)*$C$24*(1+J$86)</f>
        <v>515257.75770837773</v>
      </c>
      <c r="L112" s="187">
        <f>($E$68*$D$28+$E$69*$D$29)*$C$24*(1+K$86)</f>
        <v>520754.555752202</v>
      </c>
      <c r="M112" s="187">
        <f>($E$68*$D$28+$E$69*$D$29)*$C$24*(1+L$86)</f>
        <v>526333.32676411746</v>
      </c>
      <c r="N112" s="187">
        <f>($E$68*$D$28+$E$69*$D$29)*$C$24*(1+M$86)</f>
        <v>532477.82563099021</v>
      </c>
      <c r="O112" s="187">
        <f>($E$68*$D$28+$E$69*$D$29)*$C$24*(1+N$86)</f>
        <v>538537.45194600301</v>
      </c>
      <c r="P112" s="1"/>
      <c r="Q112" s="1"/>
    </row>
    <row r="113" spans="1:17" x14ac:dyDescent="0.25">
      <c r="A113" s="82" t="s">
        <v>338</v>
      </c>
      <c r="B113" s="82" t="s">
        <v>62</v>
      </c>
      <c r="C113" s="22" t="s">
        <v>769</v>
      </c>
      <c r="D113" s="519"/>
      <c r="E113" s="519"/>
      <c r="F113" s="519"/>
      <c r="G113" s="519"/>
      <c r="H113" s="519"/>
      <c r="I113" s="519"/>
      <c r="J113" s="519"/>
      <c r="K113" s="204"/>
      <c r="L113" s="187">
        <f>($D$73*$D$34+$D$74*$D$35+$D$75*$D$36+$D$76*$D$37)*$C$24*(1+K$86)</f>
        <v>0</v>
      </c>
      <c r="M113" s="187">
        <f>($E$73*$D$34+$E$74*$D$35+$E$75*$D$36+$E$76*$D$37)*$C$24*(1+L$86)</f>
        <v>0</v>
      </c>
      <c r="N113" s="187">
        <f>($E$73*$D$34+$E$74*$D$35+$E$75*$D$36+$E$76*$D$37)*$C$24*(1+M$86)</f>
        <v>0</v>
      </c>
      <c r="O113" s="187">
        <f>($E$73*$D$34+$E$74*$D$35+$E$75*$D$36+$E$76*$D$37)*$C$24*(1+N$86)</f>
        <v>0</v>
      </c>
      <c r="P113" s="1"/>
      <c r="Q113" s="1"/>
    </row>
    <row r="114" spans="1:17" x14ac:dyDescent="0.25">
      <c r="A114" s="82" t="s">
        <v>339</v>
      </c>
      <c r="B114" s="102" t="s">
        <v>32</v>
      </c>
      <c r="C114" s="22" t="s">
        <v>85</v>
      </c>
      <c r="D114" s="511">
        <f>($D$43*$E$28+$D$44*$E$29+$D$45*$E$30+$D$46*$E$32+$D$47*$E$33)*(1+C$83)*$C$24</f>
        <v>429714.39690700226</v>
      </c>
      <c r="E114" s="511">
        <f>($D$43*$E$28+$D$44*$E$29+$D$45*$E$30+$D$46*$E$32+$D$47*$E$33)*(1+D$83)*$C$24</f>
        <v>445556.25253868994</v>
      </c>
      <c r="F114" s="511">
        <f t="shared" ref="F114:O114" si="35">($E$43*$E$28+$E$44*$E$29+$E$45*$E$30+$E$46*$E$32+$E$47*$E$33)*(1+E$83)*$C$24</f>
        <v>462398.02899323881</v>
      </c>
      <c r="G114" s="511">
        <f t="shared" si="35"/>
        <v>480264.50274637621</v>
      </c>
      <c r="H114" s="511">
        <f t="shared" si="35"/>
        <v>507534.69972497021</v>
      </c>
      <c r="I114" s="511">
        <f t="shared" si="35"/>
        <v>519928.45314371417</v>
      </c>
      <c r="J114" s="511">
        <f t="shared" si="35"/>
        <v>533491.85936789832</v>
      </c>
      <c r="K114" s="187">
        <f t="shared" si="35"/>
        <v>548197.08695420541</v>
      </c>
      <c r="L114" s="187">
        <f t="shared" si="35"/>
        <v>564028.51838370762</v>
      </c>
      <c r="M114" s="187">
        <f t="shared" si="35"/>
        <v>580980.54102689819</v>
      </c>
      <c r="N114" s="187">
        <f t="shared" si="35"/>
        <v>608744.6662181482</v>
      </c>
      <c r="O114" s="187">
        <f t="shared" si="35"/>
        <v>637840.65370386315</v>
      </c>
      <c r="P114" s="1"/>
      <c r="Q114" s="1"/>
    </row>
    <row r="115" spans="1:17" x14ac:dyDescent="0.25">
      <c r="A115" s="82" t="s">
        <v>339</v>
      </c>
      <c r="B115" s="102" t="s">
        <v>32</v>
      </c>
      <c r="C115" s="22" t="s">
        <v>14</v>
      </c>
      <c r="D115" s="511">
        <f>($D$51*$E$28+$D$52*$E$29+$D$53*$E$31+$D$54*$E$32)*$C$24*(1+C$84)</f>
        <v>76453.562460674002</v>
      </c>
      <c r="E115" s="511">
        <f>($D$51*$E$28+$D$52*$E$29+$D$53*$E$31+$D$54*$E$32)*$C$24*(1+D$84)</f>
        <v>79267.58873416415</v>
      </c>
      <c r="F115" s="511">
        <f t="shared" ref="F115:O115" si="36">($E$51*$E$28+$E$52*$E$29+$E$53*$E$31+$E$54*$E$32)*$C$24*(1+E$84)</f>
        <v>82185.190872702748</v>
      </c>
      <c r="G115" s="511">
        <f t="shared" si="36"/>
        <v>85210.181193154029</v>
      </c>
      <c r="H115" s="511">
        <f t="shared" si="36"/>
        <v>88346.512332330603</v>
      </c>
      <c r="I115" s="511">
        <f t="shared" si="36"/>
        <v>91598.282411746957</v>
      </c>
      <c r="J115" s="511">
        <f t="shared" si="36"/>
        <v>94969.740392475796</v>
      </c>
      <c r="K115" s="187">
        <f t="shared" si="36"/>
        <v>98465.291627102109</v>
      </c>
      <c r="L115" s="187">
        <f t="shared" si="36"/>
        <v>102089.50361602062</v>
      </c>
      <c r="M115" s="187">
        <f t="shared" si="36"/>
        <v>105847.11197561544</v>
      </c>
      <c r="N115" s="187">
        <f t="shared" si="36"/>
        <v>109743.02662610188</v>
      </c>
      <c r="O115" s="187">
        <f t="shared" si="36"/>
        <v>113782.33820712908</v>
      </c>
      <c r="P115" s="1"/>
      <c r="Q115" s="1"/>
    </row>
    <row r="116" spans="1:17" x14ac:dyDescent="0.25">
      <c r="A116" s="82" t="s">
        <v>339</v>
      </c>
      <c r="B116" s="102" t="s">
        <v>32</v>
      </c>
      <c r="C116" s="22" t="s">
        <v>15</v>
      </c>
      <c r="D116" s="519"/>
      <c r="E116" s="519"/>
      <c r="F116" s="519"/>
      <c r="G116" s="519"/>
      <c r="H116" s="511">
        <f>($D$58*$E$28+$D$59*$E$29+$D$60*$E$31+$D$61*$E$32+$D$62*$E$33+$D$63*$E$35+$D$64*$E$36)*$C$24*(1+G$85)</f>
        <v>2691221.9098894936</v>
      </c>
      <c r="I116" s="511">
        <f t="shared" ref="I116:O116" si="37">($E$58*$E$28+$E$59*$E$29+$E$60*$E$31+$E$61*$E$32+$E$62*$E$33+$E$63*$E$35+$E$64*$E$36)*$C$24*(1+H$85)</f>
        <v>2770185.3593573966</v>
      </c>
      <c r="J116" s="511">
        <f t="shared" si="37"/>
        <v>2833166.7068354068</v>
      </c>
      <c r="K116" s="187">
        <f t="shared" si="37"/>
        <v>2897586.7794940621</v>
      </c>
      <c r="L116" s="187">
        <f t="shared" si="37"/>
        <v>2963478.594319805</v>
      </c>
      <c r="M116" s="187">
        <f t="shared" si="37"/>
        <v>3030875.9293607343</v>
      </c>
      <c r="N116" s="187">
        <f t="shared" si="37"/>
        <v>3102522.4242905178</v>
      </c>
      <c r="O116" s="187">
        <f t="shared" si="37"/>
        <v>3173794.4164711987</v>
      </c>
      <c r="P116" s="1"/>
      <c r="Q116" s="1"/>
    </row>
    <row r="117" spans="1:17" ht="30" x14ac:dyDescent="0.25">
      <c r="A117" s="82" t="s">
        <v>339</v>
      </c>
      <c r="B117" s="102" t="s">
        <v>32</v>
      </c>
      <c r="C117" s="22" t="s">
        <v>768</v>
      </c>
      <c r="D117" s="519"/>
      <c r="E117" s="519"/>
      <c r="F117" s="519"/>
      <c r="G117" s="519"/>
      <c r="H117" s="519"/>
      <c r="I117" s="519"/>
      <c r="J117" s="511">
        <f>($D$68*$E$28+$D$69*$E$29)*$C$24*(1+I$86)</f>
        <v>897710.85751983419</v>
      </c>
      <c r="K117" s="187">
        <f>($E$68*$E$28+$E$69*$E$29)*$C$24*(1+J$86)</f>
        <v>907248.10926642595</v>
      </c>
      <c r="L117" s="187">
        <f>($E$68*$E$28+$E$69*$E$29)*$C$24*(1+K$86)</f>
        <v>916926.68189861404</v>
      </c>
      <c r="M117" s="187">
        <f>($E$68*$E$28+$E$69*$E$29)*$C$24*(1+L$86)</f>
        <v>926749.58970906818</v>
      </c>
      <c r="N117" s="187">
        <f>($E$68*$E$28+$E$69*$E$29)*$C$24*(1+M$86)</f>
        <v>937568.61163734167</v>
      </c>
      <c r="O117" s="187">
        <f>($E$68*$E$28+$E$69*$E$29)*$C$24*(1+N$86)</f>
        <v>948238.19290013926</v>
      </c>
      <c r="P117" s="1"/>
      <c r="Q117" s="1"/>
    </row>
    <row r="118" spans="1:17" x14ac:dyDescent="0.25">
      <c r="A118" s="82" t="s">
        <v>339</v>
      </c>
      <c r="B118" s="102" t="s">
        <v>32</v>
      </c>
      <c r="C118" s="22" t="s">
        <v>769</v>
      </c>
      <c r="D118" s="519"/>
      <c r="E118" s="519"/>
      <c r="F118" s="519"/>
      <c r="G118" s="519"/>
      <c r="H118" s="519"/>
      <c r="I118" s="519"/>
      <c r="J118" s="519"/>
      <c r="K118" s="204"/>
      <c r="L118" s="187">
        <f>($D$73*$E$34+$D$74*$E$35+$D$75*$E$36+$D$76*$E$37)*$C$24*(1+K$86)</f>
        <v>1912059.0103161368</v>
      </c>
      <c r="M118" s="187">
        <f>($E$73*$E$34+$E$74*$E$35+$E$75*$E$36+$E$76*$E$37)*$C$24*(1+L$86)</f>
        <v>1932542.6321337428</v>
      </c>
      <c r="N118" s="187">
        <f>($E$73*$E$34+$E$74*$E$35+$E$75*$E$36+$E$76*$E$37)*$C$24*(1+M$86)</f>
        <v>1955103.4418136715</v>
      </c>
      <c r="O118" s="187">
        <f>($E$73*$E$34+$E$74*$E$35+$E$75*$E$36+$E$76*$E$37)*$C$24*(1+N$86)</f>
        <v>1977352.6242102289</v>
      </c>
      <c r="P118" s="1"/>
      <c r="Q118" s="1"/>
    </row>
    <row r="119" spans="1:17" x14ac:dyDescent="0.25">
      <c r="N119" s="131"/>
      <c r="O119" s="131"/>
      <c r="P119" s="1"/>
      <c r="Q119" s="1"/>
    </row>
    <row r="120" spans="1:17" s="3" customFormat="1" ht="30" customHeight="1" x14ac:dyDescent="0.25">
      <c r="A120" s="8" t="s">
        <v>342</v>
      </c>
      <c r="B120" s="8" t="s">
        <v>51</v>
      </c>
      <c r="C120" s="8"/>
      <c r="D120" s="302">
        <v>2021</v>
      </c>
      <c r="E120" s="302">
        <v>2022</v>
      </c>
      <c r="F120" s="302">
        <v>2023</v>
      </c>
      <c r="G120" s="302">
        <v>2024</v>
      </c>
      <c r="H120" s="302">
        <v>2025</v>
      </c>
      <c r="I120" s="302">
        <v>2026</v>
      </c>
      <c r="J120" s="302">
        <v>2027</v>
      </c>
      <c r="K120" s="307">
        <v>2028</v>
      </c>
      <c r="L120" s="4">
        <v>2029</v>
      </c>
      <c r="M120" s="4">
        <v>2030</v>
      </c>
      <c r="N120" s="84">
        <v>2031</v>
      </c>
      <c r="O120" s="84">
        <v>2032</v>
      </c>
    </row>
    <row r="121" spans="1:17" x14ac:dyDescent="0.25">
      <c r="A121" s="82" t="s">
        <v>340</v>
      </c>
      <c r="B121" s="82" t="s">
        <v>31</v>
      </c>
      <c r="C121" s="22" t="s">
        <v>85</v>
      </c>
      <c r="D121" s="511">
        <f>$H$48*$C$8*$C$14*$C$20*C$81/10^6*(1+C$83)</f>
        <v>0</v>
      </c>
      <c r="E121" s="511">
        <f>$H$48*$C$8*$C$14*$C$20*D$81/10^6*(1+D$83)</f>
        <v>0</v>
      </c>
      <c r="F121" s="511">
        <f t="shared" ref="F121:O121" si="38">$I$48*$C$8*$C$14*$C$20*E$81/10^6*(1+E$83)</f>
        <v>125805.29272184792</v>
      </c>
      <c r="G121" s="511">
        <f t="shared" si="38"/>
        <v>137282.26242188623</v>
      </c>
      <c r="H121" s="511">
        <f t="shared" si="38"/>
        <v>150321.13224501349</v>
      </c>
      <c r="I121" s="511">
        <f t="shared" si="38"/>
        <v>157931.22976865195</v>
      </c>
      <c r="J121" s="511">
        <f t="shared" si="38"/>
        <v>167563.13697774187</v>
      </c>
      <c r="K121" s="187">
        <f t="shared" si="38"/>
        <v>178223.33445924337</v>
      </c>
      <c r="L121" s="187">
        <f t="shared" si="38"/>
        <v>189974.69905106883</v>
      </c>
      <c r="M121" s="187">
        <f t="shared" si="38"/>
        <v>201286.85508351677</v>
      </c>
      <c r="N121" s="187">
        <f t="shared" si="38"/>
        <v>218453.36307559372</v>
      </c>
      <c r="O121" s="187">
        <f t="shared" si="38"/>
        <v>235045.43506553289</v>
      </c>
      <c r="P121" s="1"/>
      <c r="Q121" s="1"/>
    </row>
    <row r="122" spans="1:17" x14ac:dyDescent="0.25">
      <c r="A122" s="82" t="s">
        <v>340</v>
      </c>
      <c r="B122" s="82" t="s">
        <v>31</v>
      </c>
      <c r="C122" s="22" t="s">
        <v>14</v>
      </c>
      <c r="D122" s="511">
        <f>$H$55*$C$9*$C$15*$C$20*C$81/10^6*(1+C$84)</f>
        <v>1202664.1868348594</v>
      </c>
      <c r="E122" s="511">
        <f>$H$55*$C$9*$C$15*$C$20*D$81/10^6*(1+D$84)</f>
        <v>1298315.1522668223</v>
      </c>
      <c r="F122" s="511">
        <f t="shared" ref="F122:O122" si="39">$I$55*$C$9*$C$15*$C$20*E$81/10^6*(1+E$84)</f>
        <v>2259980.2482112418</v>
      </c>
      <c r="G122" s="511">
        <f t="shared" si="39"/>
        <v>2461804.523040418</v>
      </c>
      <c r="H122" s="511">
        <f t="shared" si="39"/>
        <v>2644672.1679797284</v>
      </c>
      <c r="I122" s="511">
        <f t="shared" si="39"/>
        <v>2812159.1764226882</v>
      </c>
      <c r="J122" s="511">
        <f t="shared" si="39"/>
        <v>3014838.6430125758</v>
      </c>
      <c r="K122" s="187">
        <f t="shared" si="39"/>
        <v>3235483.2057510759</v>
      </c>
      <c r="L122" s="187">
        <f t="shared" si="39"/>
        <v>3475393.0721513079</v>
      </c>
      <c r="M122" s="187">
        <f t="shared" si="39"/>
        <v>3706474.167840213</v>
      </c>
      <c r="N122" s="187">
        <f t="shared" si="39"/>
        <v>3980417.5882330164</v>
      </c>
      <c r="O122" s="187">
        <f t="shared" si="39"/>
        <v>4237821.0707210526</v>
      </c>
      <c r="P122" s="1"/>
      <c r="Q122" s="1"/>
    </row>
    <row r="123" spans="1:17" x14ac:dyDescent="0.25">
      <c r="A123" s="82" t="s">
        <v>340</v>
      </c>
      <c r="B123" s="82" t="s">
        <v>31</v>
      </c>
      <c r="C123" s="22" t="s">
        <v>15</v>
      </c>
      <c r="D123" s="519"/>
      <c r="E123" s="519"/>
      <c r="F123" s="519"/>
      <c r="G123" s="519"/>
      <c r="H123" s="511">
        <f>$H$65*$C$10*$C$16*$C$20*G$81/10^6*(1+G$85)</f>
        <v>7913591.8074643146</v>
      </c>
      <c r="I123" s="511">
        <f t="shared" ref="I123:O123" si="40">$I$65*$C$10*$C$16*$C$20*H$81/10^6*(1+H$85)</f>
        <v>8743258.8885005508</v>
      </c>
      <c r="J123" s="511">
        <f t="shared" si="40"/>
        <v>9246191.6554643977</v>
      </c>
      <c r="K123" s="187">
        <f t="shared" si="40"/>
        <v>9788234.5833324883</v>
      </c>
      <c r="L123" s="187">
        <f t="shared" si="40"/>
        <v>10371380.617940482</v>
      </c>
      <c r="M123" s="187">
        <f t="shared" si="40"/>
        <v>10910937.363751218</v>
      </c>
      <c r="N123" s="187">
        <f t="shared" si="40"/>
        <v>11568540.501794569</v>
      </c>
      <c r="O123" s="187">
        <f t="shared" si="40"/>
        <v>12152300.292444037</v>
      </c>
      <c r="P123" s="1"/>
      <c r="Q123" s="1"/>
    </row>
    <row r="124" spans="1:17" ht="30" x14ac:dyDescent="0.25">
      <c r="A124" s="82" t="s">
        <v>340</v>
      </c>
      <c r="B124" s="82" t="s">
        <v>31</v>
      </c>
      <c r="C124" s="22" t="s">
        <v>768</v>
      </c>
      <c r="D124" s="519"/>
      <c r="E124" s="519"/>
      <c r="F124" s="519"/>
      <c r="G124" s="519"/>
      <c r="H124" s="519"/>
      <c r="I124" s="519"/>
      <c r="J124" s="511">
        <f>$H$70*$C$11*$C$17*$C$20*I$81/10^6*(1+I$86)</f>
        <v>6627846.5034094248</v>
      </c>
      <c r="K124" s="187">
        <f>$I$70*$C$11*$C$17*$C$20*J$81/10^6*(1+J$86)</f>
        <v>7256869.2996268133</v>
      </c>
      <c r="L124" s="187">
        <f>$I$70*$C$11*$C$17*$C$20*K$81/10^6*(1+K$86)</f>
        <v>7598444.5848743971</v>
      </c>
      <c r="M124" s="187">
        <f>$I$70*$C$11*$C$17*$C$20*L$81/10^6*(1+L$86)</f>
        <v>7899718.5451819841</v>
      </c>
      <c r="N124" s="187">
        <f>$I$70*$C$11*$C$17*$C$20*M$81/10^6*(1+M$86)</f>
        <v>8277935.0309994649</v>
      </c>
      <c r="O124" s="187">
        <f>$I$70*$C$11*$C$17*$C$20*N$81/10^6*(1+N$86)</f>
        <v>8597109.4660225809</v>
      </c>
      <c r="P124" s="1"/>
      <c r="Q124" s="1"/>
    </row>
    <row r="125" spans="1:17" x14ac:dyDescent="0.25">
      <c r="A125" s="82" t="s">
        <v>340</v>
      </c>
      <c r="B125" s="82" t="s">
        <v>31</v>
      </c>
      <c r="C125" s="22" t="s">
        <v>769</v>
      </c>
      <c r="D125" s="519"/>
      <c r="E125" s="519"/>
      <c r="F125" s="519"/>
      <c r="G125" s="519"/>
      <c r="H125" s="519"/>
      <c r="I125" s="519"/>
      <c r="J125" s="519"/>
      <c r="K125" s="204"/>
      <c r="L125" s="187">
        <f>$H$77*$C$11*$C$17*$C$20*K$81/10^6*(1+K$86)</f>
        <v>9657058.4830466956</v>
      </c>
      <c r="M125" s="187">
        <f>$I$77*$C$11*$C$17*$C$20*L$81/10^6*(1+L$86)</f>
        <v>10507582.46934884</v>
      </c>
      <c r="N125" s="187">
        <f>$I$77*$C$11*$C$17*$C$20*M$81/10^6*(1+M$86)</f>
        <v>11010656.204604676</v>
      </c>
      <c r="O125" s="187">
        <f>$I$77*$C$11*$C$17*$C$20*N$81/10^6*(1+N$86)</f>
        <v>11435196.861202963</v>
      </c>
      <c r="P125" s="1"/>
      <c r="Q125" s="1"/>
    </row>
    <row r="126" spans="1:17" x14ac:dyDescent="0.25">
      <c r="A126" s="82" t="s">
        <v>341</v>
      </c>
      <c r="B126" s="82" t="s">
        <v>32</v>
      </c>
      <c r="C126" s="22" t="s">
        <v>85</v>
      </c>
      <c r="D126" s="511">
        <f>$H$48*$C$8*$C$14*C82*$C$21*(1+C$83)</f>
        <v>0</v>
      </c>
      <c r="E126" s="511">
        <f>$H$48*$C$8*$C$14*D82*$C$21*(1+D$83)</f>
        <v>0</v>
      </c>
      <c r="F126" s="511">
        <f t="shared" ref="F126:O126" si="41">$I$48*$C$8*$C$14*E82*$C$21*(1+E$83)</f>
        <v>47302.169460753394</v>
      </c>
      <c r="G126" s="511">
        <f t="shared" si="41"/>
        <v>48796.853695742095</v>
      </c>
      <c r="H126" s="511">
        <f t="shared" si="41"/>
        <v>49055.580749089691</v>
      </c>
      <c r="I126" s="511">
        <f t="shared" si="41"/>
        <v>50748.407054544674</v>
      </c>
      <c r="J126" s="511">
        <f t="shared" si="41"/>
        <v>52715.238543453699</v>
      </c>
      <c r="K126" s="187">
        <f t="shared" si="41"/>
        <v>54773.788453982808</v>
      </c>
      <c r="L126" s="187">
        <f t="shared" si="41"/>
        <v>57053.542974329175</v>
      </c>
      <c r="M126" s="187">
        <f t="shared" si="41"/>
        <v>59410.168414593136</v>
      </c>
      <c r="N126" s="187">
        <f t="shared" si="41"/>
        <v>63409.419825371428</v>
      </c>
      <c r="O126" s="187">
        <f t="shared" si="41"/>
        <v>67655.766667059346</v>
      </c>
      <c r="P126" s="1"/>
      <c r="Q126" s="1"/>
    </row>
    <row r="127" spans="1:17" x14ac:dyDescent="0.25">
      <c r="A127" s="82" t="s">
        <v>341</v>
      </c>
      <c r="B127" s="82" t="s">
        <v>32</v>
      </c>
      <c r="C127" s="22" t="s">
        <v>14</v>
      </c>
      <c r="D127" s="511">
        <f>$H$55*$C$9*$C$15*C82*$C$21*(1+C$84)</f>
        <v>499162.92158567865</v>
      </c>
      <c r="E127" s="511">
        <f>$H$55*$C$9*$C$15*D82*$C$21*(1+D$84)</f>
        <v>512269.39199166809</v>
      </c>
      <c r="F127" s="511">
        <f t="shared" ref="F127:O127" si="42">$I$55*$C$9*$C$15*E82*$C$21*(1+E$84)</f>
        <v>849741.42475230386</v>
      </c>
      <c r="G127" s="511">
        <f t="shared" si="42"/>
        <v>875046.14958303585</v>
      </c>
      <c r="H127" s="511">
        <f t="shared" si="42"/>
        <v>863058.48787606717</v>
      </c>
      <c r="I127" s="511">
        <f t="shared" si="42"/>
        <v>903637.60730747506</v>
      </c>
      <c r="J127" s="511">
        <f t="shared" si="42"/>
        <v>948465.99975948909</v>
      </c>
      <c r="K127" s="187">
        <f t="shared" si="42"/>
        <v>994368.51631092466</v>
      </c>
      <c r="L127" s="187">
        <f t="shared" si="42"/>
        <v>1043736.2921752445</v>
      </c>
      <c r="M127" s="187">
        <f t="shared" si="42"/>
        <v>1093972.3532585423</v>
      </c>
      <c r="N127" s="187">
        <f t="shared" si="42"/>
        <v>1155376.9023240926</v>
      </c>
      <c r="O127" s="187">
        <f t="shared" si="42"/>
        <v>1219819.6210767201</v>
      </c>
      <c r="P127" s="1"/>
      <c r="Q127" s="1"/>
    </row>
    <row r="128" spans="1:17" x14ac:dyDescent="0.25">
      <c r="A128" s="82" t="s">
        <v>341</v>
      </c>
      <c r="B128" s="82" t="s">
        <v>32</v>
      </c>
      <c r="C128" s="22" t="s">
        <v>15</v>
      </c>
      <c r="D128" s="519"/>
      <c r="E128" s="519"/>
      <c r="F128" s="519"/>
      <c r="G128" s="519"/>
      <c r="H128" s="511">
        <f>$H$65*$C$10*$C$16*G82*$C$21*(1+G$85)</f>
        <v>2582510.0977396211</v>
      </c>
      <c r="I128" s="511">
        <f t="shared" ref="I128:O128" si="43">$I$65*$C$10*$C$16*H82*$C$21*(1+H$85)</f>
        <v>2809491.585083345</v>
      </c>
      <c r="J128" s="511">
        <f t="shared" si="43"/>
        <v>2908845.0331473686</v>
      </c>
      <c r="K128" s="187">
        <f t="shared" si="43"/>
        <v>3008240.7111960864</v>
      </c>
      <c r="L128" s="187">
        <f t="shared" si="43"/>
        <v>3114751.6629555239</v>
      </c>
      <c r="M128" s="187">
        <f t="shared" si="43"/>
        <v>3220382.3050073525</v>
      </c>
      <c r="N128" s="187">
        <f t="shared" si="43"/>
        <v>3357945.2891794816</v>
      </c>
      <c r="O128" s="187">
        <f t="shared" si="43"/>
        <v>3497933.0393053624</v>
      </c>
      <c r="P128" s="1"/>
      <c r="Q128" s="1"/>
    </row>
    <row r="129" spans="1:17" ht="30" x14ac:dyDescent="0.25">
      <c r="A129" s="82" t="s">
        <v>341</v>
      </c>
      <c r="B129" s="82" t="s">
        <v>32</v>
      </c>
      <c r="C129" s="22" t="s">
        <v>768</v>
      </c>
      <c r="D129" s="519"/>
      <c r="E129" s="519"/>
      <c r="F129" s="519"/>
      <c r="G129" s="519"/>
      <c r="H129" s="519"/>
      <c r="I129" s="519"/>
      <c r="J129" s="511">
        <f>$H$70*$C$11*$C$17*I82*$C$21*(1+I$86)</f>
        <v>2085115.5914026247</v>
      </c>
      <c r="K129" s="187">
        <f>$I$70*$C$11*$C$17*J82*$C$21*(1+J$86)</f>
        <v>2230270.3799252487</v>
      </c>
      <c r="L129" s="187">
        <f>$I$70*$C$11*$C$17*K82*$C$21*(1+K$86)</f>
        <v>2281978.5309656006</v>
      </c>
      <c r="M129" s="187">
        <f>$I$70*$C$11*$C$17*L82*$C$21*(1+L$86)</f>
        <v>2331615.7878387896</v>
      </c>
      <c r="N129" s="187">
        <f>$I$70*$C$11*$C$17*M82*$C$21*(1+M$86)</f>
        <v>2402796.8728783443</v>
      </c>
      <c r="O129" s="187">
        <f>$I$70*$C$11*$C$17*N82*$C$21*(1+N$86)</f>
        <v>2474602.5460235937</v>
      </c>
      <c r="P129" s="1"/>
      <c r="Q129" s="1"/>
    </row>
    <row r="130" spans="1:17" x14ac:dyDescent="0.25">
      <c r="A130" s="82" t="s">
        <v>341</v>
      </c>
      <c r="B130" s="82" t="s">
        <v>32</v>
      </c>
      <c r="C130" s="22" t="s">
        <v>769</v>
      </c>
      <c r="D130" s="519"/>
      <c r="E130" s="519"/>
      <c r="F130" s="519"/>
      <c r="G130" s="519"/>
      <c r="H130" s="519"/>
      <c r="I130" s="519"/>
      <c r="J130" s="519"/>
      <c r="K130" s="204"/>
      <c r="L130" s="187">
        <f>$H$77*$C$11*$C$17*K82*$C$21*(1+K$86)</f>
        <v>2900225.1558772232</v>
      </c>
      <c r="M130" s="187">
        <f>$I$77*$C$11*$C$17*K82*$C$21*(1+L$86)</f>
        <v>3067824.6666548355</v>
      </c>
      <c r="N130" s="187">
        <f>$I$77*$C$11*$C$17*L82*$C$21*(1+M$86)</f>
        <v>3137536.8357068095</v>
      </c>
      <c r="O130" s="187">
        <f>$I$77*$C$11*$C$17*M82*$C$21*(1+N$86)</f>
        <v>3232381.6404076503</v>
      </c>
      <c r="P130" s="1"/>
      <c r="Q130" s="1"/>
    </row>
    <row r="131" spans="1:17" x14ac:dyDescent="0.25">
      <c r="N131" s="131"/>
      <c r="O131" s="131"/>
      <c r="P131" s="1"/>
      <c r="Q131" s="1"/>
    </row>
    <row r="132" spans="1:17" x14ac:dyDescent="0.25">
      <c r="A132" s="525" t="s">
        <v>192</v>
      </c>
    </row>
    <row r="133" spans="1:17" ht="60" x14ac:dyDescent="0.25">
      <c r="A133" s="64" t="s">
        <v>649</v>
      </c>
    </row>
    <row r="134" spans="1:17" ht="60" x14ac:dyDescent="0.25">
      <c r="A134" s="123" t="s">
        <v>651</v>
      </c>
    </row>
    <row r="135" spans="1:17" ht="60" x14ac:dyDescent="0.25">
      <c r="A135" s="123" t="s">
        <v>650</v>
      </c>
    </row>
    <row r="136" spans="1:17" ht="75" x14ac:dyDescent="0.25">
      <c r="A136" s="64" t="s">
        <v>652</v>
      </c>
    </row>
    <row r="137" spans="1:17" ht="75" x14ac:dyDescent="0.25">
      <c r="A137" s="64" t="s">
        <v>653</v>
      </c>
    </row>
    <row r="139" spans="1:17" ht="15.75" x14ac:dyDescent="0.25">
      <c r="A139" s="315" t="s">
        <v>283</v>
      </c>
      <c r="Q139" s="1"/>
    </row>
    <row r="140" spans="1:17" ht="15" customHeight="1" x14ac:dyDescent="0.25">
      <c r="A140" s="8" t="s">
        <v>592</v>
      </c>
      <c r="B140" s="302">
        <v>2021</v>
      </c>
      <c r="C140" s="302">
        <v>2022</v>
      </c>
      <c r="D140" s="302">
        <v>2023</v>
      </c>
      <c r="E140" s="302">
        <v>2024</v>
      </c>
      <c r="F140" s="302">
        <v>2025</v>
      </c>
      <c r="G140" s="302">
        <v>2026</v>
      </c>
      <c r="H140" s="302">
        <v>2027</v>
      </c>
      <c r="I140" s="302">
        <v>2028</v>
      </c>
      <c r="J140" s="302">
        <v>2029</v>
      </c>
      <c r="K140" s="119">
        <v>2030</v>
      </c>
      <c r="L140" s="84">
        <v>2031</v>
      </c>
      <c r="M140" s="84">
        <v>2032</v>
      </c>
      <c r="Q140" s="1"/>
    </row>
    <row r="141" spans="1:17" x14ac:dyDescent="0.25">
      <c r="A141" s="426" t="s">
        <v>85</v>
      </c>
      <c r="B141" s="511">
        <f t="shared" ref="B141:M142" si="44">D90+D92+D94</f>
        <v>569281.77393394313</v>
      </c>
      <c r="C141" s="511">
        <f t="shared" si="44"/>
        <v>590268.92200560612</v>
      </c>
      <c r="D141" s="511">
        <f t="shared" si="44"/>
        <v>691546.21609997214</v>
      </c>
      <c r="E141" s="511">
        <f t="shared" si="44"/>
        <v>718705.20108478959</v>
      </c>
      <c r="F141" s="511">
        <f t="shared" si="44"/>
        <v>760453.73671492562</v>
      </c>
      <c r="G141" s="511">
        <f t="shared" si="44"/>
        <v>778865.46366771474</v>
      </c>
      <c r="H141" s="511">
        <f t="shared" si="44"/>
        <v>799456.23780870996</v>
      </c>
      <c r="I141" s="511">
        <f t="shared" si="44"/>
        <v>822060.6117277717</v>
      </c>
      <c r="J141" s="511">
        <f t="shared" si="44"/>
        <v>846985.69707965746</v>
      </c>
      <c r="K141" s="187">
        <f t="shared" si="44"/>
        <v>873621.73613223026</v>
      </c>
      <c r="L141" s="187">
        <f t="shared" si="44"/>
        <v>915835.26247001288</v>
      </c>
      <c r="M141" s="187">
        <f t="shared" si="44"/>
        <v>960095.92096383218</v>
      </c>
      <c r="Q141" s="1"/>
    </row>
    <row r="142" spans="1:17" ht="15.75" thickBot="1" x14ac:dyDescent="0.3">
      <c r="A142" s="532" t="s">
        <v>14</v>
      </c>
      <c r="B142" s="514">
        <f t="shared" si="44"/>
        <v>949181.80062776897</v>
      </c>
      <c r="C142" s="514">
        <f t="shared" si="44"/>
        <v>976589.16236283863</v>
      </c>
      <c r="D142" s="514">
        <f t="shared" si="44"/>
        <v>1555035.7686478677</v>
      </c>
      <c r="E142" s="514">
        <f t="shared" si="44"/>
        <v>1620135.6226240105</v>
      </c>
      <c r="F142" s="514">
        <f t="shared" si="44"/>
        <v>1696293.3238345904</v>
      </c>
      <c r="G142" s="514">
        <f t="shared" si="44"/>
        <v>1755912.0647886284</v>
      </c>
      <c r="H142" s="514">
        <f t="shared" si="44"/>
        <v>1825444.1232426774</v>
      </c>
      <c r="I142" s="514">
        <f t="shared" si="44"/>
        <v>1902946.1376608519</v>
      </c>
      <c r="J142" s="514">
        <f t="shared" si="44"/>
        <v>1994661.2160003979</v>
      </c>
      <c r="K142" s="188">
        <f t="shared" si="44"/>
        <v>2089800.9412052829</v>
      </c>
      <c r="L142" s="188">
        <f t="shared" si="44"/>
        <v>2175184.7527568573</v>
      </c>
      <c r="M142" s="188">
        <f t="shared" si="44"/>
        <v>2264022.8394175316</v>
      </c>
      <c r="Q142" s="1"/>
    </row>
    <row r="143" spans="1:17" ht="15.75" thickTop="1" x14ac:dyDescent="0.25">
      <c r="A143" s="567" t="s">
        <v>79</v>
      </c>
      <c r="B143" s="516">
        <f t="shared" ref="B143:M143" si="45">SUM(B141:B142)</f>
        <v>1518463.5745617121</v>
      </c>
      <c r="C143" s="516">
        <f t="shared" si="45"/>
        <v>1566858.0843684447</v>
      </c>
      <c r="D143" s="516">
        <f t="shared" si="45"/>
        <v>2246581.9847478401</v>
      </c>
      <c r="E143" s="516">
        <f t="shared" si="45"/>
        <v>2338840.8237088001</v>
      </c>
      <c r="F143" s="516">
        <f t="shared" si="45"/>
        <v>2456747.0605495162</v>
      </c>
      <c r="G143" s="516">
        <f t="shared" si="45"/>
        <v>2534777.5284563433</v>
      </c>
      <c r="H143" s="516">
        <f t="shared" si="45"/>
        <v>2624900.3610513872</v>
      </c>
      <c r="I143" s="516">
        <f t="shared" si="45"/>
        <v>2725006.7493886235</v>
      </c>
      <c r="J143" s="516">
        <f t="shared" si="45"/>
        <v>2841646.9130800553</v>
      </c>
      <c r="K143" s="189">
        <f t="shared" si="45"/>
        <v>2963422.6773375133</v>
      </c>
      <c r="L143" s="189">
        <f t="shared" si="45"/>
        <v>3091020.0152268703</v>
      </c>
      <c r="M143" s="189">
        <f t="shared" si="45"/>
        <v>3224118.7603813638</v>
      </c>
      <c r="Q143" s="1"/>
    </row>
    <row r="144" spans="1:17" ht="75" x14ac:dyDescent="0.25">
      <c r="A144" s="424" t="s">
        <v>595</v>
      </c>
      <c r="B144" s="424"/>
      <c r="Q144" s="1"/>
    </row>
    <row r="145" spans="1:17" x14ac:dyDescent="0.25">
      <c r="A145" s="424"/>
      <c r="B145" s="424"/>
      <c r="Q145" s="1"/>
    </row>
    <row r="146" spans="1:17" ht="15" customHeight="1" x14ac:dyDescent="0.25">
      <c r="A146" s="8" t="s">
        <v>599</v>
      </c>
      <c r="B146" s="302">
        <v>2021</v>
      </c>
      <c r="C146" s="302">
        <v>2022</v>
      </c>
      <c r="D146" s="302">
        <v>2023</v>
      </c>
      <c r="E146" s="302">
        <v>2024</v>
      </c>
      <c r="F146" s="302">
        <v>2025</v>
      </c>
      <c r="G146" s="302">
        <v>2026</v>
      </c>
      <c r="H146" s="302">
        <v>2027</v>
      </c>
      <c r="I146" s="302">
        <v>2028</v>
      </c>
      <c r="J146" s="302">
        <v>2029</v>
      </c>
      <c r="K146" s="119">
        <v>2030</v>
      </c>
      <c r="L146" s="84">
        <v>2031</v>
      </c>
      <c r="M146" s="84">
        <v>2032</v>
      </c>
      <c r="Q146" s="1"/>
    </row>
    <row r="147" spans="1:17" x14ac:dyDescent="0.25">
      <c r="A147" s="426" t="s">
        <v>85</v>
      </c>
      <c r="B147" s="511">
        <f t="shared" ref="B147:M148" si="46">D98+D100</f>
        <v>0</v>
      </c>
      <c r="C147" s="511">
        <f t="shared" si="46"/>
        <v>0</v>
      </c>
      <c r="D147" s="511">
        <f t="shared" si="46"/>
        <v>173107.4621826013</v>
      </c>
      <c r="E147" s="511">
        <f t="shared" si="46"/>
        <v>186079.11611762832</v>
      </c>
      <c r="F147" s="511">
        <f t="shared" si="46"/>
        <v>199376.71299410317</v>
      </c>
      <c r="G147" s="511">
        <f t="shared" si="46"/>
        <v>208679.6368231966</v>
      </c>
      <c r="H147" s="511">
        <f t="shared" si="46"/>
        <v>220278.37552119559</v>
      </c>
      <c r="I147" s="511">
        <f t="shared" si="46"/>
        <v>232997.12291322619</v>
      </c>
      <c r="J147" s="511">
        <f t="shared" si="46"/>
        <v>247028.24202539801</v>
      </c>
      <c r="K147" s="187">
        <f t="shared" si="46"/>
        <v>260697.02349810989</v>
      </c>
      <c r="L147" s="187">
        <f t="shared" si="46"/>
        <v>281862.78290096513</v>
      </c>
      <c r="M147" s="187">
        <f t="shared" si="46"/>
        <v>302701.20173259225</v>
      </c>
      <c r="Q147" s="1"/>
    </row>
    <row r="148" spans="1:17" ht="15.75" thickBot="1" x14ac:dyDescent="0.3">
      <c r="A148" s="532" t="s">
        <v>14</v>
      </c>
      <c r="B148" s="514">
        <f t="shared" si="46"/>
        <v>1701827.108420538</v>
      </c>
      <c r="C148" s="514">
        <f t="shared" si="46"/>
        <v>1810584.5442584904</v>
      </c>
      <c r="D148" s="514">
        <f t="shared" si="46"/>
        <v>3109721.6729635457</v>
      </c>
      <c r="E148" s="514">
        <f t="shared" si="46"/>
        <v>3336850.6726234537</v>
      </c>
      <c r="F148" s="514">
        <f t="shared" si="46"/>
        <v>3507730.6558557954</v>
      </c>
      <c r="G148" s="514">
        <f t="shared" si="46"/>
        <v>3715796.7837301632</v>
      </c>
      <c r="H148" s="514">
        <f t="shared" si="46"/>
        <v>3963304.642772065</v>
      </c>
      <c r="I148" s="514">
        <f t="shared" si="46"/>
        <v>4229851.722062001</v>
      </c>
      <c r="J148" s="514">
        <f t="shared" si="46"/>
        <v>4519129.3643265525</v>
      </c>
      <c r="K148" s="188">
        <f t="shared" si="46"/>
        <v>4800446.5210987553</v>
      </c>
      <c r="L148" s="188">
        <f t="shared" si="46"/>
        <v>5135794.490557109</v>
      </c>
      <c r="M148" s="188">
        <f t="shared" si="46"/>
        <v>5457640.6917977724</v>
      </c>
      <c r="Q148" s="1"/>
    </row>
    <row r="149" spans="1:17" ht="15.75" thickTop="1" x14ac:dyDescent="0.25">
      <c r="A149" s="567" t="s">
        <v>79</v>
      </c>
      <c r="B149" s="516">
        <f t="shared" ref="B149:M149" si="47">SUM(B147:B148)</f>
        <v>1701827.108420538</v>
      </c>
      <c r="C149" s="516">
        <f t="shared" si="47"/>
        <v>1810584.5442584904</v>
      </c>
      <c r="D149" s="516">
        <f t="shared" si="47"/>
        <v>3282829.1351461471</v>
      </c>
      <c r="E149" s="516">
        <f t="shared" si="47"/>
        <v>3522929.788741082</v>
      </c>
      <c r="F149" s="516">
        <f t="shared" si="47"/>
        <v>3707107.3688498987</v>
      </c>
      <c r="G149" s="516">
        <f t="shared" si="47"/>
        <v>3924476.4205533597</v>
      </c>
      <c r="H149" s="516">
        <f t="shared" si="47"/>
        <v>4183583.0182932606</v>
      </c>
      <c r="I149" s="516">
        <f t="shared" si="47"/>
        <v>4462848.8449752275</v>
      </c>
      <c r="J149" s="516">
        <f t="shared" si="47"/>
        <v>4766157.6063519502</v>
      </c>
      <c r="K149" s="189">
        <f t="shared" si="47"/>
        <v>5061143.5445968648</v>
      </c>
      <c r="L149" s="189">
        <f t="shared" si="47"/>
        <v>5417657.2734580738</v>
      </c>
      <c r="M149" s="189">
        <f t="shared" si="47"/>
        <v>5760341.8935303651</v>
      </c>
      <c r="Q149" s="1"/>
    </row>
    <row r="150" spans="1:17" x14ac:dyDescent="0.25">
      <c r="Q150" s="1"/>
    </row>
    <row r="151" spans="1:17" ht="15" customHeight="1" x14ac:dyDescent="0.25">
      <c r="A151" s="8" t="s">
        <v>593</v>
      </c>
      <c r="B151" s="302">
        <v>2021</v>
      </c>
      <c r="C151" s="302">
        <v>2022</v>
      </c>
      <c r="D151" s="302">
        <v>2023</v>
      </c>
      <c r="E151" s="302">
        <v>2024</v>
      </c>
      <c r="F151" s="302">
        <v>2025</v>
      </c>
      <c r="G151" s="302">
        <v>2026</v>
      </c>
      <c r="H151" s="302">
        <v>2027</v>
      </c>
      <c r="I151" s="302">
        <v>2028</v>
      </c>
      <c r="J151" s="302">
        <v>2029</v>
      </c>
      <c r="K151" s="119">
        <v>2030</v>
      </c>
      <c r="L151" s="84">
        <v>2031</v>
      </c>
      <c r="M151" s="84">
        <v>2032</v>
      </c>
      <c r="Q151" s="1"/>
    </row>
    <row r="152" spans="1:17" x14ac:dyDescent="0.25">
      <c r="A152" s="426" t="s">
        <v>354</v>
      </c>
      <c r="B152" s="511">
        <f t="shared" ref="B152:M152" si="48">SUM(D90:D91)</f>
        <v>822209.29294720234</v>
      </c>
      <c r="C152" s="511">
        <f t="shared" si="48"/>
        <v>844943.17759207322</v>
      </c>
      <c r="D152" s="511">
        <f t="shared" si="48"/>
        <v>1497509.7500120993</v>
      </c>
      <c r="E152" s="511">
        <f t="shared" si="48"/>
        <v>1561075.4031460283</v>
      </c>
      <c r="F152" s="511">
        <f t="shared" si="48"/>
        <v>1637645.573534617</v>
      </c>
      <c r="G152" s="511">
        <f t="shared" si="48"/>
        <v>1693856.4351950763</v>
      </c>
      <c r="H152" s="511">
        <f t="shared" si="48"/>
        <v>1760411.340800815</v>
      </c>
      <c r="I152" s="511">
        <f t="shared" si="48"/>
        <v>1835231.0359327984</v>
      </c>
      <c r="J152" s="511">
        <f t="shared" si="48"/>
        <v>1924878.844540922</v>
      </c>
      <c r="K152" s="187">
        <f t="shared" si="48"/>
        <v>2017956.1625836683</v>
      </c>
      <c r="L152" s="187">
        <f t="shared" si="48"/>
        <v>2102301.5816518762</v>
      </c>
      <c r="M152" s="187">
        <f t="shared" si="48"/>
        <v>2190145.818098736</v>
      </c>
      <c r="Q152" s="1"/>
    </row>
    <row r="153" spans="1:17" ht="15.75" thickBot="1" x14ac:dyDescent="0.3">
      <c r="A153" s="532" t="s">
        <v>355</v>
      </c>
      <c r="B153" s="514">
        <f t="shared" ref="B153:M153" si="49">SUM(D92:D95)</f>
        <v>696254.28161450964</v>
      </c>
      <c r="C153" s="514">
        <f t="shared" si="49"/>
        <v>721914.90677637153</v>
      </c>
      <c r="D153" s="514">
        <f t="shared" si="49"/>
        <v>749072.23473574081</v>
      </c>
      <c r="E153" s="514">
        <f t="shared" si="49"/>
        <v>777765.42056277185</v>
      </c>
      <c r="F153" s="514">
        <f t="shared" si="49"/>
        <v>819101.48701489891</v>
      </c>
      <c r="G153" s="514">
        <f t="shared" si="49"/>
        <v>840921.09326126683</v>
      </c>
      <c r="H153" s="514">
        <f t="shared" si="49"/>
        <v>864489.02025057236</v>
      </c>
      <c r="I153" s="514">
        <f t="shared" si="49"/>
        <v>889775.71345582511</v>
      </c>
      <c r="J153" s="514">
        <f t="shared" si="49"/>
        <v>916768.06853913341</v>
      </c>
      <c r="K153" s="188">
        <f t="shared" si="49"/>
        <v>945466.51475384505</v>
      </c>
      <c r="L153" s="188">
        <f t="shared" si="49"/>
        <v>988718.43357499386</v>
      </c>
      <c r="M153" s="188">
        <f t="shared" si="49"/>
        <v>1033972.9422826279</v>
      </c>
      <c r="Q153" s="1"/>
    </row>
    <row r="154" spans="1:17" ht="15.75" thickTop="1" x14ac:dyDescent="0.25">
      <c r="A154" s="567" t="s">
        <v>79</v>
      </c>
      <c r="B154" s="516">
        <f t="shared" ref="B154:M154" si="50">SUM(B152:B153)</f>
        <v>1518463.5745617119</v>
      </c>
      <c r="C154" s="516">
        <f t="shared" si="50"/>
        <v>1566858.0843684447</v>
      </c>
      <c r="D154" s="516">
        <f t="shared" si="50"/>
        <v>2246581.9847478401</v>
      </c>
      <c r="E154" s="516">
        <f t="shared" si="50"/>
        <v>2338840.8237088001</v>
      </c>
      <c r="F154" s="516">
        <f t="shared" si="50"/>
        <v>2456747.0605495158</v>
      </c>
      <c r="G154" s="516">
        <f t="shared" si="50"/>
        <v>2534777.5284563433</v>
      </c>
      <c r="H154" s="516">
        <f t="shared" si="50"/>
        <v>2624900.3610513872</v>
      </c>
      <c r="I154" s="516">
        <f t="shared" si="50"/>
        <v>2725006.7493886235</v>
      </c>
      <c r="J154" s="516">
        <f t="shared" si="50"/>
        <v>2841646.9130800553</v>
      </c>
      <c r="K154" s="189">
        <f t="shared" si="50"/>
        <v>2963422.6773375133</v>
      </c>
      <c r="L154" s="189">
        <f t="shared" si="50"/>
        <v>3091020.0152268698</v>
      </c>
      <c r="M154" s="189">
        <f t="shared" si="50"/>
        <v>3224118.7603813638</v>
      </c>
      <c r="Q154" s="1"/>
    </row>
    <row r="155" spans="1:17" x14ac:dyDescent="0.25">
      <c r="Q155" s="1"/>
    </row>
    <row r="156" spans="1:17" ht="15" customHeight="1" x14ac:dyDescent="0.25">
      <c r="A156" s="8" t="s">
        <v>600</v>
      </c>
      <c r="B156" s="302">
        <v>2021</v>
      </c>
      <c r="C156" s="302">
        <v>2022</v>
      </c>
      <c r="D156" s="302">
        <v>2023</v>
      </c>
      <c r="E156" s="302">
        <v>2024</v>
      </c>
      <c r="F156" s="302">
        <v>2025</v>
      </c>
      <c r="G156" s="302">
        <v>2026</v>
      </c>
      <c r="H156" s="302">
        <v>2027</v>
      </c>
      <c r="I156" s="302">
        <v>2028</v>
      </c>
      <c r="J156" s="302">
        <v>2029</v>
      </c>
      <c r="K156" s="119">
        <v>2030</v>
      </c>
      <c r="L156" s="84">
        <v>2031</v>
      </c>
      <c r="M156" s="84">
        <v>2032</v>
      </c>
      <c r="Q156" s="1"/>
    </row>
    <row r="157" spans="1:17" x14ac:dyDescent="0.25">
      <c r="A157" s="426" t="s">
        <v>356</v>
      </c>
      <c r="B157" s="511">
        <f t="shared" ref="B157:M157" si="51">SUM(D98:D99)</f>
        <v>1202664.1868348594</v>
      </c>
      <c r="C157" s="511">
        <f t="shared" si="51"/>
        <v>1298315.1522668223</v>
      </c>
      <c r="D157" s="511">
        <f t="shared" si="51"/>
        <v>2385785.5409330898</v>
      </c>
      <c r="E157" s="511">
        <f t="shared" si="51"/>
        <v>2599086.7854623045</v>
      </c>
      <c r="F157" s="511">
        <f t="shared" si="51"/>
        <v>2794993.3002247419</v>
      </c>
      <c r="G157" s="511">
        <f t="shared" si="51"/>
        <v>2970090.4061913402</v>
      </c>
      <c r="H157" s="511">
        <f t="shared" si="51"/>
        <v>3182401.7799903178</v>
      </c>
      <c r="I157" s="511">
        <f t="shared" si="51"/>
        <v>3413706.5402103192</v>
      </c>
      <c r="J157" s="511">
        <f t="shared" si="51"/>
        <v>3665367.7712023766</v>
      </c>
      <c r="K157" s="187">
        <f t="shared" si="51"/>
        <v>3907761.0229237298</v>
      </c>
      <c r="L157" s="187">
        <f t="shared" si="51"/>
        <v>4198870.9513086099</v>
      </c>
      <c r="M157" s="187">
        <f t="shared" si="51"/>
        <v>4472866.5057865856</v>
      </c>
      <c r="Q157" s="1"/>
    </row>
    <row r="158" spans="1:17" ht="15.75" thickBot="1" x14ac:dyDescent="0.3">
      <c r="A158" s="532" t="s">
        <v>357</v>
      </c>
      <c r="B158" s="514">
        <f t="shared" ref="B158:M158" si="52">SUM(D100:D101)</f>
        <v>499162.92158567865</v>
      </c>
      <c r="C158" s="514">
        <f t="shared" si="52"/>
        <v>512269.39199166809</v>
      </c>
      <c r="D158" s="514">
        <f t="shared" si="52"/>
        <v>897043.59421305731</v>
      </c>
      <c r="E158" s="514">
        <f t="shared" si="52"/>
        <v>923843.00327877793</v>
      </c>
      <c r="F158" s="514">
        <f t="shared" si="52"/>
        <v>912114.06862515688</v>
      </c>
      <c r="G158" s="514">
        <f t="shared" si="52"/>
        <v>954386.01436201972</v>
      </c>
      <c r="H158" s="514">
        <f t="shared" si="52"/>
        <v>1001181.2383029428</v>
      </c>
      <c r="I158" s="514">
        <f t="shared" si="52"/>
        <v>1049142.3047649076</v>
      </c>
      <c r="J158" s="514">
        <f t="shared" si="52"/>
        <v>1100789.8351495736</v>
      </c>
      <c r="K158" s="188">
        <f t="shared" si="52"/>
        <v>1153382.5216731355</v>
      </c>
      <c r="L158" s="188">
        <f t="shared" si="52"/>
        <v>1218786.3221494639</v>
      </c>
      <c r="M158" s="188">
        <f t="shared" si="52"/>
        <v>1287475.3877437795</v>
      </c>
      <c r="Q158" s="1"/>
    </row>
    <row r="159" spans="1:17" ht="15.75" thickTop="1" x14ac:dyDescent="0.25">
      <c r="A159" s="567" t="s">
        <v>79</v>
      </c>
      <c r="B159" s="516">
        <f t="shared" ref="B159:M159" si="53">SUM(B157:B158)</f>
        <v>1701827.108420538</v>
      </c>
      <c r="C159" s="516">
        <f t="shared" si="53"/>
        <v>1810584.5442584904</v>
      </c>
      <c r="D159" s="516">
        <f t="shared" si="53"/>
        <v>3282829.1351461471</v>
      </c>
      <c r="E159" s="516">
        <f t="shared" si="53"/>
        <v>3522929.7887410824</v>
      </c>
      <c r="F159" s="516">
        <f t="shared" si="53"/>
        <v>3707107.3688498987</v>
      </c>
      <c r="G159" s="516">
        <f t="shared" si="53"/>
        <v>3924476.4205533601</v>
      </c>
      <c r="H159" s="516">
        <f t="shared" si="53"/>
        <v>4183583.0182932606</v>
      </c>
      <c r="I159" s="516">
        <f t="shared" si="53"/>
        <v>4462848.8449752266</v>
      </c>
      <c r="J159" s="516">
        <f t="shared" si="53"/>
        <v>4766157.6063519502</v>
      </c>
      <c r="K159" s="189">
        <f t="shared" si="53"/>
        <v>5061143.5445968658</v>
      </c>
      <c r="L159" s="189">
        <f t="shared" si="53"/>
        <v>5417657.2734580738</v>
      </c>
      <c r="M159" s="189">
        <f t="shared" si="53"/>
        <v>5760341.8935303651</v>
      </c>
      <c r="Q159" s="1"/>
    </row>
    <row r="160" spans="1:17" x14ac:dyDescent="0.25">
      <c r="Q160" s="1"/>
    </row>
    <row r="161" spans="1:17" x14ac:dyDescent="0.25">
      <c r="A161" s="8" t="s">
        <v>319</v>
      </c>
      <c r="B161" s="302">
        <v>2021</v>
      </c>
      <c r="C161" s="302">
        <v>2022</v>
      </c>
      <c r="D161" s="302">
        <v>2023</v>
      </c>
      <c r="E161" s="302">
        <v>2024</v>
      </c>
      <c r="F161" s="302">
        <v>2025</v>
      </c>
      <c r="G161" s="302">
        <v>2026</v>
      </c>
      <c r="H161" s="302">
        <v>2027</v>
      </c>
      <c r="I161" s="302">
        <v>2028</v>
      </c>
      <c r="J161" s="302">
        <v>2029</v>
      </c>
      <c r="K161" s="119">
        <v>2030</v>
      </c>
      <c r="L161" s="84">
        <v>2031</v>
      </c>
      <c r="M161" s="84">
        <v>2032</v>
      </c>
      <c r="Q161" s="1"/>
    </row>
    <row r="162" spans="1:17" x14ac:dyDescent="0.25">
      <c r="A162" s="426" t="s">
        <v>85</v>
      </c>
      <c r="B162" s="511">
        <f t="shared" ref="B162:M163" si="54">D104+D109+D114</f>
        <v>597396.96850311791</v>
      </c>
      <c r="C162" s="511">
        <f t="shared" si="54"/>
        <v>619420.61164366279</v>
      </c>
      <c r="D162" s="511">
        <f t="shared" si="54"/>
        <v>721799.82325654454</v>
      </c>
      <c r="E162" s="511">
        <f t="shared" si="54"/>
        <v>750127.76927559788</v>
      </c>
      <c r="F162" s="511">
        <f t="shared" si="54"/>
        <v>793660.52926384588</v>
      </c>
      <c r="G162" s="511">
        <f t="shared" si="54"/>
        <v>812883.15012970497</v>
      </c>
      <c r="H162" s="511">
        <f t="shared" si="54"/>
        <v>834361.34579476004</v>
      </c>
      <c r="I162" s="511">
        <f t="shared" si="54"/>
        <v>857927.84790349589</v>
      </c>
      <c r="J162" s="511">
        <f t="shared" si="54"/>
        <v>883888.74629341986</v>
      </c>
      <c r="K162" s="187">
        <f t="shared" si="54"/>
        <v>911633.91601134837</v>
      </c>
      <c r="L162" s="187">
        <f t="shared" si="54"/>
        <v>955663.98325959023</v>
      </c>
      <c r="M162" s="187">
        <f t="shared" si="54"/>
        <v>1001828.3232572905</v>
      </c>
      <c r="Q162" s="1"/>
    </row>
    <row r="163" spans="1:17" x14ac:dyDescent="0.25">
      <c r="A163" s="426" t="s">
        <v>14</v>
      </c>
      <c r="B163" s="511">
        <f t="shared" si="54"/>
        <v>949181.80062776897</v>
      </c>
      <c r="C163" s="511">
        <f t="shared" si="54"/>
        <v>976589.16236283863</v>
      </c>
      <c r="D163" s="511">
        <f t="shared" si="54"/>
        <v>1555035.7686478677</v>
      </c>
      <c r="E163" s="511">
        <f t="shared" si="54"/>
        <v>1620135.6226240105</v>
      </c>
      <c r="F163" s="511">
        <f t="shared" si="54"/>
        <v>1696293.3238345904</v>
      </c>
      <c r="G163" s="511">
        <f t="shared" si="54"/>
        <v>1755912.0647886284</v>
      </c>
      <c r="H163" s="511">
        <f t="shared" si="54"/>
        <v>1825444.1232426774</v>
      </c>
      <c r="I163" s="511">
        <f t="shared" si="54"/>
        <v>1902946.1376608519</v>
      </c>
      <c r="J163" s="511">
        <f t="shared" si="54"/>
        <v>1994661.2160003979</v>
      </c>
      <c r="K163" s="187">
        <f t="shared" si="54"/>
        <v>2089800.9412052829</v>
      </c>
      <c r="L163" s="187">
        <f t="shared" si="54"/>
        <v>2175184.7527568573</v>
      </c>
      <c r="M163" s="187">
        <f t="shared" si="54"/>
        <v>2264022.8394175316</v>
      </c>
      <c r="Q163" s="1"/>
    </row>
    <row r="164" spans="1:17" x14ac:dyDescent="0.25">
      <c r="A164" s="426" t="s">
        <v>15</v>
      </c>
      <c r="B164" s="511">
        <f t="shared" ref="B164:M164" si="55">SUM(D106,D111,D116)</f>
        <v>0</v>
      </c>
      <c r="C164" s="511">
        <f t="shared" si="55"/>
        <v>0</v>
      </c>
      <c r="D164" s="511">
        <f t="shared" si="55"/>
        <v>0</v>
      </c>
      <c r="E164" s="511">
        <f t="shared" si="55"/>
        <v>0</v>
      </c>
      <c r="F164" s="511">
        <f t="shared" si="55"/>
        <v>7602041.3339835498</v>
      </c>
      <c r="G164" s="511">
        <f t="shared" si="55"/>
        <v>8038627.4719587658</v>
      </c>
      <c r="H164" s="511">
        <f t="shared" si="55"/>
        <v>8236423.6404083725</v>
      </c>
      <c r="I164" s="511">
        <f t="shared" si="55"/>
        <v>8454901.4311899636</v>
      </c>
      <c r="J164" s="511">
        <f t="shared" si="55"/>
        <v>8711846.1904108804</v>
      </c>
      <c r="K164" s="187">
        <f t="shared" si="55"/>
        <v>8973921.4339129627</v>
      </c>
      <c r="L164" s="187">
        <f t="shared" si="55"/>
        <v>9210655.7723492607</v>
      </c>
      <c r="M164" s="187">
        <f t="shared" si="55"/>
        <v>9447411.5491365772</v>
      </c>
      <c r="Q164" s="1"/>
    </row>
    <row r="165" spans="1:17" ht="15.75" thickBot="1" x14ac:dyDescent="0.3">
      <c r="A165" s="532" t="s">
        <v>109</v>
      </c>
      <c r="B165" s="514">
        <f t="shared" ref="B165:M165" si="56">SUM(D107:D108,D112:D113,D117:D118)</f>
        <v>0</v>
      </c>
      <c r="C165" s="514">
        <f t="shared" si="56"/>
        <v>0</v>
      </c>
      <c r="D165" s="514">
        <f t="shared" si="56"/>
        <v>0</v>
      </c>
      <c r="E165" s="514">
        <f t="shared" si="56"/>
        <v>0</v>
      </c>
      <c r="F165" s="514">
        <f t="shared" si="56"/>
        <v>0</v>
      </c>
      <c r="G165" s="514">
        <f t="shared" si="56"/>
        <v>0</v>
      </c>
      <c r="H165" s="514">
        <f t="shared" si="56"/>
        <v>5073882.4024064494</v>
      </c>
      <c r="I165" s="514">
        <f t="shared" si="56"/>
        <v>5323846.4202733636</v>
      </c>
      <c r="J165" s="514">
        <f t="shared" si="56"/>
        <v>12411519.278248714</v>
      </c>
      <c r="K165" s="188">
        <f t="shared" si="56"/>
        <v>12891101.011641677</v>
      </c>
      <c r="L165" s="188">
        <f t="shared" si="56"/>
        <v>13082611.690288475</v>
      </c>
      <c r="M165" s="188">
        <f t="shared" si="56"/>
        <v>13272977.219206378</v>
      </c>
      <c r="Q165" s="1"/>
    </row>
    <row r="166" spans="1:17" ht="15.75" thickTop="1" x14ac:dyDescent="0.25">
      <c r="A166" s="567" t="s">
        <v>79</v>
      </c>
      <c r="B166" s="516">
        <f t="shared" ref="B166:M166" si="57">SUM(B162:B165)</f>
        <v>1546578.769130887</v>
      </c>
      <c r="C166" s="516">
        <f t="shared" si="57"/>
        <v>1596009.7740065013</v>
      </c>
      <c r="D166" s="516">
        <f t="shared" si="57"/>
        <v>2276835.591904412</v>
      </c>
      <c r="E166" s="516">
        <f t="shared" si="57"/>
        <v>2370263.3918996085</v>
      </c>
      <c r="F166" s="516">
        <f t="shared" si="57"/>
        <v>10091995.187081985</v>
      </c>
      <c r="G166" s="516">
        <f t="shared" si="57"/>
        <v>10607422.686877098</v>
      </c>
      <c r="H166" s="516">
        <f t="shared" si="57"/>
        <v>15970111.511852261</v>
      </c>
      <c r="I166" s="516">
        <f t="shared" si="57"/>
        <v>16539621.837027675</v>
      </c>
      <c r="J166" s="516">
        <f t="shared" si="57"/>
        <v>24001915.430953413</v>
      </c>
      <c r="K166" s="189">
        <f t="shared" si="57"/>
        <v>24866457.30277127</v>
      </c>
      <c r="L166" s="189">
        <f t="shared" si="57"/>
        <v>25424116.198654182</v>
      </c>
      <c r="M166" s="189">
        <f t="shared" si="57"/>
        <v>25986239.931017779</v>
      </c>
      <c r="Q166" s="1"/>
    </row>
    <row r="167" spans="1:17" x14ac:dyDescent="0.25">
      <c r="Q167" s="1"/>
    </row>
    <row r="168" spans="1:17" x14ac:dyDescent="0.25">
      <c r="A168" s="8" t="s">
        <v>361</v>
      </c>
      <c r="B168" s="302">
        <v>2021</v>
      </c>
      <c r="C168" s="302">
        <v>2022</v>
      </c>
      <c r="D168" s="302">
        <v>2023</v>
      </c>
      <c r="E168" s="302">
        <v>2024</v>
      </c>
      <c r="F168" s="302">
        <v>2025</v>
      </c>
      <c r="G168" s="302">
        <v>2026</v>
      </c>
      <c r="H168" s="302">
        <v>2027</v>
      </c>
      <c r="I168" s="302">
        <v>2028</v>
      </c>
      <c r="J168" s="302">
        <v>2029</v>
      </c>
      <c r="K168" s="119">
        <v>2030</v>
      </c>
      <c r="L168" s="84">
        <v>2031</v>
      </c>
      <c r="M168" s="84">
        <v>2032</v>
      </c>
      <c r="Q168" s="1"/>
    </row>
    <row r="169" spans="1:17" x14ac:dyDescent="0.25">
      <c r="A169" s="426" t="s">
        <v>85</v>
      </c>
      <c r="B169" s="511">
        <f t="shared" ref="B169:M171" si="58">SUM(D121,D126)</f>
        <v>0</v>
      </c>
      <c r="C169" s="511">
        <f t="shared" si="58"/>
        <v>0</v>
      </c>
      <c r="D169" s="511">
        <f t="shared" si="58"/>
        <v>173107.4621826013</v>
      </c>
      <c r="E169" s="511">
        <f t="shared" si="58"/>
        <v>186079.11611762832</v>
      </c>
      <c r="F169" s="511">
        <f t="shared" si="58"/>
        <v>199376.71299410317</v>
      </c>
      <c r="G169" s="511">
        <f t="shared" si="58"/>
        <v>208679.6368231966</v>
      </c>
      <c r="H169" s="511">
        <f t="shared" si="58"/>
        <v>220278.37552119559</v>
      </c>
      <c r="I169" s="511">
        <f t="shared" si="58"/>
        <v>232997.12291322619</v>
      </c>
      <c r="J169" s="511">
        <f t="shared" si="58"/>
        <v>247028.24202539801</v>
      </c>
      <c r="K169" s="187">
        <f t="shared" si="58"/>
        <v>260697.02349810989</v>
      </c>
      <c r="L169" s="187">
        <f t="shared" si="58"/>
        <v>281862.78290096513</v>
      </c>
      <c r="M169" s="187">
        <f t="shared" si="58"/>
        <v>302701.20173259225</v>
      </c>
      <c r="Q169" s="1"/>
    </row>
    <row r="170" spans="1:17" x14ac:dyDescent="0.25">
      <c r="A170" s="426" t="s">
        <v>14</v>
      </c>
      <c r="B170" s="511">
        <f t="shared" si="58"/>
        <v>1701827.108420538</v>
      </c>
      <c r="C170" s="511">
        <f t="shared" si="58"/>
        <v>1810584.5442584904</v>
      </c>
      <c r="D170" s="511">
        <f t="shared" si="58"/>
        <v>3109721.6729635457</v>
      </c>
      <c r="E170" s="511">
        <f t="shared" si="58"/>
        <v>3336850.6726234537</v>
      </c>
      <c r="F170" s="511">
        <f t="shared" si="58"/>
        <v>3507730.6558557954</v>
      </c>
      <c r="G170" s="511">
        <f t="shared" si="58"/>
        <v>3715796.7837301632</v>
      </c>
      <c r="H170" s="511">
        <f t="shared" si="58"/>
        <v>3963304.642772065</v>
      </c>
      <c r="I170" s="511">
        <f t="shared" si="58"/>
        <v>4229851.722062001</v>
      </c>
      <c r="J170" s="511">
        <f t="shared" si="58"/>
        <v>4519129.3643265525</v>
      </c>
      <c r="K170" s="187">
        <f t="shared" si="58"/>
        <v>4800446.5210987553</v>
      </c>
      <c r="L170" s="187">
        <f t="shared" si="58"/>
        <v>5135794.490557109</v>
      </c>
      <c r="M170" s="187">
        <f t="shared" si="58"/>
        <v>5457640.6917977724</v>
      </c>
      <c r="Q170" s="1"/>
    </row>
    <row r="171" spans="1:17" x14ac:dyDescent="0.25">
      <c r="A171" s="426" t="s">
        <v>15</v>
      </c>
      <c r="B171" s="511">
        <f t="shared" si="58"/>
        <v>0</v>
      </c>
      <c r="C171" s="511">
        <f t="shared" si="58"/>
        <v>0</v>
      </c>
      <c r="D171" s="511">
        <f t="shared" si="58"/>
        <v>0</v>
      </c>
      <c r="E171" s="511">
        <f t="shared" si="58"/>
        <v>0</v>
      </c>
      <c r="F171" s="511">
        <f t="shared" si="58"/>
        <v>10496101.905203935</v>
      </c>
      <c r="G171" s="511">
        <f t="shared" si="58"/>
        <v>11552750.473583896</v>
      </c>
      <c r="H171" s="511">
        <f t="shared" si="58"/>
        <v>12155036.688611766</v>
      </c>
      <c r="I171" s="511">
        <f t="shared" si="58"/>
        <v>12796475.294528574</v>
      </c>
      <c r="J171" s="511">
        <f t="shared" si="58"/>
        <v>13486132.280896006</v>
      </c>
      <c r="K171" s="187">
        <f t="shared" si="58"/>
        <v>14131319.668758571</v>
      </c>
      <c r="L171" s="187">
        <f t="shared" si="58"/>
        <v>14926485.790974051</v>
      </c>
      <c r="M171" s="187">
        <f t="shared" si="58"/>
        <v>15650233.3317494</v>
      </c>
      <c r="Q171" s="1"/>
    </row>
    <row r="172" spans="1:17" ht="15.75" thickBot="1" x14ac:dyDescent="0.3">
      <c r="A172" s="532" t="s">
        <v>109</v>
      </c>
      <c r="B172" s="514">
        <f t="shared" ref="B172:M172" si="59">SUM(D124:D125,D129:D130)</f>
        <v>0</v>
      </c>
      <c r="C172" s="514">
        <f t="shared" si="59"/>
        <v>0</v>
      </c>
      <c r="D172" s="514">
        <f t="shared" si="59"/>
        <v>0</v>
      </c>
      <c r="E172" s="514">
        <f t="shared" si="59"/>
        <v>0</v>
      </c>
      <c r="F172" s="514">
        <f t="shared" si="59"/>
        <v>0</v>
      </c>
      <c r="G172" s="514">
        <f t="shared" si="59"/>
        <v>0</v>
      </c>
      <c r="H172" s="514">
        <f t="shared" si="59"/>
        <v>8712962.0948120505</v>
      </c>
      <c r="I172" s="514">
        <f t="shared" si="59"/>
        <v>9487139.6795520615</v>
      </c>
      <c r="J172" s="514">
        <f t="shared" si="59"/>
        <v>22437706.754763916</v>
      </c>
      <c r="K172" s="188">
        <f t="shared" si="59"/>
        <v>23806741.46902445</v>
      </c>
      <c r="L172" s="188">
        <f t="shared" si="59"/>
        <v>24828924.944189295</v>
      </c>
      <c r="M172" s="188">
        <f t="shared" si="59"/>
        <v>25739290.513656788</v>
      </c>
      <c r="Q172" s="1"/>
    </row>
    <row r="173" spans="1:17" ht="15.75" thickTop="1" x14ac:dyDescent="0.25">
      <c r="A173" s="567" t="s">
        <v>79</v>
      </c>
      <c r="B173" s="516">
        <f t="shared" ref="B173:M173" si="60">SUM(B169:B172)</f>
        <v>1701827.108420538</v>
      </c>
      <c r="C173" s="516">
        <f t="shared" si="60"/>
        <v>1810584.5442584904</v>
      </c>
      <c r="D173" s="516">
        <f t="shared" si="60"/>
        <v>3282829.1351461471</v>
      </c>
      <c r="E173" s="516">
        <f t="shared" si="60"/>
        <v>3522929.788741082</v>
      </c>
      <c r="F173" s="516">
        <f t="shared" si="60"/>
        <v>14203209.274053834</v>
      </c>
      <c r="G173" s="516">
        <f t="shared" si="60"/>
        <v>15477226.894137256</v>
      </c>
      <c r="H173" s="516">
        <f t="shared" si="60"/>
        <v>25051581.801717076</v>
      </c>
      <c r="I173" s="516">
        <f t="shared" si="60"/>
        <v>26746463.819055863</v>
      </c>
      <c r="J173" s="516">
        <f t="shared" si="60"/>
        <v>40689996.642011873</v>
      </c>
      <c r="K173" s="189">
        <f t="shared" si="60"/>
        <v>42999204.682379887</v>
      </c>
      <c r="L173" s="189">
        <f t="shared" si="60"/>
        <v>45173068.008621424</v>
      </c>
      <c r="M173" s="189">
        <f t="shared" si="60"/>
        <v>47149865.738936551</v>
      </c>
      <c r="Q173" s="1"/>
    </row>
    <row r="174" spans="1:17" x14ac:dyDescent="0.25">
      <c r="Q174" s="1"/>
    </row>
    <row r="175" spans="1:17" ht="15" customHeight="1" x14ac:dyDescent="0.25">
      <c r="A175" s="8" t="s">
        <v>358</v>
      </c>
      <c r="B175" s="302">
        <v>2021</v>
      </c>
      <c r="C175" s="302">
        <v>2022</v>
      </c>
      <c r="D175" s="302">
        <v>2023</v>
      </c>
      <c r="E175" s="302">
        <v>2024</v>
      </c>
      <c r="F175" s="302">
        <v>2025</v>
      </c>
      <c r="G175" s="302">
        <v>2026</v>
      </c>
      <c r="H175" s="302">
        <v>2027</v>
      </c>
      <c r="I175" s="302">
        <v>2028</v>
      </c>
      <c r="J175" s="302">
        <v>2029</v>
      </c>
      <c r="K175" s="119">
        <v>2030</v>
      </c>
      <c r="L175" s="84">
        <v>2031</v>
      </c>
      <c r="M175" s="84">
        <v>2032</v>
      </c>
      <c r="Q175" s="1"/>
    </row>
    <row r="176" spans="1:17" x14ac:dyDescent="0.25">
      <c r="A176" s="426" t="s">
        <v>354</v>
      </c>
      <c r="B176" s="511">
        <f t="shared" ref="B176:M176" si="61">SUM(D104:D108)</f>
        <v>822209.29294720234</v>
      </c>
      <c r="C176" s="511">
        <f t="shared" si="61"/>
        <v>844943.17759207322</v>
      </c>
      <c r="D176" s="511">
        <f t="shared" si="61"/>
        <v>1497509.7500120993</v>
      </c>
      <c r="E176" s="511">
        <f t="shared" si="61"/>
        <v>1561075.4031460283</v>
      </c>
      <c r="F176" s="511">
        <f t="shared" si="61"/>
        <v>6274386.0598934479</v>
      </c>
      <c r="G176" s="511">
        <f t="shared" si="61"/>
        <v>6680177.8286419548</v>
      </c>
      <c r="H176" s="511">
        <f t="shared" si="61"/>
        <v>10541463.744332146</v>
      </c>
      <c r="I176" s="511">
        <f t="shared" si="61"/>
        <v>10998790.729256142</v>
      </c>
      <c r="J176" s="511">
        <f t="shared" si="61"/>
        <v>16433219.416887688</v>
      </c>
      <c r="K176" s="187">
        <f t="shared" si="61"/>
        <v>17157807.208870634</v>
      </c>
      <c r="L176" s="187">
        <f t="shared" si="61"/>
        <v>17551930.210165948</v>
      </c>
      <c r="M176" s="187">
        <f t="shared" si="61"/>
        <v>17949386.900753457</v>
      </c>
      <c r="Q176" s="1"/>
    </row>
    <row r="177" spans="1:17" ht="15.75" thickBot="1" x14ac:dyDescent="0.3">
      <c r="A177" s="532" t="s">
        <v>355</v>
      </c>
      <c r="B177" s="514">
        <f t="shared" ref="B177:M177" si="62">SUM(D109:D118)</f>
        <v>724369.47618368454</v>
      </c>
      <c r="C177" s="514">
        <f t="shared" si="62"/>
        <v>751066.5964144282</v>
      </c>
      <c r="D177" s="514">
        <f t="shared" si="62"/>
        <v>779325.8418923131</v>
      </c>
      <c r="E177" s="514">
        <f t="shared" si="62"/>
        <v>809187.98875358026</v>
      </c>
      <c r="F177" s="514">
        <f t="shared" si="62"/>
        <v>3817609.1271885377</v>
      </c>
      <c r="G177" s="514">
        <f t="shared" si="62"/>
        <v>3927244.858235145</v>
      </c>
      <c r="H177" s="514">
        <f t="shared" si="62"/>
        <v>5428647.7675201138</v>
      </c>
      <c r="I177" s="514">
        <f t="shared" si="62"/>
        <v>5540831.1077715326</v>
      </c>
      <c r="J177" s="514">
        <f t="shared" si="62"/>
        <v>7568696.014065722</v>
      </c>
      <c r="K177" s="188">
        <f t="shared" si="62"/>
        <v>7708650.0939006358</v>
      </c>
      <c r="L177" s="188">
        <f t="shared" si="62"/>
        <v>7872185.9884882402</v>
      </c>
      <c r="M177" s="188">
        <f t="shared" si="62"/>
        <v>8036853.0302643199</v>
      </c>
      <c r="Q177" s="1"/>
    </row>
    <row r="178" spans="1:17" ht="15.75" thickTop="1" x14ac:dyDescent="0.25">
      <c r="A178" s="567" t="s">
        <v>79</v>
      </c>
      <c r="B178" s="516">
        <f t="shared" ref="B178:M178" si="63">SUM(B176:B177)</f>
        <v>1546578.769130887</v>
      </c>
      <c r="C178" s="516">
        <f t="shared" si="63"/>
        <v>1596009.7740065013</v>
      </c>
      <c r="D178" s="516">
        <f t="shared" si="63"/>
        <v>2276835.5919044125</v>
      </c>
      <c r="E178" s="516">
        <f t="shared" si="63"/>
        <v>2370263.3918996085</v>
      </c>
      <c r="F178" s="516">
        <f t="shared" si="63"/>
        <v>10091995.187081985</v>
      </c>
      <c r="G178" s="516">
        <f t="shared" si="63"/>
        <v>10607422.6868771</v>
      </c>
      <c r="H178" s="516">
        <f t="shared" si="63"/>
        <v>15970111.511852261</v>
      </c>
      <c r="I178" s="516">
        <f t="shared" si="63"/>
        <v>16539621.837027675</v>
      </c>
      <c r="J178" s="516">
        <f t="shared" si="63"/>
        <v>24001915.43095341</v>
      </c>
      <c r="K178" s="189">
        <f t="shared" si="63"/>
        <v>24866457.30277127</v>
      </c>
      <c r="L178" s="189">
        <f t="shared" si="63"/>
        <v>25424116.19865419</v>
      </c>
      <c r="M178" s="189">
        <f t="shared" si="63"/>
        <v>25986239.931017779</v>
      </c>
      <c r="Q178" s="1"/>
    </row>
    <row r="180" spans="1:17" ht="15" customHeight="1" x14ac:dyDescent="0.25">
      <c r="A180" s="8" t="s">
        <v>360</v>
      </c>
      <c r="B180" s="302">
        <v>2021</v>
      </c>
      <c r="C180" s="302">
        <v>2022</v>
      </c>
      <c r="D180" s="302">
        <v>2023</v>
      </c>
      <c r="E180" s="302">
        <v>2024</v>
      </c>
      <c r="F180" s="302">
        <v>2025</v>
      </c>
      <c r="G180" s="302">
        <v>2026</v>
      </c>
      <c r="H180" s="302">
        <v>2027</v>
      </c>
      <c r="I180" s="302">
        <v>2028</v>
      </c>
      <c r="J180" s="302">
        <v>2029</v>
      </c>
      <c r="K180" s="119">
        <v>2030</v>
      </c>
      <c r="L180" s="84">
        <v>2031</v>
      </c>
      <c r="M180" s="84">
        <v>2032</v>
      </c>
      <c r="Q180" s="1"/>
    </row>
    <row r="181" spans="1:17" x14ac:dyDescent="0.25">
      <c r="A181" s="426" t="s">
        <v>356</v>
      </c>
      <c r="B181" s="511">
        <f t="shared" ref="B181:M181" si="64">SUM(D121:D125)</f>
        <v>1202664.1868348594</v>
      </c>
      <c r="C181" s="511">
        <f t="shared" si="64"/>
        <v>1298315.1522668223</v>
      </c>
      <c r="D181" s="511">
        <f t="shared" si="64"/>
        <v>2385785.5409330898</v>
      </c>
      <c r="E181" s="511">
        <f t="shared" si="64"/>
        <v>2599086.7854623045</v>
      </c>
      <c r="F181" s="511">
        <f t="shared" si="64"/>
        <v>10708585.107689057</v>
      </c>
      <c r="G181" s="511">
        <f t="shared" si="64"/>
        <v>11713349.29469189</v>
      </c>
      <c r="H181" s="511">
        <f t="shared" si="64"/>
        <v>19056439.938864142</v>
      </c>
      <c r="I181" s="511">
        <f t="shared" si="64"/>
        <v>20458810.42316962</v>
      </c>
      <c r="J181" s="511">
        <f t="shared" si="64"/>
        <v>31292251.457063951</v>
      </c>
      <c r="K181" s="187">
        <f t="shared" si="64"/>
        <v>33225999.401205771</v>
      </c>
      <c r="L181" s="187">
        <f t="shared" si="64"/>
        <v>35056002.688707322</v>
      </c>
      <c r="M181" s="187">
        <f t="shared" si="64"/>
        <v>36657473.125456169</v>
      </c>
      <c r="Q181" s="1"/>
    </row>
    <row r="182" spans="1:17" ht="15.75" thickBot="1" x14ac:dyDescent="0.3">
      <c r="A182" s="532" t="s">
        <v>357</v>
      </c>
      <c r="B182" s="514">
        <f t="shared" ref="B182:M182" si="65">SUM(D126:D130)</f>
        <v>499162.92158567865</v>
      </c>
      <c r="C182" s="514">
        <f t="shared" si="65"/>
        <v>512269.39199166809</v>
      </c>
      <c r="D182" s="514">
        <f t="shared" si="65"/>
        <v>897043.59421305731</v>
      </c>
      <c r="E182" s="514">
        <f t="shared" si="65"/>
        <v>923843.00327877793</v>
      </c>
      <c r="F182" s="514">
        <f t="shared" si="65"/>
        <v>3494624.1663647778</v>
      </c>
      <c r="G182" s="514">
        <f t="shared" si="65"/>
        <v>3763877.5994453644</v>
      </c>
      <c r="H182" s="514">
        <f t="shared" si="65"/>
        <v>5995141.8628529366</v>
      </c>
      <c r="I182" s="514">
        <f t="shared" si="65"/>
        <v>6287653.3958862424</v>
      </c>
      <c r="J182" s="514">
        <f t="shared" si="65"/>
        <v>9397745.184947921</v>
      </c>
      <c r="K182" s="188">
        <f t="shared" si="65"/>
        <v>9773205.2811741121</v>
      </c>
      <c r="L182" s="188">
        <f t="shared" si="65"/>
        <v>10117065.319914099</v>
      </c>
      <c r="M182" s="188">
        <f t="shared" si="65"/>
        <v>10492392.613480385</v>
      </c>
      <c r="Q182" s="1"/>
    </row>
    <row r="183" spans="1:17" ht="15.75" thickTop="1" x14ac:dyDescent="0.25">
      <c r="A183" s="567" t="s">
        <v>79</v>
      </c>
      <c r="B183" s="516">
        <f t="shared" ref="B183:M183" si="66">SUM(B181:B182)</f>
        <v>1701827.108420538</v>
      </c>
      <c r="C183" s="516">
        <f t="shared" si="66"/>
        <v>1810584.5442584904</v>
      </c>
      <c r="D183" s="516">
        <f t="shared" si="66"/>
        <v>3282829.1351461471</v>
      </c>
      <c r="E183" s="516">
        <f t="shared" si="66"/>
        <v>3522929.7887410824</v>
      </c>
      <c r="F183" s="516">
        <f t="shared" si="66"/>
        <v>14203209.274053834</v>
      </c>
      <c r="G183" s="516">
        <f t="shared" si="66"/>
        <v>15477226.894137256</v>
      </c>
      <c r="H183" s="516">
        <f t="shared" si="66"/>
        <v>25051581.80171708</v>
      </c>
      <c r="I183" s="516">
        <f t="shared" si="66"/>
        <v>26746463.819055863</v>
      </c>
      <c r="J183" s="516">
        <f t="shared" si="66"/>
        <v>40689996.642011873</v>
      </c>
      <c r="K183" s="189">
        <f t="shared" si="66"/>
        <v>42999204.682379887</v>
      </c>
      <c r="L183" s="189">
        <f t="shared" si="66"/>
        <v>45173068.008621424</v>
      </c>
      <c r="M183" s="189">
        <f t="shared" si="66"/>
        <v>47149865.738936558</v>
      </c>
      <c r="Q183" s="1"/>
    </row>
  </sheetData>
  <phoneticPr fontId="47" type="noConversion"/>
  <pageMargins left="0.7" right="0.7" top="0.75" bottom="0.75" header="0.3" footer="0.3"/>
  <pageSetup paperSize="5" scale="98" pageOrder="overThenDown" orientation="landscape" r:id="rId1"/>
  <headerFooter>
    <oddHeader>&amp;CPRELIMINARY DISCUSSION DRAFT - DO NOT CITE OR QUOTE</oddHeader>
    <oddFooter>&amp;L&amp;F&amp;CPage &amp;P of &amp;N&amp;R&amp;D</oddFooter>
  </headerFooter>
  <rowBreaks count="6" manualBreakCount="6">
    <brk id="25" max="16383" man="1"/>
    <brk id="55" max="16383" man="1"/>
    <brk id="87" max="16383" man="1"/>
    <brk id="113" max="16383" man="1"/>
    <brk id="138" max="16383" man="1"/>
    <brk id="16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118"/>
  <sheetViews>
    <sheetView topLeftCell="A125" zoomScale="70" zoomScaleNormal="70" workbookViewId="0">
      <selection activeCell="C43" sqref="C43"/>
    </sheetView>
  </sheetViews>
  <sheetFormatPr defaultColWidth="9.140625" defaultRowHeight="15" x14ac:dyDescent="0.25"/>
  <cols>
    <col min="1" max="1" width="40" style="38" customWidth="1"/>
    <col min="2" max="2" width="16.5703125" style="38" customWidth="1"/>
    <col min="3" max="3" width="17.7109375" style="38" bestFit="1" customWidth="1"/>
    <col min="4" max="4" width="11.85546875" style="38" bestFit="1" customWidth="1"/>
    <col min="5" max="16" width="11.28515625" style="38" bestFit="1" customWidth="1"/>
    <col min="17" max="20" width="9.140625" style="38"/>
    <col min="21" max="16384" width="9.140625" style="1"/>
  </cols>
  <sheetData>
    <row r="1" spans="1:15" ht="30.75" x14ac:dyDescent="0.3">
      <c r="A1" s="314" t="s">
        <v>42</v>
      </c>
      <c r="B1" s="408" t="s">
        <v>497</v>
      </c>
      <c r="C1" s="408"/>
      <c r="D1" s="408"/>
    </row>
    <row r="2" spans="1:15" ht="45" x14ac:dyDescent="0.25">
      <c r="B2" s="395" t="s">
        <v>464</v>
      </c>
      <c r="C2" s="395"/>
      <c r="D2" s="395"/>
    </row>
    <row r="3" spans="1:15" x14ac:dyDescent="0.25">
      <c r="B3" s="442" t="s">
        <v>460</v>
      </c>
      <c r="C3" s="443"/>
      <c r="D3" s="444"/>
    </row>
    <row r="4" spans="1:15" ht="45" x14ac:dyDescent="0.25">
      <c r="B4" s="517" t="s">
        <v>229</v>
      </c>
      <c r="C4" s="517"/>
      <c r="D4" s="517"/>
    </row>
    <row r="6" spans="1:15" ht="15.75" x14ac:dyDescent="0.25">
      <c r="A6" s="315" t="s">
        <v>321</v>
      </c>
      <c r="O6" s="502"/>
    </row>
    <row r="7" spans="1:15" x14ac:dyDescent="0.25">
      <c r="A7" s="113" t="s">
        <v>25</v>
      </c>
      <c r="B7" s="113" t="s">
        <v>16</v>
      </c>
      <c r="C7" s="301" t="s">
        <v>26</v>
      </c>
    </row>
    <row r="8" spans="1:15" x14ac:dyDescent="0.25">
      <c r="A8" s="22" t="s">
        <v>53</v>
      </c>
      <c r="B8" s="22" t="s">
        <v>55</v>
      </c>
      <c r="C8" s="518">
        <f>'Cost Inputs'!C79</f>
        <v>10000</v>
      </c>
    </row>
    <row r="9" spans="1:15" x14ac:dyDescent="0.25">
      <c r="A9" s="22" t="s">
        <v>54</v>
      </c>
      <c r="B9" s="22" t="s">
        <v>55</v>
      </c>
      <c r="C9" s="518">
        <f>'Cost Inputs'!C84</f>
        <v>2500</v>
      </c>
    </row>
    <row r="10" spans="1:15" x14ac:dyDescent="0.25">
      <c r="A10" s="22" t="s">
        <v>437</v>
      </c>
      <c r="B10" s="22" t="s">
        <v>17</v>
      </c>
      <c r="C10" s="518">
        <f>'Cost Inputs'!C89</f>
        <v>100</v>
      </c>
    </row>
    <row r="11" spans="1:15" x14ac:dyDescent="0.25">
      <c r="A11" s="22" t="s">
        <v>438</v>
      </c>
      <c r="B11" s="22" t="s">
        <v>17</v>
      </c>
      <c r="C11" s="518">
        <f>'Cost Inputs'!C94</f>
        <v>100</v>
      </c>
    </row>
    <row r="12" spans="1:15" ht="30" x14ac:dyDescent="0.25">
      <c r="A12" s="22" t="s">
        <v>431</v>
      </c>
      <c r="B12" s="22" t="s">
        <v>56</v>
      </c>
      <c r="C12" s="518">
        <f>'Cost Inputs'!D102</f>
        <v>173000</v>
      </c>
    </row>
    <row r="13" spans="1:15" ht="30" x14ac:dyDescent="0.25">
      <c r="A13" s="22" t="s">
        <v>432</v>
      </c>
      <c r="B13" s="22" t="s">
        <v>56</v>
      </c>
      <c r="C13" s="518">
        <f>'Cost Inputs'!E102</f>
        <v>172000</v>
      </c>
    </row>
    <row r="14" spans="1:15" ht="30" x14ac:dyDescent="0.25">
      <c r="A14" s="22" t="s">
        <v>433</v>
      </c>
      <c r="B14" s="22" t="s">
        <v>56</v>
      </c>
      <c r="C14" s="518">
        <f>'Cost Inputs'!D103</f>
        <v>182000</v>
      </c>
    </row>
    <row r="15" spans="1:15" ht="30" x14ac:dyDescent="0.25">
      <c r="A15" s="22" t="s">
        <v>434</v>
      </c>
      <c r="B15" s="22" t="s">
        <v>56</v>
      </c>
      <c r="C15" s="518">
        <f>'Cost Inputs'!E103</f>
        <v>181000</v>
      </c>
    </row>
    <row r="16" spans="1:15" x14ac:dyDescent="0.25">
      <c r="A16" s="22" t="s">
        <v>439</v>
      </c>
      <c r="B16" s="22" t="s">
        <v>56</v>
      </c>
      <c r="C16" s="518">
        <f>'Cost Inputs'!D108</f>
        <v>182000</v>
      </c>
    </row>
    <row r="17" spans="1:16" x14ac:dyDescent="0.25">
      <c r="A17" s="22" t="s">
        <v>440</v>
      </c>
      <c r="B17" s="22" t="s">
        <v>56</v>
      </c>
      <c r="C17" s="518">
        <f>'Cost Inputs'!E108</f>
        <v>181000</v>
      </c>
    </row>
    <row r="18" spans="1:16" x14ac:dyDescent="0.25">
      <c r="A18" s="22" t="s">
        <v>435</v>
      </c>
      <c r="B18" s="22" t="s">
        <v>56</v>
      </c>
      <c r="C18" s="518">
        <f>'Cost Inputs'!D109</f>
        <v>182000</v>
      </c>
    </row>
    <row r="19" spans="1:16" x14ac:dyDescent="0.25">
      <c r="A19" s="22" t="s">
        <v>436</v>
      </c>
      <c r="B19" s="22" t="s">
        <v>56</v>
      </c>
      <c r="C19" s="518">
        <f>'Cost Inputs'!E109</f>
        <v>181000</v>
      </c>
    </row>
    <row r="21" spans="1:16" x14ac:dyDescent="0.25">
      <c r="A21" s="113" t="s">
        <v>24</v>
      </c>
      <c r="B21" s="113"/>
      <c r="C21" s="113" t="s">
        <v>16</v>
      </c>
      <c r="D21" s="301">
        <v>2020</v>
      </c>
      <c r="E21" s="301">
        <v>2021</v>
      </c>
      <c r="F21" s="301">
        <v>2022</v>
      </c>
      <c r="G21" s="301">
        <v>2023</v>
      </c>
      <c r="H21" s="301">
        <v>2024</v>
      </c>
      <c r="I21" s="301">
        <v>2025</v>
      </c>
      <c r="J21" s="301">
        <v>2026</v>
      </c>
      <c r="K21" s="301">
        <v>2027</v>
      </c>
      <c r="L21" s="301">
        <v>2028</v>
      </c>
      <c r="M21" s="301">
        <v>2029</v>
      </c>
      <c r="N21" s="301">
        <v>2030</v>
      </c>
      <c r="O21" s="136">
        <v>2031</v>
      </c>
      <c r="P21" s="136">
        <v>2032</v>
      </c>
    </row>
    <row r="22" spans="1:16" ht="30" x14ac:dyDescent="0.25">
      <c r="A22" s="22" t="s">
        <v>161</v>
      </c>
      <c r="B22" s="22" t="s">
        <v>424</v>
      </c>
      <c r="C22" s="22" t="s">
        <v>23</v>
      </c>
      <c r="D22" s="395">
        <f>'Cost Inputs'!B79</f>
        <v>5</v>
      </c>
      <c r="E22" s="508"/>
      <c r="F22" s="508"/>
      <c r="G22" s="508"/>
      <c r="H22" s="508"/>
      <c r="I22" s="508"/>
      <c r="J22" s="508"/>
      <c r="K22" s="508"/>
      <c r="L22" s="508"/>
      <c r="M22" s="508"/>
      <c r="N22" s="508"/>
      <c r="O22" s="508"/>
      <c r="P22" s="508"/>
    </row>
    <row r="23" spans="1:16" x14ac:dyDescent="0.25">
      <c r="A23" s="22" t="s">
        <v>162</v>
      </c>
      <c r="B23" s="22" t="s">
        <v>424</v>
      </c>
      <c r="C23" s="22" t="s">
        <v>23</v>
      </c>
      <c r="D23" s="395">
        <f>'Cost Inputs'!B80</f>
        <v>4</v>
      </c>
      <c r="E23" s="508"/>
      <c r="F23" s="508"/>
      <c r="G23" s="508"/>
      <c r="H23" s="508"/>
      <c r="I23" s="508"/>
      <c r="J23" s="508"/>
      <c r="K23" s="508"/>
      <c r="L23" s="508"/>
      <c r="M23" s="508"/>
      <c r="N23" s="508"/>
      <c r="O23" s="508"/>
      <c r="P23" s="508"/>
    </row>
    <row r="24" spans="1:16" ht="30" x14ac:dyDescent="0.25">
      <c r="A24" s="22" t="s">
        <v>163</v>
      </c>
      <c r="B24" s="22" t="s">
        <v>601</v>
      </c>
      <c r="C24" s="22" t="s">
        <v>23</v>
      </c>
      <c r="D24" s="508"/>
      <c r="E24" s="508"/>
      <c r="F24" s="508"/>
      <c r="G24" s="395">
        <f>'Cost Inputs'!B81</f>
        <v>5</v>
      </c>
      <c r="H24" s="508"/>
      <c r="I24" s="508"/>
      <c r="J24" s="508"/>
      <c r="K24" s="508"/>
      <c r="L24" s="508"/>
      <c r="M24" s="508"/>
      <c r="N24" s="508"/>
      <c r="O24" s="508"/>
      <c r="P24" s="508"/>
    </row>
    <row r="25" spans="1:16" ht="30" x14ac:dyDescent="0.25">
      <c r="A25" s="22" t="s">
        <v>845</v>
      </c>
      <c r="B25" s="22" t="s">
        <v>424</v>
      </c>
      <c r="C25" s="22" t="s">
        <v>23</v>
      </c>
      <c r="D25" s="508"/>
      <c r="E25" s="508"/>
      <c r="F25" s="508"/>
      <c r="G25" s="508"/>
      <c r="H25" s="508"/>
      <c r="I25" s="395">
        <f>'Cost Inputs'!B82</f>
        <v>2</v>
      </c>
      <c r="J25" s="508"/>
      <c r="K25" s="395">
        <f>'Cost Inputs'!B83</f>
        <v>0</v>
      </c>
      <c r="L25" s="508"/>
      <c r="M25" s="508"/>
      <c r="N25" s="508"/>
      <c r="O25" s="508"/>
      <c r="P25" s="508"/>
    </row>
    <row r="26" spans="1:16" ht="30" x14ac:dyDescent="0.25">
      <c r="A26" s="22" t="s">
        <v>164</v>
      </c>
      <c r="B26" s="22" t="s">
        <v>424</v>
      </c>
      <c r="C26" s="22" t="s">
        <v>23</v>
      </c>
      <c r="D26" s="395">
        <f>'Cost Inputs'!B84</f>
        <v>19</v>
      </c>
      <c r="E26" s="508"/>
      <c r="F26" s="508"/>
      <c r="G26" s="508"/>
      <c r="H26" s="508"/>
      <c r="I26" s="508"/>
      <c r="J26" s="508"/>
      <c r="K26" s="508"/>
      <c r="L26" s="508"/>
      <c r="M26" s="508"/>
      <c r="N26" s="508"/>
      <c r="O26" s="508"/>
      <c r="P26" s="508"/>
    </row>
    <row r="27" spans="1:16" x14ac:dyDescent="0.25">
      <c r="A27" s="22" t="s">
        <v>165</v>
      </c>
      <c r="B27" s="22" t="s">
        <v>424</v>
      </c>
      <c r="C27" s="22" t="s">
        <v>23</v>
      </c>
      <c r="D27" s="395">
        <f>'Cost Inputs'!B85</f>
        <v>5</v>
      </c>
      <c r="E27" s="508"/>
      <c r="F27" s="508"/>
      <c r="G27" s="508"/>
      <c r="H27" s="508"/>
      <c r="I27" s="508"/>
      <c r="J27" s="508"/>
      <c r="K27" s="508"/>
      <c r="L27" s="508"/>
      <c r="M27" s="508"/>
      <c r="N27" s="508"/>
      <c r="O27" s="508"/>
      <c r="P27" s="508"/>
    </row>
    <row r="28" spans="1:16" ht="30" x14ac:dyDescent="0.25">
      <c r="A28" s="22" t="s">
        <v>166</v>
      </c>
      <c r="B28" s="22" t="s">
        <v>601</v>
      </c>
      <c r="C28" s="22" t="s">
        <v>23</v>
      </c>
      <c r="D28" s="508"/>
      <c r="E28" s="508"/>
      <c r="F28" s="508"/>
      <c r="G28" s="395">
        <f>'Cost Inputs'!$B86/2</f>
        <v>5.5</v>
      </c>
      <c r="H28" s="395">
        <f>'Cost Inputs'!$B86/2</f>
        <v>5.5</v>
      </c>
      <c r="I28" s="508"/>
      <c r="J28" s="508"/>
      <c r="K28" s="508"/>
      <c r="L28" s="508"/>
      <c r="M28" s="508"/>
      <c r="N28" s="508"/>
      <c r="O28" s="508"/>
      <c r="P28" s="508"/>
    </row>
    <row r="29" spans="1:16" ht="30" x14ac:dyDescent="0.25">
      <c r="A29" s="22" t="s">
        <v>846</v>
      </c>
      <c r="B29" s="22" t="s">
        <v>424</v>
      </c>
      <c r="C29" s="22" t="s">
        <v>23</v>
      </c>
      <c r="D29" s="508"/>
      <c r="E29" s="508"/>
      <c r="F29" s="508"/>
      <c r="G29" s="508"/>
      <c r="H29" s="508"/>
      <c r="I29" s="395">
        <f>'Cost Inputs'!B87/2</f>
        <v>4.5</v>
      </c>
      <c r="J29" s="395">
        <f>'Cost Inputs'!B87/2</f>
        <v>4.5</v>
      </c>
      <c r="K29" s="508"/>
      <c r="L29" s="508"/>
      <c r="M29" s="508"/>
      <c r="N29" s="508"/>
      <c r="O29" s="508"/>
      <c r="P29" s="508"/>
    </row>
    <row r="30" spans="1:16" ht="30" x14ac:dyDescent="0.25">
      <c r="A30" s="22" t="s">
        <v>849</v>
      </c>
      <c r="B30" s="22" t="s">
        <v>424</v>
      </c>
      <c r="C30" s="22" t="s">
        <v>23</v>
      </c>
      <c r="D30" s="508"/>
      <c r="E30" s="508"/>
      <c r="F30" s="508"/>
      <c r="G30" s="508"/>
      <c r="H30" s="508"/>
      <c r="I30" s="508"/>
      <c r="J30" s="508"/>
      <c r="K30" s="395">
        <f>'Cost Inputs'!B88/2</f>
        <v>6.5</v>
      </c>
      <c r="L30" s="395">
        <f>'Cost Inputs'!B88/2</f>
        <v>6.5</v>
      </c>
      <c r="M30" s="508"/>
      <c r="N30" s="508"/>
      <c r="O30" s="508"/>
      <c r="P30" s="508"/>
    </row>
    <row r="31" spans="1:16" ht="30" x14ac:dyDescent="0.25">
      <c r="A31" s="22" t="s">
        <v>418</v>
      </c>
      <c r="B31" s="22" t="s">
        <v>424</v>
      </c>
      <c r="C31" s="22" t="s">
        <v>23</v>
      </c>
      <c r="D31" s="508"/>
      <c r="E31" s="395">
        <f>'Cost Inputs'!$B89</f>
        <v>3742</v>
      </c>
      <c r="F31" s="395">
        <f>'Cost Inputs'!$B89</f>
        <v>3742</v>
      </c>
      <c r="G31" s="395">
        <f>'Cost Inputs'!$B89</f>
        <v>3742</v>
      </c>
      <c r="H31" s="395">
        <f>'Cost Inputs'!$B89</f>
        <v>3742</v>
      </c>
      <c r="I31" s="395">
        <f>'Cost Inputs'!$B89</f>
        <v>3742</v>
      </c>
      <c r="J31" s="395">
        <f>'Cost Inputs'!$B89</f>
        <v>3742</v>
      </c>
      <c r="K31" s="395">
        <f>'Cost Inputs'!$B89</f>
        <v>3742</v>
      </c>
      <c r="L31" s="395">
        <f>'Cost Inputs'!$B89</f>
        <v>3742</v>
      </c>
      <c r="M31" s="395">
        <f>'Cost Inputs'!$B89</f>
        <v>3742</v>
      </c>
      <c r="N31" s="395">
        <f>'Cost Inputs'!$B89</f>
        <v>3742</v>
      </c>
      <c r="O31" s="395">
        <f>'Cost Inputs'!$B89</f>
        <v>3742</v>
      </c>
      <c r="P31" s="395">
        <f>'Cost Inputs'!$B89</f>
        <v>3742</v>
      </c>
    </row>
    <row r="32" spans="1:16" ht="30" x14ac:dyDescent="0.25">
      <c r="A32" s="22" t="s">
        <v>419</v>
      </c>
      <c r="B32" s="22" t="s">
        <v>424</v>
      </c>
      <c r="C32" s="22" t="s">
        <v>23</v>
      </c>
      <c r="D32" s="508"/>
      <c r="E32" s="395">
        <f>'Cost Inputs'!$B90</f>
        <v>527</v>
      </c>
      <c r="F32" s="395">
        <f>'Cost Inputs'!$B90</f>
        <v>527</v>
      </c>
      <c r="G32" s="395">
        <f>'Cost Inputs'!$B90</f>
        <v>527</v>
      </c>
      <c r="H32" s="395">
        <f>'Cost Inputs'!$B90</f>
        <v>527</v>
      </c>
      <c r="I32" s="395">
        <f>'Cost Inputs'!$B90</f>
        <v>527</v>
      </c>
      <c r="J32" s="395">
        <f>'Cost Inputs'!$B90</f>
        <v>527</v>
      </c>
      <c r="K32" s="395">
        <f>'Cost Inputs'!$B90</f>
        <v>527</v>
      </c>
      <c r="L32" s="395">
        <f>'Cost Inputs'!$B90</f>
        <v>527</v>
      </c>
      <c r="M32" s="395">
        <f>'Cost Inputs'!$B90</f>
        <v>527</v>
      </c>
      <c r="N32" s="395">
        <f>'Cost Inputs'!$B90</f>
        <v>527</v>
      </c>
      <c r="O32" s="395">
        <f>'Cost Inputs'!$B90</f>
        <v>527</v>
      </c>
      <c r="P32" s="395">
        <f>'Cost Inputs'!$B90</f>
        <v>527</v>
      </c>
    </row>
    <row r="33" spans="1:16" ht="30" x14ac:dyDescent="0.25">
      <c r="A33" s="22" t="s">
        <v>420</v>
      </c>
      <c r="B33" s="22" t="s">
        <v>601</v>
      </c>
      <c r="C33" s="22" t="s">
        <v>23</v>
      </c>
      <c r="D33" s="508"/>
      <c r="E33" s="508"/>
      <c r="F33" s="508"/>
      <c r="G33" s="508"/>
      <c r="H33" s="508"/>
      <c r="I33" s="395">
        <f>'Cost Inputs'!$B91</f>
        <v>1017</v>
      </c>
      <c r="J33" s="395">
        <f>'Cost Inputs'!$B91</f>
        <v>1017</v>
      </c>
      <c r="K33" s="395">
        <f>'Cost Inputs'!$B91</f>
        <v>1017</v>
      </c>
      <c r="L33" s="395">
        <f>'Cost Inputs'!$B91</f>
        <v>1017</v>
      </c>
      <c r="M33" s="395">
        <f>'Cost Inputs'!$B91</f>
        <v>1017</v>
      </c>
      <c r="N33" s="395">
        <f>'Cost Inputs'!$B91</f>
        <v>1017</v>
      </c>
      <c r="O33" s="395">
        <f>'Cost Inputs'!$B91</f>
        <v>1017</v>
      </c>
      <c r="P33" s="395">
        <f>'Cost Inputs'!$B91</f>
        <v>1017</v>
      </c>
    </row>
    <row r="34" spans="1:16" ht="30" x14ac:dyDescent="0.25">
      <c r="A34" s="22" t="s">
        <v>847</v>
      </c>
      <c r="B34" s="22" t="s">
        <v>424</v>
      </c>
      <c r="C34" s="22" t="s">
        <v>23</v>
      </c>
      <c r="D34" s="508"/>
      <c r="E34" s="508"/>
      <c r="F34" s="508"/>
      <c r="G34" s="508"/>
      <c r="H34" s="508"/>
      <c r="I34" s="508"/>
      <c r="J34" s="508"/>
      <c r="K34" s="395">
        <f>'Cost Inputs'!$B92</f>
        <v>577</v>
      </c>
      <c r="L34" s="395">
        <f>'Cost Inputs'!$B92</f>
        <v>577</v>
      </c>
      <c r="M34" s="395">
        <f>'Cost Inputs'!$B92</f>
        <v>577</v>
      </c>
      <c r="N34" s="395">
        <f>'Cost Inputs'!$B92</f>
        <v>577</v>
      </c>
      <c r="O34" s="395">
        <f>'Cost Inputs'!$B92</f>
        <v>577</v>
      </c>
      <c r="P34" s="395">
        <f>'Cost Inputs'!$B92</f>
        <v>577</v>
      </c>
    </row>
    <row r="35" spans="1:16" ht="30" x14ac:dyDescent="0.25">
      <c r="A35" s="22" t="s">
        <v>850</v>
      </c>
      <c r="B35" s="22" t="s">
        <v>424</v>
      </c>
      <c r="C35" s="22" t="s">
        <v>23</v>
      </c>
      <c r="D35" s="508"/>
      <c r="E35" s="508"/>
      <c r="F35" s="508"/>
      <c r="G35" s="508"/>
      <c r="H35" s="508"/>
      <c r="I35" s="508"/>
      <c r="J35" s="508"/>
      <c r="K35" s="508"/>
      <c r="L35" s="508"/>
      <c r="M35" s="395">
        <f>'Cost Inputs'!$B93</f>
        <v>766</v>
      </c>
      <c r="N35" s="395">
        <f>'Cost Inputs'!$B93</f>
        <v>766</v>
      </c>
      <c r="O35" s="395">
        <f>'Cost Inputs'!$B93</f>
        <v>766</v>
      </c>
      <c r="P35" s="395">
        <f>'Cost Inputs'!$B93</f>
        <v>766</v>
      </c>
    </row>
    <row r="36" spans="1:16" ht="30" x14ac:dyDescent="0.25">
      <c r="A36" s="22" t="s">
        <v>421</v>
      </c>
      <c r="B36" s="22" t="s">
        <v>424</v>
      </c>
      <c r="C36" s="22" t="s">
        <v>23</v>
      </c>
      <c r="D36" s="508"/>
      <c r="E36" s="395">
        <f>'Cost Inputs'!$B94</f>
        <v>3742</v>
      </c>
      <c r="F36" s="395">
        <f>'Cost Inputs'!$B94</f>
        <v>3742</v>
      </c>
      <c r="G36" s="395">
        <f>'Cost Inputs'!$B94</f>
        <v>3742</v>
      </c>
      <c r="H36" s="395">
        <f>'Cost Inputs'!$B94</f>
        <v>3742</v>
      </c>
      <c r="I36" s="395">
        <f>'Cost Inputs'!$B94</f>
        <v>3742</v>
      </c>
      <c r="J36" s="395">
        <f>'Cost Inputs'!$B94</f>
        <v>3742</v>
      </c>
      <c r="K36" s="395">
        <f>'Cost Inputs'!$B94</f>
        <v>3742</v>
      </c>
      <c r="L36" s="395">
        <f>'Cost Inputs'!$B94</f>
        <v>3742</v>
      </c>
      <c r="M36" s="395">
        <f>'Cost Inputs'!$B94</f>
        <v>3742</v>
      </c>
      <c r="N36" s="395">
        <f>'Cost Inputs'!$B94</f>
        <v>3742</v>
      </c>
      <c r="O36" s="395">
        <f>'Cost Inputs'!$B94</f>
        <v>3742</v>
      </c>
      <c r="P36" s="395">
        <f>'Cost Inputs'!$B94</f>
        <v>3742</v>
      </c>
    </row>
    <row r="37" spans="1:16" ht="30" x14ac:dyDescent="0.25">
      <c r="A37" s="22" t="s">
        <v>422</v>
      </c>
      <c r="B37" s="22" t="s">
        <v>424</v>
      </c>
      <c r="C37" s="22" t="s">
        <v>23</v>
      </c>
      <c r="D37" s="508"/>
      <c r="E37" s="395">
        <f>'Cost Inputs'!$B95</f>
        <v>527</v>
      </c>
      <c r="F37" s="395">
        <f>'Cost Inputs'!$B95</f>
        <v>527</v>
      </c>
      <c r="G37" s="395">
        <f>'Cost Inputs'!$B95</f>
        <v>527</v>
      </c>
      <c r="H37" s="395">
        <f>'Cost Inputs'!$B95</f>
        <v>527</v>
      </c>
      <c r="I37" s="395">
        <f>'Cost Inputs'!$B95</f>
        <v>527</v>
      </c>
      <c r="J37" s="395">
        <f>'Cost Inputs'!$B95</f>
        <v>527</v>
      </c>
      <c r="K37" s="395">
        <f>'Cost Inputs'!$B95</f>
        <v>527</v>
      </c>
      <c r="L37" s="395">
        <f>'Cost Inputs'!$B95</f>
        <v>527</v>
      </c>
      <c r="M37" s="395">
        <f>'Cost Inputs'!$B95</f>
        <v>527</v>
      </c>
      <c r="N37" s="395">
        <f>'Cost Inputs'!$B95</f>
        <v>527</v>
      </c>
      <c r="O37" s="395">
        <f>'Cost Inputs'!$B95</f>
        <v>527</v>
      </c>
      <c r="P37" s="395">
        <f>'Cost Inputs'!$B95</f>
        <v>527</v>
      </c>
    </row>
    <row r="38" spans="1:16" ht="30" x14ac:dyDescent="0.25">
      <c r="A38" s="22" t="s">
        <v>423</v>
      </c>
      <c r="B38" s="22" t="s">
        <v>601</v>
      </c>
      <c r="C38" s="22" t="s">
        <v>23</v>
      </c>
      <c r="D38" s="508"/>
      <c r="E38" s="508"/>
      <c r="F38" s="508"/>
      <c r="G38" s="508"/>
      <c r="H38" s="508"/>
      <c r="I38" s="395">
        <f>'Cost Inputs'!$B96</f>
        <v>1017</v>
      </c>
      <c r="J38" s="395">
        <f>'Cost Inputs'!$B96</f>
        <v>1017</v>
      </c>
      <c r="K38" s="395">
        <f>'Cost Inputs'!$B96</f>
        <v>1017</v>
      </c>
      <c r="L38" s="395">
        <f>'Cost Inputs'!$B96</f>
        <v>1017</v>
      </c>
      <c r="M38" s="395">
        <f>'Cost Inputs'!$B96</f>
        <v>1017</v>
      </c>
      <c r="N38" s="395">
        <f>'Cost Inputs'!$B96</f>
        <v>1017</v>
      </c>
      <c r="O38" s="395">
        <f>'Cost Inputs'!$B96</f>
        <v>1017</v>
      </c>
      <c r="P38" s="395">
        <f>'Cost Inputs'!$B96</f>
        <v>1017</v>
      </c>
    </row>
    <row r="39" spans="1:16" ht="30" x14ac:dyDescent="0.25">
      <c r="A39" s="22" t="s">
        <v>848</v>
      </c>
      <c r="B39" s="22" t="s">
        <v>424</v>
      </c>
      <c r="C39" s="22" t="s">
        <v>23</v>
      </c>
      <c r="D39" s="508"/>
      <c r="E39" s="508"/>
      <c r="F39" s="508"/>
      <c r="G39" s="508"/>
      <c r="H39" s="508"/>
      <c r="I39" s="508"/>
      <c r="J39" s="508"/>
      <c r="K39" s="395">
        <f>'Cost Inputs'!$B97</f>
        <v>577</v>
      </c>
      <c r="L39" s="395">
        <f>'Cost Inputs'!$B97</f>
        <v>577</v>
      </c>
      <c r="M39" s="395">
        <f>'Cost Inputs'!$B97</f>
        <v>577</v>
      </c>
      <c r="N39" s="395">
        <f>'Cost Inputs'!$B97</f>
        <v>577</v>
      </c>
      <c r="O39" s="395">
        <f>'Cost Inputs'!$B97</f>
        <v>577</v>
      </c>
      <c r="P39" s="395">
        <f>'Cost Inputs'!$B97</f>
        <v>577</v>
      </c>
    </row>
    <row r="40" spans="1:16" ht="30" x14ac:dyDescent="0.25">
      <c r="A40" s="22" t="s">
        <v>851</v>
      </c>
      <c r="B40" s="22" t="s">
        <v>424</v>
      </c>
      <c r="C40" s="22" t="s">
        <v>23</v>
      </c>
      <c r="D40" s="508"/>
      <c r="E40" s="508"/>
      <c r="F40" s="508"/>
      <c r="G40" s="508"/>
      <c r="H40" s="508"/>
      <c r="I40" s="508"/>
      <c r="J40" s="508"/>
      <c r="K40" s="508"/>
      <c r="L40" s="508"/>
      <c r="M40" s="395">
        <f>'Cost Inputs'!$B98</f>
        <v>766</v>
      </c>
      <c r="N40" s="395">
        <f>'Cost Inputs'!$B98</f>
        <v>766</v>
      </c>
      <c r="O40" s="395">
        <f>'Cost Inputs'!$B98</f>
        <v>766</v>
      </c>
      <c r="P40" s="395">
        <f>'Cost Inputs'!$B98</f>
        <v>766</v>
      </c>
    </row>
    <row r="41" spans="1:16" ht="30" x14ac:dyDescent="0.25">
      <c r="A41" s="22" t="s">
        <v>425</v>
      </c>
      <c r="B41" s="22" t="s">
        <v>424</v>
      </c>
      <c r="C41" s="22" t="s">
        <v>23</v>
      </c>
      <c r="D41" s="508"/>
      <c r="E41" s="395">
        <f>'Cost Inputs'!B102</f>
        <v>2</v>
      </c>
      <c r="F41" s="508"/>
      <c r="G41" s="508"/>
      <c r="H41" s="508"/>
      <c r="I41" s="508"/>
      <c r="J41" s="508"/>
      <c r="K41" s="508"/>
      <c r="L41" s="508"/>
      <c r="M41" s="508"/>
      <c r="N41" s="508"/>
      <c r="O41" s="508"/>
      <c r="P41" s="508"/>
    </row>
    <row r="42" spans="1:16" ht="30" x14ac:dyDescent="0.25">
      <c r="A42" s="22" t="s">
        <v>427</v>
      </c>
      <c r="B42" s="22" t="s">
        <v>424</v>
      </c>
      <c r="C42" s="22" t="s">
        <v>23</v>
      </c>
      <c r="D42" s="508"/>
      <c r="E42" s="508"/>
      <c r="F42" s="395">
        <f>'Cost Inputs'!$B102</f>
        <v>2</v>
      </c>
      <c r="G42" s="395">
        <f>'Cost Inputs'!$B102</f>
        <v>2</v>
      </c>
      <c r="H42" s="395">
        <f>'Cost Inputs'!$B102</f>
        <v>2</v>
      </c>
      <c r="I42" s="395">
        <f>'Cost Inputs'!$B102</f>
        <v>2</v>
      </c>
      <c r="J42" s="395">
        <f>'Cost Inputs'!$B102</f>
        <v>2</v>
      </c>
      <c r="K42" s="395">
        <f>'Cost Inputs'!$B102</f>
        <v>2</v>
      </c>
      <c r="L42" s="395">
        <f>'Cost Inputs'!$B102</f>
        <v>2</v>
      </c>
      <c r="M42" s="395">
        <f>'Cost Inputs'!$B102</f>
        <v>2</v>
      </c>
      <c r="N42" s="395">
        <f>'Cost Inputs'!$B102</f>
        <v>2</v>
      </c>
      <c r="O42" s="395">
        <f>'Cost Inputs'!$B102</f>
        <v>2</v>
      </c>
      <c r="P42" s="395">
        <f>'Cost Inputs'!$B102</f>
        <v>2</v>
      </c>
    </row>
    <row r="43" spans="1:16" ht="30" x14ac:dyDescent="0.25">
      <c r="A43" s="22" t="s">
        <v>426</v>
      </c>
      <c r="B43" s="22" t="s">
        <v>424</v>
      </c>
      <c r="C43" s="22" t="s">
        <v>23</v>
      </c>
      <c r="D43" s="395">
        <f>'Cost Inputs'!B103</f>
        <v>2</v>
      </c>
      <c r="E43" s="508"/>
      <c r="F43" s="508"/>
      <c r="G43" s="508"/>
      <c r="H43" s="508"/>
      <c r="I43" s="508"/>
      <c r="J43" s="508"/>
      <c r="K43" s="508"/>
      <c r="L43" s="508"/>
      <c r="M43" s="508"/>
      <c r="N43" s="508"/>
      <c r="O43" s="508"/>
      <c r="P43" s="508"/>
    </row>
    <row r="44" spans="1:16" ht="30" x14ac:dyDescent="0.25">
      <c r="A44" s="22" t="s">
        <v>428</v>
      </c>
      <c r="B44" s="22" t="s">
        <v>424</v>
      </c>
      <c r="C44" s="22" t="s">
        <v>23</v>
      </c>
      <c r="D44" s="508"/>
      <c r="E44" s="395">
        <f>'Cost Inputs'!$B103</f>
        <v>2</v>
      </c>
      <c r="F44" s="395">
        <f>'Cost Inputs'!$B103</f>
        <v>2</v>
      </c>
      <c r="G44" s="395">
        <f>'Cost Inputs'!$B103</f>
        <v>2</v>
      </c>
      <c r="H44" s="395">
        <f>'Cost Inputs'!$B103</f>
        <v>2</v>
      </c>
      <c r="I44" s="395">
        <f>'Cost Inputs'!$B103</f>
        <v>2</v>
      </c>
      <c r="J44" s="395">
        <f>'Cost Inputs'!$B103</f>
        <v>2</v>
      </c>
      <c r="K44" s="395">
        <f>'Cost Inputs'!$B103</f>
        <v>2</v>
      </c>
      <c r="L44" s="395">
        <f>'Cost Inputs'!$B103</f>
        <v>2</v>
      </c>
      <c r="M44" s="395">
        <f>'Cost Inputs'!$B103</f>
        <v>2</v>
      </c>
      <c r="N44" s="395">
        <f>'Cost Inputs'!$B103</f>
        <v>2</v>
      </c>
      <c r="O44" s="395">
        <f>'Cost Inputs'!$B103</f>
        <v>2</v>
      </c>
      <c r="P44" s="395">
        <f>'Cost Inputs'!$B103</f>
        <v>2</v>
      </c>
    </row>
    <row r="45" spans="1:16" x14ac:dyDescent="0.25">
      <c r="A45" s="22" t="s">
        <v>441</v>
      </c>
      <c r="B45" s="22" t="s">
        <v>424</v>
      </c>
      <c r="C45" s="22" t="s">
        <v>23</v>
      </c>
      <c r="D45" s="508"/>
      <c r="E45" s="395">
        <f>'Cost Inputs'!B108</f>
        <v>1</v>
      </c>
      <c r="F45" s="508"/>
      <c r="G45" s="508"/>
      <c r="H45" s="508"/>
      <c r="I45" s="508"/>
      <c r="J45" s="508"/>
      <c r="K45" s="508"/>
      <c r="L45" s="508"/>
      <c r="M45" s="508"/>
      <c r="N45" s="508"/>
      <c r="O45" s="508"/>
      <c r="P45" s="508"/>
    </row>
    <row r="46" spans="1:16" x14ac:dyDescent="0.25">
      <c r="A46" s="22" t="s">
        <v>442</v>
      </c>
      <c r="B46" s="22" t="s">
        <v>424</v>
      </c>
      <c r="C46" s="22" t="s">
        <v>23</v>
      </c>
      <c r="D46" s="508"/>
      <c r="E46" s="508"/>
      <c r="F46" s="395">
        <f>'Cost Inputs'!$B108</f>
        <v>1</v>
      </c>
      <c r="G46" s="395">
        <f>'Cost Inputs'!$B108</f>
        <v>1</v>
      </c>
      <c r="H46" s="395">
        <f>'Cost Inputs'!$B108</f>
        <v>1</v>
      </c>
      <c r="I46" s="395">
        <f>'Cost Inputs'!$B108</f>
        <v>1</v>
      </c>
      <c r="J46" s="395">
        <f>'Cost Inputs'!$B108</f>
        <v>1</v>
      </c>
      <c r="K46" s="395">
        <f>'Cost Inputs'!$B108</f>
        <v>1</v>
      </c>
      <c r="L46" s="395">
        <f>'Cost Inputs'!$B108</f>
        <v>1</v>
      </c>
      <c r="M46" s="395">
        <f>'Cost Inputs'!$B108</f>
        <v>1</v>
      </c>
      <c r="N46" s="395">
        <f>'Cost Inputs'!$B108</f>
        <v>1</v>
      </c>
      <c r="O46" s="395">
        <f>'Cost Inputs'!$B108</f>
        <v>1</v>
      </c>
      <c r="P46" s="395">
        <f>'Cost Inputs'!$B108</f>
        <v>1</v>
      </c>
    </row>
    <row r="47" spans="1:16" x14ac:dyDescent="0.25">
      <c r="A47" s="22" t="s">
        <v>429</v>
      </c>
      <c r="B47" s="22" t="s">
        <v>424</v>
      </c>
      <c r="C47" s="22" t="s">
        <v>23</v>
      </c>
      <c r="D47" s="508"/>
      <c r="E47" s="395">
        <f>'Cost Inputs'!B109</f>
        <v>1</v>
      </c>
      <c r="F47" s="508"/>
      <c r="G47" s="508"/>
      <c r="H47" s="508"/>
      <c r="I47" s="508"/>
      <c r="J47" s="508"/>
      <c r="K47" s="508"/>
      <c r="L47" s="508"/>
      <c r="M47" s="508"/>
      <c r="N47" s="508"/>
      <c r="O47" s="508"/>
      <c r="P47" s="508"/>
    </row>
    <row r="48" spans="1:16" ht="30" x14ac:dyDescent="0.25">
      <c r="A48" s="22" t="s">
        <v>443</v>
      </c>
      <c r="B48" s="22" t="s">
        <v>424</v>
      </c>
      <c r="C48" s="22" t="s">
        <v>23</v>
      </c>
      <c r="D48" s="508"/>
      <c r="E48" s="508"/>
      <c r="F48" s="395">
        <f>'Cost Inputs'!$B109</f>
        <v>1</v>
      </c>
      <c r="G48" s="395">
        <f>'Cost Inputs'!$B109</f>
        <v>1</v>
      </c>
      <c r="H48" s="395">
        <f>'Cost Inputs'!$B109</f>
        <v>1</v>
      </c>
      <c r="I48" s="395">
        <f>'Cost Inputs'!$B109</f>
        <v>1</v>
      </c>
      <c r="J48" s="395">
        <f>'Cost Inputs'!$B109</f>
        <v>1</v>
      </c>
      <c r="K48" s="395">
        <f>'Cost Inputs'!$B109</f>
        <v>1</v>
      </c>
      <c r="L48" s="395">
        <f>'Cost Inputs'!$B109</f>
        <v>1</v>
      </c>
      <c r="M48" s="395">
        <f>'Cost Inputs'!$B109</f>
        <v>1</v>
      </c>
      <c r="N48" s="395">
        <f>'Cost Inputs'!$B109</f>
        <v>1</v>
      </c>
      <c r="O48" s="395">
        <f>'Cost Inputs'!$B109</f>
        <v>1</v>
      </c>
      <c r="P48" s="395">
        <f>'Cost Inputs'!$B109</f>
        <v>1</v>
      </c>
    </row>
    <row r="49" spans="1:20" ht="30" x14ac:dyDescent="0.25">
      <c r="A49" s="348" t="s">
        <v>288</v>
      </c>
      <c r="B49" s="22" t="s">
        <v>424</v>
      </c>
      <c r="C49" s="22" t="s">
        <v>28</v>
      </c>
      <c r="D49" s="510">
        <f>'SP Berth Retrofit'!D68</f>
        <v>0.15256235056907913</v>
      </c>
      <c r="E49" s="510">
        <f>'SP Berth Retrofit'!E68</f>
        <v>0.19385114943417511</v>
      </c>
      <c r="F49" s="510">
        <f>'SP Berth Retrofit'!F68</f>
        <v>0.23786367889837565</v>
      </c>
      <c r="G49" s="510">
        <f>'SP Berth Retrofit'!G68</f>
        <v>0.28465423170158566</v>
      </c>
      <c r="H49" s="510">
        <f>'SP Berth Retrofit'!H68</f>
        <v>0.33429164292179847</v>
      </c>
      <c r="I49" s="510">
        <f>'SP Berth Retrofit'!I68</f>
        <v>0.41005488530447487</v>
      </c>
      <c r="J49" s="510">
        <f>'SP Berth Retrofit'!J68</f>
        <v>0.44448774785521072</v>
      </c>
      <c r="K49" s="510">
        <f>'SP Berth Retrofit'!K68</f>
        <v>0.48217019049045101</v>
      </c>
      <c r="L49" s="510">
        <f>'SP Berth Retrofit'!L68</f>
        <v>0.5230248906889251</v>
      </c>
      <c r="M49" s="510">
        <f>'SP Berth Retrofit'!M68</f>
        <v>0.56700845918311726</v>
      </c>
      <c r="N49" s="510">
        <f>'SP Berth Retrofit'!N68</f>
        <v>0.61410530272263486</v>
      </c>
      <c r="O49" s="510">
        <f>'SP Berth Retrofit'!O68</f>
        <v>0.69124079785891168</v>
      </c>
      <c r="P49" s="510">
        <f>'SP Berth Retrofit'!P68</f>
        <v>0.77207653050777736</v>
      </c>
    </row>
    <row r="50" spans="1:20" x14ac:dyDescent="0.25">
      <c r="A50" s="348" t="s">
        <v>289</v>
      </c>
      <c r="B50" s="22" t="s">
        <v>424</v>
      </c>
      <c r="C50" s="22" t="s">
        <v>28</v>
      </c>
      <c r="D50" s="510">
        <f>'SP Berth Retrofit'!D69</f>
        <v>0.15961450248024708</v>
      </c>
      <c r="E50" s="510">
        <f>'SP Berth Retrofit'!E69</f>
        <v>0.20229643347303783</v>
      </c>
      <c r="F50" s="510">
        <f>'SP Berth Retrofit'!F69</f>
        <v>0.24654935829988212</v>
      </c>
      <c r="G50" s="510">
        <f>'SP Berth Retrofit'!G69</f>
        <v>0.29243110053082899</v>
      </c>
      <c r="H50" s="510">
        <f>'SP Berth Retrofit'!H69</f>
        <v>0.34000161204806295</v>
      </c>
      <c r="I50" s="510">
        <f>'SP Berth Retrofit'!I69</f>
        <v>0.38932305138271844</v>
      </c>
      <c r="J50" s="510">
        <f>'SP Berth Retrofit'!J69</f>
        <v>0.44045986493496619</v>
      </c>
      <c r="K50" s="510">
        <f>'SP Berth Retrofit'!K69</f>
        <v>0.4934788711836221</v>
      </c>
      <c r="L50" s="510">
        <f>'SP Berth Retrofit'!L69</f>
        <v>0.548449347995285</v>
      </c>
      <c r="M50" s="510">
        <f>'SP Berth Retrofit'!M69</f>
        <v>0.60544312314694371</v>
      </c>
      <c r="N50" s="510">
        <f>'SP Berth Retrofit'!N69</f>
        <v>0.66453466818061258</v>
      </c>
      <c r="O50" s="510">
        <f>'SP Berth Retrofit'!O69</f>
        <v>0.7258011957123357</v>
      </c>
      <c r="P50" s="510">
        <f>'SP Berth Retrofit'!P69</f>
        <v>0.78932276032292392</v>
      </c>
    </row>
    <row r="51" spans="1:20" x14ac:dyDescent="0.25">
      <c r="A51" s="348" t="s">
        <v>290</v>
      </c>
      <c r="B51" s="22" t="s">
        <v>424</v>
      </c>
      <c r="C51" s="22" t="s">
        <v>28</v>
      </c>
      <c r="D51" s="510">
        <f>'SP Berth Retrofit'!D70</f>
        <v>0.11487071873903137</v>
      </c>
      <c r="E51" s="510">
        <f>'SP Berth Retrofit'!E70</f>
        <v>0.15102739754508301</v>
      </c>
      <c r="F51" s="510">
        <f>'SP Berth Retrofit'!F70</f>
        <v>0.18440519556548982</v>
      </c>
      <c r="G51" s="510">
        <f>'SP Berth Retrofit'!G70</f>
        <v>0.21887580559911993</v>
      </c>
      <c r="H51" s="510">
        <f>'SP Berth Retrofit'!H70</f>
        <v>0.2544794366551939</v>
      </c>
      <c r="I51" s="510">
        <f>'SP Berth Retrofit'!I70</f>
        <v>0.29125791799611689</v>
      </c>
      <c r="J51" s="510">
        <f>'SP Berth Retrofit'!J70</f>
        <v>0.32914486406438159</v>
      </c>
      <c r="K51" s="510">
        <f>'SP Berth Retrofit'!K70</f>
        <v>0.35936354031630968</v>
      </c>
      <c r="L51" s="510">
        <f>'SP Berth Retrofit'!L70</f>
        <v>0.39027252206645779</v>
      </c>
      <c r="M51" s="510">
        <f>'SP Berth Retrofit'!M70</f>
        <v>0.42188765098325831</v>
      </c>
      <c r="N51" s="510">
        <f>'SP Berth Retrofit'!N70</f>
        <v>0.45422513389525299</v>
      </c>
      <c r="O51" s="510">
        <f>'SP Berth Retrofit'!O70</f>
        <v>0.48860137895136968</v>
      </c>
      <c r="P51" s="510">
        <f>'SP Berth Retrofit'!P70</f>
        <v>0.52279793624620852</v>
      </c>
    </row>
    <row r="52" spans="1:20" x14ac:dyDescent="0.25">
      <c r="A52" s="348" t="s">
        <v>291</v>
      </c>
      <c r="B52" s="22" t="s">
        <v>424</v>
      </c>
      <c r="C52" s="22" t="s">
        <v>28</v>
      </c>
      <c r="D52" s="510">
        <f>'SP Berth Retrofit'!D71</f>
        <v>1.492791402705583E-2</v>
      </c>
      <c r="E52" s="510">
        <f>'SP Berth Retrofit'!E71</f>
        <v>2.6628462023319498E-2</v>
      </c>
      <c r="F52" s="510">
        <f>'SP Berth Retrofit'!F71</f>
        <v>3.4642567685373271E-2</v>
      </c>
      <c r="G52" s="510">
        <f>'SP Berth Retrofit'!G71</f>
        <v>4.2769630813193044E-2</v>
      </c>
      <c r="H52" s="510">
        <f>'SP Berth Retrofit'!H71</f>
        <v>5.1013291136714503E-2</v>
      </c>
      <c r="I52" s="510">
        <f>'SP Berth Retrofit'!I71</f>
        <v>5.9377352889062179E-2</v>
      </c>
      <c r="J52" s="510">
        <f>'SP Berth Retrofit'!J71</f>
        <v>7.0987745336126756E-2</v>
      </c>
      <c r="K52" s="510">
        <f>'SP Berth Retrofit'!K71</f>
        <v>8.2319423047410883E-2</v>
      </c>
      <c r="L52" s="510">
        <f>'SP Berth Retrofit'!L71</f>
        <v>9.3817950353126484E-2</v>
      </c>
      <c r="M52" s="510">
        <f>'SP Berth Retrofit'!M71</f>
        <v>0.10548686029160387</v>
      </c>
      <c r="N52" s="510">
        <f>'SP Berth Retrofit'!N71</f>
        <v>0.11732978702575415</v>
      </c>
      <c r="O52" s="510">
        <f>'SP Berth Retrofit'!O71</f>
        <v>0.13037367245195625</v>
      </c>
      <c r="P52" s="510">
        <f>'SP Berth Retrofit'!P71</f>
        <v>0.14323738568409056</v>
      </c>
    </row>
    <row r="53" spans="1:20" ht="30" x14ac:dyDescent="0.25">
      <c r="A53" s="348" t="s">
        <v>449</v>
      </c>
      <c r="B53" s="22" t="s">
        <v>601</v>
      </c>
      <c r="C53" s="22"/>
      <c r="D53" s="510">
        <f>Growth!B35</f>
        <v>0.11945645921443887</v>
      </c>
      <c r="E53" s="510">
        <f>Growth!C35</f>
        <v>0.15407423584607657</v>
      </c>
      <c r="F53" s="510">
        <f>Growth!D35</f>
        <v>0.18918124159802671</v>
      </c>
      <c r="G53" s="510">
        <f>Growth!E35</f>
        <v>0.22617644191937</v>
      </c>
      <c r="H53" s="510">
        <f>Growth!F35</f>
        <v>0.26511036573203184</v>
      </c>
      <c r="I53" s="510">
        <f>Growth!G35</f>
        <v>0.31913587515765562</v>
      </c>
      <c r="J53" s="510">
        <f>Growth!H35</f>
        <v>0.35080289184414243</v>
      </c>
      <c r="K53" s="510">
        <f>Growth!I35</f>
        <v>0.38322098711470748</v>
      </c>
      <c r="L53" s="510">
        <f>Growth!J35</f>
        <v>0.41772463563392809</v>
      </c>
      <c r="M53" s="510">
        <f>Growth!K35</f>
        <v>0.45429820102327073</v>
      </c>
      <c r="N53" s="510">
        <f>Growth!L35</f>
        <v>0.49294202414637844</v>
      </c>
      <c r="O53" s="510">
        <f>Growth!M35</f>
        <v>0.54927134412806888</v>
      </c>
      <c r="P53" s="510">
        <f>Growth!N35</f>
        <v>0.60780461336346525</v>
      </c>
    </row>
    <row r="54" spans="1:20" ht="30" x14ac:dyDescent="0.25">
      <c r="A54" s="348" t="s">
        <v>449</v>
      </c>
      <c r="B54" s="22" t="s">
        <v>450</v>
      </c>
      <c r="C54" s="22"/>
      <c r="D54" s="510">
        <f>Growth!B39</f>
        <v>0.12028748167764083</v>
      </c>
      <c r="E54" s="510">
        <f>Growth!C39</f>
        <v>0.15462638027802786</v>
      </c>
      <c r="F54" s="510">
        <f>Growth!D39</f>
        <v>0.19004675100912613</v>
      </c>
      <c r="G54" s="510">
        <f>Growth!E39</f>
        <v>0.22749945459536683</v>
      </c>
      <c r="H54" s="510">
        <f>Growth!F39</f>
        <v>0.26007392130231355</v>
      </c>
      <c r="I54" s="510">
        <f>Growth!G39</f>
        <v>0.32418788556985889</v>
      </c>
      <c r="J54" s="510">
        <f>Growth!H39</f>
        <v>0.35472773401306917</v>
      </c>
      <c r="K54" s="510">
        <f>Growth!I39</f>
        <v>0.38754440539588547</v>
      </c>
      <c r="L54" s="510">
        <f>Growth!J39</f>
        <v>0.42269947517386347</v>
      </c>
      <c r="M54" s="510">
        <f>Growth!K39</f>
        <v>0.46017160255404277</v>
      </c>
      <c r="N54" s="510">
        <f>Growth!L39</f>
        <v>0.49995825318867965</v>
      </c>
      <c r="O54" s="510">
        <f>Growth!M39</f>
        <v>0.56026588343396744</v>
      </c>
      <c r="P54" s="510">
        <f>Growth!N39</f>
        <v>0.62320942281254765</v>
      </c>
    </row>
    <row r="56" spans="1:20" ht="15.75" x14ac:dyDescent="0.25">
      <c r="A56" s="315" t="s">
        <v>320</v>
      </c>
      <c r="O56" s="502"/>
    </row>
    <row r="57" spans="1:20" s="3" customFormat="1" ht="45" x14ac:dyDescent="0.25">
      <c r="A57" s="8" t="s">
        <v>444</v>
      </c>
      <c r="B57" s="8" t="s">
        <v>22</v>
      </c>
      <c r="C57" s="8" t="s">
        <v>81</v>
      </c>
      <c r="D57" s="302">
        <v>2020</v>
      </c>
      <c r="E57" s="302">
        <v>2021</v>
      </c>
      <c r="F57" s="302">
        <v>2022</v>
      </c>
      <c r="G57" s="302">
        <v>2023</v>
      </c>
      <c r="H57" s="302">
        <v>2024</v>
      </c>
      <c r="I57" s="302">
        <v>2025</v>
      </c>
      <c r="J57" s="302">
        <v>2026</v>
      </c>
      <c r="K57" s="302">
        <v>2027</v>
      </c>
      <c r="L57" s="302">
        <v>2028</v>
      </c>
      <c r="M57" s="302">
        <v>2029</v>
      </c>
      <c r="N57" s="302">
        <v>2030</v>
      </c>
      <c r="O57" s="136">
        <v>2031</v>
      </c>
      <c r="P57" s="136">
        <v>2032</v>
      </c>
      <c r="Q57" s="430"/>
      <c r="R57" s="430"/>
      <c r="S57" s="430"/>
      <c r="T57" s="430"/>
    </row>
    <row r="58" spans="1:20" x14ac:dyDescent="0.25">
      <c r="A58" s="82" t="s">
        <v>452</v>
      </c>
      <c r="B58" s="82" t="s">
        <v>62</v>
      </c>
      <c r="C58" s="22" t="s">
        <v>85</v>
      </c>
      <c r="D58" s="511">
        <f>D22*$C$8*(1+D$49)</f>
        <v>57628.117528453957</v>
      </c>
      <c r="E58" s="511">
        <f t="shared" ref="E58:P58" si="0">E22*$C$8*(1+E49)</f>
        <v>0</v>
      </c>
      <c r="F58" s="511">
        <f t="shared" si="0"/>
        <v>0</v>
      </c>
      <c r="G58" s="511">
        <f t="shared" si="0"/>
        <v>0</v>
      </c>
      <c r="H58" s="511">
        <f t="shared" si="0"/>
        <v>0</v>
      </c>
      <c r="I58" s="511">
        <f t="shared" si="0"/>
        <v>0</v>
      </c>
      <c r="J58" s="511">
        <f t="shared" si="0"/>
        <v>0</v>
      </c>
      <c r="K58" s="511">
        <f t="shared" si="0"/>
        <v>0</v>
      </c>
      <c r="L58" s="511">
        <f t="shared" si="0"/>
        <v>0</v>
      </c>
      <c r="M58" s="511">
        <f t="shared" si="0"/>
        <v>0</v>
      </c>
      <c r="N58" s="511">
        <f t="shared" si="0"/>
        <v>0</v>
      </c>
      <c r="O58" s="511">
        <f t="shared" si="0"/>
        <v>0</v>
      </c>
      <c r="P58" s="511">
        <f t="shared" si="0"/>
        <v>0</v>
      </c>
      <c r="Q58" s="417"/>
    </row>
    <row r="59" spans="1:20" x14ac:dyDescent="0.25">
      <c r="A59" s="82" t="s">
        <v>452</v>
      </c>
      <c r="B59" s="82" t="s">
        <v>62</v>
      </c>
      <c r="C59" s="22" t="s">
        <v>14</v>
      </c>
      <c r="D59" s="511">
        <f>D23*$C$8*(1+D50)</f>
        <v>46384.580099209881</v>
      </c>
      <c r="E59" s="511">
        <f t="shared" ref="E59:P59" si="1">E23*$C$8*(1+E50)</f>
        <v>0</v>
      </c>
      <c r="F59" s="511">
        <f t="shared" si="1"/>
        <v>0</v>
      </c>
      <c r="G59" s="511">
        <f t="shared" si="1"/>
        <v>0</v>
      </c>
      <c r="H59" s="511">
        <f t="shared" si="1"/>
        <v>0</v>
      </c>
      <c r="I59" s="511">
        <f t="shared" si="1"/>
        <v>0</v>
      </c>
      <c r="J59" s="511">
        <f t="shared" si="1"/>
        <v>0</v>
      </c>
      <c r="K59" s="511">
        <f t="shared" si="1"/>
        <v>0</v>
      </c>
      <c r="L59" s="511">
        <f t="shared" si="1"/>
        <v>0</v>
      </c>
      <c r="M59" s="511">
        <f t="shared" si="1"/>
        <v>0</v>
      </c>
      <c r="N59" s="511">
        <f t="shared" si="1"/>
        <v>0</v>
      </c>
      <c r="O59" s="511">
        <f t="shared" si="1"/>
        <v>0</v>
      </c>
      <c r="P59" s="511">
        <f t="shared" si="1"/>
        <v>0</v>
      </c>
    </row>
    <row r="60" spans="1:20" x14ac:dyDescent="0.25">
      <c r="A60" s="82" t="s">
        <v>452</v>
      </c>
      <c r="B60" s="82" t="s">
        <v>62</v>
      </c>
      <c r="C60" s="22" t="s">
        <v>445</v>
      </c>
      <c r="D60" s="511">
        <f>D24*$C$8*(1+D51)</f>
        <v>0</v>
      </c>
      <c r="E60" s="511">
        <f t="shared" ref="E60:P60" si="2">E24*$C$8*(1+E51)</f>
        <v>0</v>
      </c>
      <c r="F60" s="511">
        <f t="shared" si="2"/>
        <v>0</v>
      </c>
      <c r="G60" s="511">
        <f t="shared" si="2"/>
        <v>60943.790279956003</v>
      </c>
      <c r="H60" s="511">
        <f t="shared" si="2"/>
        <v>0</v>
      </c>
      <c r="I60" s="511">
        <f t="shared" si="2"/>
        <v>0</v>
      </c>
      <c r="J60" s="511">
        <f t="shared" si="2"/>
        <v>0</v>
      </c>
      <c r="K60" s="511">
        <f t="shared" si="2"/>
        <v>0</v>
      </c>
      <c r="L60" s="511">
        <f t="shared" si="2"/>
        <v>0</v>
      </c>
      <c r="M60" s="511">
        <f t="shared" si="2"/>
        <v>0</v>
      </c>
      <c r="N60" s="511">
        <f t="shared" si="2"/>
        <v>0</v>
      </c>
      <c r="O60" s="511">
        <f t="shared" si="2"/>
        <v>0</v>
      </c>
      <c r="P60" s="511">
        <f t="shared" si="2"/>
        <v>0</v>
      </c>
    </row>
    <row r="61" spans="1:20" ht="30" x14ac:dyDescent="0.25">
      <c r="A61" s="82" t="s">
        <v>452</v>
      </c>
      <c r="B61" s="82" t="s">
        <v>62</v>
      </c>
      <c r="C61" s="22" t="s">
        <v>768</v>
      </c>
      <c r="D61" s="511">
        <f>D25*$C$8*(1+D$52)</f>
        <v>0</v>
      </c>
      <c r="E61" s="511">
        <f t="shared" ref="E61:P61" si="3">E25*$C$8*(1+E52)</f>
        <v>0</v>
      </c>
      <c r="F61" s="511">
        <f t="shared" si="3"/>
        <v>0</v>
      </c>
      <c r="G61" s="511">
        <f t="shared" si="3"/>
        <v>0</v>
      </c>
      <c r="H61" s="511">
        <f t="shared" si="3"/>
        <v>0</v>
      </c>
      <c r="I61" s="511">
        <f t="shared" si="3"/>
        <v>21187.547057781245</v>
      </c>
      <c r="J61" s="511">
        <f t="shared" si="3"/>
        <v>0</v>
      </c>
      <c r="K61" s="511">
        <f t="shared" si="3"/>
        <v>0</v>
      </c>
      <c r="L61" s="511">
        <f t="shared" si="3"/>
        <v>0</v>
      </c>
      <c r="M61" s="511">
        <f t="shared" si="3"/>
        <v>0</v>
      </c>
      <c r="N61" s="511">
        <f t="shared" si="3"/>
        <v>0</v>
      </c>
      <c r="O61" s="511">
        <f t="shared" si="3"/>
        <v>0</v>
      </c>
      <c r="P61" s="511">
        <f t="shared" si="3"/>
        <v>0</v>
      </c>
    </row>
    <row r="62" spans="1:20" ht="30" x14ac:dyDescent="0.25">
      <c r="A62" s="82" t="s">
        <v>452</v>
      </c>
      <c r="B62" s="82" t="s">
        <v>62</v>
      </c>
      <c r="C62" s="22" t="s">
        <v>769</v>
      </c>
      <c r="D62" s="519"/>
      <c r="E62" s="519"/>
      <c r="F62" s="519"/>
      <c r="G62" s="519"/>
      <c r="H62" s="519"/>
      <c r="I62" s="519"/>
      <c r="J62" s="519"/>
      <c r="K62" s="519"/>
      <c r="L62" s="519"/>
      <c r="M62" s="519"/>
      <c r="N62" s="519"/>
      <c r="O62" s="519"/>
      <c r="P62" s="519"/>
    </row>
    <row r="63" spans="1:20" x14ac:dyDescent="0.25">
      <c r="A63" s="82" t="s">
        <v>453</v>
      </c>
      <c r="B63" s="82" t="s">
        <v>32</v>
      </c>
      <c r="C63" s="22" t="s">
        <v>85</v>
      </c>
      <c r="D63" s="511">
        <f>D26*$C$9*(1+D49)</f>
        <v>54746.711652031263</v>
      </c>
      <c r="E63" s="511">
        <f t="shared" ref="E63:P63" si="4">E26*$C$9*(1+E49)</f>
        <v>0</v>
      </c>
      <c r="F63" s="511">
        <f t="shared" si="4"/>
        <v>0</v>
      </c>
      <c r="G63" s="511">
        <f t="shared" si="4"/>
        <v>0</v>
      </c>
      <c r="H63" s="511">
        <f t="shared" si="4"/>
        <v>0</v>
      </c>
      <c r="I63" s="511">
        <f t="shared" si="4"/>
        <v>0</v>
      </c>
      <c r="J63" s="511">
        <f t="shared" si="4"/>
        <v>0</v>
      </c>
      <c r="K63" s="511">
        <f t="shared" si="4"/>
        <v>0</v>
      </c>
      <c r="L63" s="511">
        <f t="shared" si="4"/>
        <v>0</v>
      </c>
      <c r="M63" s="511">
        <f t="shared" si="4"/>
        <v>0</v>
      </c>
      <c r="N63" s="511">
        <f t="shared" si="4"/>
        <v>0</v>
      </c>
      <c r="O63" s="511">
        <f t="shared" si="4"/>
        <v>0</v>
      </c>
      <c r="P63" s="511">
        <f t="shared" si="4"/>
        <v>0</v>
      </c>
    </row>
    <row r="64" spans="1:20" x14ac:dyDescent="0.25">
      <c r="A64" s="82" t="s">
        <v>453</v>
      </c>
      <c r="B64" s="398" t="s">
        <v>32</v>
      </c>
      <c r="C64" s="22" t="s">
        <v>14</v>
      </c>
      <c r="D64" s="511">
        <f>D27*$C$9*(1+D50)</f>
        <v>14495.18128100309</v>
      </c>
      <c r="E64" s="511">
        <f t="shared" ref="E64:P64" si="5">E27*$C$9*(1+E50)</f>
        <v>0</v>
      </c>
      <c r="F64" s="511">
        <f t="shared" si="5"/>
        <v>0</v>
      </c>
      <c r="G64" s="511">
        <f t="shared" si="5"/>
        <v>0</v>
      </c>
      <c r="H64" s="511">
        <f t="shared" si="5"/>
        <v>0</v>
      </c>
      <c r="I64" s="511">
        <f t="shared" si="5"/>
        <v>0</v>
      </c>
      <c r="J64" s="511">
        <f t="shared" si="5"/>
        <v>0</v>
      </c>
      <c r="K64" s="511">
        <f t="shared" si="5"/>
        <v>0</v>
      </c>
      <c r="L64" s="511">
        <f t="shared" si="5"/>
        <v>0</v>
      </c>
      <c r="M64" s="511">
        <f t="shared" si="5"/>
        <v>0</v>
      </c>
      <c r="N64" s="511">
        <f t="shared" si="5"/>
        <v>0</v>
      </c>
      <c r="O64" s="511">
        <f t="shared" si="5"/>
        <v>0</v>
      </c>
      <c r="P64" s="511">
        <f t="shared" si="5"/>
        <v>0</v>
      </c>
    </row>
    <row r="65" spans="1:20" x14ac:dyDescent="0.25">
      <c r="A65" s="82" t="s">
        <v>453</v>
      </c>
      <c r="B65" s="398" t="s">
        <v>32</v>
      </c>
      <c r="C65" s="22" t="s">
        <v>445</v>
      </c>
      <c r="D65" s="511">
        <f>D28*$C$9*(1+D51)</f>
        <v>0</v>
      </c>
      <c r="E65" s="511">
        <f t="shared" ref="E65:P65" si="6">E28*$C$9*(1+E51)</f>
        <v>0</v>
      </c>
      <c r="F65" s="511">
        <f t="shared" si="6"/>
        <v>0</v>
      </c>
      <c r="G65" s="511">
        <f t="shared" si="6"/>
        <v>16759.542326987899</v>
      </c>
      <c r="H65" s="511">
        <f t="shared" si="6"/>
        <v>17249.092254008916</v>
      </c>
      <c r="I65" s="511">
        <f t="shared" si="6"/>
        <v>0</v>
      </c>
      <c r="J65" s="511">
        <f t="shared" si="6"/>
        <v>0</v>
      </c>
      <c r="K65" s="511">
        <f t="shared" si="6"/>
        <v>0</v>
      </c>
      <c r="L65" s="511">
        <f t="shared" si="6"/>
        <v>0</v>
      </c>
      <c r="M65" s="511">
        <f t="shared" si="6"/>
        <v>0</v>
      </c>
      <c r="N65" s="511">
        <f t="shared" si="6"/>
        <v>0</v>
      </c>
      <c r="O65" s="511">
        <f t="shared" si="6"/>
        <v>0</v>
      </c>
      <c r="P65" s="511">
        <f t="shared" si="6"/>
        <v>0</v>
      </c>
    </row>
    <row r="66" spans="1:20" ht="30" x14ac:dyDescent="0.25">
      <c r="A66" s="82" t="s">
        <v>453</v>
      </c>
      <c r="B66" s="398" t="s">
        <v>32</v>
      </c>
      <c r="C66" s="22" t="s">
        <v>768</v>
      </c>
      <c r="D66" s="511">
        <f>D29*$C$9*(1+D$52)</f>
        <v>0</v>
      </c>
      <c r="E66" s="511">
        <f t="shared" ref="E66:J66" si="7">E29*$C$9*(1+E52)</f>
        <v>0</v>
      </c>
      <c r="F66" s="511">
        <f t="shared" si="7"/>
        <v>0</v>
      </c>
      <c r="G66" s="511">
        <f t="shared" si="7"/>
        <v>0</v>
      </c>
      <c r="H66" s="511">
        <f t="shared" si="7"/>
        <v>0</v>
      </c>
      <c r="I66" s="511">
        <f t="shared" si="7"/>
        <v>11917.995220001951</v>
      </c>
      <c r="J66" s="511">
        <f t="shared" si="7"/>
        <v>12048.612135031426</v>
      </c>
      <c r="K66" s="511">
        <f>K30*$C$9*(1+K52)</f>
        <v>17587.690624520426</v>
      </c>
      <c r="L66" s="511">
        <f>L30*$C$9*(1+L52)</f>
        <v>17774.541693238305</v>
      </c>
      <c r="M66" s="511">
        <f>M29*$C$9*(1+M52)</f>
        <v>0</v>
      </c>
      <c r="N66" s="511">
        <f>N29*$C$9*(1+N52)</f>
        <v>0</v>
      </c>
      <c r="O66" s="511">
        <f>O29*$C$9*(1+O52)</f>
        <v>0</v>
      </c>
      <c r="P66" s="511">
        <f>P29*$C$9*(1+P52)</f>
        <v>0</v>
      </c>
    </row>
    <row r="67" spans="1:20" ht="30" x14ac:dyDescent="0.25">
      <c r="A67" s="82" t="s">
        <v>453</v>
      </c>
      <c r="B67" s="398" t="s">
        <v>32</v>
      </c>
      <c r="C67" s="22" t="s">
        <v>769</v>
      </c>
      <c r="D67" s="511">
        <f>D30*$C$9*(1+D$52)</f>
        <v>0</v>
      </c>
      <c r="E67" s="511">
        <f t="shared" ref="E67:P67" si="8">E30*$C$9*(1+E$52)</f>
        <v>0</v>
      </c>
      <c r="F67" s="511">
        <f t="shared" si="8"/>
        <v>0</v>
      </c>
      <c r="G67" s="511">
        <f t="shared" si="8"/>
        <v>0</v>
      </c>
      <c r="H67" s="511">
        <f t="shared" si="8"/>
        <v>0</v>
      </c>
      <c r="I67" s="511">
        <f t="shared" si="8"/>
        <v>0</v>
      </c>
      <c r="J67" s="511">
        <f t="shared" si="8"/>
        <v>0</v>
      </c>
      <c r="K67" s="511">
        <f t="shared" si="8"/>
        <v>17587.690624520426</v>
      </c>
      <c r="L67" s="511">
        <f t="shared" si="8"/>
        <v>17774.541693238305</v>
      </c>
      <c r="M67" s="511">
        <f t="shared" si="8"/>
        <v>0</v>
      </c>
      <c r="N67" s="511">
        <f t="shared" si="8"/>
        <v>0</v>
      </c>
      <c r="O67" s="511">
        <f t="shared" si="8"/>
        <v>0</v>
      </c>
      <c r="P67" s="511">
        <f t="shared" si="8"/>
        <v>0</v>
      </c>
    </row>
    <row r="68" spans="1:20" x14ac:dyDescent="0.25">
      <c r="A68" s="82" t="s">
        <v>454</v>
      </c>
      <c r="B68" s="82" t="s">
        <v>32</v>
      </c>
      <c r="C68" s="22" t="s">
        <v>85</v>
      </c>
      <c r="D68" s="511">
        <f>D31*$C$10*(1+D49)</f>
        <v>0</v>
      </c>
      <c r="E68" s="511">
        <f>E31*$C$10*(1+E49)</f>
        <v>446739.10011826828</v>
      </c>
      <c r="F68" s="511">
        <f t="shared" ref="F68:P68" si="9">F31*$C$10*(1+F49)</f>
        <v>463208.58864377218</v>
      </c>
      <c r="G68" s="511">
        <f t="shared" si="9"/>
        <v>480717.61350273335</v>
      </c>
      <c r="H68" s="511">
        <f t="shared" si="9"/>
        <v>499291.93278133695</v>
      </c>
      <c r="I68" s="511">
        <f t="shared" si="9"/>
        <v>527642.53808093444</v>
      </c>
      <c r="J68" s="511">
        <f t="shared" si="9"/>
        <v>540527.31524741987</v>
      </c>
      <c r="K68" s="511">
        <f t="shared" si="9"/>
        <v>554628.08528152679</v>
      </c>
      <c r="L68" s="511">
        <f t="shared" si="9"/>
        <v>569915.91409579583</v>
      </c>
      <c r="M68" s="511">
        <f t="shared" si="9"/>
        <v>586374.56542632252</v>
      </c>
      <c r="N68" s="511">
        <f t="shared" si="9"/>
        <v>603998.20427880995</v>
      </c>
      <c r="O68" s="511">
        <f t="shared" si="9"/>
        <v>632862.3065588047</v>
      </c>
      <c r="P68" s="511">
        <f t="shared" si="9"/>
        <v>663111.03771601035</v>
      </c>
    </row>
    <row r="69" spans="1:20" x14ac:dyDescent="0.25">
      <c r="A69" s="82" t="s">
        <v>454</v>
      </c>
      <c r="B69" s="82" t="s">
        <v>32</v>
      </c>
      <c r="C69" s="22" t="s">
        <v>14</v>
      </c>
      <c r="D69" s="511">
        <f>D32*$C$10*(1+D50)</f>
        <v>0</v>
      </c>
      <c r="E69" s="511">
        <f t="shared" ref="E69:P69" si="10">E32*$C$10*(1+E50)</f>
        <v>63361.022044029101</v>
      </c>
      <c r="F69" s="511">
        <f t="shared" si="10"/>
        <v>65693.151182403788</v>
      </c>
      <c r="G69" s="511">
        <f t="shared" si="10"/>
        <v>68111.1189979747</v>
      </c>
      <c r="H69" s="511">
        <f t="shared" si="10"/>
        <v>70618.084954932914</v>
      </c>
      <c r="I69" s="511">
        <f t="shared" si="10"/>
        <v>73217.324807869256</v>
      </c>
      <c r="J69" s="511">
        <f t="shared" si="10"/>
        <v>75912.23488207272</v>
      </c>
      <c r="K69" s="511">
        <f t="shared" si="10"/>
        <v>78706.336511376896</v>
      </c>
      <c r="L69" s="511">
        <f t="shared" si="10"/>
        <v>81603.28063935152</v>
      </c>
      <c r="M69" s="511">
        <f t="shared" si="10"/>
        <v>84606.85258984394</v>
      </c>
      <c r="N69" s="511">
        <f t="shared" si="10"/>
        <v>87720.977013118289</v>
      </c>
      <c r="O69" s="511">
        <f t="shared" si="10"/>
        <v>90949.723014040093</v>
      </c>
      <c r="P69" s="511">
        <f t="shared" si="10"/>
        <v>94297.309469018102</v>
      </c>
    </row>
    <row r="70" spans="1:20" x14ac:dyDescent="0.25">
      <c r="A70" s="82" t="s">
        <v>454</v>
      </c>
      <c r="B70" s="82" t="s">
        <v>32</v>
      </c>
      <c r="C70" s="22" t="s">
        <v>445</v>
      </c>
      <c r="D70" s="511">
        <f>D33*$C$10*(1+D51)</f>
        <v>0</v>
      </c>
      <c r="E70" s="511">
        <f t="shared" ref="E70:P70" si="11">E33*$C$10*(1+E51)</f>
        <v>0</v>
      </c>
      <c r="F70" s="511">
        <f t="shared" si="11"/>
        <v>0</v>
      </c>
      <c r="G70" s="511">
        <f t="shared" si="11"/>
        <v>0</v>
      </c>
      <c r="H70" s="511">
        <f t="shared" si="11"/>
        <v>0</v>
      </c>
      <c r="I70" s="511">
        <f t="shared" si="11"/>
        <v>131320.93026020509</v>
      </c>
      <c r="J70" s="511">
        <f t="shared" si="11"/>
        <v>135174.03267534761</v>
      </c>
      <c r="K70" s="511">
        <f t="shared" si="11"/>
        <v>138247.27205016869</v>
      </c>
      <c r="L70" s="511">
        <f t="shared" si="11"/>
        <v>141390.71549415877</v>
      </c>
      <c r="M70" s="511">
        <f t="shared" si="11"/>
        <v>144605.97410499738</v>
      </c>
      <c r="N70" s="511">
        <f t="shared" si="11"/>
        <v>147894.69611714722</v>
      </c>
      <c r="O70" s="511">
        <f t="shared" si="11"/>
        <v>151390.76023935431</v>
      </c>
      <c r="P70" s="511">
        <f t="shared" si="11"/>
        <v>154868.55011623941</v>
      </c>
    </row>
    <row r="71" spans="1:20" ht="30" x14ac:dyDescent="0.25">
      <c r="A71" s="82" t="s">
        <v>454</v>
      </c>
      <c r="B71" s="82" t="s">
        <v>32</v>
      </c>
      <c r="C71" s="22" t="s">
        <v>768</v>
      </c>
      <c r="D71" s="511">
        <f>D34*$C$10*(1+D$52)</f>
        <v>0</v>
      </c>
      <c r="E71" s="511">
        <f t="shared" ref="E71:P71" si="12">E34*$C$10*(1+E52)</f>
        <v>0</v>
      </c>
      <c r="F71" s="511">
        <f t="shared" si="12"/>
        <v>0</v>
      </c>
      <c r="G71" s="511">
        <f t="shared" si="12"/>
        <v>0</v>
      </c>
      <c r="H71" s="511">
        <f t="shared" si="12"/>
        <v>0</v>
      </c>
      <c r="I71" s="511">
        <f t="shared" si="12"/>
        <v>0</v>
      </c>
      <c r="J71" s="511">
        <f t="shared" si="12"/>
        <v>0</v>
      </c>
      <c r="K71" s="511">
        <f t="shared" si="12"/>
        <v>62449.830709835609</v>
      </c>
      <c r="L71" s="511">
        <f t="shared" si="12"/>
        <v>63113.295735375395</v>
      </c>
      <c r="M71" s="511">
        <f t="shared" si="12"/>
        <v>63786.591838825545</v>
      </c>
      <c r="N71" s="511">
        <f t="shared" si="12"/>
        <v>64469.928711386012</v>
      </c>
      <c r="O71" s="511">
        <f t="shared" si="12"/>
        <v>65222.560900477874</v>
      </c>
      <c r="P71" s="511">
        <f t="shared" si="12"/>
        <v>65964.797153972017</v>
      </c>
    </row>
    <row r="72" spans="1:20" ht="30" x14ac:dyDescent="0.25">
      <c r="A72" s="82" t="s">
        <v>454</v>
      </c>
      <c r="B72" s="82" t="s">
        <v>32</v>
      </c>
      <c r="C72" s="22" t="s">
        <v>769</v>
      </c>
      <c r="D72" s="511">
        <f>D35*$C$10*(1+D$52)</f>
        <v>0</v>
      </c>
      <c r="E72" s="511">
        <f t="shared" ref="E72:P72" si="13">E35*$C$10*(1+E$52)</f>
        <v>0</v>
      </c>
      <c r="F72" s="511">
        <f t="shared" si="13"/>
        <v>0</v>
      </c>
      <c r="G72" s="511">
        <f t="shared" si="13"/>
        <v>0</v>
      </c>
      <c r="H72" s="511">
        <f t="shared" si="13"/>
        <v>0</v>
      </c>
      <c r="I72" s="511">
        <f t="shared" si="13"/>
        <v>0</v>
      </c>
      <c r="J72" s="511">
        <f t="shared" si="13"/>
        <v>0</v>
      </c>
      <c r="K72" s="511">
        <f t="shared" si="13"/>
        <v>0</v>
      </c>
      <c r="L72" s="511">
        <f t="shared" si="13"/>
        <v>0</v>
      </c>
      <c r="M72" s="511">
        <f t="shared" si="13"/>
        <v>84680.293498336861</v>
      </c>
      <c r="N72" s="511">
        <f t="shared" si="13"/>
        <v>85587.46168617277</v>
      </c>
      <c r="O72" s="511">
        <f t="shared" si="13"/>
        <v>86586.623309819843</v>
      </c>
      <c r="P72" s="511">
        <f t="shared" si="13"/>
        <v>87571.983743401332</v>
      </c>
    </row>
    <row r="73" spans="1:20" x14ac:dyDescent="0.25">
      <c r="A73" s="82" t="s">
        <v>455</v>
      </c>
      <c r="B73" s="82" t="s">
        <v>31</v>
      </c>
      <c r="C73" s="22" t="s">
        <v>85</v>
      </c>
      <c r="D73" s="511">
        <f>D36*$C$11*(1+D49)</f>
        <v>0</v>
      </c>
      <c r="E73" s="511">
        <f t="shared" ref="E73:P73" si="14">E36*$C$11*(1+E49)</f>
        <v>446739.10011826828</v>
      </c>
      <c r="F73" s="511">
        <f t="shared" si="14"/>
        <v>463208.58864377218</v>
      </c>
      <c r="G73" s="511">
        <f t="shared" si="14"/>
        <v>480717.61350273335</v>
      </c>
      <c r="H73" s="511">
        <f t="shared" si="14"/>
        <v>499291.93278133695</v>
      </c>
      <c r="I73" s="511">
        <f t="shared" si="14"/>
        <v>527642.53808093444</v>
      </c>
      <c r="J73" s="511">
        <f t="shared" si="14"/>
        <v>540527.31524741987</v>
      </c>
      <c r="K73" s="511">
        <f t="shared" si="14"/>
        <v>554628.08528152679</v>
      </c>
      <c r="L73" s="511">
        <f t="shared" si="14"/>
        <v>569915.91409579583</v>
      </c>
      <c r="M73" s="511">
        <f t="shared" si="14"/>
        <v>586374.56542632252</v>
      </c>
      <c r="N73" s="511">
        <f t="shared" si="14"/>
        <v>603998.20427880995</v>
      </c>
      <c r="O73" s="511">
        <f t="shared" si="14"/>
        <v>632862.3065588047</v>
      </c>
      <c r="P73" s="511">
        <f t="shared" si="14"/>
        <v>663111.03771601035</v>
      </c>
    </row>
    <row r="74" spans="1:20" x14ac:dyDescent="0.25">
      <c r="A74" s="82" t="s">
        <v>455</v>
      </c>
      <c r="B74" s="82" t="s">
        <v>31</v>
      </c>
      <c r="C74" s="22" t="s">
        <v>14</v>
      </c>
      <c r="D74" s="511">
        <f>D37*$C$11*(1+D50)</f>
        <v>0</v>
      </c>
      <c r="E74" s="511">
        <f t="shared" ref="E74:P74" si="15">E37*$C$11*(1+E50)</f>
        <v>63361.022044029101</v>
      </c>
      <c r="F74" s="511">
        <f t="shared" si="15"/>
        <v>65693.151182403788</v>
      </c>
      <c r="G74" s="511">
        <f t="shared" si="15"/>
        <v>68111.1189979747</v>
      </c>
      <c r="H74" s="511">
        <f t="shared" si="15"/>
        <v>70618.084954932914</v>
      </c>
      <c r="I74" s="511">
        <f t="shared" si="15"/>
        <v>73217.324807869256</v>
      </c>
      <c r="J74" s="511">
        <f t="shared" si="15"/>
        <v>75912.23488207272</v>
      </c>
      <c r="K74" s="511">
        <f t="shared" si="15"/>
        <v>78706.336511376896</v>
      </c>
      <c r="L74" s="511">
        <f t="shared" si="15"/>
        <v>81603.28063935152</v>
      </c>
      <c r="M74" s="511">
        <f t="shared" si="15"/>
        <v>84606.85258984394</v>
      </c>
      <c r="N74" s="511">
        <f t="shared" si="15"/>
        <v>87720.977013118289</v>
      </c>
      <c r="O74" s="511">
        <f t="shared" si="15"/>
        <v>90949.723014040093</v>
      </c>
      <c r="P74" s="511">
        <f t="shared" si="15"/>
        <v>94297.309469018102</v>
      </c>
    </row>
    <row r="75" spans="1:20" x14ac:dyDescent="0.25">
      <c r="A75" s="82" t="s">
        <v>455</v>
      </c>
      <c r="B75" s="82" t="s">
        <v>31</v>
      </c>
      <c r="C75" s="22" t="s">
        <v>445</v>
      </c>
      <c r="D75" s="511">
        <f>D38*$C$11*(1+D51)</f>
        <v>0</v>
      </c>
      <c r="E75" s="511">
        <f t="shared" ref="E75:P75" si="16">E38*$C$11*(1+E51)</f>
        <v>0</v>
      </c>
      <c r="F75" s="511">
        <f t="shared" si="16"/>
        <v>0</v>
      </c>
      <c r="G75" s="511">
        <f t="shared" si="16"/>
        <v>0</v>
      </c>
      <c r="H75" s="511">
        <f t="shared" si="16"/>
        <v>0</v>
      </c>
      <c r="I75" s="511">
        <f t="shared" si="16"/>
        <v>131320.93026020509</v>
      </c>
      <c r="J75" s="511">
        <f t="shared" si="16"/>
        <v>135174.03267534761</v>
      </c>
      <c r="K75" s="511">
        <f t="shared" si="16"/>
        <v>138247.27205016869</v>
      </c>
      <c r="L75" s="511">
        <f t="shared" si="16"/>
        <v>141390.71549415877</v>
      </c>
      <c r="M75" s="511">
        <f t="shared" si="16"/>
        <v>144605.97410499738</v>
      </c>
      <c r="N75" s="511">
        <f t="shared" si="16"/>
        <v>147894.69611714722</v>
      </c>
      <c r="O75" s="511">
        <f t="shared" si="16"/>
        <v>151390.76023935431</v>
      </c>
      <c r="P75" s="511">
        <f t="shared" si="16"/>
        <v>154868.55011623941</v>
      </c>
    </row>
    <row r="76" spans="1:20" ht="30" x14ac:dyDescent="0.25">
      <c r="A76" s="82" t="s">
        <v>455</v>
      </c>
      <c r="B76" s="82" t="s">
        <v>31</v>
      </c>
      <c r="C76" s="22" t="s">
        <v>768</v>
      </c>
      <c r="D76" s="511">
        <f>D39*$C$11*(1+D$52)</f>
        <v>0</v>
      </c>
      <c r="E76" s="511">
        <f t="shared" ref="E76:P76" si="17">E39*$C$11*(1+E52)</f>
        <v>0</v>
      </c>
      <c r="F76" s="511">
        <f t="shared" si="17"/>
        <v>0</v>
      </c>
      <c r="G76" s="511">
        <f t="shared" si="17"/>
        <v>0</v>
      </c>
      <c r="H76" s="511">
        <f t="shared" si="17"/>
        <v>0</v>
      </c>
      <c r="I76" s="511">
        <f t="shared" si="17"/>
        <v>0</v>
      </c>
      <c r="J76" s="511">
        <f t="shared" si="17"/>
        <v>0</v>
      </c>
      <c r="K76" s="511">
        <f t="shared" si="17"/>
        <v>62449.830709835609</v>
      </c>
      <c r="L76" s="511">
        <f t="shared" si="17"/>
        <v>63113.295735375395</v>
      </c>
      <c r="M76" s="511">
        <f t="shared" si="17"/>
        <v>63786.591838825545</v>
      </c>
      <c r="N76" s="511">
        <f t="shared" si="17"/>
        <v>64469.928711386012</v>
      </c>
      <c r="O76" s="511">
        <f t="shared" si="17"/>
        <v>65222.560900477874</v>
      </c>
      <c r="P76" s="511">
        <f t="shared" si="17"/>
        <v>65964.797153972017</v>
      </c>
    </row>
    <row r="77" spans="1:20" ht="30" x14ac:dyDescent="0.25">
      <c r="A77" s="82" t="s">
        <v>455</v>
      </c>
      <c r="B77" s="102"/>
      <c r="C77" s="22" t="s">
        <v>769</v>
      </c>
      <c r="D77" s="511">
        <f>D40*$C$11*(1+D$52)</f>
        <v>0</v>
      </c>
      <c r="E77" s="511">
        <f t="shared" ref="E77:P77" si="18">E40*$C$11*(1+E$52)</f>
        <v>0</v>
      </c>
      <c r="F77" s="511">
        <f t="shared" si="18"/>
        <v>0</v>
      </c>
      <c r="G77" s="511">
        <f t="shared" si="18"/>
        <v>0</v>
      </c>
      <c r="H77" s="511">
        <f t="shared" si="18"/>
        <v>0</v>
      </c>
      <c r="I77" s="511">
        <f t="shared" si="18"/>
        <v>0</v>
      </c>
      <c r="J77" s="511">
        <f t="shared" si="18"/>
        <v>0</v>
      </c>
      <c r="K77" s="511">
        <f t="shared" si="18"/>
        <v>0</v>
      </c>
      <c r="L77" s="511">
        <f t="shared" si="18"/>
        <v>0</v>
      </c>
      <c r="M77" s="511">
        <f t="shared" si="18"/>
        <v>84680.293498336861</v>
      </c>
      <c r="N77" s="511">
        <f t="shared" si="18"/>
        <v>85587.46168617277</v>
      </c>
      <c r="O77" s="511">
        <f t="shared" si="18"/>
        <v>86586.623309819843</v>
      </c>
      <c r="P77" s="511">
        <f t="shared" si="18"/>
        <v>87571.983743401332</v>
      </c>
    </row>
    <row r="78" spans="1:20" ht="30" x14ac:dyDescent="0.25">
      <c r="A78" s="424" t="s">
        <v>363</v>
      </c>
      <c r="B78" s="122"/>
      <c r="C78" s="122"/>
    </row>
    <row r="79" spans="1:20" x14ac:dyDescent="0.25">
      <c r="A79" s="122"/>
      <c r="B79" s="122"/>
      <c r="C79" s="122"/>
    </row>
    <row r="80" spans="1:20" s="83" customFormat="1" ht="13.9" customHeight="1" x14ac:dyDescent="0.25">
      <c r="A80" s="393" t="s">
        <v>603</v>
      </c>
      <c r="B80" s="400" t="s">
        <v>22</v>
      </c>
      <c r="C80" s="520">
        <v>2020</v>
      </c>
      <c r="D80" s="520">
        <v>2021</v>
      </c>
      <c r="E80" s="520">
        <v>2022</v>
      </c>
      <c r="F80" s="520">
        <v>2023</v>
      </c>
      <c r="G80" s="520">
        <v>2024</v>
      </c>
      <c r="H80" s="520">
        <v>2025</v>
      </c>
      <c r="I80" s="520">
        <v>2026</v>
      </c>
      <c r="J80" s="520">
        <v>2027</v>
      </c>
      <c r="K80" s="520">
        <v>2028</v>
      </c>
      <c r="L80" s="520">
        <v>2029</v>
      </c>
      <c r="M80" s="520">
        <v>2030</v>
      </c>
      <c r="N80" s="520">
        <v>2031</v>
      </c>
      <c r="O80" s="520">
        <v>2032</v>
      </c>
      <c r="Q80" s="521"/>
      <c r="R80" s="521"/>
      <c r="S80" s="521"/>
      <c r="T80" s="521"/>
    </row>
    <row r="81" spans="1:20" s="83" customFormat="1" x14ac:dyDescent="0.25">
      <c r="A81" s="522" t="s">
        <v>456</v>
      </c>
      <c r="B81" s="523" t="s">
        <v>57</v>
      </c>
      <c r="C81" s="524">
        <f t="shared" ref="C81:O81" si="19">(D$41*$C$12+D$42*$C$13+D$43*$C$14+D$44*$C$15)*(1+D$53)</f>
        <v>407482.15115405578</v>
      </c>
      <c r="D81" s="524">
        <f t="shared" si="19"/>
        <v>817084.5589790222</v>
      </c>
      <c r="E81" s="524">
        <f t="shared" si="19"/>
        <v>839561.95656820689</v>
      </c>
      <c r="F81" s="524">
        <f t="shared" si="19"/>
        <v>865680.56799507514</v>
      </c>
      <c r="G81" s="524">
        <f t="shared" si="19"/>
        <v>893167.91820681444</v>
      </c>
      <c r="H81" s="524">
        <f t="shared" si="19"/>
        <v>931309.92786130484</v>
      </c>
      <c r="I81" s="524">
        <f t="shared" si="19"/>
        <v>953666.84164196451</v>
      </c>
      <c r="J81" s="524">
        <f t="shared" si="19"/>
        <v>976554.01690298342</v>
      </c>
      <c r="K81" s="524">
        <f t="shared" si="19"/>
        <v>1000913.5927575532</v>
      </c>
      <c r="L81" s="524">
        <f t="shared" si="19"/>
        <v>1026734.5299224291</v>
      </c>
      <c r="M81" s="524">
        <f t="shared" si="19"/>
        <v>1054017.0690473432</v>
      </c>
      <c r="N81" s="524">
        <f t="shared" si="19"/>
        <v>1093785.5689544166</v>
      </c>
      <c r="O81" s="524">
        <f t="shared" si="19"/>
        <v>1135110.0570346063</v>
      </c>
      <c r="Q81" s="521"/>
      <c r="R81" s="521"/>
      <c r="S81" s="521"/>
      <c r="T81" s="521"/>
    </row>
    <row r="82" spans="1:20" s="83" customFormat="1" ht="30" x14ac:dyDescent="0.25">
      <c r="A82" s="522" t="s">
        <v>457</v>
      </c>
      <c r="B82" s="523" t="s">
        <v>430</v>
      </c>
      <c r="C82" s="524">
        <f t="shared" ref="C82:O82" si="20">(D$45*$C$16+D$46*$C$17+D$47*$C$18+D$48*$C$19)*(1+D$53)</f>
        <v>0</v>
      </c>
      <c r="D82" s="524">
        <f t="shared" si="20"/>
        <v>420083.02184797183</v>
      </c>
      <c r="E82" s="524">
        <f t="shared" si="20"/>
        <v>430483.60945848568</v>
      </c>
      <c r="F82" s="524">
        <f t="shared" si="20"/>
        <v>443875.87197481189</v>
      </c>
      <c r="G82" s="524">
        <f t="shared" si="20"/>
        <v>457969.95239499549</v>
      </c>
      <c r="H82" s="524">
        <f t="shared" si="20"/>
        <v>477527.18680707132</v>
      </c>
      <c r="I82" s="524">
        <f t="shared" si="20"/>
        <v>488990.64684757951</v>
      </c>
      <c r="J82" s="524">
        <f t="shared" si="20"/>
        <v>500725.99733552407</v>
      </c>
      <c r="K82" s="524">
        <f t="shared" si="20"/>
        <v>513216.31809948198</v>
      </c>
      <c r="L82" s="524">
        <f t="shared" si="20"/>
        <v>526455.948770424</v>
      </c>
      <c r="M82" s="524">
        <f t="shared" si="20"/>
        <v>540445.01274098898</v>
      </c>
      <c r="N82" s="524">
        <f t="shared" si="20"/>
        <v>560836.22657436086</v>
      </c>
      <c r="O82" s="524">
        <f t="shared" si="20"/>
        <v>582025.27003757434</v>
      </c>
      <c r="Q82" s="521"/>
      <c r="R82" s="521"/>
      <c r="S82" s="521"/>
      <c r="T82" s="521"/>
    </row>
    <row r="83" spans="1:20" s="83" customFormat="1" x14ac:dyDescent="0.25">
      <c r="A83" s="521"/>
      <c r="B83" s="521"/>
      <c r="C83" s="521"/>
      <c r="D83" s="521"/>
      <c r="E83" s="521"/>
      <c r="F83" s="521"/>
      <c r="G83" s="521"/>
      <c r="H83" s="521"/>
      <c r="I83" s="521"/>
      <c r="J83" s="521"/>
      <c r="K83" s="521"/>
      <c r="L83" s="521"/>
      <c r="M83" s="521"/>
      <c r="N83" s="521"/>
      <c r="O83" s="521"/>
      <c r="Q83" s="521"/>
      <c r="R83" s="521"/>
      <c r="S83" s="521"/>
      <c r="T83" s="521"/>
    </row>
    <row r="84" spans="1:20" s="83" customFormat="1" ht="13.9" customHeight="1" x14ac:dyDescent="0.25">
      <c r="A84" s="393" t="s">
        <v>451</v>
      </c>
      <c r="B84" s="400" t="s">
        <v>22</v>
      </c>
      <c r="C84" s="520">
        <v>2020</v>
      </c>
      <c r="D84" s="520">
        <v>2021</v>
      </c>
      <c r="E84" s="520">
        <v>2022</v>
      </c>
      <c r="F84" s="520">
        <v>2023</v>
      </c>
      <c r="G84" s="520">
        <v>2024</v>
      </c>
      <c r="H84" s="520">
        <v>2025</v>
      </c>
      <c r="I84" s="520">
        <v>2026</v>
      </c>
      <c r="J84" s="520">
        <v>2027</v>
      </c>
      <c r="K84" s="520">
        <v>2028</v>
      </c>
      <c r="L84" s="520">
        <v>2029</v>
      </c>
      <c r="M84" s="520">
        <v>2030</v>
      </c>
      <c r="N84" s="520">
        <v>2031</v>
      </c>
      <c r="O84" s="520">
        <v>2032</v>
      </c>
      <c r="Q84" s="521"/>
      <c r="R84" s="521"/>
      <c r="S84" s="521"/>
      <c r="T84" s="521"/>
    </row>
    <row r="85" spans="1:20" s="83" customFormat="1" x14ac:dyDescent="0.25">
      <c r="A85" s="522" t="s">
        <v>456</v>
      </c>
      <c r="B85" s="523" t="s">
        <v>57</v>
      </c>
      <c r="C85" s="524">
        <f t="shared" ref="C85:O85" si="21">(D$41*$C$12+D$42*$C$13+D$43*$C$14+D$44*$C$15)*(1+D$54)</f>
        <v>407784.64333066129</v>
      </c>
      <c r="D85" s="524">
        <f t="shared" si="21"/>
        <v>817475.47723684378</v>
      </c>
      <c r="E85" s="524">
        <f t="shared" si="21"/>
        <v>840173.00621244311</v>
      </c>
      <c r="F85" s="524">
        <f t="shared" si="21"/>
        <v>866614.61494432902</v>
      </c>
      <c r="G85" s="524">
        <f t="shared" si="21"/>
        <v>889612.18843943335</v>
      </c>
      <c r="H85" s="524">
        <f t="shared" si="21"/>
        <v>934876.64721232047</v>
      </c>
      <c r="I85" s="524">
        <f t="shared" si="21"/>
        <v>956437.78021322691</v>
      </c>
      <c r="J85" s="524">
        <f t="shared" si="21"/>
        <v>979606.35020949505</v>
      </c>
      <c r="K85" s="524">
        <f t="shared" si="21"/>
        <v>1004425.8294727476</v>
      </c>
      <c r="L85" s="524">
        <f t="shared" si="21"/>
        <v>1030881.1514031542</v>
      </c>
      <c r="M85" s="524">
        <f t="shared" si="21"/>
        <v>1058970.5267512079</v>
      </c>
      <c r="N85" s="524">
        <f t="shared" si="21"/>
        <v>1101547.7137043811</v>
      </c>
      <c r="O85" s="524">
        <f t="shared" si="21"/>
        <v>1145985.8525056588</v>
      </c>
      <c r="Q85" s="521"/>
      <c r="R85" s="521"/>
      <c r="S85" s="521"/>
      <c r="T85" s="521"/>
    </row>
    <row r="86" spans="1:20" s="83" customFormat="1" ht="30" x14ac:dyDescent="0.25">
      <c r="A86" s="522" t="s">
        <v>457</v>
      </c>
      <c r="B86" s="523" t="s">
        <v>430</v>
      </c>
      <c r="C86" s="524">
        <f t="shared" ref="C86:O86" si="22">(D$45*$C$16+D$46*$C$17+D$47*$C$18+D$48*$C$19)*(1+D$54)</f>
        <v>0</v>
      </c>
      <c r="D86" s="524">
        <f t="shared" si="22"/>
        <v>420284.00242120214</v>
      </c>
      <c r="E86" s="524">
        <f t="shared" si="22"/>
        <v>430796.92386530369</v>
      </c>
      <c r="F86" s="524">
        <f t="shared" si="22"/>
        <v>444354.80256352277</v>
      </c>
      <c r="G86" s="524">
        <f t="shared" si="22"/>
        <v>456146.7595114375</v>
      </c>
      <c r="H86" s="524">
        <f t="shared" si="22"/>
        <v>479356.01457628899</v>
      </c>
      <c r="I86" s="524">
        <f t="shared" si="22"/>
        <v>490411.43971273105</v>
      </c>
      <c r="J86" s="524">
        <f t="shared" si="22"/>
        <v>502291.07475331053</v>
      </c>
      <c r="K86" s="524">
        <f t="shared" si="22"/>
        <v>515017.21001293859</v>
      </c>
      <c r="L86" s="524">
        <f t="shared" si="22"/>
        <v>528582.12012456346</v>
      </c>
      <c r="M86" s="524">
        <f t="shared" si="22"/>
        <v>542984.88765430206</v>
      </c>
      <c r="N86" s="524">
        <f t="shared" si="22"/>
        <v>564816.24980309629</v>
      </c>
      <c r="O86" s="524">
        <f t="shared" si="22"/>
        <v>587601.81105814234</v>
      </c>
      <c r="Q86" s="521"/>
      <c r="R86" s="521"/>
      <c r="S86" s="521"/>
      <c r="T86" s="521"/>
    </row>
    <row r="88" spans="1:20" x14ac:dyDescent="0.25">
      <c r="A88" s="525" t="s">
        <v>192</v>
      </c>
    </row>
    <row r="89" spans="1:20" ht="45" x14ac:dyDescent="0.25">
      <c r="A89" s="64" t="s">
        <v>654</v>
      </c>
    </row>
    <row r="90" spans="1:20" ht="45" x14ac:dyDescent="0.25">
      <c r="A90" s="64" t="s">
        <v>655</v>
      </c>
    </row>
    <row r="91" spans="1:20" ht="45" x14ac:dyDescent="0.25">
      <c r="A91" s="64" t="s">
        <v>656</v>
      </c>
    </row>
    <row r="92" spans="1:20" ht="45" x14ac:dyDescent="0.25">
      <c r="A92" s="64" t="s">
        <v>657</v>
      </c>
    </row>
    <row r="93" spans="1:20" s="83" customFormat="1" ht="45" x14ac:dyDescent="0.25">
      <c r="A93" s="526" t="s">
        <v>658</v>
      </c>
      <c r="B93" s="521"/>
      <c r="C93" s="521"/>
      <c r="D93" s="521"/>
      <c r="E93" s="521"/>
      <c r="F93" s="521"/>
      <c r="G93" s="521"/>
      <c r="H93" s="521"/>
      <c r="I93" s="521"/>
      <c r="J93" s="521"/>
      <c r="K93" s="521"/>
      <c r="L93" s="521"/>
      <c r="M93" s="521"/>
      <c r="N93" s="521"/>
      <c r="O93" s="521"/>
      <c r="P93" s="521"/>
      <c r="Q93" s="521"/>
      <c r="R93" s="521"/>
      <c r="S93" s="521"/>
      <c r="T93" s="521"/>
    </row>
    <row r="94" spans="1:20" s="83" customFormat="1" ht="45" x14ac:dyDescent="0.25">
      <c r="A94" s="526" t="s">
        <v>659</v>
      </c>
      <c r="B94" s="521"/>
      <c r="C94" s="521"/>
      <c r="D94" s="521"/>
      <c r="E94" s="521"/>
      <c r="F94" s="521"/>
      <c r="G94" s="521"/>
      <c r="H94" s="521"/>
      <c r="I94" s="521"/>
      <c r="J94" s="521"/>
      <c r="K94" s="521"/>
      <c r="L94" s="521"/>
      <c r="M94" s="521"/>
      <c r="N94" s="521"/>
      <c r="O94" s="521"/>
      <c r="P94" s="521"/>
      <c r="Q94" s="521"/>
      <c r="R94" s="521"/>
      <c r="S94" s="521"/>
      <c r="T94" s="521"/>
    </row>
    <row r="96" spans="1:20" ht="15.75" x14ac:dyDescent="0.25">
      <c r="A96" s="315" t="s">
        <v>283</v>
      </c>
      <c r="O96" s="502"/>
    </row>
    <row r="97" spans="1:14" x14ac:dyDescent="0.25">
      <c r="A97" s="8" t="s">
        <v>458</v>
      </c>
      <c r="B97" s="302">
        <v>2020</v>
      </c>
      <c r="C97" s="302">
        <v>2021</v>
      </c>
      <c r="D97" s="302">
        <v>2022</v>
      </c>
      <c r="E97" s="302">
        <v>2023</v>
      </c>
      <c r="F97" s="302">
        <v>2024</v>
      </c>
      <c r="G97" s="302">
        <v>2025</v>
      </c>
      <c r="H97" s="302">
        <v>2026</v>
      </c>
      <c r="I97" s="302">
        <v>2027</v>
      </c>
      <c r="J97" s="302">
        <v>2028</v>
      </c>
      <c r="K97" s="302">
        <v>2029</v>
      </c>
      <c r="L97" s="302">
        <v>2030</v>
      </c>
      <c r="M97" s="49">
        <v>2031</v>
      </c>
      <c r="N97" s="49">
        <v>2032</v>
      </c>
    </row>
    <row r="98" spans="1:14" x14ac:dyDescent="0.25">
      <c r="A98" s="527" t="s">
        <v>85</v>
      </c>
      <c r="B98" s="511">
        <f t="shared" ref="B98:N102" si="23">SUM(D58,D63,D68,D73)</f>
        <v>112374.82918048522</v>
      </c>
      <c r="C98" s="511">
        <f t="shared" si="23"/>
        <v>893478.20023653656</v>
      </c>
      <c r="D98" s="511">
        <f t="shared" si="23"/>
        <v>926417.17728754436</v>
      </c>
      <c r="E98" s="511">
        <f t="shared" si="23"/>
        <v>961435.2270054667</v>
      </c>
      <c r="F98" s="511">
        <f t="shared" si="23"/>
        <v>998583.86556267389</v>
      </c>
      <c r="G98" s="511">
        <f t="shared" si="23"/>
        <v>1055285.0761618689</v>
      </c>
      <c r="H98" s="511">
        <f t="shared" si="23"/>
        <v>1081054.6304948397</v>
      </c>
      <c r="I98" s="511">
        <f t="shared" si="23"/>
        <v>1109256.1705630536</v>
      </c>
      <c r="J98" s="511">
        <f t="shared" si="23"/>
        <v>1139831.8281915917</v>
      </c>
      <c r="K98" s="511">
        <f t="shared" si="23"/>
        <v>1172749.130852645</v>
      </c>
      <c r="L98" s="511">
        <f t="shared" si="23"/>
        <v>1207996.4085576199</v>
      </c>
      <c r="M98" s="511">
        <f t="shared" si="23"/>
        <v>1265724.6131176094</v>
      </c>
      <c r="N98" s="511">
        <f t="shared" si="23"/>
        <v>1326222.0754320207</v>
      </c>
    </row>
    <row r="99" spans="1:14" x14ac:dyDescent="0.25">
      <c r="A99" s="527" t="s">
        <v>14</v>
      </c>
      <c r="B99" s="528">
        <f t="shared" si="23"/>
        <v>60879.761380212971</v>
      </c>
      <c r="C99" s="528">
        <f t="shared" si="23"/>
        <v>126722.0440880582</v>
      </c>
      <c r="D99" s="528">
        <f t="shared" si="23"/>
        <v>131386.30236480758</v>
      </c>
      <c r="E99" s="528">
        <f t="shared" si="23"/>
        <v>136222.2379959494</v>
      </c>
      <c r="F99" s="528">
        <f t="shared" si="23"/>
        <v>141236.16990986583</v>
      </c>
      <c r="G99" s="528">
        <f t="shared" si="23"/>
        <v>146434.64961573851</v>
      </c>
      <c r="H99" s="528">
        <f t="shared" si="23"/>
        <v>151824.46976414544</v>
      </c>
      <c r="I99" s="528">
        <f t="shared" si="23"/>
        <v>157412.67302275379</v>
      </c>
      <c r="J99" s="528">
        <f t="shared" si="23"/>
        <v>163206.56127870304</v>
      </c>
      <c r="K99" s="528">
        <f t="shared" si="23"/>
        <v>169213.70517968788</v>
      </c>
      <c r="L99" s="528">
        <f t="shared" si="23"/>
        <v>175441.95402623658</v>
      </c>
      <c r="M99" s="528">
        <f t="shared" si="23"/>
        <v>181899.44602808019</v>
      </c>
      <c r="N99" s="528">
        <f t="shared" si="23"/>
        <v>188594.6189380362</v>
      </c>
    </row>
    <row r="100" spans="1:14" x14ac:dyDescent="0.25">
      <c r="A100" s="527" t="s">
        <v>15</v>
      </c>
      <c r="B100" s="528">
        <f t="shared" si="23"/>
        <v>0</v>
      </c>
      <c r="C100" s="528">
        <f t="shared" si="23"/>
        <v>0</v>
      </c>
      <c r="D100" s="528">
        <f t="shared" si="23"/>
        <v>0</v>
      </c>
      <c r="E100" s="528">
        <f t="shared" si="23"/>
        <v>77703.332606943906</v>
      </c>
      <c r="F100" s="528">
        <f t="shared" si="23"/>
        <v>17249.092254008916</v>
      </c>
      <c r="G100" s="528">
        <f t="shared" si="23"/>
        <v>262641.86052041018</v>
      </c>
      <c r="H100" s="528">
        <f t="shared" si="23"/>
        <v>270348.06535069522</v>
      </c>
      <c r="I100" s="528">
        <f t="shared" si="23"/>
        <v>276494.54410033737</v>
      </c>
      <c r="J100" s="528">
        <f t="shared" si="23"/>
        <v>282781.43098831753</v>
      </c>
      <c r="K100" s="528">
        <f t="shared" si="23"/>
        <v>289211.94820999476</v>
      </c>
      <c r="L100" s="528">
        <f t="shared" si="23"/>
        <v>295789.39223429444</v>
      </c>
      <c r="M100" s="528">
        <f t="shared" si="23"/>
        <v>302781.52047870861</v>
      </c>
      <c r="N100" s="528">
        <f t="shared" si="23"/>
        <v>309737.10023247881</v>
      </c>
    </row>
    <row r="101" spans="1:14" x14ac:dyDescent="0.25">
      <c r="A101" s="349" t="s">
        <v>768</v>
      </c>
      <c r="B101" s="511">
        <f t="shared" si="23"/>
        <v>0</v>
      </c>
      <c r="C101" s="511">
        <f t="shared" si="23"/>
        <v>0</v>
      </c>
      <c r="D101" s="511">
        <f t="shared" si="23"/>
        <v>0</v>
      </c>
      <c r="E101" s="511">
        <f t="shared" si="23"/>
        <v>0</v>
      </c>
      <c r="F101" s="511">
        <f t="shared" si="23"/>
        <v>0</v>
      </c>
      <c r="G101" s="511">
        <f t="shared" si="23"/>
        <v>33105.542277783199</v>
      </c>
      <c r="H101" s="511">
        <f t="shared" si="23"/>
        <v>12048.612135031426</v>
      </c>
      <c r="I101" s="511">
        <f t="shared" si="23"/>
        <v>142487.35204419165</v>
      </c>
      <c r="J101" s="511">
        <f t="shared" si="23"/>
        <v>144001.13316398909</v>
      </c>
      <c r="K101" s="511">
        <f t="shared" si="23"/>
        <v>127573.18367765109</v>
      </c>
      <c r="L101" s="511">
        <f t="shared" si="23"/>
        <v>128939.85742277202</v>
      </c>
      <c r="M101" s="511">
        <f t="shared" si="23"/>
        <v>130445.12180095575</v>
      </c>
      <c r="N101" s="511">
        <f t="shared" si="23"/>
        <v>131929.59430794403</v>
      </c>
    </row>
    <row r="102" spans="1:14" ht="15.75" thickBot="1" x14ac:dyDescent="0.3">
      <c r="A102" s="529" t="s">
        <v>825</v>
      </c>
      <c r="B102" s="530">
        <f t="shared" si="23"/>
        <v>0</v>
      </c>
      <c r="C102" s="530">
        <f t="shared" si="23"/>
        <v>0</v>
      </c>
      <c r="D102" s="530">
        <f t="shared" si="23"/>
        <v>0</v>
      </c>
      <c r="E102" s="530">
        <f t="shared" si="23"/>
        <v>0</v>
      </c>
      <c r="F102" s="530">
        <f t="shared" si="23"/>
        <v>0</v>
      </c>
      <c r="G102" s="530">
        <f t="shared" si="23"/>
        <v>0</v>
      </c>
      <c r="H102" s="530">
        <f t="shared" si="23"/>
        <v>0</v>
      </c>
      <c r="I102" s="530">
        <f t="shared" si="23"/>
        <v>17587.690624520426</v>
      </c>
      <c r="J102" s="530">
        <f t="shared" si="23"/>
        <v>17774.541693238305</v>
      </c>
      <c r="K102" s="530">
        <f t="shared" si="23"/>
        <v>169360.58699667372</v>
      </c>
      <c r="L102" s="530">
        <f t="shared" si="23"/>
        <v>171174.92337234554</v>
      </c>
      <c r="M102" s="530">
        <f t="shared" si="23"/>
        <v>173173.24661963969</v>
      </c>
      <c r="N102" s="530">
        <f t="shared" si="23"/>
        <v>175143.96748680266</v>
      </c>
    </row>
    <row r="103" spans="1:14" ht="15.75" thickTop="1" x14ac:dyDescent="0.25">
      <c r="A103" s="531" t="s">
        <v>79</v>
      </c>
      <c r="B103" s="516">
        <f>SUM(B98:B102)</f>
        <v>173254.59056069818</v>
      </c>
      <c r="C103" s="516">
        <f t="shared" ref="C103:N103" si="24">SUM(C98:C102)</f>
        <v>1020200.2443245947</v>
      </c>
      <c r="D103" s="516">
        <f t="shared" si="24"/>
        <v>1057803.4796523519</v>
      </c>
      <c r="E103" s="516">
        <f t="shared" si="24"/>
        <v>1175360.7976083602</v>
      </c>
      <c r="F103" s="516">
        <f t="shared" si="24"/>
        <v>1157069.1277265486</v>
      </c>
      <c r="G103" s="516">
        <f t="shared" si="24"/>
        <v>1497467.1285758007</v>
      </c>
      <c r="H103" s="516">
        <f t="shared" si="24"/>
        <v>1515275.7777447118</v>
      </c>
      <c r="I103" s="516">
        <f t="shared" si="24"/>
        <v>1703238.4303548569</v>
      </c>
      <c r="J103" s="516">
        <f t="shared" si="24"/>
        <v>1747595.4953158395</v>
      </c>
      <c r="K103" s="516">
        <f t="shared" si="24"/>
        <v>1928108.5549166524</v>
      </c>
      <c r="L103" s="516">
        <f t="shared" si="24"/>
        <v>1979342.5356132686</v>
      </c>
      <c r="M103" s="516">
        <f t="shared" si="24"/>
        <v>2054023.9480449937</v>
      </c>
      <c r="N103" s="516">
        <f t="shared" si="24"/>
        <v>2131627.3563972823</v>
      </c>
    </row>
    <row r="104" spans="1:14" ht="30" x14ac:dyDescent="0.25">
      <c r="A104" s="424" t="s">
        <v>363</v>
      </c>
    </row>
    <row r="106" spans="1:14" ht="30" x14ac:dyDescent="0.25">
      <c r="A106" s="8" t="s">
        <v>602</v>
      </c>
      <c r="B106" s="302">
        <v>2020</v>
      </c>
      <c r="C106" s="302">
        <v>2021</v>
      </c>
      <c r="D106" s="302">
        <v>2022</v>
      </c>
      <c r="E106" s="302">
        <v>2023</v>
      </c>
      <c r="F106" s="302">
        <v>2024</v>
      </c>
      <c r="G106" s="302">
        <v>2025</v>
      </c>
      <c r="H106" s="302">
        <v>2026</v>
      </c>
      <c r="I106" s="302">
        <v>2027</v>
      </c>
      <c r="J106" s="302">
        <v>2028</v>
      </c>
      <c r="K106" s="302">
        <v>2029</v>
      </c>
      <c r="L106" s="302">
        <v>2030</v>
      </c>
      <c r="M106" s="49">
        <v>2031</v>
      </c>
      <c r="N106" s="49">
        <v>2032</v>
      </c>
    </row>
    <row r="107" spans="1:14" x14ac:dyDescent="0.25">
      <c r="A107" s="527" t="s">
        <v>58</v>
      </c>
      <c r="B107" s="511">
        <f t="shared" ref="B107:N107" si="25">SUM(D58:D62)</f>
        <v>104012.69762766385</v>
      </c>
      <c r="C107" s="511">
        <f t="shared" si="25"/>
        <v>0</v>
      </c>
      <c r="D107" s="511">
        <f t="shared" si="25"/>
        <v>0</v>
      </c>
      <c r="E107" s="511">
        <f t="shared" si="25"/>
        <v>60943.790279956003</v>
      </c>
      <c r="F107" s="511">
        <f t="shared" si="25"/>
        <v>0</v>
      </c>
      <c r="G107" s="511">
        <f t="shared" si="25"/>
        <v>21187.547057781245</v>
      </c>
      <c r="H107" s="511">
        <f t="shared" si="25"/>
        <v>0</v>
      </c>
      <c r="I107" s="511">
        <f t="shared" si="25"/>
        <v>0</v>
      </c>
      <c r="J107" s="511">
        <f t="shared" si="25"/>
        <v>0</v>
      </c>
      <c r="K107" s="511">
        <f t="shared" si="25"/>
        <v>0</v>
      </c>
      <c r="L107" s="511">
        <f t="shared" si="25"/>
        <v>0</v>
      </c>
      <c r="M107" s="511">
        <f t="shared" si="25"/>
        <v>0</v>
      </c>
      <c r="N107" s="511">
        <f t="shared" si="25"/>
        <v>0</v>
      </c>
    </row>
    <row r="108" spans="1:14" x14ac:dyDescent="0.25">
      <c r="A108" s="527" t="s">
        <v>59</v>
      </c>
      <c r="B108" s="528">
        <f t="shared" ref="B108:N108" si="26">SUM(D63:D67)</f>
        <v>69241.892933034353</v>
      </c>
      <c r="C108" s="528">
        <f t="shared" si="26"/>
        <v>0</v>
      </c>
      <c r="D108" s="528">
        <f t="shared" si="26"/>
        <v>0</v>
      </c>
      <c r="E108" s="528">
        <f t="shared" si="26"/>
        <v>16759.542326987899</v>
      </c>
      <c r="F108" s="528">
        <f t="shared" si="26"/>
        <v>17249.092254008916</v>
      </c>
      <c r="G108" s="528">
        <f t="shared" si="26"/>
        <v>11917.995220001951</v>
      </c>
      <c r="H108" s="528">
        <f t="shared" si="26"/>
        <v>12048.612135031426</v>
      </c>
      <c r="I108" s="528">
        <f t="shared" si="26"/>
        <v>35175.381249040853</v>
      </c>
      <c r="J108" s="528">
        <f t="shared" si="26"/>
        <v>35549.08338647661</v>
      </c>
      <c r="K108" s="528">
        <f t="shared" si="26"/>
        <v>0</v>
      </c>
      <c r="L108" s="528">
        <f t="shared" si="26"/>
        <v>0</v>
      </c>
      <c r="M108" s="528">
        <f t="shared" si="26"/>
        <v>0</v>
      </c>
      <c r="N108" s="528">
        <f t="shared" si="26"/>
        <v>0</v>
      </c>
    </row>
    <row r="109" spans="1:14" x14ac:dyDescent="0.25">
      <c r="A109" s="527" t="s">
        <v>61</v>
      </c>
      <c r="B109" s="528">
        <f t="shared" ref="B109:N109" si="27">SUM(D68:D72)</f>
        <v>0</v>
      </c>
      <c r="C109" s="528">
        <f t="shared" si="27"/>
        <v>510100.12216229737</v>
      </c>
      <c r="D109" s="528">
        <f t="shared" si="27"/>
        <v>528901.73982617597</v>
      </c>
      <c r="E109" s="528">
        <f t="shared" si="27"/>
        <v>548828.73250070808</v>
      </c>
      <c r="F109" s="528">
        <f t="shared" si="27"/>
        <v>569910.01773626986</v>
      </c>
      <c r="G109" s="528">
        <f t="shared" si="27"/>
        <v>732180.79314900876</v>
      </c>
      <c r="H109" s="528">
        <f t="shared" si="27"/>
        <v>751613.58280484017</v>
      </c>
      <c r="I109" s="528">
        <f t="shared" si="27"/>
        <v>834031.52455290803</v>
      </c>
      <c r="J109" s="528">
        <f t="shared" si="27"/>
        <v>856023.20596468146</v>
      </c>
      <c r="K109" s="528">
        <f t="shared" si="27"/>
        <v>964054.27745832619</v>
      </c>
      <c r="L109" s="528">
        <f t="shared" si="27"/>
        <v>989671.26780663431</v>
      </c>
      <c r="M109" s="528">
        <f t="shared" si="27"/>
        <v>1027011.9740224968</v>
      </c>
      <c r="N109" s="528">
        <f t="shared" si="27"/>
        <v>1065813.6781986412</v>
      </c>
    </row>
    <row r="110" spans="1:14" ht="15.75" thickBot="1" x14ac:dyDescent="0.3">
      <c r="A110" s="532" t="s">
        <v>60</v>
      </c>
      <c r="B110" s="514">
        <f t="shared" ref="B110:N110" si="28">SUM(D73:D77)</f>
        <v>0</v>
      </c>
      <c r="C110" s="514">
        <f t="shared" si="28"/>
        <v>510100.12216229737</v>
      </c>
      <c r="D110" s="514">
        <f t="shared" si="28"/>
        <v>528901.73982617597</v>
      </c>
      <c r="E110" s="514">
        <f t="shared" si="28"/>
        <v>548828.73250070808</v>
      </c>
      <c r="F110" s="514">
        <f t="shared" si="28"/>
        <v>569910.01773626986</v>
      </c>
      <c r="G110" s="514">
        <f t="shared" si="28"/>
        <v>732180.79314900876</v>
      </c>
      <c r="H110" s="514">
        <f t="shared" si="28"/>
        <v>751613.58280484017</v>
      </c>
      <c r="I110" s="514">
        <f t="shared" si="28"/>
        <v>834031.52455290803</v>
      </c>
      <c r="J110" s="514">
        <f t="shared" si="28"/>
        <v>856023.20596468146</v>
      </c>
      <c r="K110" s="514">
        <f t="shared" si="28"/>
        <v>964054.27745832619</v>
      </c>
      <c r="L110" s="514">
        <f t="shared" si="28"/>
        <v>989671.26780663431</v>
      </c>
      <c r="M110" s="514">
        <f t="shared" si="28"/>
        <v>1027011.9740224968</v>
      </c>
      <c r="N110" s="514">
        <f t="shared" si="28"/>
        <v>1065813.6781986412</v>
      </c>
    </row>
    <row r="111" spans="1:14" ht="15.75" thickTop="1" x14ac:dyDescent="0.25">
      <c r="A111" s="531" t="s">
        <v>79</v>
      </c>
      <c r="B111" s="516">
        <f t="shared" ref="B111:N111" si="29">SUM(B107:B110)</f>
        <v>173254.59056069818</v>
      </c>
      <c r="C111" s="516">
        <f t="shared" si="29"/>
        <v>1020200.2443245947</v>
      </c>
      <c r="D111" s="516">
        <f t="shared" si="29"/>
        <v>1057803.4796523519</v>
      </c>
      <c r="E111" s="516">
        <f t="shared" si="29"/>
        <v>1175360.7976083602</v>
      </c>
      <c r="F111" s="516">
        <f t="shared" si="29"/>
        <v>1157069.1277265486</v>
      </c>
      <c r="G111" s="516">
        <f t="shared" si="29"/>
        <v>1497467.1285758007</v>
      </c>
      <c r="H111" s="516">
        <f t="shared" si="29"/>
        <v>1515275.7777447118</v>
      </c>
      <c r="I111" s="516">
        <f t="shared" si="29"/>
        <v>1703238.4303548569</v>
      </c>
      <c r="J111" s="516">
        <f t="shared" si="29"/>
        <v>1747595.4953158395</v>
      </c>
      <c r="K111" s="516">
        <f t="shared" si="29"/>
        <v>1928108.5549166524</v>
      </c>
      <c r="L111" s="516">
        <f t="shared" si="29"/>
        <v>1979342.5356132686</v>
      </c>
      <c r="M111" s="516">
        <f t="shared" si="29"/>
        <v>2054023.9480449937</v>
      </c>
      <c r="N111" s="516">
        <f t="shared" si="29"/>
        <v>2131627.3563972823</v>
      </c>
    </row>
    <row r="113" spans="1:14" ht="30" x14ac:dyDescent="0.25">
      <c r="A113" s="8" t="s">
        <v>359</v>
      </c>
      <c r="B113" s="302">
        <v>2020</v>
      </c>
      <c r="C113" s="302">
        <v>2021</v>
      </c>
      <c r="D113" s="302">
        <v>2022</v>
      </c>
      <c r="E113" s="302">
        <v>2023</v>
      </c>
      <c r="F113" s="302">
        <v>2024</v>
      </c>
      <c r="G113" s="302">
        <v>2025</v>
      </c>
      <c r="H113" s="302">
        <v>2026</v>
      </c>
      <c r="I113" s="302">
        <v>2027</v>
      </c>
      <c r="J113" s="302">
        <v>2028</v>
      </c>
      <c r="K113" s="302">
        <v>2029</v>
      </c>
      <c r="L113" s="302">
        <v>2030</v>
      </c>
      <c r="M113" s="49">
        <v>2031</v>
      </c>
      <c r="N113" s="49">
        <v>2032</v>
      </c>
    </row>
    <row r="114" spans="1:14" x14ac:dyDescent="0.25">
      <c r="A114" s="527" t="s">
        <v>58</v>
      </c>
      <c r="B114" s="511">
        <f t="shared" ref="B114:N114" si="30">SUM(D$58:D$62)-D60</f>
        <v>104012.69762766385</v>
      </c>
      <c r="C114" s="511">
        <f t="shared" si="30"/>
        <v>0</v>
      </c>
      <c r="D114" s="511">
        <f t="shared" si="30"/>
        <v>0</v>
      </c>
      <c r="E114" s="511">
        <f t="shared" si="30"/>
        <v>0</v>
      </c>
      <c r="F114" s="511">
        <f t="shared" si="30"/>
        <v>0</v>
      </c>
      <c r="G114" s="511">
        <f t="shared" si="30"/>
        <v>21187.547057781245</v>
      </c>
      <c r="H114" s="511">
        <f t="shared" si="30"/>
        <v>0</v>
      </c>
      <c r="I114" s="511">
        <f t="shared" si="30"/>
        <v>0</v>
      </c>
      <c r="J114" s="511">
        <f t="shared" si="30"/>
        <v>0</v>
      </c>
      <c r="K114" s="511">
        <f t="shared" si="30"/>
        <v>0</v>
      </c>
      <c r="L114" s="511">
        <f t="shared" si="30"/>
        <v>0</v>
      </c>
      <c r="M114" s="511">
        <f t="shared" si="30"/>
        <v>0</v>
      </c>
      <c r="N114" s="511">
        <f t="shared" si="30"/>
        <v>0</v>
      </c>
    </row>
    <row r="115" spans="1:14" x14ac:dyDescent="0.25">
      <c r="A115" s="527" t="s">
        <v>59</v>
      </c>
      <c r="B115" s="528">
        <f t="shared" ref="B115:N115" si="31">SUM(D$63:D$67)-D65</f>
        <v>69241.892933034353</v>
      </c>
      <c r="C115" s="528">
        <f t="shared" si="31"/>
        <v>0</v>
      </c>
      <c r="D115" s="528">
        <f t="shared" si="31"/>
        <v>0</v>
      </c>
      <c r="E115" s="528">
        <f t="shared" si="31"/>
        <v>0</v>
      </c>
      <c r="F115" s="528">
        <f t="shared" si="31"/>
        <v>0</v>
      </c>
      <c r="G115" s="528">
        <f t="shared" si="31"/>
        <v>11917.995220001951</v>
      </c>
      <c r="H115" s="528">
        <f t="shared" si="31"/>
        <v>12048.612135031426</v>
      </c>
      <c r="I115" s="528">
        <f t="shared" si="31"/>
        <v>35175.381249040853</v>
      </c>
      <c r="J115" s="528">
        <f t="shared" si="31"/>
        <v>35549.08338647661</v>
      </c>
      <c r="K115" s="528">
        <f t="shared" si="31"/>
        <v>0</v>
      </c>
      <c r="L115" s="528">
        <f t="shared" si="31"/>
        <v>0</v>
      </c>
      <c r="M115" s="528">
        <f t="shared" si="31"/>
        <v>0</v>
      </c>
      <c r="N115" s="528">
        <f t="shared" si="31"/>
        <v>0</v>
      </c>
    </row>
    <row r="116" spans="1:14" x14ac:dyDescent="0.25">
      <c r="A116" s="527" t="s">
        <v>61</v>
      </c>
      <c r="B116" s="528">
        <f t="shared" ref="B116:N116" si="32">SUM(D$68:D$72)-D70</f>
        <v>0</v>
      </c>
      <c r="C116" s="528">
        <f t="shared" si="32"/>
        <v>510100.12216229737</v>
      </c>
      <c r="D116" s="528">
        <f t="shared" si="32"/>
        <v>528901.73982617597</v>
      </c>
      <c r="E116" s="528">
        <f t="shared" si="32"/>
        <v>548828.73250070808</v>
      </c>
      <c r="F116" s="528">
        <f t="shared" si="32"/>
        <v>569910.01773626986</v>
      </c>
      <c r="G116" s="528">
        <f t="shared" si="32"/>
        <v>600859.86288880371</v>
      </c>
      <c r="H116" s="528">
        <f t="shared" si="32"/>
        <v>616439.55012949253</v>
      </c>
      <c r="I116" s="528">
        <f t="shared" si="32"/>
        <v>695784.25250273931</v>
      </c>
      <c r="J116" s="528">
        <f t="shared" si="32"/>
        <v>714632.49047052267</v>
      </c>
      <c r="K116" s="528">
        <f t="shared" si="32"/>
        <v>819448.30335332884</v>
      </c>
      <c r="L116" s="528">
        <f t="shared" si="32"/>
        <v>841776.57168948709</v>
      </c>
      <c r="M116" s="528">
        <f t="shared" si="32"/>
        <v>875621.21378314251</v>
      </c>
      <c r="N116" s="528">
        <f t="shared" si="32"/>
        <v>910945.12808240182</v>
      </c>
    </row>
    <row r="117" spans="1:14" ht="15.75" thickBot="1" x14ac:dyDescent="0.3">
      <c r="A117" s="532" t="s">
        <v>60</v>
      </c>
      <c r="B117" s="514">
        <f t="shared" ref="B117:N117" si="33">SUM(D$73:D$77)-D75</f>
        <v>0</v>
      </c>
      <c r="C117" s="514">
        <f t="shared" si="33"/>
        <v>510100.12216229737</v>
      </c>
      <c r="D117" s="514">
        <f t="shared" si="33"/>
        <v>528901.73982617597</v>
      </c>
      <c r="E117" s="514">
        <f t="shared" si="33"/>
        <v>548828.73250070808</v>
      </c>
      <c r="F117" s="514">
        <f t="shared" si="33"/>
        <v>569910.01773626986</v>
      </c>
      <c r="G117" s="514">
        <f t="shared" si="33"/>
        <v>600859.86288880371</v>
      </c>
      <c r="H117" s="514">
        <f t="shared" si="33"/>
        <v>616439.55012949253</v>
      </c>
      <c r="I117" s="514">
        <f t="shared" si="33"/>
        <v>695784.25250273931</v>
      </c>
      <c r="J117" s="514">
        <f t="shared" si="33"/>
        <v>714632.49047052267</v>
      </c>
      <c r="K117" s="514">
        <f t="shared" si="33"/>
        <v>819448.30335332884</v>
      </c>
      <c r="L117" s="514">
        <f t="shared" si="33"/>
        <v>841776.57168948709</v>
      </c>
      <c r="M117" s="514">
        <f t="shared" si="33"/>
        <v>875621.21378314251</v>
      </c>
      <c r="N117" s="514">
        <f t="shared" si="33"/>
        <v>910945.12808240182</v>
      </c>
    </row>
    <row r="118" spans="1:14" ht="15.75" thickTop="1" x14ac:dyDescent="0.25">
      <c r="A118" s="531" t="s">
        <v>79</v>
      </c>
      <c r="B118" s="516">
        <f t="shared" ref="B118:N118" si="34">SUM(B114:B117)</f>
        <v>173254.59056069818</v>
      </c>
      <c r="C118" s="516">
        <f t="shared" si="34"/>
        <v>1020200.2443245947</v>
      </c>
      <c r="D118" s="516">
        <f t="shared" si="34"/>
        <v>1057803.4796523519</v>
      </c>
      <c r="E118" s="516">
        <f t="shared" si="34"/>
        <v>1097657.4650014162</v>
      </c>
      <c r="F118" s="516">
        <f t="shared" si="34"/>
        <v>1139820.0354725397</v>
      </c>
      <c r="G118" s="516">
        <f t="shared" si="34"/>
        <v>1234825.2680553906</v>
      </c>
      <c r="H118" s="516">
        <f t="shared" si="34"/>
        <v>1244927.7123940163</v>
      </c>
      <c r="I118" s="516">
        <f t="shared" si="34"/>
        <v>1426743.8862545195</v>
      </c>
      <c r="J118" s="516">
        <f t="shared" si="34"/>
        <v>1464814.0643275219</v>
      </c>
      <c r="K118" s="516">
        <f t="shared" si="34"/>
        <v>1638896.6067066577</v>
      </c>
      <c r="L118" s="516">
        <f t="shared" si="34"/>
        <v>1683553.1433789742</v>
      </c>
      <c r="M118" s="516">
        <f t="shared" si="34"/>
        <v>1751242.427566285</v>
      </c>
      <c r="N118" s="516">
        <f t="shared" si="34"/>
        <v>1821890.2561648036</v>
      </c>
    </row>
  </sheetData>
  <pageMargins left="0.7" right="0.7" top="0.75" bottom="0.75" header="0.3" footer="0.3"/>
  <pageSetup paperSize="5" pageOrder="overThenDown" orientation="landscape" r:id="rId1"/>
  <headerFooter>
    <oddHeader>&amp;CPRELIMINARY DISCUSSION DRAFT - DO NOT CITE OR QUOTE</oddHeader>
    <oddFooter>&amp;L&amp;F&amp;CPage &amp;P of &amp;N&amp;R&amp;D</oddFooter>
  </headerFooter>
  <rowBreaks count="3" manualBreakCount="3">
    <brk id="55" max="16383" man="1"/>
    <brk id="79" max="16383" man="1"/>
    <brk id="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68"/>
  <sheetViews>
    <sheetView topLeftCell="A54" zoomScale="80" zoomScaleNormal="80" workbookViewId="0">
      <selection activeCell="E9" sqref="E9"/>
    </sheetView>
  </sheetViews>
  <sheetFormatPr defaultColWidth="9.140625" defaultRowHeight="15" x14ac:dyDescent="0.25"/>
  <cols>
    <col min="1" max="1" width="58.42578125" style="38" customWidth="1"/>
    <col min="2" max="13" width="12.42578125" style="38" customWidth="1"/>
    <col min="14" max="14" width="9.140625" style="38"/>
    <col min="15" max="16384" width="9.140625" style="1"/>
  </cols>
  <sheetData>
    <row r="1" spans="1:15" ht="30.75" x14ac:dyDescent="0.3">
      <c r="A1" s="314" t="s">
        <v>366</v>
      </c>
      <c r="B1" s="408" t="s">
        <v>497</v>
      </c>
      <c r="C1" s="409"/>
      <c r="D1" s="409"/>
      <c r="E1" s="409"/>
      <c r="F1" s="122"/>
    </row>
    <row r="2" spans="1:15" ht="60" x14ac:dyDescent="0.25">
      <c r="B2" s="395" t="s">
        <v>464</v>
      </c>
      <c r="C2" s="122"/>
      <c r="D2" s="122"/>
      <c r="E2" s="122"/>
      <c r="F2" s="122"/>
    </row>
    <row r="3" spans="1:15" x14ac:dyDescent="0.25">
      <c r="B3" s="411" t="s">
        <v>460</v>
      </c>
      <c r="C3" s="124"/>
      <c r="D3" s="124"/>
      <c r="E3" s="124"/>
      <c r="F3" s="122"/>
    </row>
    <row r="5" spans="1:15" ht="15.75" x14ac:dyDescent="0.25">
      <c r="A5" s="315" t="s">
        <v>321</v>
      </c>
      <c r="N5" s="502"/>
      <c r="O5" s="131"/>
    </row>
    <row r="6" spans="1:15" ht="30" x14ac:dyDescent="0.25">
      <c r="A6" s="113" t="str">
        <f>Flexibility!A66</f>
        <v>Vessel Type</v>
      </c>
      <c r="B6" s="301" t="s">
        <v>660</v>
      </c>
      <c r="C6" s="301" t="s">
        <v>661</v>
      </c>
    </row>
    <row r="7" spans="1:15" x14ac:dyDescent="0.25">
      <c r="A7" s="22" t="s">
        <v>85</v>
      </c>
      <c r="B7" s="503">
        <f>Flexibility!B67</f>
        <v>2394.8312637444401</v>
      </c>
      <c r="C7" s="503">
        <f>Flexibility!C67</f>
        <v>2394.8312637444401</v>
      </c>
    </row>
    <row r="8" spans="1:15" x14ac:dyDescent="0.25">
      <c r="A8" s="22" t="s">
        <v>14</v>
      </c>
      <c r="B8" s="503">
        <f>Flexibility!B68</f>
        <v>12879.379619372015</v>
      </c>
      <c r="C8" s="503">
        <f>Flexibility!C68</f>
        <v>12879.379619372015</v>
      </c>
    </row>
    <row r="9" spans="1:15" x14ac:dyDescent="0.25">
      <c r="A9" s="22" t="s">
        <v>15</v>
      </c>
      <c r="B9" s="503">
        <f>Flexibility!B69</f>
        <v>1514.8167132393064</v>
      </c>
      <c r="C9" s="503">
        <f>Flexibility!C69</f>
        <v>1514.8167132393064</v>
      </c>
    </row>
    <row r="10" spans="1:15" x14ac:dyDescent="0.25">
      <c r="A10" s="22" t="s">
        <v>837</v>
      </c>
      <c r="B10" s="503">
        <f>AVERAGE(Flexibility!B70:B71)</f>
        <v>5827.8046925379058</v>
      </c>
      <c r="C10" s="503">
        <f>AVERAGE(Flexibility!C70:C71)</f>
        <v>5827.8046925379058</v>
      </c>
    </row>
    <row r="12" spans="1:15" x14ac:dyDescent="0.25">
      <c r="A12" s="504" t="s">
        <v>328</v>
      </c>
      <c r="B12" s="504" t="s">
        <v>16</v>
      </c>
      <c r="C12" s="136" t="s">
        <v>26</v>
      </c>
    </row>
    <row r="13" spans="1:15" x14ac:dyDescent="0.25">
      <c r="A13" s="297" t="s">
        <v>85</v>
      </c>
      <c r="B13" s="297" t="s">
        <v>348</v>
      </c>
      <c r="C13" s="505">
        <f>'Electricity &amp; Fuel'!C9</f>
        <v>38.7546172626759</v>
      </c>
    </row>
    <row r="14" spans="1:15" x14ac:dyDescent="0.25">
      <c r="A14" s="297" t="s">
        <v>14</v>
      </c>
      <c r="B14" s="297" t="s">
        <v>348</v>
      </c>
      <c r="C14" s="505">
        <f>'Electricity &amp; Fuel'!C10</f>
        <v>11.243408662899901</v>
      </c>
    </row>
    <row r="15" spans="1:15" x14ac:dyDescent="0.25">
      <c r="A15" s="297" t="s">
        <v>15</v>
      </c>
      <c r="B15" s="297" t="s">
        <v>348</v>
      </c>
      <c r="C15" s="506">
        <f>'Electricity &amp; Fuel'!C11</f>
        <v>19.8</v>
      </c>
    </row>
    <row r="16" spans="1:15" x14ac:dyDescent="0.25">
      <c r="A16" s="297" t="s">
        <v>281</v>
      </c>
      <c r="B16" s="297" t="s">
        <v>348</v>
      </c>
      <c r="C16" s="506">
        <f>AVERAGE('Electricity &amp; Fuel'!C12:C12)</f>
        <v>40.700000000000003</v>
      </c>
    </row>
    <row r="18" spans="1:13" ht="30" x14ac:dyDescent="0.25">
      <c r="A18" s="113" t="s">
        <v>370</v>
      </c>
      <c r="B18" s="136">
        <v>2021</v>
      </c>
      <c r="C18" s="136">
        <v>2022</v>
      </c>
      <c r="D18" s="136">
        <v>2023</v>
      </c>
      <c r="E18" s="136">
        <v>2024</v>
      </c>
      <c r="F18" s="136">
        <v>2025</v>
      </c>
      <c r="G18" s="136">
        <v>2026</v>
      </c>
      <c r="H18" s="136">
        <v>2027</v>
      </c>
      <c r="I18" s="136">
        <v>2028</v>
      </c>
      <c r="J18" s="136">
        <v>2029</v>
      </c>
      <c r="K18" s="136">
        <v>2030</v>
      </c>
      <c r="L18" s="136">
        <v>2031</v>
      </c>
      <c r="M18" s="136">
        <v>2032</v>
      </c>
    </row>
    <row r="19" spans="1:13" x14ac:dyDescent="0.25">
      <c r="A19" s="22" t="s">
        <v>85</v>
      </c>
      <c r="B19" s="507">
        <f>Flexibility!B46*'Vessel Visits'!$B$14</f>
        <v>18.578855140186914</v>
      </c>
      <c r="C19" s="507">
        <f>Flexibility!C46*'Vessel Visits'!$B14</f>
        <v>18.578855140186914</v>
      </c>
      <c r="D19" s="507">
        <f>Flexibility!D46*'Vessel Visits'!$B14</f>
        <v>18.578855140186914</v>
      </c>
      <c r="E19" s="507">
        <f>Flexibility!E46*'Vessel Visits'!$B14</f>
        <v>18.578855140186914</v>
      </c>
      <c r="F19" s="507">
        <f>Flexibility!F46*'Vessel Visits'!$B14</f>
        <v>18.578855140186914</v>
      </c>
      <c r="G19" s="507">
        <f>Flexibility!G46*'Vessel Visits'!$B14</f>
        <v>18.578855140186914</v>
      </c>
      <c r="H19" s="507">
        <f>Flexibility!H46*'Vessel Visits'!$B14</f>
        <v>18.578855140186914</v>
      </c>
      <c r="I19" s="507">
        <f>Flexibility!I46*'Vessel Visits'!$B14</f>
        <v>18.578855140186914</v>
      </c>
      <c r="J19" s="507">
        <f>Flexibility!J46*'Vessel Visits'!$B14</f>
        <v>18.578855140186914</v>
      </c>
      <c r="K19" s="507">
        <f>Flexibility!K46*'Vessel Visits'!$B14</f>
        <v>18.578855140186914</v>
      </c>
      <c r="L19" s="507">
        <f>Flexibility!L46*'Vessel Visits'!$B14</f>
        <v>18.578855140186914</v>
      </c>
      <c r="M19" s="507">
        <f>Flexibility!M46*'Vessel Visits'!$B14</f>
        <v>18.578855140186914</v>
      </c>
    </row>
    <row r="20" spans="1:13" x14ac:dyDescent="0.25">
      <c r="A20" s="22" t="s">
        <v>14</v>
      </c>
      <c r="B20" s="507">
        <f>Flexibility!B47*'Vessel Visits'!$B$64</f>
        <v>2.6165303738317753</v>
      </c>
      <c r="C20" s="507">
        <f>Flexibility!C47*'Vessel Visits'!$B64</f>
        <v>2.6165303738317753</v>
      </c>
      <c r="D20" s="507">
        <f>Flexibility!D47*'Vessel Visits'!$B64</f>
        <v>2.6165303738317753</v>
      </c>
      <c r="E20" s="507">
        <f>Flexibility!E47*'Vessel Visits'!$B64</f>
        <v>2.6165303738317753</v>
      </c>
      <c r="F20" s="507">
        <f>Flexibility!F47*'Vessel Visits'!$B64</f>
        <v>2.6165303738317753</v>
      </c>
      <c r="G20" s="507">
        <f>Flexibility!G47*'Vessel Visits'!$B64</f>
        <v>2.6165303738317753</v>
      </c>
      <c r="H20" s="507">
        <f>Flexibility!H47*'Vessel Visits'!$B64</f>
        <v>2.6165303738317753</v>
      </c>
      <c r="I20" s="507">
        <f>Flexibility!I47*'Vessel Visits'!$B64</f>
        <v>2.6165303738317753</v>
      </c>
      <c r="J20" s="507">
        <f>Flexibility!J47*'Vessel Visits'!$B64</f>
        <v>2.6165303738317753</v>
      </c>
      <c r="K20" s="507">
        <f>Flexibility!K47*'Vessel Visits'!$B64</f>
        <v>2.6165303738317753</v>
      </c>
      <c r="L20" s="507">
        <f>Flexibility!L47*'Vessel Visits'!$B64</f>
        <v>2.6165303738317753</v>
      </c>
      <c r="M20" s="507">
        <f>Flexibility!M47*'Vessel Visits'!$B64</f>
        <v>2.6165303738317753</v>
      </c>
    </row>
    <row r="21" spans="1:13" x14ac:dyDescent="0.25">
      <c r="A21" s="22" t="s">
        <v>15</v>
      </c>
      <c r="B21" s="508"/>
      <c r="C21" s="508"/>
      <c r="D21" s="508"/>
      <c r="E21" s="508"/>
      <c r="F21" s="507">
        <f>Flexibility!F48*'Vessel Visits'!$B$107</f>
        <v>5.0493574766355138</v>
      </c>
      <c r="G21" s="507">
        <f>Flexibility!G48*'Vessel Visits'!$B107</f>
        <v>5.0493574766355138</v>
      </c>
      <c r="H21" s="507">
        <f>Flexibility!H48*'Vessel Visits'!$B107</f>
        <v>5.0493574766355138</v>
      </c>
      <c r="I21" s="507">
        <f>Flexibility!I48*'Vessel Visits'!$B107</f>
        <v>5.0493574766355138</v>
      </c>
      <c r="J21" s="507">
        <f>Flexibility!J48*'Vessel Visits'!$B107</f>
        <v>5.0493574766355138</v>
      </c>
      <c r="K21" s="507">
        <f>Flexibility!K48*'Vessel Visits'!$B107</f>
        <v>5.0493574766355138</v>
      </c>
      <c r="L21" s="507">
        <f>Flexibility!L48*'Vessel Visits'!$B107</f>
        <v>5.0493574766355138</v>
      </c>
      <c r="M21" s="507">
        <f>Flexibility!M48*'Vessel Visits'!$B107</f>
        <v>5.0493574766355138</v>
      </c>
    </row>
    <row r="22" spans="1:13" x14ac:dyDescent="0.25">
      <c r="A22" s="22" t="s">
        <v>835</v>
      </c>
      <c r="B22" s="508"/>
      <c r="C22" s="508"/>
      <c r="D22" s="508"/>
      <c r="E22" s="508"/>
      <c r="F22" s="508"/>
      <c r="G22" s="508"/>
      <c r="H22" s="507">
        <f>Flexibility!H49*'Vessel Visits'!$B$148</f>
        <v>2.8850000000000002</v>
      </c>
      <c r="I22" s="507">
        <f>Flexibility!I49*'Vessel Visits'!$B148</f>
        <v>2.8850000000000002</v>
      </c>
      <c r="J22" s="507">
        <f>Flexibility!J49*'Vessel Visits'!$B148</f>
        <v>2.8850000000000002</v>
      </c>
      <c r="K22" s="507">
        <f>Flexibility!K49*'Vessel Visits'!$B148</f>
        <v>2.8850000000000002</v>
      </c>
      <c r="L22" s="507">
        <f>Flexibility!L49*'Vessel Visits'!$B148</f>
        <v>2.8850000000000002</v>
      </c>
      <c r="M22" s="507">
        <f>Flexibility!M49*'Vessel Visits'!$B148</f>
        <v>2.8850000000000002</v>
      </c>
    </row>
    <row r="23" spans="1:13" x14ac:dyDescent="0.25">
      <c r="A23" s="22" t="s">
        <v>836</v>
      </c>
      <c r="B23" s="508"/>
      <c r="C23" s="508"/>
      <c r="D23" s="508"/>
      <c r="E23" s="508"/>
      <c r="F23" s="508"/>
      <c r="G23" s="508"/>
      <c r="H23" s="508"/>
      <c r="I23" s="508"/>
      <c r="J23" s="507">
        <f>Flexibility!J50*'Vessel Visits'!$B$184</f>
        <v>3.83</v>
      </c>
      <c r="K23" s="507">
        <f>Flexibility!K50*'Vessel Visits'!$B184</f>
        <v>3.83</v>
      </c>
      <c r="L23" s="507">
        <f>Flexibility!L50*'Vessel Visits'!$B184</f>
        <v>3.83</v>
      </c>
      <c r="M23" s="507">
        <f>Flexibility!M50*'Vessel Visits'!$B184</f>
        <v>3.83</v>
      </c>
    </row>
    <row r="25" spans="1:13" ht="30" x14ac:dyDescent="0.25">
      <c r="A25" s="113" t="s">
        <v>371</v>
      </c>
      <c r="B25" s="136">
        <v>2021</v>
      </c>
      <c r="C25" s="136">
        <v>2022</v>
      </c>
      <c r="D25" s="136">
        <v>2023</v>
      </c>
      <c r="E25" s="136">
        <v>2024</v>
      </c>
      <c r="F25" s="136">
        <v>2025</v>
      </c>
      <c r="G25" s="136">
        <v>2026</v>
      </c>
      <c r="H25" s="136">
        <v>2027</v>
      </c>
      <c r="I25" s="136">
        <v>2028</v>
      </c>
      <c r="J25" s="136">
        <v>2029</v>
      </c>
      <c r="K25" s="136">
        <v>2030</v>
      </c>
      <c r="L25" s="136">
        <v>2031</v>
      </c>
      <c r="M25" s="136">
        <v>2032</v>
      </c>
    </row>
    <row r="26" spans="1:13" x14ac:dyDescent="0.25">
      <c r="A26" s="22" t="s">
        <v>85</v>
      </c>
      <c r="B26" s="507">
        <f>Flexibility!B56*'Vessel Visits'!$B$14</f>
        <v>0</v>
      </c>
      <c r="C26" s="507">
        <f>Flexibility!C56*'Vessel Visits'!$B$14</f>
        <v>0</v>
      </c>
      <c r="D26" s="507">
        <f>Flexibility!D56*'Vessel Visits'!$B$14</f>
        <v>0</v>
      </c>
      <c r="E26" s="507">
        <f>Flexibility!E56*'Vessel Visits'!$B$14</f>
        <v>0</v>
      </c>
      <c r="F26" s="507">
        <f>Flexibility!F56*'Vessel Visits'!$B$14</f>
        <v>0</v>
      </c>
      <c r="G26" s="507">
        <f>Flexibility!G56*'Vessel Visits'!$B$14</f>
        <v>0</v>
      </c>
      <c r="H26" s="507">
        <f>Flexibility!H56*'Vessel Visits'!$B$14</f>
        <v>0</v>
      </c>
      <c r="I26" s="507">
        <f>Flexibility!I56*'Vessel Visits'!$B$14</f>
        <v>0</v>
      </c>
      <c r="J26" s="507">
        <f>Flexibility!J56*'Vessel Visits'!$B$14</f>
        <v>0</v>
      </c>
      <c r="K26" s="507">
        <f>Flexibility!K56*'Vessel Visits'!$B$14</f>
        <v>0</v>
      </c>
      <c r="L26" s="507">
        <f>Flexibility!L56*'Vessel Visits'!$B$14</f>
        <v>0</v>
      </c>
      <c r="M26" s="507">
        <f>Flexibility!M56*'Vessel Visits'!$B$14</f>
        <v>0</v>
      </c>
    </row>
    <row r="27" spans="1:13" x14ac:dyDescent="0.25">
      <c r="A27" s="22" t="s">
        <v>14</v>
      </c>
      <c r="B27" s="507">
        <f>Flexibility!B57*'Vessel Visits'!$B$64</f>
        <v>0</v>
      </c>
      <c r="C27" s="507">
        <f>Flexibility!C57*'Vessel Visits'!$B$64</f>
        <v>0</v>
      </c>
      <c r="D27" s="507">
        <f>Flexibility!D57*'Vessel Visits'!$B$64</f>
        <v>0</v>
      </c>
      <c r="E27" s="507">
        <f>Flexibility!E57*'Vessel Visits'!$B$64</f>
        <v>0</v>
      </c>
      <c r="F27" s="507">
        <f>Flexibility!F57*'Vessel Visits'!$B$64</f>
        <v>0</v>
      </c>
      <c r="G27" s="507">
        <f>Flexibility!G57*'Vessel Visits'!$B$64</f>
        <v>0</v>
      </c>
      <c r="H27" s="507">
        <f>Flexibility!H57*'Vessel Visits'!$B$64</f>
        <v>0</v>
      </c>
      <c r="I27" s="507">
        <f>Flexibility!I57*'Vessel Visits'!$B$64</f>
        <v>0</v>
      </c>
      <c r="J27" s="507">
        <f>Flexibility!J57*'Vessel Visits'!$B$64</f>
        <v>0</v>
      </c>
      <c r="K27" s="507">
        <f>Flexibility!K57*'Vessel Visits'!$B$64</f>
        <v>0</v>
      </c>
      <c r="L27" s="507">
        <f>Flexibility!L57*'Vessel Visits'!$B$64</f>
        <v>0</v>
      </c>
      <c r="M27" s="507">
        <f>Flexibility!M57*'Vessel Visits'!$B$64</f>
        <v>0</v>
      </c>
    </row>
    <row r="28" spans="1:13" x14ac:dyDescent="0.25">
      <c r="A28" s="22" t="s">
        <v>15</v>
      </c>
      <c r="B28" s="508"/>
      <c r="C28" s="508"/>
      <c r="D28" s="508"/>
      <c r="E28" s="508"/>
      <c r="F28" s="507">
        <f>Flexibility!F58*'Vessel Visits'!$B$107</f>
        <v>0</v>
      </c>
      <c r="G28" s="507">
        <f>Flexibility!G58*'Vessel Visits'!$B$107</f>
        <v>0</v>
      </c>
      <c r="H28" s="507">
        <f>Flexibility!H58*'Vessel Visits'!$B$107</f>
        <v>0</v>
      </c>
      <c r="I28" s="507">
        <f>Flexibility!I58*'Vessel Visits'!$B$107</f>
        <v>0</v>
      </c>
      <c r="J28" s="507">
        <f>Flexibility!J58*'Vessel Visits'!$B$107</f>
        <v>0</v>
      </c>
      <c r="K28" s="507">
        <f>Flexibility!K58*'Vessel Visits'!$B$107</f>
        <v>0</v>
      </c>
      <c r="L28" s="507">
        <f>Flexibility!L58*'Vessel Visits'!$B$107</f>
        <v>0</v>
      </c>
      <c r="M28" s="507">
        <f>Flexibility!M58*'Vessel Visits'!$B$107</f>
        <v>0</v>
      </c>
    </row>
    <row r="29" spans="1:13" x14ac:dyDescent="0.25">
      <c r="A29" s="22" t="s">
        <v>835</v>
      </c>
      <c r="B29" s="508"/>
      <c r="C29" s="508"/>
      <c r="D29" s="508"/>
      <c r="E29" s="508"/>
      <c r="F29" s="508"/>
      <c r="G29" s="508"/>
      <c r="H29" s="507">
        <f>Flexibility!H59*'Vessel Visits'!$B$148</f>
        <v>1</v>
      </c>
      <c r="I29" s="507">
        <f>Flexibility!I59*'Vessel Visits'!$B$148</f>
        <v>1</v>
      </c>
      <c r="J29" s="507">
        <f>Flexibility!J59*'Vessel Visits'!$B$148</f>
        <v>1</v>
      </c>
      <c r="K29" s="507">
        <f>Flexibility!K59*'Vessel Visits'!$B$148</f>
        <v>1</v>
      </c>
      <c r="L29" s="507">
        <f>Flexibility!L59*'Vessel Visits'!$B$148</f>
        <v>1</v>
      </c>
      <c r="M29" s="507">
        <f>Flexibility!M59*'Vessel Visits'!$B$148</f>
        <v>1</v>
      </c>
    </row>
    <row r="30" spans="1:13" x14ac:dyDescent="0.25">
      <c r="A30" s="22" t="s">
        <v>836</v>
      </c>
      <c r="B30" s="508"/>
      <c r="C30" s="508"/>
      <c r="D30" s="508"/>
      <c r="E30" s="508"/>
      <c r="F30" s="508"/>
      <c r="G30" s="508"/>
      <c r="H30" s="508"/>
      <c r="I30" s="508"/>
      <c r="J30" s="507">
        <f>Flexibility!J60*'Vessel Visits'!$B$184</f>
        <v>0</v>
      </c>
      <c r="K30" s="507">
        <f>Flexibility!K60*'Vessel Visits'!$B$184</f>
        <v>0</v>
      </c>
      <c r="L30" s="507">
        <f>Flexibility!L60*'Vessel Visits'!$B$184</f>
        <v>0</v>
      </c>
      <c r="M30" s="507">
        <f>Flexibility!M60*'Vessel Visits'!$B$184</f>
        <v>0</v>
      </c>
    </row>
    <row r="32" spans="1:13" x14ac:dyDescent="0.25">
      <c r="A32" s="113" t="s">
        <v>293</v>
      </c>
      <c r="B32" s="136">
        <v>2021</v>
      </c>
      <c r="C32" s="136">
        <v>2022</v>
      </c>
      <c r="D32" s="136">
        <v>2023</v>
      </c>
      <c r="E32" s="136">
        <v>2024</v>
      </c>
      <c r="F32" s="136">
        <v>2025</v>
      </c>
      <c r="G32" s="136">
        <v>2026</v>
      </c>
      <c r="H32" s="136">
        <v>2027</v>
      </c>
      <c r="I32" s="136">
        <v>2028</v>
      </c>
      <c r="J32" s="136">
        <v>2029</v>
      </c>
      <c r="K32" s="136">
        <v>2030</v>
      </c>
      <c r="L32" s="136">
        <v>2031</v>
      </c>
      <c r="M32" s="136">
        <v>2032</v>
      </c>
    </row>
    <row r="33" spans="1:15" x14ac:dyDescent="0.25">
      <c r="A33" s="509" t="s">
        <v>288</v>
      </c>
      <c r="B33" s="510">
        <f>'SP Labor &amp; Energy'!C83</f>
        <v>0.19385114943417511</v>
      </c>
      <c r="C33" s="510">
        <f>'SP Labor &amp; Energy'!D83</f>
        <v>0.23786367889837565</v>
      </c>
      <c r="D33" s="510">
        <f>'SP Labor &amp; Energy'!E83</f>
        <v>0.28465423170158566</v>
      </c>
      <c r="E33" s="510">
        <f>'SP Labor &amp; Energy'!F83</f>
        <v>0.33429164292179847</v>
      </c>
      <c r="F33" s="510">
        <f>'SP Labor &amp; Energy'!G83</f>
        <v>0.41005488530447487</v>
      </c>
      <c r="G33" s="510">
        <f>'SP Labor &amp; Energy'!H83</f>
        <v>0.44448774785521072</v>
      </c>
      <c r="H33" s="510">
        <f>'SP Labor &amp; Energy'!I83</f>
        <v>0.48217019049045101</v>
      </c>
      <c r="I33" s="510">
        <f>'SP Labor &amp; Energy'!J83</f>
        <v>0.5230248906889251</v>
      </c>
      <c r="J33" s="510">
        <f>'SP Labor &amp; Energy'!K83</f>
        <v>0.56700845918311726</v>
      </c>
      <c r="K33" s="510">
        <f>'SP Labor &amp; Energy'!L83</f>
        <v>0.61410530272263486</v>
      </c>
      <c r="L33" s="510">
        <f>'SP Labor &amp; Energy'!M83</f>
        <v>0.69124079785891168</v>
      </c>
      <c r="M33" s="510">
        <f>'SP Labor &amp; Energy'!N83</f>
        <v>0.77207653050777736</v>
      </c>
    </row>
    <row r="34" spans="1:15" x14ac:dyDescent="0.25">
      <c r="A34" s="509" t="s">
        <v>289</v>
      </c>
      <c r="B34" s="510">
        <f>'SP Labor &amp; Energy'!C84</f>
        <v>0.20229643347303783</v>
      </c>
      <c r="C34" s="510">
        <f>'SP Labor &amp; Energy'!D84</f>
        <v>0.24654935829988212</v>
      </c>
      <c r="D34" s="510">
        <f>'SP Labor &amp; Energy'!E84</f>
        <v>0.29243110053082899</v>
      </c>
      <c r="E34" s="510">
        <f>'SP Labor &amp; Energy'!F84</f>
        <v>0.34000161204806295</v>
      </c>
      <c r="F34" s="510">
        <f>'SP Labor &amp; Energy'!G84</f>
        <v>0.38932305138271844</v>
      </c>
      <c r="G34" s="510">
        <f>'SP Labor &amp; Energy'!H84</f>
        <v>0.44045986493496619</v>
      </c>
      <c r="H34" s="510">
        <f>'SP Labor &amp; Energy'!I84</f>
        <v>0.4934788711836221</v>
      </c>
      <c r="I34" s="510">
        <f>'SP Labor &amp; Energy'!J84</f>
        <v>0.548449347995285</v>
      </c>
      <c r="J34" s="510">
        <f>'SP Labor &amp; Energy'!K84</f>
        <v>0.60544312314694371</v>
      </c>
      <c r="K34" s="510">
        <f>'SP Labor &amp; Energy'!L84</f>
        <v>0.66453466818061258</v>
      </c>
      <c r="L34" s="510">
        <f>'SP Labor &amp; Energy'!M84</f>
        <v>0.7258011957123357</v>
      </c>
      <c r="M34" s="510">
        <f>'SP Labor &amp; Energy'!N84</f>
        <v>0.78932276032292392</v>
      </c>
    </row>
    <row r="35" spans="1:15" x14ac:dyDescent="0.25">
      <c r="A35" s="509" t="s">
        <v>290</v>
      </c>
      <c r="B35" s="510">
        <f>'SP Labor &amp; Energy'!C85</f>
        <v>0.15102739754508301</v>
      </c>
      <c r="C35" s="510">
        <f>'SP Labor &amp; Energy'!D85</f>
        <v>0.18440519556548982</v>
      </c>
      <c r="D35" s="510">
        <f>'SP Labor &amp; Energy'!E85</f>
        <v>0.21887580559911993</v>
      </c>
      <c r="E35" s="510">
        <f>'SP Labor &amp; Energy'!F85</f>
        <v>0.2544794366551939</v>
      </c>
      <c r="F35" s="510">
        <f>'SP Labor &amp; Energy'!G85</f>
        <v>0.29125791799611689</v>
      </c>
      <c r="G35" s="510">
        <f>'SP Labor &amp; Energy'!H85</f>
        <v>0.32914486406438159</v>
      </c>
      <c r="H35" s="510">
        <f>'SP Labor &amp; Energy'!I85</f>
        <v>0.35936354031630968</v>
      </c>
      <c r="I35" s="510">
        <f>'SP Labor &amp; Energy'!J85</f>
        <v>0.39027252206645779</v>
      </c>
      <c r="J35" s="510">
        <f>'SP Labor &amp; Energy'!K85</f>
        <v>0.42188765098325831</v>
      </c>
      <c r="K35" s="510">
        <f>'SP Labor &amp; Energy'!L85</f>
        <v>0.45422513389525299</v>
      </c>
      <c r="L35" s="510">
        <f>'SP Labor &amp; Energy'!M85</f>
        <v>0.48860137895136968</v>
      </c>
      <c r="M35" s="510">
        <f>'SP Labor &amp; Energy'!N85</f>
        <v>0.52279793624620852</v>
      </c>
    </row>
    <row r="36" spans="1:15" x14ac:dyDescent="0.25">
      <c r="A36" s="509" t="s">
        <v>291</v>
      </c>
      <c r="B36" s="510">
        <f>'SP Labor &amp; Energy'!C86</f>
        <v>2.6628462023319498E-2</v>
      </c>
      <c r="C36" s="510">
        <f>'SP Labor &amp; Energy'!D86</f>
        <v>3.4642567685373271E-2</v>
      </c>
      <c r="D36" s="510">
        <f>'SP Labor &amp; Energy'!E86</f>
        <v>4.2769630813193044E-2</v>
      </c>
      <c r="E36" s="510">
        <f>'SP Labor &amp; Energy'!F86</f>
        <v>5.1013291136714503E-2</v>
      </c>
      <c r="F36" s="510">
        <f>'SP Labor &amp; Energy'!G86</f>
        <v>5.9377352889062179E-2</v>
      </c>
      <c r="G36" s="510">
        <f>'SP Labor &amp; Energy'!H86</f>
        <v>7.0987745336126756E-2</v>
      </c>
      <c r="H36" s="510">
        <f>'SP Labor &amp; Energy'!I86</f>
        <v>8.2319423047410883E-2</v>
      </c>
      <c r="I36" s="510">
        <f>'SP Labor &amp; Energy'!J86</f>
        <v>9.3817950353126484E-2</v>
      </c>
      <c r="J36" s="510">
        <f>'SP Labor &amp; Energy'!K86</f>
        <v>0.10548686029160387</v>
      </c>
      <c r="K36" s="510">
        <f>'SP Labor &amp; Energy'!L86</f>
        <v>0.11732978702575415</v>
      </c>
      <c r="L36" s="510">
        <f>'SP Labor &amp; Energy'!M86</f>
        <v>0.13037367245195625</v>
      </c>
      <c r="M36" s="510">
        <f>'SP Labor &amp; Energy'!N86</f>
        <v>0.14323738568409056</v>
      </c>
    </row>
    <row r="37" spans="1:15" s="16" customFormat="1" x14ac:dyDescent="0.25">
      <c r="A37" s="450"/>
      <c r="B37" s="423"/>
      <c r="C37" s="423"/>
      <c r="D37" s="423"/>
      <c r="E37" s="423"/>
      <c r="F37" s="423"/>
      <c r="G37" s="423"/>
      <c r="H37" s="423"/>
      <c r="I37" s="423"/>
      <c r="J37" s="423"/>
      <c r="K37" s="423"/>
      <c r="L37" s="423"/>
      <c r="M37" s="423"/>
      <c r="N37" s="19"/>
    </row>
    <row r="38" spans="1:15" ht="15.75" x14ac:dyDescent="0.25">
      <c r="A38" s="315" t="s">
        <v>320</v>
      </c>
      <c r="N38" s="502"/>
      <c r="O38" s="131"/>
    </row>
    <row r="39" spans="1:15" s="3" customFormat="1" ht="60" x14ac:dyDescent="0.25">
      <c r="A39" s="8" t="s">
        <v>372</v>
      </c>
      <c r="B39" s="302">
        <v>2021</v>
      </c>
      <c r="C39" s="302">
        <v>2022</v>
      </c>
      <c r="D39" s="302">
        <v>2023</v>
      </c>
      <c r="E39" s="302">
        <v>2024</v>
      </c>
      <c r="F39" s="302">
        <v>2025</v>
      </c>
      <c r="G39" s="302">
        <v>2026</v>
      </c>
      <c r="H39" s="302">
        <v>2027</v>
      </c>
      <c r="I39" s="302">
        <v>2028</v>
      </c>
      <c r="J39" s="302">
        <v>2029</v>
      </c>
      <c r="K39" s="302">
        <v>2030</v>
      </c>
      <c r="L39" s="49">
        <v>2031</v>
      </c>
      <c r="M39" s="49">
        <v>2032</v>
      </c>
      <c r="N39" s="430"/>
    </row>
    <row r="40" spans="1:15" x14ac:dyDescent="0.25">
      <c r="A40" s="22" t="s">
        <v>85</v>
      </c>
      <c r="B40" s="511">
        <f>B19*$C$13*$C$7*(1+B$33)</f>
        <v>2058578.8273378282</v>
      </c>
      <c r="C40" s="511">
        <f t="shared" ref="C40:M40" si="0">C19*$C13*$C7*(1+C33)</f>
        <v>2134470.4167839056</v>
      </c>
      <c r="D40" s="511">
        <f t="shared" si="0"/>
        <v>2215152.2014149064</v>
      </c>
      <c r="E40" s="511">
        <f t="shared" si="0"/>
        <v>2300742.8747833748</v>
      </c>
      <c r="F40" s="511">
        <f t="shared" si="0"/>
        <v>2431382.7847364377</v>
      </c>
      <c r="G40" s="511">
        <f t="shared" si="0"/>
        <v>2490755.9836860504</v>
      </c>
      <c r="H40" s="511">
        <f t="shared" si="0"/>
        <v>2555732.4915262805</v>
      </c>
      <c r="I40" s="511">
        <f t="shared" si="0"/>
        <v>2626178.9796547829</v>
      </c>
      <c r="J40" s="511">
        <f t="shared" si="0"/>
        <v>2702020.6311838035</v>
      </c>
      <c r="K40" s="511">
        <f t="shared" si="0"/>
        <v>2783230.5583936102</v>
      </c>
      <c r="L40" s="511">
        <f t="shared" si="0"/>
        <v>2916236.6682415735</v>
      </c>
      <c r="M40" s="511">
        <f t="shared" si="0"/>
        <v>3055623.1636201343</v>
      </c>
      <c r="N40" s="417"/>
    </row>
    <row r="41" spans="1:15" x14ac:dyDescent="0.25">
      <c r="A41" s="22" t="s">
        <v>14</v>
      </c>
      <c r="B41" s="511">
        <f>B20*$C14*$C8*(1+B34)</f>
        <v>455543.9464109313</v>
      </c>
      <c r="C41" s="511">
        <f t="shared" ref="C41:M41" si="1">C20*$C14*$C8*(1+C34)</f>
        <v>472311.15244647925</v>
      </c>
      <c r="D41" s="511">
        <f t="shared" si="1"/>
        <v>489695.50903457799</v>
      </c>
      <c r="E41" s="511">
        <f t="shared" si="1"/>
        <v>507719.73163561203</v>
      </c>
      <c r="F41" s="511">
        <f t="shared" si="1"/>
        <v>526407.37179792498</v>
      </c>
      <c r="G41" s="511">
        <f t="shared" si="1"/>
        <v>545782.84793169273</v>
      </c>
      <c r="H41" s="511">
        <f t="shared" si="1"/>
        <v>565871.47721551254</v>
      </c>
      <c r="I41" s="511">
        <f t="shared" si="1"/>
        <v>586699.50867738668</v>
      </c>
      <c r="J41" s="511">
        <f t="shared" si="1"/>
        <v>608294.15749327373</v>
      </c>
      <c r="K41" s="511">
        <f t="shared" si="1"/>
        <v>630683.6405481284</v>
      </c>
      <c r="L41" s="511">
        <f t="shared" si="1"/>
        <v>653897.21330578323</v>
      </c>
      <c r="M41" s="511">
        <f t="shared" si="1"/>
        <v>677965.20803593076</v>
      </c>
    </row>
    <row r="42" spans="1:15" x14ac:dyDescent="0.25">
      <c r="A42" s="22" t="s">
        <v>15</v>
      </c>
      <c r="B42" s="511">
        <f>B21*$C15*$C9*(1+B35)</f>
        <v>0</v>
      </c>
      <c r="C42" s="511">
        <f t="shared" ref="C42:M42" si="2">C21*$C15*$C9*(1+C35)</f>
        <v>0</v>
      </c>
      <c r="D42" s="511">
        <f t="shared" si="2"/>
        <v>0</v>
      </c>
      <c r="E42" s="511">
        <f t="shared" si="2"/>
        <v>0</v>
      </c>
      <c r="F42" s="511">
        <f t="shared" si="2"/>
        <v>195557.46293600436</v>
      </c>
      <c r="G42" s="511">
        <f t="shared" si="2"/>
        <v>201295.33679392512</v>
      </c>
      <c r="H42" s="511">
        <f t="shared" si="2"/>
        <v>205871.87226275101</v>
      </c>
      <c r="I42" s="511">
        <f t="shared" si="2"/>
        <v>210552.95260212626</v>
      </c>
      <c r="J42" s="511">
        <f t="shared" si="2"/>
        <v>215340.97698919749</v>
      </c>
      <c r="K42" s="511">
        <f t="shared" si="2"/>
        <v>220238.39990360636</v>
      </c>
      <c r="L42" s="511">
        <f t="shared" si="2"/>
        <v>225444.58774164351</v>
      </c>
      <c r="M42" s="511">
        <f t="shared" si="2"/>
        <v>230623.56236206825</v>
      </c>
    </row>
    <row r="43" spans="1:15" x14ac:dyDescent="0.25">
      <c r="A43" s="22" t="s">
        <v>835</v>
      </c>
      <c r="B43" s="511">
        <f t="shared" ref="B43:M43" si="3">B22*$C$16*$C$10*(1+B$36)</f>
        <v>0</v>
      </c>
      <c r="C43" s="511">
        <f t="shared" si="3"/>
        <v>0</v>
      </c>
      <c r="D43" s="511">
        <f t="shared" si="3"/>
        <v>0</v>
      </c>
      <c r="E43" s="511">
        <f t="shared" si="3"/>
        <v>0</v>
      </c>
      <c r="F43" s="511">
        <f t="shared" si="3"/>
        <v>0</v>
      </c>
      <c r="G43" s="511">
        <f t="shared" si="3"/>
        <v>0</v>
      </c>
      <c r="H43" s="511">
        <f t="shared" si="3"/>
        <v>740628.92249401985</v>
      </c>
      <c r="I43" s="511">
        <f t="shared" si="3"/>
        <v>748497.34073299204</v>
      </c>
      <c r="J43" s="511">
        <f t="shared" si="3"/>
        <v>756482.35145199101</v>
      </c>
      <c r="K43" s="511">
        <f t="shared" si="3"/>
        <v>764586.44150111242</v>
      </c>
      <c r="L43" s="511">
        <f t="shared" si="3"/>
        <v>773512.34507691872</v>
      </c>
      <c r="M43" s="511">
        <f t="shared" si="3"/>
        <v>782314.95719632658</v>
      </c>
    </row>
    <row r="44" spans="1:15" x14ac:dyDescent="0.25">
      <c r="A44" s="22" t="s">
        <v>836</v>
      </c>
      <c r="B44" s="511">
        <f t="shared" ref="B44:M44" si="4">B23*$C$16*$C$10*(1+B$36)</f>
        <v>0</v>
      </c>
      <c r="C44" s="511">
        <f t="shared" si="4"/>
        <v>0</v>
      </c>
      <c r="D44" s="511">
        <f t="shared" si="4"/>
        <v>0</v>
      </c>
      <c r="E44" s="511">
        <f t="shared" si="4"/>
        <v>0</v>
      </c>
      <c r="F44" s="511">
        <f t="shared" si="4"/>
        <v>0</v>
      </c>
      <c r="G44" s="511">
        <f t="shared" si="4"/>
        <v>0</v>
      </c>
      <c r="H44" s="511">
        <f t="shared" si="4"/>
        <v>0</v>
      </c>
      <c r="I44" s="511">
        <f t="shared" si="4"/>
        <v>0</v>
      </c>
      <c r="J44" s="511">
        <f t="shared" si="4"/>
        <v>1004272.9310437177</v>
      </c>
      <c r="K44" s="511">
        <f t="shared" si="4"/>
        <v>1015031.5670534698</v>
      </c>
      <c r="L44" s="511">
        <f t="shared" si="4"/>
        <v>1026881.2068092196</v>
      </c>
      <c r="M44" s="511">
        <f t="shared" si="4"/>
        <v>1038567.1702121077</v>
      </c>
    </row>
    <row r="45" spans="1:15" x14ac:dyDescent="0.25">
      <c r="A45" s="122"/>
      <c r="B45" s="425"/>
      <c r="C45" s="425"/>
      <c r="D45" s="425"/>
      <c r="E45" s="425"/>
      <c r="F45" s="425"/>
      <c r="G45" s="425"/>
      <c r="H45" s="425"/>
      <c r="I45" s="425"/>
      <c r="J45" s="425"/>
      <c r="K45" s="425"/>
      <c r="L45" s="425"/>
      <c r="M45" s="425"/>
    </row>
    <row r="46" spans="1:15" s="3" customFormat="1" ht="60" x14ac:dyDescent="0.25">
      <c r="A46" s="8" t="s">
        <v>373</v>
      </c>
      <c r="B46" s="302">
        <v>2021</v>
      </c>
      <c r="C46" s="302">
        <v>2022</v>
      </c>
      <c r="D46" s="302">
        <v>2023</v>
      </c>
      <c r="E46" s="302">
        <v>2024</v>
      </c>
      <c r="F46" s="302">
        <v>2025</v>
      </c>
      <c r="G46" s="302">
        <v>2026</v>
      </c>
      <c r="H46" s="302">
        <v>2027</v>
      </c>
      <c r="I46" s="302">
        <v>2028</v>
      </c>
      <c r="J46" s="302">
        <v>2029</v>
      </c>
      <c r="K46" s="302">
        <v>2030</v>
      </c>
      <c r="L46" s="49">
        <v>2031</v>
      </c>
      <c r="M46" s="49">
        <v>2032</v>
      </c>
      <c r="N46" s="430"/>
    </row>
    <row r="47" spans="1:15" x14ac:dyDescent="0.25">
      <c r="A47" s="22" t="s">
        <v>85</v>
      </c>
      <c r="B47" s="511">
        <f t="shared" ref="B47:M47" si="5">B26*$C13*$B7*(1+B33)</f>
        <v>0</v>
      </c>
      <c r="C47" s="511">
        <f t="shared" si="5"/>
        <v>0</v>
      </c>
      <c r="D47" s="511">
        <f t="shared" si="5"/>
        <v>0</v>
      </c>
      <c r="E47" s="511">
        <f t="shared" si="5"/>
        <v>0</v>
      </c>
      <c r="F47" s="511">
        <f t="shared" si="5"/>
        <v>0</v>
      </c>
      <c r="G47" s="511">
        <f t="shared" si="5"/>
        <v>0</v>
      </c>
      <c r="H47" s="511">
        <f t="shared" si="5"/>
        <v>0</v>
      </c>
      <c r="I47" s="511">
        <f t="shared" si="5"/>
        <v>0</v>
      </c>
      <c r="J47" s="511">
        <f t="shared" si="5"/>
        <v>0</v>
      </c>
      <c r="K47" s="511">
        <f t="shared" si="5"/>
        <v>0</v>
      </c>
      <c r="L47" s="511">
        <f t="shared" si="5"/>
        <v>0</v>
      </c>
      <c r="M47" s="511">
        <f t="shared" si="5"/>
        <v>0</v>
      </c>
      <c r="N47" s="417"/>
    </row>
    <row r="48" spans="1:15" x14ac:dyDescent="0.25">
      <c r="A48" s="22" t="s">
        <v>14</v>
      </c>
      <c r="B48" s="511">
        <f t="shared" ref="B48:M48" si="6">B27*$C14*$B8*(1+B34)</f>
        <v>0</v>
      </c>
      <c r="C48" s="511">
        <f t="shared" si="6"/>
        <v>0</v>
      </c>
      <c r="D48" s="511">
        <f t="shared" si="6"/>
        <v>0</v>
      </c>
      <c r="E48" s="511">
        <f t="shared" si="6"/>
        <v>0</v>
      </c>
      <c r="F48" s="511">
        <f t="shared" si="6"/>
        <v>0</v>
      </c>
      <c r="G48" s="511">
        <f t="shared" si="6"/>
        <v>0</v>
      </c>
      <c r="H48" s="511">
        <f t="shared" si="6"/>
        <v>0</v>
      </c>
      <c r="I48" s="511">
        <f t="shared" si="6"/>
        <v>0</v>
      </c>
      <c r="J48" s="511">
        <f t="shared" si="6"/>
        <v>0</v>
      </c>
      <c r="K48" s="511">
        <f t="shared" si="6"/>
        <v>0</v>
      </c>
      <c r="L48" s="511">
        <f t="shared" si="6"/>
        <v>0</v>
      </c>
      <c r="M48" s="511">
        <f t="shared" si="6"/>
        <v>0</v>
      </c>
    </row>
    <row r="49" spans="1:16" x14ac:dyDescent="0.25">
      <c r="A49" s="22" t="s">
        <v>15</v>
      </c>
      <c r="B49" s="511">
        <f t="shared" ref="B49:M49" si="7">B28*$C15*$B9*(1+B35)</f>
        <v>0</v>
      </c>
      <c r="C49" s="511">
        <f t="shared" si="7"/>
        <v>0</v>
      </c>
      <c r="D49" s="511">
        <f t="shared" si="7"/>
        <v>0</v>
      </c>
      <c r="E49" s="511">
        <f t="shared" si="7"/>
        <v>0</v>
      </c>
      <c r="F49" s="511">
        <f t="shared" si="7"/>
        <v>0</v>
      </c>
      <c r="G49" s="511">
        <f t="shared" si="7"/>
        <v>0</v>
      </c>
      <c r="H49" s="511">
        <f t="shared" si="7"/>
        <v>0</v>
      </c>
      <c r="I49" s="511">
        <f t="shared" si="7"/>
        <v>0</v>
      </c>
      <c r="J49" s="511">
        <f t="shared" si="7"/>
        <v>0</v>
      </c>
      <c r="K49" s="511">
        <f t="shared" si="7"/>
        <v>0</v>
      </c>
      <c r="L49" s="511">
        <f t="shared" si="7"/>
        <v>0</v>
      </c>
      <c r="M49" s="511">
        <f t="shared" si="7"/>
        <v>0</v>
      </c>
    </row>
    <row r="50" spans="1:16" x14ac:dyDescent="0.25">
      <c r="A50" s="22" t="s">
        <v>835</v>
      </c>
      <c r="B50" s="511">
        <f t="shared" ref="B50:M50" si="8">B29*$C$16*$B$10*(1+B$36)</f>
        <v>0</v>
      </c>
      <c r="C50" s="511">
        <f t="shared" si="8"/>
        <v>0</v>
      </c>
      <c r="D50" s="511">
        <f t="shared" si="8"/>
        <v>0</v>
      </c>
      <c r="E50" s="511">
        <f t="shared" si="8"/>
        <v>0</v>
      </c>
      <c r="F50" s="511">
        <f t="shared" si="8"/>
        <v>0</v>
      </c>
      <c r="G50" s="511">
        <f t="shared" si="8"/>
        <v>0</v>
      </c>
      <c r="H50" s="511">
        <f t="shared" si="8"/>
        <v>256717.13084714726</v>
      </c>
      <c r="I50" s="511">
        <f t="shared" si="8"/>
        <v>259444.48552270088</v>
      </c>
      <c r="J50" s="511">
        <f t="shared" si="8"/>
        <v>262212.25353621872</v>
      </c>
      <c r="K50" s="511">
        <f t="shared" si="8"/>
        <v>265021.2968808015</v>
      </c>
      <c r="L50" s="511">
        <f t="shared" si="8"/>
        <v>268115.19760031841</v>
      </c>
      <c r="M50" s="511">
        <f t="shared" si="8"/>
        <v>271166.3629796626</v>
      </c>
    </row>
    <row r="51" spans="1:16" x14ac:dyDescent="0.25">
      <c r="A51" s="22" t="s">
        <v>836</v>
      </c>
      <c r="B51" s="511">
        <f t="shared" ref="B51:M51" si="9">B30*$C$16*$B$10*(1+B$36)</f>
        <v>0</v>
      </c>
      <c r="C51" s="511">
        <f t="shared" si="9"/>
        <v>0</v>
      </c>
      <c r="D51" s="511">
        <f t="shared" si="9"/>
        <v>0</v>
      </c>
      <c r="E51" s="511">
        <f t="shared" si="9"/>
        <v>0</v>
      </c>
      <c r="F51" s="511">
        <f t="shared" si="9"/>
        <v>0</v>
      </c>
      <c r="G51" s="511">
        <f t="shared" si="9"/>
        <v>0</v>
      </c>
      <c r="H51" s="511">
        <f t="shared" si="9"/>
        <v>0</v>
      </c>
      <c r="I51" s="511">
        <f t="shared" si="9"/>
        <v>0</v>
      </c>
      <c r="J51" s="511">
        <f t="shared" si="9"/>
        <v>0</v>
      </c>
      <c r="K51" s="511">
        <f t="shared" si="9"/>
        <v>0</v>
      </c>
      <c r="L51" s="511">
        <f t="shared" si="9"/>
        <v>0</v>
      </c>
      <c r="M51" s="511">
        <f t="shared" si="9"/>
        <v>0</v>
      </c>
    </row>
    <row r="53" spans="1:16" x14ac:dyDescent="0.25">
      <c r="A53" s="512" t="s">
        <v>663</v>
      </c>
      <c r="B53" s="425"/>
      <c r="C53" s="425"/>
      <c r="D53" s="425"/>
      <c r="E53" s="425"/>
      <c r="F53" s="425"/>
      <c r="G53" s="425"/>
      <c r="H53" s="425"/>
      <c r="I53" s="425"/>
      <c r="J53" s="425"/>
      <c r="K53" s="425"/>
      <c r="L53" s="425"/>
      <c r="M53" s="425"/>
    </row>
    <row r="54" spans="1:16" s="14" customFormat="1" ht="45" x14ac:dyDescent="0.25">
      <c r="A54" s="124" t="s">
        <v>662</v>
      </c>
      <c r="B54" s="363"/>
      <c r="C54" s="363"/>
      <c r="D54" s="363"/>
      <c r="E54" s="363"/>
      <c r="F54" s="363"/>
      <c r="G54" s="363"/>
      <c r="H54" s="363"/>
      <c r="I54" s="363"/>
      <c r="J54" s="363"/>
      <c r="K54" s="363"/>
      <c r="L54" s="363"/>
      <c r="M54" s="363"/>
      <c r="N54" s="64"/>
    </row>
    <row r="55" spans="1:16" x14ac:dyDescent="0.25">
      <c r="A55" s="122"/>
    </row>
    <row r="56" spans="1:16" ht="15.75" x14ac:dyDescent="0.25">
      <c r="A56" s="315" t="s">
        <v>283</v>
      </c>
      <c r="P56" s="131"/>
    </row>
    <row r="57" spans="1:16" ht="15" customHeight="1" x14ac:dyDescent="0.25">
      <c r="A57" s="8" t="s">
        <v>374</v>
      </c>
      <c r="B57" s="302">
        <v>2021</v>
      </c>
      <c r="C57" s="302">
        <v>2022</v>
      </c>
      <c r="D57" s="302">
        <v>2023</v>
      </c>
      <c r="E57" s="302">
        <v>2024</v>
      </c>
      <c r="F57" s="302">
        <v>2025</v>
      </c>
      <c r="G57" s="302">
        <v>2026</v>
      </c>
      <c r="H57" s="302">
        <v>2027</v>
      </c>
      <c r="I57" s="302">
        <v>2028</v>
      </c>
      <c r="J57" s="302">
        <v>2029</v>
      </c>
      <c r="K57" s="302">
        <v>2030</v>
      </c>
      <c r="L57" s="49">
        <v>2031</v>
      </c>
      <c r="M57" s="49">
        <v>2032</v>
      </c>
      <c r="N57" s="502"/>
    </row>
    <row r="58" spans="1:16" x14ac:dyDescent="0.25">
      <c r="A58" s="22" t="s">
        <v>85</v>
      </c>
      <c r="B58" s="511">
        <f t="shared" ref="B58:M58" si="10">B40+B47</f>
        <v>2058578.8273378282</v>
      </c>
      <c r="C58" s="511">
        <f t="shared" si="10"/>
        <v>2134470.4167839056</v>
      </c>
      <c r="D58" s="511">
        <f t="shared" si="10"/>
        <v>2215152.2014149064</v>
      </c>
      <c r="E58" s="511">
        <f t="shared" si="10"/>
        <v>2300742.8747833748</v>
      </c>
      <c r="F58" s="511">
        <f t="shared" si="10"/>
        <v>2431382.7847364377</v>
      </c>
      <c r="G58" s="511">
        <f t="shared" si="10"/>
        <v>2490755.9836860504</v>
      </c>
      <c r="H58" s="511">
        <f t="shared" si="10"/>
        <v>2555732.4915262805</v>
      </c>
      <c r="I58" s="511">
        <f t="shared" si="10"/>
        <v>2626178.9796547829</v>
      </c>
      <c r="J58" s="511">
        <f t="shared" si="10"/>
        <v>2702020.6311838035</v>
      </c>
      <c r="K58" s="511">
        <f t="shared" si="10"/>
        <v>2783230.5583936102</v>
      </c>
      <c r="L58" s="511">
        <f t="shared" si="10"/>
        <v>2916236.6682415735</v>
      </c>
      <c r="M58" s="511">
        <f t="shared" si="10"/>
        <v>3055623.1636201343</v>
      </c>
    </row>
    <row r="59" spans="1:16" x14ac:dyDescent="0.25">
      <c r="A59" s="22" t="s">
        <v>14</v>
      </c>
      <c r="B59" s="511">
        <f t="shared" ref="B59:M59" si="11">B41+B48</f>
        <v>455543.9464109313</v>
      </c>
      <c r="C59" s="511">
        <f t="shared" si="11"/>
        <v>472311.15244647925</v>
      </c>
      <c r="D59" s="511">
        <f t="shared" si="11"/>
        <v>489695.50903457799</v>
      </c>
      <c r="E59" s="511">
        <f t="shared" si="11"/>
        <v>507719.73163561203</v>
      </c>
      <c r="F59" s="511">
        <f t="shared" si="11"/>
        <v>526407.37179792498</v>
      </c>
      <c r="G59" s="511">
        <f t="shared" si="11"/>
        <v>545782.84793169273</v>
      </c>
      <c r="H59" s="511">
        <f t="shared" si="11"/>
        <v>565871.47721551254</v>
      </c>
      <c r="I59" s="511">
        <f t="shared" si="11"/>
        <v>586699.50867738668</v>
      </c>
      <c r="J59" s="511">
        <f t="shared" si="11"/>
        <v>608294.15749327373</v>
      </c>
      <c r="K59" s="511">
        <f t="shared" si="11"/>
        <v>630683.6405481284</v>
      </c>
      <c r="L59" s="511">
        <f t="shared" si="11"/>
        <v>653897.21330578323</v>
      </c>
      <c r="M59" s="511">
        <f t="shared" si="11"/>
        <v>677965.20803593076</v>
      </c>
    </row>
    <row r="60" spans="1:16" x14ac:dyDescent="0.25">
      <c r="A60" s="22" t="s">
        <v>15</v>
      </c>
      <c r="B60" s="511">
        <f t="shared" ref="B60:M60" si="12">B42+B49</f>
        <v>0</v>
      </c>
      <c r="C60" s="511">
        <f t="shared" si="12"/>
        <v>0</v>
      </c>
      <c r="D60" s="511">
        <f t="shared" si="12"/>
        <v>0</v>
      </c>
      <c r="E60" s="511">
        <f t="shared" si="12"/>
        <v>0</v>
      </c>
      <c r="F60" s="511">
        <f t="shared" si="12"/>
        <v>195557.46293600436</v>
      </c>
      <c r="G60" s="511">
        <f t="shared" si="12"/>
        <v>201295.33679392512</v>
      </c>
      <c r="H60" s="511">
        <f t="shared" si="12"/>
        <v>205871.87226275101</v>
      </c>
      <c r="I60" s="511">
        <f t="shared" si="12"/>
        <v>210552.95260212626</v>
      </c>
      <c r="J60" s="511">
        <f t="shared" si="12"/>
        <v>215340.97698919749</v>
      </c>
      <c r="K60" s="511">
        <f t="shared" si="12"/>
        <v>220238.39990360636</v>
      </c>
      <c r="L60" s="511">
        <f t="shared" si="12"/>
        <v>225444.58774164351</v>
      </c>
      <c r="M60" s="511">
        <f t="shared" si="12"/>
        <v>230623.56236206825</v>
      </c>
    </row>
    <row r="61" spans="1:16" x14ac:dyDescent="0.25">
      <c r="A61" s="22" t="s">
        <v>835</v>
      </c>
      <c r="B61" s="511">
        <f t="shared" ref="B61:M61" si="13">B43+B50</f>
        <v>0</v>
      </c>
      <c r="C61" s="511">
        <f t="shared" si="13"/>
        <v>0</v>
      </c>
      <c r="D61" s="511">
        <f t="shared" si="13"/>
        <v>0</v>
      </c>
      <c r="E61" s="511">
        <f t="shared" si="13"/>
        <v>0</v>
      </c>
      <c r="F61" s="511">
        <f t="shared" si="13"/>
        <v>0</v>
      </c>
      <c r="G61" s="511">
        <f t="shared" si="13"/>
        <v>0</v>
      </c>
      <c r="H61" s="511">
        <f t="shared" si="13"/>
        <v>997346.05334116705</v>
      </c>
      <c r="I61" s="511">
        <f t="shared" si="13"/>
        <v>1007941.8262556929</v>
      </c>
      <c r="J61" s="511">
        <f t="shared" si="13"/>
        <v>1018694.6049882097</v>
      </c>
      <c r="K61" s="511">
        <f t="shared" si="13"/>
        <v>1029607.7383819139</v>
      </c>
      <c r="L61" s="511">
        <f t="shared" si="13"/>
        <v>1041627.5426772372</v>
      </c>
      <c r="M61" s="511">
        <f t="shared" si="13"/>
        <v>1053481.3201759891</v>
      </c>
    </row>
    <row r="62" spans="1:16" ht="15.75" thickBot="1" x14ac:dyDescent="0.3">
      <c r="A62" s="513" t="s">
        <v>836</v>
      </c>
      <c r="B62" s="514">
        <f t="shared" ref="B62:M62" si="14">B44+B51</f>
        <v>0</v>
      </c>
      <c r="C62" s="514">
        <f t="shared" si="14"/>
        <v>0</v>
      </c>
      <c r="D62" s="514">
        <f t="shared" si="14"/>
        <v>0</v>
      </c>
      <c r="E62" s="514">
        <f t="shared" si="14"/>
        <v>0</v>
      </c>
      <c r="F62" s="514">
        <f t="shared" si="14"/>
        <v>0</v>
      </c>
      <c r="G62" s="514">
        <f t="shared" si="14"/>
        <v>0</v>
      </c>
      <c r="H62" s="514">
        <f t="shared" si="14"/>
        <v>0</v>
      </c>
      <c r="I62" s="514">
        <f t="shared" si="14"/>
        <v>0</v>
      </c>
      <c r="J62" s="514">
        <f t="shared" si="14"/>
        <v>1004272.9310437177</v>
      </c>
      <c r="K62" s="514">
        <f t="shared" si="14"/>
        <v>1015031.5670534698</v>
      </c>
      <c r="L62" s="514">
        <f t="shared" si="14"/>
        <v>1026881.2068092196</v>
      </c>
      <c r="M62" s="514">
        <f t="shared" si="14"/>
        <v>1038567.1702121077</v>
      </c>
    </row>
    <row r="63" spans="1:16" ht="15.75" thickTop="1" x14ac:dyDescent="0.25">
      <c r="A63" s="515" t="s">
        <v>79</v>
      </c>
      <c r="B63" s="516">
        <f>SUM(B58:B62)</f>
        <v>2514122.7737487596</v>
      </c>
      <c r="C63" s="516">
        <f t="shared" ref="C63:M63" si="15">SUM(C58:C62)</f>
        <v>2606781.5692303847</v>
      </c>
      <c r="D63" s="516">
        <f t="shared" si="15"/>
        <v>2704847.7104494842</v>
      </c>
      <c r="E63" s="516">
        <f t="shared" si="15"/>
        <v>2808462.6064189868</v>
      </c>
      <c r="F63" s="516">
        <f t="shared" si="15"/>
        <v>3153347.6194703667</v>
      </c>
      <c r="G63" s="516">
        <f t="shared" si="15"/>
        <v>3237834.1684116684</v>
      </c>
      <c r="H63" s="516">
        <f t="shared" si="15"/>
        <v>4324821.8943457119</v>
      </c>
      <c r="I63" s="516">
        <f t="shared" si="15"/>
        <v>4431373.2671899889</v>
      </c>
      <c r="J63" s="516">
        <f t="shared" si="15"/>
        <v>5548623.3016982023</v>
      </c>
      <c r="K63" s="516">
        <f t="shared" si="15"/>
        <v>5678791.9042807287</v>
      </c>
      <c r="L63" s="516">
        <f t="shared" si="15"/>
        <v>5864087.2187754577</v>
      </c>
      <c r="M63" s="516">
        <f t="shared" si="15"/>
        <v>6056260.4244062295</v>
      </c>
    </row>
    <row r="65" spans="1:13" x14ac:dyDescent="0.25">
      <c r="A65" s="8" t="s">
        <v>375</v>
      </c>
      <c r="B65" s="302">
        <v>2021</v>
      </c>
      <c r="C65" s="302">
        <v>2022</v>
      </c>
      <c r="D65" s="302">
        <v>2023</v>
      </c>
      <c r="E65" s="302">
        <v>2024</v>
      </c>
      <c r="F65" s="302">
        <v>2025</v>
      </c>
      <c r="G65" s="302">
        <v>2026</v>
      </c>
      <c r="H65" s="302">
        <v>2027</v>
      </c>
      <c r="I65" s="302">
        <v>2028</v>
      </c>
      <c r="J65" s="302">
        <v>2029</v>
      </c>
      <c r="K65" s="302">
        <v>2030</v>
      </c>
      <c r="L65" s="49">
        <v>2031</v>
      </c>
      <c r="M65" s="49">
        <v>2032</v>
      </c>
    </row>
    <row r="66" spans="1:13" x14ac:dyDescent="0.25">
      <c r="A66" s="22" t="s">
        <v>376</v>
      </c>
      <c r="B66" s="511">
        <f t="shared" ref="B66:M66" si="16">SUM(B40:B44)</f>
        <v>2514122.7737487596</v>
      </c>
      <c r="C66" s="511">
        <f t="shared" si="16"/>
        <v>2606781.5692303847</v>
      </c>
      <c r="D66" s="511">
        <f t="shared" si="16"/>
        <v>2704847.7104494842</v>
      </c>
      <c r="E66" s="511">
        <f t="shared" si="16"/>
        <v>2808462.6064189868</v>
      </c>
      <c r="F66" s="511">
        <f t="shared" si="16"/>
        <v>3153347.6194703667</v>
      </c>
      <c r="G66" s="511">
        <f t="shared" si="16"/>
        <v>3237834.1684116684</v>
      </c>
      <c r="H66" s="511">
        <f t="shared" si="16"/>
        <v>4068104.7634985643</v>
      </c>
      <c r="I66" s="511">
        <f t="shared" si="16"/>
        <v>4171928.7816672879</v>
      </c>
      <c r="J66" s="511">
        <f t="shared" si="16"/>
        <v>5286411.0481619835</v>
      </c>
      <c r="K66" s="511">
        <f t="shared" si="16"/>
        <v>5413770.6073999265</v>
      </c>
      <c r="L66" s="511">
        <f t="shared" si="16"/>
        <v>5595972.0211751396</v>
      </c>
      <c r="M66" s="511">
        <f t="shared" si="16"/>
        <v>5785094.0614265678</v>
      </c>
    </row>
    <row r="67" spans="1:13" ht="15.75" thickBot="1" x14ac:dyDescent="0.3">
      <c r="A67" s="513" t="s">
        <v>377</v>
      </c>
      <c r="B67" s="514">
        <f>SUM(B47:B51)</f>
        <v>0</v>
      </c>
      <c r="C67" s="514">
        <f t="shared" ref="C67:M67" si="17">SUM(C47:C51)</f>
        <v>0</v>
      </c>
      <c r="D67" s="514">
        <f t="shared" si="17"/>
        <v>0</v>
      </c>
      <c r="E67" s="514">
        <f t="shared" si="17"/>
        <v>0</v>
      </c>
      <c r="F67" s="514">
        <f t="shared" si="17"/>
        <v>0</v>
      </c>
      <c r="G67" s="514">
        <f t="shared" si="17"/>
        <v>0</v>
      </c>
      <c r="H67" s="514">
        <f t="shared" si="17"/>
        <v>256717.13084714726</v>
      </c>
      <c r="I67" s="514">
        <f t="shared" si="17"/>
        <v>259444.48552270088</v>
      </c>
      <c r="J67" s="514">
        <f t="shared" si="17"/>
        <v>262212.25353621872</v>
      </c>
      <c r="K67" s="514">
        <f t="shared" si="17"/>
        <v>265021.2968808015</v>
      </c>
      <c r="L67" s="514">
        <f t="shared" si="17"/>
        <v>268115.19760031841</v>
      </c>
      <c r="M67" s="514">
        <f t="shared" si="17"/>
        <v>271166.3629796626</v>
      </c>
    </row>
    <row r="68" spans="1:13" ht="15.75" thickTop="1" x14ac:dyDescent="0.25">
      <c r="A68" s="515" t="s">
        <v>79</v>
      </c>
      <c r="B68" s="516">
        <f t="shared" ref="B68:M68" si="18">SUM(B66:B67)</f>
        <v>2514122.7737487596</v>
      </c>
      <c r="C68" s="516">
        <f t="shared" si="18"/>
        <v>2606781.5692303847</v>
      </c>
      <c r="D68" s="516">
        <f t="shared" si="18"/>
        <v>2704847.7104494842</v>
      </c>
      <c r="E68" s="516">
        <f t="shared" si="18"/>
        <v>2808462.6064189868</v>
      </c>
      <c r="F68" s="516">
        <f t="shared" si="18"/>
        <v>3153347.6194703667</v>
      </c>
      <c r="G68" s="516">
        <f t="shared" si="18"/>
        <v>3237834.1684116684</v>
      </c>
      <c r="H68" s="516">
        <f t="shared" si="18"/>
        <v>4324821.8943457119</v>
      </c>
      <c r="I68" s="516">
        <f t="shared" si="18"/>
        <v>4431373.2671899889</v>
      </c>
      <c r="J68" s="516">
        <f t="shared" si="18"/>
        <v>5548623.3016982023</v>
      </c>
      <c r="K68" s="516">
        <f t="shared" si="18"/>
        <v>5678791.9042807277</v>
      </c>
      <c r="L68" s="516">
        <f t="shared" si="18"/>
        <v>5864087.2187754577</v>
      </c>
      <c r="M68" s="516">
        <f t="shared" si="18"/>
        <v>6056260.4244062304</v>
      </c>
    </row>
  </sheetData>
  <pageMargins left="0.7" right="0.7" top="0.75" bottom="0.75" header="0.3" footer="0.3"/>
  <pageSetup paperSize="5" pageOrder="overThenDown" orientation="landscape" r:id="rId1"/>
  <headerFooter>
    <oddHeader>&amp;CPRELIMINARY DISCUSSION DRAFT - DO NOT CITE OR QUOTE</oddHeader>
    <oddFooter>&amp;L&amp;f&amp;CPage &amp;P of &amp;N&amp;R&amp;d</oddFooter>
  </headerFooter>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20"/>
  <sheetViews>
    <sheetView view="pageLayout" topLeftCell="A30" zoomScaleNormal="100" workbookViewId="0">
      <selection activeCell="B17" sqref="B17"/>
    </sheetView>
  </sheetViews>
  <sheetFormatPr defaultColWidth="9.140625" defaultRowHeight="15" x14ac:dyDescent="0.25"/>
  <cols>
    <col min="1" max="1" width="18.28515625" style="1" customWidth="1"/>
    <col min="2" max="2" width="25.7109375" style="1" bestFit="1" customWidth="1"/>
    <col min="3" max="3" width="78.140625" style="1" customWidth="1"/>
    <col min="4" max="13" width="9.140625" style="1"/>
    <col min="14" max="14" width="12.42578125" style="1" bestFit="1" customWidth="1"/>
    <col min="15" max="16384" width="9.140625" style="1"/>
  </cols>
  <sheetData>
    <row r="1" spans="1:3" ht="18.75" x14ac:dyDescent="0.3">
      <c r="A1" s="2" t="s">
        <v>558</v>
      </c>
    </row>
    <row r="2" spans="1:3" ht="15.75" x14ac:dyDescent="0.25">
      <c r="A2" s="11" t="s">
        <v>680</v>
      </c>
    </row>
    <row r="3" spans="1:3" ht="15.75" x14ac:dyDescent="0.25">
      <c r="A3" s="11" t="str">
        <f>Cover!A3</f>
        <v>Revised: 5/10/19</v>
      </c>
    </row>
    <row r="5" spans="1:3" x14ac:dyDescent="0.25">
      <c r="A5" s="13" t="s">
        <v>63</v>
      </c>
      <c r="B5" s="13" t="s">
        <v>64</v>
      </c>
      <c r="C5" s="12" t="s">
        <v>65</v>
      </c>
    </row>
    <row r="6" spans="1:3" x14ac:dyDescent="0.25">
      <c r="A6" s="162" t="s">
        <v>66</v>
      </c>
      <c r="B6" s="162" t="s">
        <v>68</v>
      </c>
      <c r="C6" s="163" t="s">
        <v>683</v>
      </c>
    </row>
    <row r="7" spans="1:3" x14ac:dyDescent="0.25">
      <c r="A7" s="162" t="s">
        <v>66</v>
      </c>
      <c r="B7" s="162" t="s">
        <v>681</v>
      </c>
      <c r="C7" s="163" t="s">
        <v>682</v>
      </c>
    </row>
    <row r="8" spans="1:3" ht="30" x14ac:dyDescent="0.25">
      <c r="A8" s="319" t="s">
        <v>67</v>
      </c>
      <c r="B8" s="30" t="s">
        <v>69</v>
      </c>
      <c r="C8" s="42" t="s">
        <v>503</v>
      </c>
    </row>
    <row r="9" spans="1:3" ht="30" x14ac:dyDescent="0.25">
      <c r="A9" s="319" t="s">
        <v>67</v>
      </c>
      <c r="B9" s="30" t="s">
        <v>70</v>
      </c>
      <c r="C9" s="43" t="s">
        <v>502</v>
      </c>
    </row>
    <row r="10" spans="1:3" x14ac:dyDescent="0.25">
      <c r="A10" s="319" t="s">
        <v>67</v>
      </c>
      <c r="B10" s="30" t="s">
        <v>71</v>
      </c>
      <c r="C10" s="43" t="s">
        <v>75</v>
      </c>
    </row>
    <row r="11" spans="1:3" x14ac:dyDescent="0.25">
      <c r="A11" s="319" t="s">
        <v>67</v>
      </c>
      <c r="B11" s="30" t="s">
        <v>112</v>
      </c>
      <c r="C11" s="43" t="s">
        <v>113</v>
      </c>
    </row>
    <row r="12" spans="1:3" ht="30" x14ac:dyDescent="0.25">
      <c r="A12" s="319" t="s">
        <v>67</v>
      </c>
      <c r="B12" s="30" t="s">
        <v>183</v>
      </c>
      <c r="C12" s="43" t="s">
        <v>557</v>
      </c>
    </row>
    <row r="13" spans="1:3" ht="30" x14ac:dyDescent="0.25">
      <c r="A13" s="319" t="s">
        <v>67</v>
      </c>
      <c r="B13" s="30" t="s">
        <v>115</v>
      </c>
      <c r="C13" s="43" t="s">
        <v>378</v>
      </c>
    </row>
    <row r="14" spans="1:3" ht="30" x14ac:dyDescent="0.25">
      <c r="A14" s="319" t="s">
        <v>67</v>
      </c>
      <c r="B14" s="30" t="s">
        <v>114</v>
      </c>
      <c r="C14" s="44" t="s">
        <v>379</v>
      </c>
    </row>
    <row r="15" spans="1:3" ht="45" x14ac:dyDescent="0.25">
      <c r="A15" s="320" t="s">
        <v>380</v>
      </c>
      <c r="B15" s="45" t="s">
        <v>72</v>
      </c>
      <c r="C15" s="46" t="s">
        <v>559</v>
      </c>
    </row>
    <row r="16" spans="1:3" x14ac:dyDescent="0.25">
      <c r="A16" s="320" t="s">
        <v>380</v>
      </c>
      <c r="B16" s="45" t="s">
        <v>381</v>
      </c>
      <c r="C16" s="46" t="s">
        <v>76</v>
      </c>
    </row>
    <row r="17" spans="1:3" x14ac:dyDescent="0.25">
      <c r="A17" s="320" t="s">
        <v>380</v>
      </c>
      <c r="B17" s="45" t="s">
        <v>382</v>
      </c>
      <c r="C17" s="46" t="s">
        <v>77</v>
      </c>
    </row>
    <row r="18" spans="1:3" x14ac:dyDescent="0.25">
      <c r="A18" s="320" t="s">
        <v>380</v>
      </c>
      <c r="B18" s="45" t="s">
        <v>73</v>
      </c>
      <c r="C18" s="46" t="s">
        <v>78</v>
      </c>
    </row>
    <row r="19" spans="1:3" ht="30" x14ac:dyDescent="0.25">
      <c r="A19" s="320" t="s">
        <v>380</v>
      </c>
      <c r="B19" s="45" t="s">
        <v>74</v>
      </c>
      <c r="C19" s="46" t="s">
        <v>500</v>
      </c>
    </row>
    <row r="20" spans="1:3" x14ac:dyDescent="0.25">
      <c r="A20" s="320" t="s">
        <v>380</v>
      </c>
      <c r="B20" s="45" t="s">
        <v>499</v>
      </c>
      <c r="C20" s="46" t="s">
        <v>501</v>
      </c>
    </row>
  </sheetData>
  <pageMargins left="0.7" right="0.7" top="0.75" bottom="0.75" header="0.3" footer="0.3"/>
  <pageSetup orientation="landscape" r:id="rId1"/>
  <headerFooter>
    <oddHeader>&amp;CPRELIMINARY DISCUSSION DRAFT - DO NOT CITE OR QUOTE</oddHeader>
    <oddFooter>&amp;L&amp;F&amp;CPage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79"/>
  <sheetViews>
    <sheetView zoomScaleNormal="100" workbookViewId="0">
      <selection activeCell="C20" sqref="C20"/>
    </sheetView>
  </sheetViews>
  <sheetFormatPr defaultColWidth="9.140625" defaultRowHeight="15" x14ac:dyDescent="0.25"/>
  <cols>
    <col min="1" max="1" width="17.28515625" style="1" customWidth="1"/>
    <col min="2" max="4" width="15.7109375" style="1" customWidth="1"/>
    <col min="5" max="6" width="17.28515625" style="1" bestFit="1" customWidth="1"/>
    <col min="7" max="7" width="16" style="1" bestFit="1" customWidth="1"/>
    <col min="8" max="16" width="15.7109375" style="1" customWidth="1"/>
    <col min="17" max="17" width="17.28515625" style="1" bestFit="1" customWidth="1"/>
    <col min="18" max="16384" width="9.140625" style="1"/>
  </cols>
  <sheetData>
    <row r="1" spans="1:8" ht="18.75" x14ac:dyDescent="0.3">
      <c r="A1" s="2" t="s">
        <v>80</v>
      </c>
    </row>
    <row r="3" spans="1:8" ht="16.5" x14ac:dyDescent="0.25">
      <c r="A3" s="36" t="s">
        <v>560</v>
      </c>
      <c r="C3" s="9"/>
    </row>
    <row r="4" spans="1:8" s="31" customFormat="1" ht="30.75" thickBot="1" x14ac:dyDescent="0.3">
      <c r="A4" s="34" t="s">
        <v>84</v>
      </c>
      <c r="B4" s="35" t="s">
        <v>13</v>
      </c>
      <c r="C4" s="35" t="s">
        <v>14</v>
      </c>
      <c r="D4" s="35" t="s">
        <v>15</v>
      </c>
      <c r="E4" s="35" t="s">
        <v>362</v>
      </c>
      <c r="F4" s="35" t="s">
        <v>88</v>
      </c>
    </row>
    <row r="5" spans="1:8" ht="15.75" thickTop="1" x14ac:dyDescent="0.25">
      <c r="A5" s="32">
        <v>2019</v>
      </c>
      <c r="B5" s="40">
        <f>C60</f>
        <v>0</v>
      </c>
      <c r="C5" s="40">
        <f>C61</f>
        <v>0</v>
      </c>
      <c r="D5" s="40">
        <f>C62</f>
        <v>0</v>
      </c>
      <c r="E5" s="40">
        <f>C63+C64</f>
        <v>0</v>
      </c>
      <c r="F5" s="40">
        <f>SUM(B5:E5)</f>
        <v>0</v>
      </c>
    </row>
    <row r="6" spans="1:8" x14ac:dyDescent="0.25">
      <c r="A6" s="25">
        <v>2020</v>
      </c>
      <c r="B6" s="80">
        <f>D60</f>
        <v>8035029.2370111132</v>
      </c>
      <c r="C6" s="80">
        <f>D61</f>
        <v>13697073.244347462</v>
      </c>
      <c r="D6" s="80">
        <f>D62</f>
        <v>0</v>
      </c>
      <c r="E6" s="80">
        <f>D63+D64</f>
        <v>3000000</v>
      </c>
      <c r="F6" s="80">
        <f t="shared" ref="F6:F18" si="0">SUM(B6:E6)</f>
        <v>24732102.481358577</v>
      </c>
    </row>
    <row r="7" spans="1:8" x14ac:dyDescent="0.25">
      <c r="A7" s="25">
        <v>2021</v>
      </c>
      <c r="B7" s="80">
        <f>E60</f>
        <v>14817866.955910772</v>
      </c>
      <c r="C7" s="80">
        <f>E61</f>
        <v>14545775.876627574</v>
      </c>
      <c r="D7" s="80">
        <f>E62</f>
        <v>0</v>
      </c>
      <c r="E7" s="80">
        <f>E63+E64</f>
        <v>3000000</v>
      </c>
      <c r="F7" s="80">
        <f t="shared" si="0"/>
        <v>32363642.832538344</v>
      </c>
    </row>
    <row r="8" spans="1:8" x14ac:dyDescent="0.25">
      <c r="A8" s="25">
        <v>2022</v>
      </c>
      <c r="B8" s="80">
        <f>F60</f>
        <v>15353360.485805642</v>
      </c>
      <c r="C8" s="80">
        <f>F61</f>
        <v>15027514.791059667</v>
      </c>
      <c r="D8" s="80">
        <f>F62</f>
        <v>0</v>
      </c>
      <c r="E8" s="80">
        <f>F63+F64</f>
        <v>7285714.2857142854</v>
      </c>
      <c r="F8" s="80">
        <f t="shared" si="0"/>
        <v>37666589.562579595</v>
      </c>
    </row>
    <row r="9" spans="1:8" x14ac:dyDescent="0.25">
      <c r="A9" s="25">
        <v>2023</v>
      </c>
      <c r="B9" s="80">
        <f>G60</f>
        <v>15829567.282075703</v>
      </c>
      <c r="C9" s="80">
        <f>G61</f>
        <v>14890638.873575643</v>
      </c>
      <c r="D9" s="80">
        <f>G62</f>
        <v>77703.332606943906</v>
      </c>
      <c r="E9" s="80">
        <f>G63+G64</f>
        <v>7285714.2857142854</v>
      </c>
      <c r="F9" s="80">
        <f t="shared" si="0"/>
        <v>38083623.773972578</v>
      </c>
    </row>
    <row r="10" spans="1:8" x14ac:dyDescent="0.25">
      <c r="A10" s="25">
        <v>2024</v>
      </c>
      <c r="B10" s="80">
        <f>H60</f>
        <v>16426034.574377026</v>
      </c>
      <c r="C10" s="80">
        <f>H61</f>
        <v>15333912.79699171</v>
      </c>
      <c r="D10" s="80">
        <f>H62</f>
        <v>1072990.5600317426</v>
      </c>
      <c r="E10" s="80">
        <f>H63+H64</f>
        <v>26603687.609214924</v>
      </c>
      <c r="F10" s="80">
        <f t="shared" si="0"/>
        <v>59436625.540615402</v>
      </c>
    </row>
    <row r="11" spans="1:8" x14ac:dyDescent="0.25">
      <c r="A11" s="25">
        <v>2025</v>
      </c>
      <c r="B11" s="80">
        <f>I60</f>
        <v>17147795.250311859</v>
      </c>
      <c r="C11" s="80">
        <f>I61</f>
        <v>15866772.974134143</v>
      </c>
      <c r="D11" s="80">
        <f>I62</f>
        <v>16959283.836936634</v>
      </c>
      <c r="E11" s="80">
        <f>I63+I64</f>
        <v>26789512.22338742</v>
      </c>
      <c r="F11" s="80">
        <f t="shared" si="0"/>
        <v>76763364.284770057</v>
      </c>
    </row>
    <row r="12" spans="1:8" x14ac:dyDescent="0.25">
      <c r="A12" s="25">
        <v>2026</v>
      </c>
      <c r="B12" s="80">
        <f>J60</f>
        <v>17949415.193870049</v>
      </c>
      <c r="C12" s="80">
        <f>J61</f>
        <v>16369007.473952517</v>
      </c>
      <c r="D12" s="80">
        <f>J62</f>
        <v>17456502.149901774</v>
      </c>
      <c r="E12" s="80">
        <f>J63+J64</f>
        <v>54960036.279421642</v>
      </c>
      <c r="F12" s="80">
        <f t="shared" si="0"/>
        <v>106734961.09714599</v>
      </c>
    </row>
    <row r="13" spans="1:8" x14ac:dyDescent="0.25">
      <c r="A13" s="25">
        <v>2027</v>
      </c>
      <c r="B13" s="80">
        <f>K60</f>
        <v>18390681.105687864</v>
      </c>
      <c r="C13" s="80">
        <f>K61</f>
        <v>16865663.208308499</v>
      </c>
      <c r="D13" s="80">
        <f>K62</f>
        <v>17965579.844765309</v>
      </c>
      <c r="E13" s="80">
        <f>K63+K64</f>
        <v>56477203.969970137</v>
      </c>
      <c r="F13" s="80">
        <f t="shared" si="0"/>
        <v>109699128.1287318</v>
      </c>
      <c r="H13" s="164"/>
    </row>
    <row r="14" spans="1:8" x14ac:dyDescent="0.25">
      <c r="A14" s="25">
        <v>2028</v>
      </c>
      <c r="B14" s="80">
        <f>L60</f>
        <v>18872379.736258913</v>
      </c>
      <c r="C14" s="80">
        <f>L61</f>
        <v>17376080.841287289</v>
      </c>
      <c r="D14" s="80">
        <f>L62</f>
        <v>18374036.137547113</v>
      </c>
      <c r="E14" s="80">
        <f>L63+L64</f>
        <v>57029470.715589151</v>
      </c>
      <c r="F14" s="80">
        <f t="shared" si="0"/>
        <v>111651967.43068247</v>
      </c>
    </row>
    <row r="15" spans="1:8" x14ac:dyDescent="0.25">
      <c r="A15" s="25">
        <v>2029</v>
      </c>
      <c r="B15" s="80">
        <f>M60</f>
        <v>19393790.025719475</v>
      </c>
      <c r="C15" s="80">
        <f>M61</f>
        <v>17903726.098732617</v>
      </c>
      <c r="D15" s="80">
        <f>M62</f>
        <v>18791823.097243849</v>
      </c>
      <c r="E15" s="80">
        <f>M63+M64</f>
        <v>58356826.02312845</v>
      </c>
      <c r="F15" s="80">
        <f t="shared" si="0"/>
        <v>114446165.24482439</v>
      </c>
    </row>
    <row r="16" spans="1:8" x14ac:dyDescent="0.25">
      <c r="A16" s="25">
        <v>2030</v>
      </c>
      <c r="B16" s="80">
        <f>N60</f>
        <v>19955536.559428293</v>
      </c>
      <c r="C16" s="80">
        <f>N61</f>
        <v>18469449.21281676</v>
      </c>
      <c r="D16" s="80">
        <f>N62</f>
        <v>19219154.8518424</v>
      </c>
      <c r="E16" s="80">
        <f>N63+N64</f>
        <v>58979483.791621909</v>
      </c>
      <c r="F16" s="80">
        <f t="shared" si="0"/>
        <v>116623624.41570936</v>
      </c>
      <c r="G16" s="151"/>
    </row>
    <row r="17" spans="1:7" x14ac:dyDescent="0.25">
      <c r="A17" s="84">
        <v>2031</v>
      </c>
      <c r="B17" s="80">
        <f>O60</f>
        <v>20651586.814259209</v>
      </c>
      <c r="C17" s="80">
        <f>O61</f>
        <v>18999060.803945258</v>
      </c>
      <c r="D17" s="80">
        <f>O62</f>
        <v>19656711.705412548</v>
      </c>
      <c r="E17" s="80">
        <f>O63+O64</f>
        <v>59613576.793115601</v>
      </c>
      <c r="F17" s="80">
        <f t="shared" si="0"/>
        <v>118920936.11673261</v>
      </c>
      <c r="G17" s="152"/>
    </row>
    <row r="18" spans="1:7" ht="15.75" thickBot="1" x14ac:dyDescent="0.3">
      <c r="A18" s="146">
        <v>2032</v>
      </c>
      <c r="B18" s="116">
        <f>P60</f>
        <v>21631664.624796711</v>
      </c>
      <c r="C18" s="116">
        <f>P61</f>
        <v>19574322.282995328</v>
      </c>
      <c r="D18" s="116">
        <f>P62</f>
        <v>20121022.125211474</v>
      </c>
      <c r="E18" s="116">
        <f>P63+P64</f>
        <v>60308817.503941074</v>
      </c>
      <c r="F18" s="116">
        <f t="shared" si="0"/>
        <v>121635826.53694458</v>
      </c>
    </row>
    <row r="19" spans="1:7" ht="15.75" thickTop="1" x14ac:dyDescent="0.25">
      <c r="A19" s="32" t="s">
        <v>8</v>
      </c>
      <c r="B19" s="40">
        <f>SUM(B5:B18)</f>
        <v>224454707.84551266</v>
      </c>
      <c r="C19" s="40">
        <f>SUM(C5:C18)</f>
        <v>214918998.47877449</v>
      </c>
      <c r="D19" s="40">
        <f t="shared" ref="D19:F19" si="1">SUM(D5:D18)</f>
        <v>149694807.64149979</v>
      </c>
      <c r="E19" s="40">
        <f t="shared" si="1"/>
        <v>479690043.48081893</v>
      </c>
      <c r="F19" s="40">
        <f t="shared" si="1"/>
        <v>1068758557.4466058</v>
      </c>
      <c r="G19" s="159"/>
    </row>
    <row r="20" spans="1:7" x14ac:dyDescent="0.25">
      <c r="A20" s="147"/>
      <c r="B20" s="148"/>
      <c r="C20" s="148"/>
      <c r="D20" s="148"/>
      <c r="E20" s="148"/>
      <c r="F20" s="148"/>
      <c r="G20" s="118"/>
    </row>
    <row r="21" spans="1:7" ht="16.5" x14ac:dyDescent="0.25">
      <c r="A21" s="36" t="s">
        <v>38</v>
      </c>
    </row>
    <row r="22" spans="1:7" s="31" customFormat="1" ht="30.75" thickBot="1" x14ac:dyDescent="0.3">
      <c r="A22" s="34" t="s">
        <v>84</v>
      </c>
      <c r="B22" s="35" t="s">
        <v>13</v>
      </c>
      <c r="C22" s="35" t="s">
        <v>14</v>
      </c>
      <c r="D22" s="35" t="s">
        <v>15</v>
      </c>
      <c r="E22" s="35" t="s">
        <v>362</v>
      </c>
      <c r="F22" s="35" t="s">
        <v>88</v>
      </c>
    </row>
    <row r="23" spans="1:7" ht="15.75" thickTop="1" x14ac:dyDescent="0.25">
      <c r="A23" s="32">
        <v>2019</v>
      </c>
      <c r="B23" s="40">
        <f>C68</f>
        <v>0</v>
      </c>
      <c r="C23" s="40">
        <f>C69</f>
        <v>0</v>
      </c>
      <c r="D23" s="40">
        <f>C70</f>
        <v>0</v>
      </c>
      <c r="E23" s="40">
        <f>C71</f>
        <v>0</v>
      </c>
      <c r="F23" s="40">
        <f>SUM(B23:E23)</f>
        <v>0</v>
      </c>
    </row>
    <row r="24" spans="1:7" x14ac:dyDescent="0.25">
      <c r="A24" s="25">
        <v>2020</v>
      </c>
      <c r="B24" s="80">
        <f>D68</f>
        <v>8649188.614684226</v>
      </c>
      <c r="C24" s="80">
        <f>D69</f>
        <v>13697073.244347462</v>
      </c>
      <c r="D24" s="80">
        <f>D70</f>
        <v>0</v>
      </c>
      <c r="E24" s="80">
        <f>D71</f>
        <v>0</v>
      </c>
      <c r="F24" s="40">
        <f t="shared" ref="F24:F36" si="2">SUM(B24:E24)</f>
        <v>22346261.859031688</v>
      </c>
    </row>
    <row r="25" spans="1:7" x14ac:dyDescent="0.25">
      <c r="A25" s="25">
        <v>2021</v>
      </c>
      <c r="B25" s="80">
        <f>E68</f>
        <v>13348229.071389442</v>
      </c>
      <c r="C25" s="80">
        <f>E69</f>
        <v>14545775.876627574</v>
      </c>
      <c r="D25" s="80">
        <f>E70</f>
        <v>0</v>
      </c>
      <c r="E25" s="80">
        <f>E71</f>
        <v>0</v>
      </c>
      <c r="F25" s="40">
        <f t="shared" si="2"/>
        <v>27894004.948017016</v>
      </c>
    </row>
    <row r="26" spans="1:7" x14ac:dyDescent="0.25">
      <c r="A26" s="25">
        <v>2022</v>
      </c>
      <c r="B26" s="80">
        <f>F68</f>
        <v>13831104.362965789</v>
      </c>
      <c r="C26" s="80">
        <f>F69</f>
        <v>15027514.791059667</v>
      </c>
      <c r="D26" s="80">
        <f>F70</f>
        <v>0</v>
      </c>
      <c r="E26" s="80">
        <f>F71</f>
        <v>0</v>
      </c>
      <c r="F26" s="40">
        <f t="shared" si="2"/>
        <v>28858619.154025458</v>
      </c>
    </row>
    <row r="27" spans="1:7" x14ac:dyDescent="0.25">
      <c r="A27" s="25">
        <v>2023</v>
      </c>
      <c r="B27" s="80">
        <f>G68</f>
        <v>14251218.859460164</v>
      </c>
      <c r="C27" s="80">
        <f>G69</f>
        <v>14890638.873575643</v>
      </c>
      <c r="D27" s="80">
        <f>G70</f>
        <v>0</v>
      </c>
      <c r="E27" s="80">
        <f>G71</f>
        <v>0</v>
      </c>
      <c r="F27" s="40">
        <f t="shared" si="2"/>
        <v>29141857.733035807</v>
      </c>
    </row>
    <row r="28" spans="1:7" x14ac:dyDescent="0.25">
      <c r="A28" s="25">
        <v>2024</v>
      </c>
      <c r="B28" s="80">
        <f>H68</f>
        <v>14788050.858259076</v>
      </c>
      <c r="C28" s="80">
        <f>H69</f>
        <v>15333912.79699171</v>
      </c>
      <c r="D28" s="80">
        <f>H70</f>
        <v>146988622.04366902</v>
      </c>
      <c r="E28" s="80">
        <f>H71</f>
        <v>25942041.55692862</v>
      </c>
      <c r="F28" s="40">
        <f t="shared" si="2"/>
        <v>203052627.25584841</v>
      </c>
    </row>
    <row r="29" spans="1:7" x14ac:dyDescent="0.25">
      <c r="A29" s="25">
        <v>2025</v>
      </c>
      <c r="B29" s="80">
        <f>I68</f>
        <v>15447092.015690347</v>
      </c>
      <c r="C29" s="80">
        <f>I69</f>
        <v>15866772.974134143</v>
      </c>
      <c r="D29" s="80">
        <f>I70</f>
        <v>149118211.52192923</v>
      </c>
      <c r="E29" s="80">
        <f>I71</f>
        <v>26181596.284382213</v>
      </c>
      <c r="F29" s="40">
        <f t="shared" si="2"/>
        <v>206613672.79613596</v>
      </c>
    </row>
    <row r="30" spans="1:7" x14ac:dyDescent="0.25">
      <c r="A30" s="25">
        <v>2026</v>
      </c>
      <c r="B30" s="80">
        <f>J68</f>
        <v>16151068.631136652</v>
      </c>
      <c r="C30" s="80">
        <f>J69</f>
        <v>16369007.473952517</v>
      </c>
      <c r="D30" s="80">
        <f>J70</f>
        <v>153200031.10281113</v>
      </c>
      <c r="E30" s="80">
        <f>J71</f>
        <v>222175885.26561296</v>
      </c>
      <c r="F30" s="40">
        <f t="shared" si="2"/>
        <v>407895992.47351325</v>
      </c>
    </row>
    <row r="31" spans="1:7" x14ac:dyDescent="0.25">
      <c r="A31" s="25">
        <v>2027</v>
      </c>
      <c r="B31" s="80">
        <f>K68</f>
        <v>16548476.510246221</v>
      </c>
      <c r="C31" s="80">
        <f>K69</f>
        <v>16865663.208308499</v>
      </c>
      <c r="D31" s="80">
        <f>K70</f>
        <v>157294531.56355476</v>
      </c>
      <c r="E31" s="80">
        <f>K71</f>
        <v>222460656.142196</v>
      </c>
      <c r="F31" s="80">
        <f t="shared" si="2"/>
        <v>413169327.4243055</v>
      </c>
    </row>
    <row r="32" spans="1:7" x14ac:dyDescent="0.25">
      <c r="A32" s="25">
        <v>2028</v>
      </c>
      <c r="B32" s="80">
        <f>L68</f>
        <v>16982168.990235116</v>
      </c>
      <c r="C32" s="80">
        <f>L69</f>
        <v>17376080.841287289</v>
      </c>
      <c r="D32" s="80">
        <f>L70</f>
        <v>160536857.405027</v>
      </c>
      <c r="E32" s="80">
        <f>L71</f>
        <v>224331591.00752836</v>
      </c>
      <c r="F32" s="80">
        <f t="shared" si="2"/>
        <v>419226698.2440778</v>
      </c>
    </row>
    <row r="33" spans="1:6" x14ac:dyDescent="0.25">
      <c r="A33" s="25">
        <v>2029</v>
      </c>
      <c r="B33" s="80">
        <f>M68</f>
        <v>17451524.469925005</v>
      </c>
      <c r="C33" s="80">
        <f>M69</f>
        <v>17903726.098732617</v>
      </c>
      <c r="D33" s="80">
        <f>M70</f>
        <v>163853161.25657248</v>
      </c>
      <c r="E33" s="80">
        <f>M71</f>
        <v>222573818.00369447</v>
      </c>
      <c r="F33" s="40">
        <f t="shared" si="2"/>
        <v>421782229.8289246</v>
      </c>
    </row>
    <row r="34" spans="1:6" x14ac:dyDescent="0.25">
      <c r="A34" s="25">
        <v>2030</v>
      </c>
      <c r="B34" s="80">
        <f>N68</f>
        <v>17957223.551742896</v>
      </c>
      <c r="C34" s="80">
        <f>N69</f>
        <v>18469449.21281676</v>
      </c>
      <c r="D34" s="80">
        <f>N70</f>
        <v>167304716.11922732</v>
      </c>
      <c r="E34" s="80">
        <f>N71</f>
        <v>224168868.6601254</v>
      </c>
      <c r="F34" s="40">
        <f t="shared" si="2"/>
        <v>427900257.54391241</v>
      </c>
    </row>
    <row r="35" spans="1:6" x14ac:dyDescent="0.25">
      <c r="A35" s="84">
        <v>2031</v>
      </c>
      <c r="B35" s="80">
        <f>O68</f>
        <v>18593888.068586364</v>
      </c>
      <c r="C35" s="80">
        <f>O69</f>
        <v>18999060.803945258</v>
      </c>
      <c r="D35" s="80">
        <f>O70</f>
        <v>170683250.84449801</v>
      </c>
      <c r="E35" s="80">
        <f>O71</f>
        <v>225924149.57091391</v>
      </c>
      <c r="F35" s="40">
        <f t="shared" si="2"/>
        <v>434200349.28794354</v>
      </c>
    </row>
    <row r="36" spans="1:6" ht="15.75" thickBot="1" x14ac:dyDescent="0.3">
      <c r="A36" s="146">
        <v>2032</v>
      </c>
      <c r="B36" s="116">
        <f>P68</f>
        <v>19475632.098168135</v>
      </c>
      <c r="C36" s="116">
        <f>P69</f>
        <v>19574322.282995328</v>
      </c>
      <c r="D36" s="116">
        <f>P70</f>
        <v>174354925.76872981</v>
      </c>
      <c r="E36" s="116">
        <f>P71</f>
        <v>227957851.76569667</v>
      </c>
      <c r="F36" s="116">
        <f t="shared" si="2"/>
        <v>441362731.91558993</v>
      </c>
    </row>
    <row r="37" spans="1:6" ht="15.75" thickTop="1" x14ac:dyDescent="0.25">
      <c r="A37" s="32" t="s">
        <v>8</v>
      </c>
      <c r="B37" s="40">
        <f>SUM(B23:B36)</f>
        <v>203474866.10248941</v>
      </c>
      <c r="C37" s="40">
        <f t="shared" ref="C37:F37" si="3">SUM(C23:C36)</f>
        <v>214918998.47877449</v>
      </c>
      <c r="D37" s="40">
        <f t="shared" si="3"/>
        <v>1443334307.6260185</v>
      </c>
      <c r="E37" s="40">
        <f t="shared" si="3"/>
        <v>1621716458.2570789</v>
      </c>
      <c r="F37" s="40">
        <f t="shared" si="3"/>
        <v>3483444630.4643612</v>
      </c>
    </row>
    <row r="38" spans="1:6" x14ac:dyDescent="0.25">
      <c r="A38" s="147"/>
      <c r="B38" s="148"/>
      <c r="C38" s="148"/>
      <c r="D38" s="148"/>
      <c r="E38" s="148"/>
      <c r="F38" s="148"/>
    </row>
    <row r="39" spans="1:6" ht="16.5" x14ac:dyDescent="0.25">
      <c r="A39" s="36" t="s">
        <v>39</v>
      </c>
    </row>
    <row r="40" spans="1:6" s="31" customFormat="1" ht="30.75" thickBot="1" x14ac:dyDescent="0.3">
      <c r="A40" s="34" t="s">
        <v>84</v>
      </c>
      <c r="B40" s="35" t="s">
        <v>13</v>
      </c>
      <c r="C40" s="35" t="s">
        <v>14</v>
      </c>
      <c r="D40" s="35" t="s">
        <v>15</v>
      </c>
      <c r="E40" s="35" t="s">
        <v>362</v>
      </c>
      <c r="F40" s="35" t="s">
        <v>88</v>
      </c>
    </row>
    <row r="41" spans="1:6" ht="15.75" thickTop="1" x14ac:dyDescent="0.25">
      <c r="A41" s="32">
        <v>2019</v>
      </c>
      <c r="B41" s="40">
        <f>C75</f>
        <v>0</v>
      </c>
      <c r="C41" s="40">
        <f>C76</f>
        <v>0</v>
      </c>
      <c r="D41" s="40">
        <v>0</v>
      </c>
      <c r="E41" s="40">
        <f>C77+C78</f>
        <v>0</v>
      </c>
      <c r="F41" s="40">
        <f>SUM(B41:E41)</f>
        <v>0</v>
      </c>
    </row>
    <row r="42" spans="1:6" x14ac:dyDescent="0.25">
      <c r="A42" s="25">
        <v>2020</v>
      </c>
      <c r="B42" s="80">
        <f>D75</f>
        <v>8035029.2370111132</v>
      </c>
      <c r="C42" s="80">
        <f>D76</f>
        <v>13697073.244347462</v>
      </c>
      <c r="D42" s="80">
        <v>0</v>
      </c>
      <c r="E42" s="80">
        <f>D77+D78</f>
        <v>3000000</v>
      </c>
      <c r="F42" s="40">
        <f t="shared" ref="F42:F54" si="4">SUM(B42:E42)</f>
        <v>24732102.481358577</v>
      </c>
    </row>
    <row r="43" spans="1:6" x14ac:dyDescent="0.25">
      <c r="A43" s="25">
        <v>2021</v>
      </c>
      <c r="B43" s="80">
        <f>E75</f>
        <v>14817866.955910772</v>
      </c>
      <c r="C43" s="80">
        <f>E76</f>
        <v>14545775.876627574</v>
      </c>
      <c r="D43" s="80">
        <v>0</v>
      </c>
      <c r="E43" s="80">
        <f>E77+E78</f>
        <v>3000000</v>
      </c>
      <c r="F43" s="40">
        <f t="shared" si="4"/>
        <v>32363642.832538344</v>
      </c>
    </row>
    <row r="44" spans="1:6" x14ac:dyDescent="0.25">
      <c r="A44" s="25">
        <v>2022</v>
      </c>
      <c r="B44" s="80">
        <f>F75</f>
        <v>15353360.485805642</v>
      </c>
      <c r="C44" s="80">
        <f>F76</f>
        <v>15027514.791059667</v>
      </c>
      <c r="D44" s="80">
        <v>0</v>
      </c>
      <c r="E44" s="80">
        <f>F77+F78</f>
        <v>7285714.2857142854</v>
      </c>
      <c r="F44" s="40">
        <f t="shared" si="4"/>
        <v>37666589.562579595</v>
      </c>
    </row>
    <row r="45" spans="1:6" x14ac:dyDescent="0.25">
      <c r="A45" s="25">
        <v>2023</v>
      </c>
      <c r="B45" s="80">
        <f>G75</f>
        <v>15829567.282075703</v>
      </c>
      <c r="C45" s="80">
        <f>G76</f>
        <v>14890638.873575643</v>
      </c>
      <c r="D45" s="80">
        <v>0</v>
      </c>
      <c r="E45" s="80">
        <f>G77+G78</f>
        <v>7285714.2857142854</v>
      </c>
      <c r="F45" s="40">
        <f t="shared" si="4"/>
        <v>38005920.441365629</v>
      </c>
    </row>
    <row r="46" spans="1:6" x14ac:dyDescent="0.25">
      <c r="A46" s="25">
        <v>2024</v>
      </c>
      <c r="B46" s="80">
        <f>H75</f>
        <v>16426034.574377026</v>
      </c>
      <c r="C46" s="80">
        <f>H76</f>
        <v>15333912.79699171</v>
      </c>
      <c r="D46" s="80">
        <v>0</v>
      </c>
      <c r="E46" s="80">
        <f>H77+H78</f>
        <v>26603687.609214924</v>
      </c>
      <c r="F46" s="40">
        <f t="shared" si="4"/>
        <v>58363634.98058366</v>
      </c>
    </row>
    <row r="47" spans="1:6" x14ac:dyDescent="0.25">
      <c r="A47" s="25">
        <v>2025</v>
      </c>
      <c r="B47" s="80">
        <f>I75</f>
        <v>17147795.250311859</v>
      </c>
      <c r="C47" s="80">
        <f>I76</f>
        <v>15866772.974134143</v>
      </c>
      <c r="D47" s="80">
        <v>0</v>
      </c>
      <c r="E47" s="80">
        <f>I77+I78</f>
        <v>26789512.22338742</v>
      </c>
      <c r="F47" s="40">
        <f t="shared" si="4"/>
        <v>59804080.447833419</v>
      </c>
    </row>
    <row r="48" spans="1:6" x14ac:dyDescent="0.25">
      <c r="A48" s="25">
        <v>2026</v>
      </c>
      <c r="B48" s="80">
        <f>J75</f>
        <v>17949415.193870049</v>
      </c>
      <c r="C48" s="80">
        <f>J76</f>
        <v>16369007.473952517</v>
      </c>
      <c r="D48" s="80">
        <v>0</v>
      </c>
      <c r="E48" s="80">
        <f>J77+J78</f>
        <v>54960036.279421642</v>
      </c>
      <c r="F48" s="40">
        <f t="shared" si="4"/>
        <v>89278458.947244212</v>
      </c>
    </row>
    <row r="49" spans="1:17" x14ac:dyDescent="0.25">
      <c r="A49" s="25">
        <v>2027</v>
      </c>
      <c r="B49" s="80">
        <f>K75</f>
        <v>18390681.105687864</v>
      </c>
      <c r="C49" s="80">
        <f>K76</f>
        <v>16865663.208308499</v>
      </c>
      <c r="D49" s="80">
        <v>0</v>
      </c>
      <c r="E49" s="80">
        <f>K77+K78</f>
        <v>56477203.969970137</v>
      </c>
      <c r="F49" s="40">
        <f t="shared" si="4"/>
        <v>91733548.283966497</v>
      </c>
    </row>
    <row r="50" spans="1:17" x14ac:dyDescent="0.25">
      <c r="A50" s="25">
        <v>2028</v>
      </c>
      <c r="B50" s="80">
        <f>L75</f>
        <v>18872379.736258913</v>
      </c>
      <c r="C50" s="80">
        <f>L76</f>
        <v>17376080.841287289</v>
      </c>
      <c r="D50" s="80">
        <v>0</v>
      </c>
      <c r="E50" s="80">
        <f>L77+L78</f>
        <v>57029470.715589151</v>
      </c>
      <c r="F50" s="40">
        <f t="shared" si="4"/>
        <v>93277931.293135345</v>
      </c>
    </row>
    <row r="51" spans="1:17" x14ac:dyDescent="0.25">
      <c r="A51" s="25">
        <v>2029</v>
      </c>
      <c r="B51" s="80">
        <f>M75</f>
        <v>19393790.025719475</v>
      </c>
      <c r="C51" s="80">
        <f>M76</f>
        <v>17903726.098732617</v>
      </c>
      <c r="D51" s="80">
        <v>0</v>
      </c>
      <c r="E51" s="80">
        <f>M77+M78</f>
        <v>58356826.02312845</v>
      </c>
      <c r="F51" s="40">
        <f t="shared" si="4"/>
        <v>95654342.147580534</v>
      </c>
    </row>
    <row r="52" spans="1:17" x14ac:dyDescent="0.25">
      <c r="A52" s="25">
        <v>2030</v>
      </c>
      <c r="B52" s="80">
        <f>N75</f>
        <v>19955536.559428293</v>
      </c>
      <c r="C52" s="80">
        <f>N76</f>
        <v>18469449.21281676</v>
      </c>
      <c r="D52" s="80">
        <v>0</v>
      </c>
      <c r="E52" s="80">
        <f>N77+N78</f>
        <v>58979483.791621909</v>
      </c>
      <c r="F52" s="40">
        <f t="shared" si="4"/>
        <v>97404469.563866958</v>
      </c>
    </row>
    <row r="53" spans="1:17" x14ac:dyDescent="0.25">
      <c r="A53" s="84">
        <v>2031</v>
      </c>
      <c r="B53" s="80">
        <f>O75</f>
        <v>20651586.814259209</v>
      </c>
      <c r="C53" s="80">
        <f>O76</f>
        <v>18999060.803945258</v>
      </c>
      <c r="D53" s="80">
        <v>0</v>
      </c>
      <c r="E53" s="80">
        <f>O77+O78</f>
        <v>59613576.793115601</v>
      </c>
      <c r="F53" s="40">
        <f t="shared" si="4"/>
        <v>99264224.41132006</v>
      </c>
    </row>
    <row r="54" spans="1:17" ht="15.75" thickBot="1" x14ac:dyDescent="0.3">
      <c r="A54" s="146">
        <v>2032</v>
      </c>
      <c r="B54" s="116">
        <f>P75</f>
        <v>21631664.624796711</v>
      </c>
      <c r="C54" s="116">
        <f>P76</f>
        <v>19574322.282995328</v>
      </c>
      <c r="D54" s="116">
        <v>0</v>
      </c>
      <c r="E54" s="116">
        <f>P77+P78</f>
        <v>60308817.503941074</v>
      </c>
      <c r="F54" s="116">
        <f t="shared" si="4"/>
        <v>101514804.41173312</v>
      </c>
    </row>
    <row r="55" spans="1:17" ht="15.75" thickTop="1" x14ac:dyDescent="0.25">
      <c r="A55" s="32" t="s">
        <v>8</v>
      </c>
      <c r="B55" s="40">
        <f>SUM(B41:B54)</f>
        <v>224454707.84551266</v>
      </c>
      <c r="C55" s="40">
        <f t="shared" ref="C55:F55" si="5">SUM(C41:C54)</f>
        <v>214918998.47877449</v>
      </c>
      <c r="D55" s="40">
        <f t="shared" si="5"/>
        <v>0</v>
      </c>
      <c r="E55" s="40">
        <f t="shared" si="5"/>
        <v>479690043.48081893</v>
      </c>
      <c r="F55" s="40">
        <f t="shared" si="5"/>
        <v>919063749.80510604</v>
      </c>
    </row>
    <row r="56" spans="1:17" x14ac:dyDescent="0.25">
      <c r="A56" s="147"/>
      <c r="B56" s="148"/>
      <c r="C56" s="148"/>
      <c r="D56" s="148"/>
      <c r="E56" s="148"/>
      <c r="F56" s="148"/>
    </row>
    <row r="57" spans="1:17" x14ac:dyDescent="0.25">
      <c r="A57" s="147"/>
      <c r="B57" s="150"/>
      <c r="C57" s="150"/>
      <c r="D57" s="150"/>
      <c r="E57" s="150"/>
      <c r="F57" s="150"/>
      <c r="Q57" s="149"/>
    </row>
    <row r="58" spans="1:17" x14ac:dyDescent="0.25">
      <c r="A58" s="9"/>
    </row>
    <row r="59" spans="1:17" s="166" customFormat="1" ht="17.25" hidden="1" thickBot="1" x14ac:dyDescent="0.3">
      <c r="A59" s="325" t="s">
        <v>560</v>
      </c>
      <c r="B59" s="326"/>
      <c r="C59" s="263">
        <v>2019</v>
      </c>
      <c r="D59" s="263">
        <v>2020</v>
      </c>
      <c r="E59" s="263">
        <v>2021</v>
      </c>
      <c r="F59" s="263">
        <v>2022</v>
      </c>
      <c r="G59" s="263">
        <v>2023</v>
      </c>
      <c r="H59" s="263">
        <v>2024</v>
      </c>
      <c r="I59" s="263">
        <v>2025</v>
      </c>
      <c r="J59" s="263">
        <v>2026</v>
      </c>
      <c r="K59" s="263">
        <v>2027</v>
      </c>
      <c r="L59" s="263">
        <v>2028</v>
      </c>
      <c r="M59" s="263">
        <v>2029</v>
      </c>
      <c r="N59" s="263">
        <v>2030</v>
      </c>
      <c r="O59" s="263">
        <v>2031</v>
      </c>
      <c r="P59" s="263">
        <v>2032</v>
      </c>
      <c r="Q59" s="263" t="s">
        <v>8</v>
      </c>
    </row>
    <row r="60" spans="1:17" s="153" customFormat="1" ht="15.75" hidden="1" thickTop="1" x14ac:dyDescent="0.25">
      <c r="A60" s="329" t="s">
        <v>85</v>
      </c>
      <c r="B60" s="330"/>
      <c r="C60" s="264">
        <f>'C&amp;C'!B178+'SP Berth Retrofit'!B123+'SP Vessel Retrofit'!B50</f>
        <v>0</v>
      </c>
      <c r="D60" s="264">
        <f>'C&amp;C'!C178+'SP Berth Retrofit'!C123+'SP Vessel Retrofit'!C50+Admin!B98</f>
        <v>8035029.2370111132</v>
      </c>
      <c r="E60" s="264">
        <f>'C&amp;C'!D178+'SP Berth Retrofit'!D123+'SP Vessel Retrofit'!D50+'SP Labor &amp; Energy'!B141-'SP Labor &amp; Energy'!B147+Admin!C98+Remediation!B58</f>
        <v>14817866.955910772</v>
      </c>
      <c r="F60" s="264">
        <f>'C&amp;C'!E178+'SP Berth Retrofit'!E123+'SP Vessel Retrofit'!E50+'SP Labor &amp; Energy'!C141-'SP Labor &amp; Energy'!C147+Admin!D98+Remediation!C58</f>
        <v>15353360.485805642</v>
      </c>
      <c r="G60" s="264">
        <f>'C&amp;C'!F178+'SP Berth Retrofit'!F123+'SP Vessel Retrofit'!F50+'SP Labor &amp; Energy'!D141-'SP Labor &amp; Energy'!D147+Admin!E98+Remediation!D58</f>
        <v>15829567.282075703</v>
      </c>
      <c r="H60" s="264">
        <f>'C&amp;C'!G178+'SP Berth Retrofit'!G123+'SP Vessel Retrofit'!G50+'SP Labor &amp; Energy'!E141-'SP Labor &amp; Energy'!E147+Admin!F98+Remediation!E58</f>
        <v>16426034.574377026</v>
      </c>
      <c r="I60" s="264">
        <f>'C&amp;C'!H178+'SP Berth Retrofit'!H123+'SP Vessel Retrofit'!H50+'SP Labor &amp; Energy'!F141-'SP Labor &amp; Energy'!F147+Admin!G98+Remediation!F58</f>
        <v>17147795.250311859</v>
      </c>
      <c r="J60" s="264">
        <f>'C&amp;C'!I178+'SP Berth Retrofit'!I123+'SP Vessel Retrofit'!I50+'SP Labor &amp; Energy'!G141-'SP Labor &amp; Energy'!G147+Admin!H98+Remediation!G58</f>
        <v>17949415.193870049</v>
      </c>
      <c r="K60" s="264">
        <f>'C&amp;C'!J178+'SP Berth Retrofit'!J123+'SP Vessel Retrofit'!J50+'SP Labor &amp; Energy'!H141-'SP Labor &amp; Energy'!H147+Admin!I98+Remediation!H58</f>
        <v>18390681.105687864</v>
      </c>
      <c r="L60" s="264">
        <f>'C&amp;C'!K178+'SP Berth Retrofit'!K123+'SP Vessel Retrofit'!K50+'SP Labor &amp; Energy'!I141-'SP Labor &amp; Energy'!I147+Admin!J98+Remediation!I58</f>
        <v>18872379.736258913</v>
      </c>
      <c r="M60" s="264">
        <f>'C&amp;C'!L178+'SP Berth Retrofit'!L123+'SP Vessel Retrofit'!L50+'SP Labor &amp; Energy'!J141-'SP Labor &amp; Energy'!J147+Admin!K98+Remediation!J58</f>
        <v>19393790.025719475</v>
      </c>
      <c r="N60" s="264">
        <f>'C&amp;C'!M178+'SP Berth Retrofit'!M123+'SP Vessel Retrofit'!M50+'SP Labor &amp; Energy'!K141-'SP Labor &amp; Energy'!K147+Admin!L98+Remediation!K58</f>
        <v>19955536.559428293</v>
      </c>
      <c r="O60" s="264">
        <f>'C&amp;C'!N178+'SP Berth Retrofit'!N123+'SP Vessel Retrofit'!N50+'SP Labor &amp; Energy'!L141-'SP Labor &amp; Energy'!L147+Admin!M98+Remediation!L58</f>
        <v>20651586.814259209</v>
      </c>
      <c r="P60" s="264">
        <f>'C&amp;C'!O178+'SP Berth Retrofit'!O123+'SP Vessel Retrofit'!O50+'SP Labor &amp; Energy'!M141-'SP Labor &amp; Energy'!M147+Admin!N98+Remediation!M58</f>
        <v>21631664.624796711</v>
      </c>
      <c r="Q60" s="264">
        <f>SUM(C60:P60)</f>
        <v>224454707.84551266</v>
      </c>
    </row>
    <row r="61" spans="1:17" s="153" customFormat="1" hidden="1" x14ac:dyDescent="0.25">
      <c r="A61" s="321" t="s">
        <v>14</v>
      </c>
      <c r="B61" s="322"/>
      <c r="C61" s="264">
        <f>'SP Berth Retrofit'!B124+'SP Vessel Retrofit'!B51</f>
        <v>0</v>
      </c>
      <c r="D61" s="264">
        <f>'SP Berth Retrofit'!C124+'SP Vessel Retrofit'!C51+Admin!B99</f>
        <v>13697073.244347462</v>
      </c>
      <c r="E61" s="264">
        <f>'SP Berth Retrofit'!D124+'SP Vessel Retrofit'!D51+'SP Labor &amp; Energy'!B142-'SP Labor &amp; Energy'!B148+Admin!C99+Remediation!B59</f>
        <v>14545775.876627574</v>
      </c>
      <c r="F61" s="264">
        <f>'SP Berth Retrofit'!E124+'SP Vessel Retrofit'!E51+'SP Labor &amp; Energy'!C142-'SP Labor &amp; Energy'!C148+Admin!D99+Remediation!C59</f>
        <v>15027514.791059667</v>
      </c>
      <c r="G61" s="264">
        <f>'SP Berth Retrofit'!F124+'SP Vessel Retrofit'!F51+'SP Labor &amp; Energy'!D142-'SP Labor &amp; Energy'!D148+Admin!E99+Remediation!D59</f>
        <v>14890638.873575643</v>
      </c>
      <c r="H61" s="264">
        <f>'SP Berth Retrofit'!G124+'SP Vessel Retrofit'!G51+'SP Labor &amp; Energy'!E142-'SP Labor &amp; Energy'!E148+Admin!F99+Remediation!E59</f>
        <v>15333912.79699171</v>
      </c>
      <c r="I61" s="264">
        <f>'SP Berth Retrofit'!H124+'SP Vessel Retrofit'!H51+'SP Labor &amp; Energy'!F142-'SP Labor &amp; Energy'!F148+Admin!G99+Remediation!F59</f>
        <v>15866772.974134143</v>
      </c>
      <c r="J61" s="264">
        <f>'SP Berth Retrofit'!I124+'SP Vessel Retrofit'!I51+'SP Labor &amp; Energy'!G142-'SP Labor &amp; Energy'!G148+Admin!H99+Remediation!G59</f>
        <v>16369007.473952517</v>
      </c>
      <c r="K61" s="264">
        <f>'SP Berth Retrofit'!J124+'SP Vessel Retrofit'!J51+'SP Labor &amp; Energy'!H142-'SP Labor &amp; Energy'!H148+Admin!I99+Remediation!H59</f>
        <v>16865663.208308499</v>
      </c>
      <c r="L61" s="264">
        <f>'SP Berth Retrofit'!K124+'SP Vessel Retrofit'!K51+'SP Labor &amp; Energy'!I142-'SP Labor &amp; Energy'!I148+Admin!J99+Remediation!I59</f>
        <v>17376080.841287289</v>
      </c>
      <c r="M61" s="264">
        <f>'SP Berth Retrofit'!L124+'SP Vessel Retrofit'!L51+'SP Labor &amp; Energy'!J142-'SP Labor &amp; Energy'!J148+Admin!K99+Remediation!J59</f>
        <v>17903726.098732617</v>
      </c>
      <c r="N61" s="264">
        <f>'SP Berth Retrofit'!M124+'SP Vessel Retrofit'!M51+'SP Labor &amp; Energy'!K142-'SP Labor &amp; Energy'!K148+Admin!L99+Remediation!K59</f>
        <v>18469449.21281676</v>
      </c>
      <c r="O61" s="264">
        <f>'SP Berth Retrofit'!N124+'SP Vessel Retrofit'!N51+'SP Labor &amp; Energy'!L142-'SP Labor &amp; Energy'!L148+Admin!M99+Remediation!L59</f>
        <v>18999060.803945258</v>
      </c>
      <c r="P61" s="264">
        <f>'SP Berth Retrofit'!O124+'SP Vessel Retrofit'!O51+'SP Labor &amp; Energy'!M142-'SP Labor &amp; Energy'!M148+Admin!N99+Remediation!M59</f>
        <v>19574322.282995328</v>
      </c>
      <c r="Q61" s="265">
        <f t="shared" ref="Q61:Q64" si="6">SUM(C61:P61)</f>
        <v>214918998.47877449</v>
      </c>
    </row>
    <row r="62" spans="1:17" s="153" customFormat="1" hidden="1" x14ac:dyDescent="0.25">
      <c r="A62" s="321" t="s">
        <v>15</v>
      </c>
      <c r="B62" s="322"/>
      <c r="C62" s="264">
        <f>'C&amp;C'!B179</f>
        <v>0</v>
      </c>
      <c r="D62" s="264">
        <f>'C&amp;C'!C179+Admin!B100</f>
        <v>0</v>
      </c>
      <c r="E62" s="264">
        <f>'C&amp;C'!D179+Admin!C100+Remediation!B60</f>
        <v>0</v>
      </c>
      <c r="F62" s="264">
        <f>'C&amp;C'!E179+Admin!D100+Remediation!C60</f>
        <v>0</v>
      </c>
      <c r="G62" s="264">
        <f>'C&amp;C'!F179+Admin!E100+Remediation!D60</f>
        <v>77703.332606943906</v>
      </c>
      <c r="H62" s="264">
        <f>'C&amp;C'!G179+Admin!F100+Remediation!E60</f>
        <v>1072990.5600317426</v>
      </c>
      <c r="I62" s="264">
        <f>'C&amp;C'!H179+Admin!G100+Remediation!F60</f>
        <v>16959283.836936634</v>
      </c>
      <c r="J62" s="264">
        <f>'C&amp;C'!I179+Admin!H100+Remediation!G60</f>
        <v>17456502.149901774</v>
      </c>
      <c r="K62" s="264">
        <f>'C&amp;C'!J179+Admin!I100+Remediation!H60</f>
        <v>17965579.844765309</v>
      </c>
      <c r="L62" s="264">
        <f>'C&amp;C'!K179+Admin!J100+Remediation!I60</f>
        <v>18374036.137547113</v>
      </c>
      <c r="M62" s="264">
        <f>'C&amp;C'!L179+Admin!K100+Remediation!J60</f>
        <v>18791823.097243849</v>
      </c>
      <c r="N62" s="264">
        <f>'C&amp;C'!M179+Admin!L100+Remediation!K60</f>
        <v>19219154.8518424</v>
      </c>
      <c r="O62" s="264">
        <f>'C&amp;C'!N179+Admin!M100+Remediation!L60</f>
        <v>19656711.705412548</v>
      </c>
      <c r="P62" s="264">
        <f>'C&amp;C'!O179+Admin!N100+Remediation!M60</f>
        <v>20121022.125211474</v>
      </c>
      <c r="Q62" s="264">
        <f t="shared" si="6"/>
        <v>149694807.64149979</v>
      </c>
    </row>
    <row r="63" spans="1:17" s="153" customFormat="1" hidden="1" x14ac:dyDescent="0.25">
      <c r="A63" s="321" t="s">
        <v>768</v>
      </c>
      <c r="B63" s="322"/>
      <c r="C63" s="264">
        <f>'C&amp;C'!B180</f>
        <v>0</v>
      </c>
      <c r="D63" s="264">
        <f>'C&amp;C'!C180+Admin!B101</f>
        <v>3000000</v>
      </c>
      <c r="E63" s="264">
        <f>'C&amp;C'!D180+Admin!C101+Remediation!B61</f>
        <v>3000000</v>
      </c>
      <c r="F63" s="264">
        <f>'C&amp;C'!E180+Admin!D101+Remediation!C61</f>
        <v>3000000</v>
      </c>
      <c r="G63" s="264">
        <f>'C&amp;C'!F180+Admin!E101+Remediation!D61</f>
        <v>3000000</v>
      </c>
      <c r="H63" s="264">
        <f>'C&amp;C'!G180+Admin!F101+Remediation!E61</f>
        <v>22317973.323500637</v>
      </c>
      <c r="I63" s="264">
        <f>'C&amp;C'!H180+Admin!G101+Remediation!F61</f>
        <v>22503797.937673137</v>
      </c>
      <c r="J63" s="264">
        <f>'C&amp;C'!I180+Admin!H101+Remediation!G61</f>
        <v>22637690.59278246</v>
      </c>
      <c r="K63" s="264">
        <f>'C&amp;C'!J180+Admin!I101+Remediation!H61</f>
        <v>23829999.257737167</v>
      </c>
      <c r="L63" s="264">
        <f>'C&amp;C'!K180+Admin!J101+Remediation!I61</f>
        <v>24082184.057986129</v>
      </c>
      <c r="M63" s="264">
        <f>'C&amp;C'!L180+Admin!K101+Remediation!J61</f>
        <v>24320119.0431474</v>
      </c>
      <c r="N63" s="264">
        <f>'C&amp;C'!M180+Admin!L101+Remediation!K61</f>
        <v>24579618.767575856</v>
      </c>
      <c r="O63" s="264">
        <f>'C&amp;C'!N180+Admin!M101+Remediation!L61</f>
        <v>24844050.509033736</v>
      </c>
      <c r="P63" s="264">
        <f>'C&amp;C'!O180+Admin!N101+Remediation!M61</f>
        <v>25133739.188788518</v>
      </c>
      <c r="Q63" s="264">
        <f t="shared" si="6"/>
        <v>226249172.67822504</v>
      </c>
    </row>
    <row r="64" spans="1:17" s="153" customFormat="1" ht="15.75" hidden="1" thickBot="1" x14ac:dyDescent="0.3">
      <c r="A64" s="323" t="s">
        <v>825</v>
      </c>
      <c r="B64" s="324"/>
      <c r="C64" s="266">
        <f>'C&amp;C'!B181</f>
        <v>0</v>
      </c>
      <c r="D64" s="266">
        <f>'C&amp;C'!C181+Admin!B102</f>
        <v>0</v>
      </c>
      <c r="E64" s="266">
        <f>'C&amp;C'!D181+Admin!C102+Remediation!B62</f>
        <v>0</v>
      </c>
      <c r="F64" s="266">
        <f>'C&amp;C'!E181+Admin!D102+Remediation!C62</f>
        <v>4285714.2857142854</v>
      </c>
      <c r="G64" s="266">
        <f>'C&amp;C'!F181+Admin!E102+Remediation!D62</f>
        <v>4285714.2857142854</v>
      </c>
      <c r="H64" s="266">
        <f>'C&amp;C'!G181+Admin!F102+Remediation!E62</f>
        <v>4285714.2857142854</v>
      </c>
      <c r="I64" s="266">
        <f>'C&amp;C'!H181+Admin!G102+Remediation!F62</f>
        <v>4285714.2857142854</v>
      </c>
      <c r="J64" s="266">
        <f>'C&amp;C'!I181+Admin!H102+Remediation!G62</f>
        <v>32322345.686639186</v>
      </c>
      <c r="K64" s="266">
        <f>'C&amp;C'!J181+Admin!I102+Remediation!H62</f>
        <v>32647204.712232973</v>
      </c>
      <c r="L64" s="266">
        <f>'C&amp;C'!K181+Admin!J102+Remediation!I62</f>
        <v>32947286.657603018</v>
      </c>
      <c r="M64" s="266">
        <f>'C&amp;C'!L181+Admin!K102+Remediation!J62</f>
        <v>34036706.97998105</v>
      </c>
      <c r="N64" s="266">
        <f>'C&amp;C'!M181+Admin!L102+Remediation!K62</f>
        <v>34399865.024046056</v>
      </c>
      <c r="O64" s="266">
        <f>'C&amp;C'!N181+Admin!M102+Remediation!L62</f>
        <v>34769526.284081861</v>
      </c>
      <c r="P64" s="266">
        <f>'C&amp;C'!O181+Admin!N102+Remediation!M62</f>
        <v>35175078.315152556</v>
      </c>
      <c r="Q64" s="267">
        <f t="shared" si="6"/>
        <v>253440870.80259386</v>
      </c>
    </row>
    <row r="65" spans="1:17" s="166" customFormat="1" ht="15.75" hidden="1" thickTop="1" x14ac:dyDescent="0.25">
      <c r="A65" s="331" t="s">
        <v>88</v>
      </c>
      <c r="B65" s="332"/>
      <c r="C65" s="268">
        <f>SUM(C60:C64)</f>
        <v>0</v>
      </c>
      <c r="D65" s="268">
        <f t="shared" ref="D65:Q65" si="7">SUM(D60:D64)</f>
        <v>24732102.481358577</v>
      </c>
      <c r="E65" s="268">
        <f t="shared" si="7"/>
        <v>32363642.832538344</v>
      </c>
      <c r="F65" s="268">
        <f t="shared" si="7"/>
        <v>37666589.562579595</v>
      </c>
      <c r="G65" s="268">
        <f t="shared" si="7"/>
        <v>38083623.773972571</v>
      </c>
      <c r="H65" s="268">
        <f t="shared" si="7"/>
        <v>59436625.540615395</v>
      </c>
      <c r="I65" s="268">
        <f t="shared" si="7"/>
        <v>76763364.284770057</v>
      </c>
      <c r="J65" s="268">
        <f t="shared" si="7"/>
        <v>106734961.097146</v>
      </c>
      <c r="K65" s="268">
        <f t="shared" si="7"/>
        <v>109699128.12873182</v>
      </c>
      <c r="L65" s="268">
        <f t="shared" si="7"/>
        <v>111651967.43068245</v>
      </c>
      <c r="M65" s="268">
        <f t="shared" si="7"/>
        <v>114446165.24482439</v>
      </c>
      <c r="N65" s="268">
        <f t="shared" si="7"/>
        <v>116623624.41570938</v>
      </c>
      <c r="O65" s="268">
        <f t="shared" si="7"/>
        <v>118920936.11673261</v>
      </c>
      <c r="P65" s="268">
        <f t="shared" si="7"/>
        <v>121635826.53694458</v>
      </c>
      <c r="Q65" s="268">
        <f t="shared" si="7"/>
        <v>1068758557.4466058</v>
      </c>
    </row>
    <row r="66" spans="1:17" s="153" customFormat="1" hidden="1" x14ac:dyDescent="0.25"/>
    <row r="67" spans="1:17" s="166" customFormat="1" ht="17.25" hidden="1" thickBot="1" x14ac:dyDescent="0.3">
      <c r="A67" s="325" t="s">
        <v>38</v>
      </c>
      <c r="B67" s="326"/>
      <c r="C67" s="263">
        <v>2019</v>
      </c>
      <c r="D67" s="263">
        <v>2020</v>
      </c>
      <c r="E67" s="263">
        <v>2021</v>
      </c>
      <c r="F67" s="263">
        <v>2022</v>
      </c>
      <c r="G67" s="263">
        <v>2023</v>
      </c>
      <c r="H67" s="263">
        <v>2024</v>
      </c>
      <c r="I67" s="263">
        <v>2025</v>
      </c>
      <c r="J67" s="263">
        <v>2026</v>
      </c>
      <c r="K67" s="263">
        <v>2027</v>
      </c>
      <c r="L67" s="263">
        <v>2028</v>
      </c>
      <c r="M67" s="263">
        <v>2029</v>
      </c>
      <c r="N67" s="263">
        <v>2030</v>
      </c>
      <c r="O67" s="263">
        <v>2031</v>
      </c>
      <c r="P67" s="263">
        <v>2032</v>
      </c>
      <c r="Q67" s="263" t="s">
        <v>8</v>
      </c>
    </row>
    <row r="68" spans="1:17" s="153" customFormat="1" ht="15.75" hidden="1" thickTop="1" x14ac:dyDescent="0.25">
      <c r="A68" s="329" t="s">
        <v>85</v>
      </c>
      <c r="B68" s="330"/>
      <c r="C68" s="264">
        <f>'SP Berth Retrofit'!B134+'SP Vessel Retrofit'!B61</f>
        <v>0</v>
      </c>
      <c r="D68" s="264">
        <f>'SP Berth Retrofit'!C134+'SP Vessel Retrofit'!C61+Admin!B98</f>
        <v>8649188.614684226</v>
      </c>
      <c r="E68" s="264">
        <f>'SP Berth Retrofit'!D134+'SP Vessel Retrofit'!D61+'SP Labor &amp; Energy'!B162-'SP Labor &amp; Energy'!B169+Admin!C98+Remediation!B58</f>
        <v>13348229.071389442</v>
      </c>
      <c r="F68" s="264">
        <f>'SP Berth Retrofit'!E134+'SP Vessel Retrofit'!E61+'SP Labor &amp; Energy'!C162-'SP Labor &amp; Energy'!C169+Admin!D98+Remediation!C58</f>
        <v>13831104.362965789</v>
      </c>
      <c r="G68" s="264">
        <f>'SP Berth Retrofit'!F134+'SP Vessel Retrofit'!F61+'SP Labor &amp; Energy'!D162-'SP Labor &amp; Energy'!D169+Admin!E98+Remediation!D58</f>
        <v>14251218.859460164</v>
      </c>
      <c r="H68" s="264">
        <f>'SP Berth Retrofit'!G134+'SP Vessel Retrofit'!G61+'SP Labor &amp; Energy'!E162-'SP Labor &amp; Energy'!E169+Admin!F98+Remediation!E58</f>
        <v>14788050.858259076</v>
      </c>
      <c r="I68" s="264">
        <f>'SP Berth Retrofit'!H134+'SP Vessel Retrofit'!H61+'SP Labor &amp; Energy'!F162-'SP Labor &amp; Energy'!F169+Admin!G98+Remediation!F58</f>
        <v>15447092.015690347</v>
      </c>
      <c r="J68" s="264">
        <f>'SP Berth Retrofit'!I134+'SP Vessel Retrofit'!I61+'SP Labor &amp; Energy'!G162-'SP Labor &amp; Energy'!G169+Admin!H98+Remediation!G58</f>
        <v>16151068.631136652</v>
      </c>
      <c r="K68" s="264">
        <f>'SP Berth Retrofit'!J134+'SP Vessel Retrofit'!J61+'SP Labor &amp; Energy'!H162-'SP Labor &amp; Energy'!H169+Admin!I98+Remediation!H58</f>
        <v>16548476.510246221</v>
      </c>
      <c r="L68" s="264">
        <f>'SP Berth Retrofit'!K134+'SP Vessel Retrofit'!K61+'SP Labor &amp; Energy'!I162-'SP Labor &amp; Energy'!I169+Admin!J98+Remediation!I58</f>
        <v>16982168.990235116</v>
      </c>
      <c r="M68" s="264">
        <f>'SP Berth Retrofit'!L134+'SP Vessel Retrofit'!L61+'SP Labor &amp; Energy'!J162-'SP Labor &amp; Energy'!J169+Admin!K98+Remediation!J58</f>
        <v>17451524.469925005</v>
      </c>
      <c r="N68" s="264">
        <f>'SP Berth Retrofit'!M134+'SP Vessel Retrofit'!M61+'SP Labor &amp; Energy'!K162-'SP Labor &amp; Energy'!K169+Admin!L98+Remediation!K58</f>
        <v>17957223.551742896</v>
      </c>
      <c r="O68" s="264">
        <f>'SP Berth Retrofit'!N134+'SP Vessel Retrofit'!N61+'SP Labor &amp; Energy'!L162-'SP Labor &amp; Energy'!L169+Admin!M98+Remediation!L58</f>
        <v>18593888.068586364</v>
      </c>
      <c r="P68" s="264">
        <f>'SP Berth Retrofit'!O134+'SP Vessel Retrofit'!O61+'SP Labor &amp; Energy'!M162-'SP Labor &amp; Energy'!M169+Admin!N98+Remediation!M58</f>
        <v>19475632.098168135</v>
      </c>
      <c r="Q68" s="264">
        <f>SUM(C68:P68)</f>
        <v>203474866.10248941</v>
      </c>
    </row>
    <row r="69" spans="1:17" s="153" customFormat="1" hidden="1" x14ac:dyDescent="0.25">
      <c r="A69" s="321" t="s">
        <v>14</v>
      </c>
      <c r="B69" s="322"/>
      <c r="C69" s="264">
        <f>'SP Berth Retrofit'!B135+'SP Vessel Retrofit'!B62</f>
        <v>0</v>
      </c>
      <c r="D69" s="264">
        <f>'SP Berth Retrofit'!C135+'SP Vessel Retrofit'!C62+Admin!B99</f>
        <v>13697073.244347462</v>
      </c>
      <c r="E69" s="265">
        <f>'SP Berth Retrofit'!D135+'SP Vessel Retrofit'!D62+'SP Labor &amp; Energy'!B163-'SP Labor &amp; Energy'!B170+Admin!C99+Remediation!B59</f>
        <v>14545775.876627574</v>
      </c>
      <c r="F69" s="265">
        <f>'SP Berth Retrofit'!E135+'SP Vessel Retrofit'!E62+'SP Labor &amp; Energy'!C163-'SP Labor &amp; Energy'!C170+Admin!D99+Remediation!C59</f>
        <v>15027514.791059667</v>
      </c>
      <c r="G69" s="265">
        <f>'SP Berth Retrofit'!F135+'SP Vessel Retrofit'!F62+'SP Labor &amp; Energy'!D163-'SP Labor &amp; Energy'!D170+Admin!E99+Remediation!D59</f>
        <v>14890638.873575643</v>
      </c>
      <c r="H69" s="265">
        <f>'SP Berth Retrofit'!G135+'SP Vessel Retrofit'!G62+'SP Labor &amp; Energy'!E163-'SP Labor &amp; Energy'!E170+Admin!F99+Remediation!E59</f>
        <v>15333912.79699171</v>
      </c>
      <c r="I69" s="265">
        <f>'SP Berth Retrofit'!H135+'SP Vessel Retrofit'!H62+'SP Labor &amp; Energy'!F163-'SP Labor &amp; Energy'!F170+Admin!G99+Remediation!F59</f>
        <v>15866772.974134143</v>
      </c>
      <c r="J69" s="265">
        <f>'SP Berth Retrofit'!I135+'SP Vessel Retrofit'!I62+'SP Labor &amp; Energy'!G163-'SP Labor &amp; Energy'!G170+Admin!H99+Remediation!G59</f>
        <v>16369007.473952517</v>
      </c>
      <c r="K69" s="265">
        <f>'SP Berth Retrofit'!J135+'SP Vessel Retrofit'!J62+'SP Labor &amp; Energy'!H163-'SP Labor &amp; Energy'!H170+Admin!I99+Remediation!H59</f>
        <v>16865663.208308499</v>
      </c>
      <c r="L69" s="265">
        <f>'SP Berth Retrofit'!K135+'SP Vessel Retrofit'!K62+'SP Labor &amp; Energy'!I163-'SP Labor &amp; Energy'!I170+Admin!J99+Remediation!I59</f>
        <v>17376080.841287289</v>
      </c>
      <c r="M69" s="265">
        <f>'SP Berth Retrofit'!L135+'SP Vessel Retrofit'!L62+'SP Labor &amp; Energy'!J163-'SP Labor &amp; Energy'!J170+Admin!K99+Remediation!J59</f>
        <v>17903726.098732617</v>
      </c>
      <c r="N69" s="265">
        <f>'SP Berth Retrofit'!M135+'SP Vessel Retrofit'!M62+'SP Labor &amp; Energy'!K163-'SP Labor &amp; Energy'!K170+Admin!L99+Remediation!K59</f>
        <v>18469449.21281676</v>
      </c>
      <c r="O69" s="265">
        <f>'SP Berth Retrofit'!N135+'SP Vessel Retrofit'!N62+'SP Labor &amp; Energy'!L163-'SP Labor &amp; Energy'!L170+Admin!M99+Remediation!L59</f>
        <v>18999060.803945258</v>
      </c>
      <c r="P69" s="265">
        <f>'SP Berth Retrofit'!O135+'SP Vessel Retrofit'!O62+'SP Labor &amp; Energy'!M163-'SP Labor &amp; Energy'!M170+Admin!N99+Remediation!M59</f>
        <v>19574322.282995328</v>
      </c>
      <c r="Q69" s="265">
        <f t="shared" ref="Q69:Q71" si="8">SUM(C69:P69)</f>
        <v>214918998.47877449</v>
      </c>
    </row>
    <row r="70" spans="1:17" s="153" customFormat="1" hidden="1" x14ac:dyDescent="0.25">
      <c r="A70" s="321" t="s">
        <v>768</v>
      </c>
      <c r="B70" s="322"/>
      <c r="C70" s="264">
        <f>'SP Berth Retrofit'!B136+'SP Vessel Retrofit'!B63</f>
        <v>0</v>
      </c>
      <c r="D70" s="264">
        <f>'SP Berth Retrofit'!C136+'SP Vessel Retrofit'!C63+Admin!B100</f>
        <v>0</v>
      </c>
      <c r="E70" s="265">
        <f>'SP Berth Retrofit'!D136+'SP Vessel Retrofit'!D63+'SP Labor &amp; Energy'!B164-'SP Labor &amp; Energy'!B171+Admin!B100+Remediation!B60</f>
        <v>0</v>
      </c>
      <c r="F70" s="265">
        <f>'SP Berth Retrofit'!E136+'SP Vessel Retrofit'!E63+'SP Labor &amp; Energy'!C164-'SP Labor &amp; Energy'!C171+Admin!C100+Remediation!C60</f>
        <v>0</v>
      </c>
      <c r="G70" s="265">
        <f>'SP Berth Retrofit'!F136+'SP Vessel Retrofit'!F63+'SP Labor &amp; Energy'!D164-'SP Labor &amp; Energy'!D171+Admin!D100+Remediation!D60</f>
        <v>0</v>
      </c>
      <c r="H70" s="265">
        <f>'SP Berth Retrofit'!G136+'SP Vessel Retrofit'!G63+'SP Labor &amp; Energy'!E164-'SP Labor &amp; Energy'!E171+Admin!E100+Remediation!E60</f>
        <v>146988622.04366902</v>
      </c>
      <c r="I70" s="265">
        <f>'SP Berth Retrofit'!H136+'SP Vessel Retrofit'!H63+'SP Labor &amp; Energy'!F164-'SP Labor &amp; Energy'!F171+Admin!F100+Remediation!F60</f>
        <v>149118211.52192923</v>
      </c>
      <c r="J70" s="265">
        <f>'SP Berth Retrofit'!I136+'SP Vessel Retrofit'!I63+'SP Labor &amp; Energy'!G164-'SP Labor &amp; Energy'!G171+Admin!G100+Remediation!G60</f>
        <v>153200031.10281113</v>
      </c>
      <c r="K70" s="265">
        <f>'SP Berth Retrofit'!J136+'SP Vessel Retrofit'!J63+'SP Labor &amp; Energy'!H164-'SP Labor &amp; Energy'!H171+Admin!H100+Remediation!H60</f>
        <v>157294531.56355476</v>
      </c>
      <c r="L70" s="265">
        <f>'SP Berth Retrofit'!K136+'SP Vessel Retrofit'!K63+'SP Labor &amp; Energy'!I164-'SP Labor &amp; Energy'!I171+Admin!I100+Remediation!I60</f>
        <v>160536857.405027</v>
      </c>
      <c r="M70" s="265">
        <f>'SP Berth Retrofit'!L136+'SP Vessel Retrofit'!L63+'SP Labor &amp; Energy'!J164-'SP Labor &amp; Energy'!J171+Admin!J100+Remediation!J60</f>
        <v>163853161.25657248</v>
      </c>
      <c r="N70" s="265">
        <f>'SP Berth Retrofit'!M136+'SP Vessel Retrofit'!M63+'SP Labor &amp; Energy'!K164-'SP Labor &amp; Energy'!K171+Admin!K100+Remediation!K60</f>
        <v>167304716.11922732</v>
      </c>
      <c r="O70" s="265">
        <f>'SP Berth Retrofit'!N136+'SP Vessel Retrofit'!N63+'SP Labor &amp; Energy'!L164-'SP Labor &amp; Energy'!L171+Admin!L100+Remediation!L60</f>
        <v>170683250.84449801</v>
      </c>
      <c r="P70" s="265">
        <f>'SP Berth Retrofit'!O136+'SP Vessel Retrofit'!O63+'SP Labor &amp; Energy'!M164-'SP Labor &amp; Energy'!M171+Admin!M100+Remediation!M60</f>
        <v>174354925.76872981</v>
      </c>
      <c r="Q70" s="265">
        <f t="shared" si="8"/>
        <v>1443334307.6260185</v>
      </c>
    </row>
    <row r="71" spans="1:17" s="153" customFormat="1" ht="15.75" hidden="1" thickBot="1" x14ac:dyDescent="0.3">
      <c r="A71" s="323" t="s">
        <v>825</v>
      </c>
      <c r="B71" s="324"/>
      <c r="C71" s="264">
        <f>'SP Berth Retrofit'!B137+'SP Vessel Retrofit'!B64</f>
        <v>0</v>
      </c>
      <c r="D71" s="264">
        <f>'SP Berth Retrofit'!C137+'SP Vessel Retrofit'!C64+Admin!B101+Admin!B102</f>
        <v>0</v>
      </c>
      <c r="E71" s="265">
        <f>'SP Berth Retrofit'!D137+'SP Vessel Retrofit'!D64+'SP Labor &amp; Energy'!B165-'SP Labor &amp; Energy'!B172+Admin!C101+Admin!C102+Remediation!B61+Remediation!B62</f>
        <v>0</v>
      </c>
      <c r="F71" s="265">
        <f>'SP Berth Retrofit'!E137+'SP Vessel Retrofit'!E64+'SP Labor &amp; Energy'!C165-'SP Labor &amp; Energy'!C172+Admin!D101+Admin!D102+Remediation!C61+Remediation!C62</f>
        <v>0</v>
      </c>
      <c r="G71" s="265">
        <f>'SP Berth Retrofit'!F137+'SP Vessel Retrofit'!F64+'SP Labor &amp; Energy'!D165-'SP Labor &amp; Energy'!D172+Admin!E101+Admin!E102+Remediation!D61+Remediation!D62</f>
        <v>0</v>
      </c>
      <c r="H71" s="265">
        <f>'SP Berth Retrofit'!G137+'SP Vessel Retrofit'!G64+'SP Labor &amp; Energy'!E165-'SP Labor &amp; Energy'!E172+Admin!F101+Admin!F102+Remediation!E61+Remediation!E62</f>
        <v>25942041.55692862</v>
      </c>
      <c r="I71" s="265">
        <f>'SP Berth Retrofit'!H137+'SP Vessel Retrofit'!H64+'SP Labor &amp; Energy'!F165-'SP Labor &amp; Energy'!F172+Admin!G101+Admin!G102+Remediation!F61+Remediation!F62</f>
        <v>26181596.284382213</v>
      </c>
      <c r="J71" s="265">
        <f>'SP Berth Retrofit'!I137+'SP Vessel Retrofit'!I64+'SP Labor &amp; Energy'!G165-'SP Labor &amp; Energy'!G172+Admin!H101+Admin!H102+Remediation!G61+Remediation!G62</f>
        <v>222175885.26561296</v>
      </c>
      <c r="K71" s="265">
        <f>'SP Berth Retrofit'!J137+'SP Vessel Retrofit'!J64+'SP Labor &amp; Energy'!H165-'SP Labor &amp; Energy'!H172+Admin!I101+Admin!I102+Remediation!H61+Remediation!H62</f>
        <v>222460656.142196</v>
      </c>
      <c r="L71" s="265">
        <f>'SP Berth Retrofit'!K137+'SP Vessel Retrofit'!K64+'SP Labor &amp; Energy'!I165-'SP Labor &amp; Energy'!I172+Admin!J101+Admin!J102+Remediation!I61+Remediation!I62</f>
        <v>224331591.00752836</v>
      </c>
      <c r="M71" s="265">
        <f>'SP Berth Retrofit'!L137+'SP Vessel Retrofit'!L64+'SP Labor &amp; Energy'!J165-'SP Labor &amp; Energy'!J172+Admin!K101+Admin!K102+Remediation!J61+Remediation!J62</f>
        <v>222573818.00369447</v>
      </c>
      <c r="N71" s="265">
        <f>'SP Berth Retrofit'!M137+'SP Vessel Retrofit'!M64+'SP Labor &amp; Energy'!K165-'SP Labor &amp; Energy'!K172+Admin!L101+Admin!L102+Remediation!K61+Remediation!K62</f>
        <v>224168868.6601254</v>
      </c>
      <c r="O71" s="265">
        <f>'SP Berth Retrofit'!N137+'SP Vessel Retrofit'!N64+'SP Labor &amp; Energy'!L165-'SP Labor &amp; Energy'!L172+Admin!M101+Admin!M102+Remediation!L61+Remediation!L62</f>
        <v>225924149.57091391</v>
      </c>
      <c r="P71" s="265">
        <f>'SP Berth Retrofit'!O137+'SP Vessel Retrofit'!O64+'SP Labor &amp; Energy'!M165-'SP Labor &amp; Energy'!M172+Admin!N101+Admin!N102+Remediation!M61+Remediation!M62</f>
        <v>227957851.76569667</v>
      </c>
      <c r="Q71" s="265">
        <f t="shared" si="8"/>
        <v>1621716458.2570789</v>
      </c>
    </row>
    <row r="72" spans="1:17" s="166" customFormat="1" ht="15.75" hidden="1" thickTop="1" x14ac:dyDescent="0.25">
      <c r="A72" s="328" t="s">
        <v>88</v>
      </c>
      <c r="B72" s="328"/>
      <c r="C72" s="268">
        <f>SUM(C68:C71)</f>
        <v>0</v>
      </c>
      <c r="D72" s="268">
        <f t="shared" ref="D72:Q72" si="9">SUM(D68:D71)</f>
        <v>22346261.859031688</v>
      </c>
      <c r="E72" s="268">
        <f t="shared" si="9"/>
        <v>27894004.948017016</v>
      </c>
      <c r="F72" s="268">
        <f t="shared" si="9"/>
        <v>28858619.154025458</v>
      </c>
      <c r="G72" s="268">
        <f t="shared" si="9"/>
        <v>29141857.733035807</v>
      </c>
      <c r="H72" s="268">
        <f t="shared" si="9"/>
        <v>203052627.25584841</v>
      </c>
      <c r="I72" s="268">
        <f t="shared" si="9"/>
        <v>206613672.79613596</v>
      </c>
      <c r="J72" s="268">
        <f t="shared" si="9"/>
        <v>407895992.47351325</v>
      </c>
      <c r="K72" s="268">
        <f t="shared" si="9"/>
        <v>413169327.4243055</v>
      </c>
      <c r="L72" s="268">
        <f t="shared" si="9"/>
        <v>419226698.2440778</v>
      </c>
      <c r="M72" s="268">
        <f t="shared" si="9"/>
        <v>421782229.8289246</v>
      </c>
      <c r="N72" s="268">
        <f t="shared" si="9"/>
        <v>427900257.54391241</v>
      </c>
      <c r="O72" s="268">
        <f t="shared" si="9"/>
        <v>434200349.28794354</v>
      </c>
      <c r="P72" s="268">
        <f t="shared" si="9"/>
        <v>441362731.91558993</v>
      </c>
      <c r="Q72" s="268">
        <f t="shared" si="9"/>
        <v>3483444630.4643612</v>
      </c>
    </row>
    <row r="73" spans="1:17" s="153" customFormat="1" hidden="1" x14ac:dyDescent="0.25"/>
    <row r="74" spans="1:17" s="166" customFormat="1" ht="17.25" hidden="1" thickBot="1" x14ac:dyDescent="0.3">
      <c r="A74" s="333" t="s">
        <v>39</v>
      </c>
      <c r="B74" s="333"/>
      <c r="C74" s="263">
        <v>2019</v>
      </c>
      <c r="D74" s="263">
        <v>2020</v>
      </c>
      <c r="E74" s="263">
        <v>2021</v>
      </c>
      <c r="F74" s="263">
        <v>2022</v>
      </c>
      <c r="G74" s="263">
        <v>2023</v>
      </c>
      <c r="H74" s="263">
        <v>2024</v>
      </c>
      <c r="I74" s="263">
        <v>2025</v>
      </c>
      <c r="J74" s="263">
        <v>2026</v>
      </c>
      <c r="K74" s="263">
        <v>2027</v>
      </c>
      <c r="L74" s="263">
        <v>2028</v>
      </c>
      <c r="M74" s="263">
        <v>2029</v>
      </c>
      <c r="N74" s="263">
        <v>2030</v>
      </c>
      <c r="O74" s="263">
        <v>2031</v>
      </c>
      <c r="P74" s="263">
        <v>2032</v>
      </c>
      <c r="Q74" s="263" t="s">
        <v>8</v>
      </c>
    </row>
    <row r="75" spans="1:17" s="153" customFormat="1" ht="15.75" hidden="1" thickTop="1" x14ac:dyDescent="0.25">
      <c r="A75" s="334" t="s">
        <v>85</v>
      </c>
      <c r="B75" s="334"/>
      <c r="C75" s="264">
        <f>C60</f>
        <v>0</v>
      </c>
      <c r="D75" s="264">
        <f t="shared" ref="D75:P75" si="10">D60</f>
        <v>8035029.2370111132</v>
      </c>
      <c r="E75" s="264">
        <f t="shared" si="10"/>
        <v>14817866.955910772</v>
      </c>
      <c r="F75" s="264">
        <f t="shared" si="10"/>
        <v>15353360.485805642</v>
      </c>
      <c r="G75" s="264">
        <f t="shared" si="10"/>
        <v>15829567.282075703</v>
      </c>
      <c r="H75" s="264">
        <f t="shared" si="10"/>
        <v>16426034.574377026</v>
      </c>
      <c r="I75" s="264">
        <f t="shared" si="10"/>
        <v>17147795.250311859</v>
      </c>
      <c r="J75" s="264">
        <f t="shared" si="10"/>
        <v>17949415.193870049</v>
      </c>
      <c r="K75" s="264">
        <f t="shared" si="10"/>
        <v>18390681.105687864</v>
      </c>
      <c r="L75" s="264">
        <f t="shared" si="10"/>
        <v>18872379.736258913</v>
      </c>
      <c r="M75" s="264">
        <f t="shared" si="10"/>
        <v>19393790.025719475</v>
      </c>
      <c r="N75" s="264">
        <f t="shared" si="10"/>
        <v>19955536.559428293</v>
      </c>
      <c r="O75" s="264">
        <f t="shared" si="10"/>
        <v>20651586.814259209</v>
      </c>
      <c r="P75" s="264">
        <f t="shared" si="10"/>
        <v>21631664.624796711</v>
      </c>
      <c r="Q75" s="264">
        <f>SUM(C75:P75)</f>
        <v>224454707.84551266</v>
      </c>
    </row>
    <row r="76" spans="1:17" s="153" customFormat="1" hidden="1" x14ac:dyDescent="0.25">
      <c r="A76" s="327" t="s">
        <v>14</v>
      </c>
      <c r="B76" s="327"/>
      <c r="C76" s="264">
        <f>C61</f>
        <v>0</v>
      </c>
      <c r="D76" s="264">
        <f t="shared" ref="D76:P76" si="11">D61</f>
        <v>13697073.244347462</v>
      </c>
      <c r="E76" s="264">
        <f t="shared" si="11"/>
        <v>14545775.876627574</v>
      </c>
      <c r="F76" s="264">
        <f t="shared" si="11"/>
        <v>15027514.791059667</v>
      </c>
      <c r="G76" s="264">
        <f t="shared" si="11"/>
        <v>14890638.873575643</v>
      </c>
      <c r="H76" s="264">
        <f t="shared" si="11"/>
        <v>15333912.79699171</v>
      </c>
      <c r="I76" s="264">
        <f t="shared" si="11"/>
        <v>15866772.974134143</v>
      </c>
      <c r="J76" s="264">
        <f t="shared" si="11"/>
        <v>16369007.473952517</v>
      </c>
      <c r="K76" s="264">
        <f t="shared" si="11"/>
        <v>16865663.208308499</v>
      </c>
      <c r="L76" s="264">
        <f t="shared" si="11"/>
        <v>17376080.841287289</v>
      </c>
      <c r="M76" s="264">
        <f t="shared" si="11"/>
        <v>17903726.098732617</v>
      </c>
      <c r="N76" s="264">
        <f t="shared" si="11"/>
        <v>18469449.21281676</v>
      </c>
      <c r="O76" s="264">
        <f t="shared" si="11"/>
        <v>18999060.803945258</v>
      </c>
      <c r="P76" s="264">
        <f t="shared" si="11"/>
        <v>19574322.282995328</v>
      </c>
      <c r="Q76" s="269">
        <f t="shared" ref="Q76:Q78" si="12">SUM(C76:P76)</f>
        <v>214918998.47877449</v>
      </c>
    </row>
    <row r="77" spans="1:17" s="153" customFormat="1" hidden="1" x14ac:dyDescent="0.25">
      <c r="A77" s="321" t="s">
        <v>768</v>
      </c>
      <c r="B77" s="322"/>
      <c r="C77" s="265">
        <f>C63</f>
        <v>0</v>
      </c>
      <c r="D77" s="265">
        <f t="shared" ref="D77:P77" si="13">D63</f>
        <v>3000000</v>
      </c>
      <c r="E77" s="265">
        <f t="shared" si="13"/>
        <v>3000000</v>
      </c>
      <c r="F77" s="265">
        <f t="shared" si="13"/>
        <v>3000000</v>
      </c>
      <c r="G77" s="265">
        <f t="shared" si="13"/>
        <v>3000000</v>
      </c>
      <c r="H77" s="265">
        <f t="shared" si="13"/>
        <v>22317973.323500637</v>
      </c>
      <c r="I77" s="265">
        <f t="shared" si="13"/>
        <v>22503797.937673137</v>
      </c>
      <c r="J77" s="265">
        <f t="shared" si="13"/>
        <v>22637690.59278246</v>
      </c>
      <c r="K77" s="265">
        <f t="shared" si="13"/>
        <v>23829999.257737167</v>
      </c>
      <c r="L77" s="265">
        <f t="shared" si="13"/>
        <v>24082184.057986129</v>
      </c>
      <c r="M77" s="265">
        <f t="shared" si="13"/>
        <v>24320119.0431474</v>
      </c>
      <c r="N77" s="265">
        <f t="shared" si="13"/>
        <v>24579618.767575856</v>
      </c>
      <c r="O77" s="265">
        <f t="shared" si="13"/>
        <v>24844050.509033736</v>
      </c>
      <c r="P77" s="265">
        <f t="shared" si="13"/>
        <v>25133739.188788518</v>
      </c>
      <c r="Q77" s="269">
        <f t="shared" si="12"/>
        <v>226249172.67822504</v>
      </c>
    </row>
    <row r="78" spans="1:17" s="153" customFormat="1" ht="15.75" hidden="1" thickBot="1" x14ac:dyDescent="0.3">
      <c r="A78" s="323" t="s">
        <v>825</v>
      </c>
      <c r="B78" s="324"/>
      <c r="C78" s="266">
        <f>C64</f>
        <v>0</v>
      </c>
      <c r="D78" s="266">
        <f t="shared" ref="D78:P78" si="14">D64</f>
        <v>0</v>
      </c>
      <c r="E78" s="266">
        <f t="shared" si="14"/>
        <v>0</v>
      </c>
      <c r="F78" s="266">
        <f t="shared" si="14"/>
        <v>4285714.2857142854</v>
      </c>
      <c r="G78" s="266">
        <f t="shared" si="14"/>
        <v>4285714.2857142854</v>
      </c>
      <c r="H78" s="266">
        <f t="shared" si="14"/>
        <v>4285714.2857142854</v>
      </c>
      <c r="I78" s="266">
        <f t="shared" si="14"/>
        <v>4285714.2857142854</v>
      </c>
      <c r="J78" s="266">
        <f t="shared" si="14"/>
        <v>32322345.686639186</v>
      </c>
      <c r="K78" s="266">
        <f t="shared" si="14"/>
        <v>32647204.712232973</v>
      </c>
      <c r="L78" s="266">
        <f t="shared" si="14"/>
        <v>32947286.657603018</v>
      </c>
      <c r="M78" s="266">
        <f t="shared" si="14"/>
        <v>34036706.97998105</v>
      </c>
      <c r="N78" s="266">
        <f t="shared" si="14"/>
        <v>34399865.024046056</v>
      </c>
      <c r="O78" s="266">
        <f t="shared" si="14"/>
        <v>34769526.284081861</v>
      </c>
      <c r="P78" s="266">
        <f t="shared" si="14"/>
        <v>35175078.315152556</v>
      </c>
      <c r="Q78" s="270">
        <f t="shared" si="12"/>
        <v>253440870.80259386</v>
      </c>
    </row>
    <row r="79" spans="1:17" s="166" customFormat="1" ht="15.75" hidden="1" thickTop="1" x14ac:dyDescent="0.25">
      <c r="A79" s="328" t="s">
        <v>88</v>
      </c>
      <c r="B79" s="328"/>
      <c r="C79" s="268">
        <f>SUM(C75:C78)</f>
        <v>0</v>
      </c>
      <c r="D79" s="268">
        <f t="shared" ref="D79:Q79" si="15">SUM(D75:D78)</f>
        <v>24732102.481358577</v>
      </c>
      <c r="E79" s="268">
        <f t="shared" si="15"/>
        <v>32363642.832538344</v>
      </c>
      <c r="F79" s="268">
        <f t="shared" si="15"/>
        <v>37666589.562579595</v>
      </c>
      <c r="G79" s="268">
        <f t="shared" si="15"/>
        <v>38005920.441365629</v>
      </c>
      <c r="H79" s="268">
        <f t="shared" si="15"/>
        <v>58363634.980583653</v>
      </c>
      <c r="I79" s="268">
        <f t="shared" si="15"/>
        <v>59804080.447833419</v>
      </c>
      <c r="J79" s="268">
        <f t="shared" si="15"/>
        <v>89278458.947244212</v>
      </c>
      <c r="K79" s="268">
        <f t="shared" si="15"/>
        <v>91733548.283966497</v>
      </c>
      <c r="L79" s="268">
        <f t="shared" si="15"/>
        <v>93277931.293135345</v>
      </c>
      <c r="M79" s="268">
        <f t="shared" si="15"/>
        <v>95654342.147580534</v>
      </c>
      <c r="N79" s="268">
        <f t="shared" si="15"/>
        <v>97404469.563866973</v>
      </c>
      <c r="O79" s="268">
        <f t="shared" si="15"/>
        <v>99264224.41132006</v>
      </c>
      <c r="P79" s="268">
        <f t="shared" si="15"/>
        <v>101514804.41173312</v>
      </c>
      <c r="Q79" s="268">
        <f t="shared" si="15"/>
        <v>919063749.80510604</v>
      </c>
    </row>
  </sheetData>
  <pageMargins left="0.7" right="0.7" top="0.75" bottom="0.75" header="0.3" footer="0.3"/>
  <pageSetup fitToWidth="2" fitToHeight="3" orientation="landscape" r:id="rId1"/>
  <headerFooter>
    <oddHeader>&amp;CPRELIMINARY DISCUSSION DRAFT - DO NOT CITE OR QUOTE</oddHeader>
    <oddFooter>&amp;L&amp;F&amp;CPage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1"/>
  <sheetViews>
    <sheetView topLeftCell="F4" zoomScale="90" zoomScaleNormal="90" workbookViewId="0">
      <selection activeCell="E1" sqref="E1"/>
    </sheetView>
  </sheetViews>
  <sheetFormatPr defaultColWidth="9.140625" defaultRowHeight="15" x14ac:dyDescent="0.25"/>
  <cols>
    <col min="1" max="1" width="70.140625" style="1" bestFit="1" customWidth="1"/>
    <col min="2" max="3" width="14.28515625" style="118" customWidth="1"/>
    <col min="4" max="4" width="19.85546875" style="118" customWidth="1"/>
    <col min="5" max="14" width="14.28515625" style="118" customWidth="1"/>
    <col min="15" max="15" width="16" style="118" customWidth="1"/>
    <col min="16" max="17" width="16.7109375" style="153" customWidth="1"/>
    <col min="18" max="18" width="9.140625" style="153"/>
    <col min="19" max="16384" width="9.140625" style="1"/>
  </cols>
  <sheetData>
    <row r="1" spans="1:18" ht="18.75" x14ac:dyDescent="0.3">
      <c r="A1" s="2" t="s">
        <v>666</v>
      </c>
      <c r="D1" s="335" t="s">
        <v>497</v>
      </c>
      <c r="E1" s="341"/>
      <c r="F1" s="341"/>
      <c r="G1" s="295"/>
    </row>
    <row r="2" spans="1:18" x14ac:dyDescent="0.25">
      <c r="A2" s="9"/>
      <c r="D2" s="336" t="s">
        <v>459</v>
      </c>
      <c r="E2" s="109"/>
      <c r="F2" s="109"/>
      <c r="G2" s="295"/>
    </row>
    <row r="3" spans="1:18" x14ac:dyDescent="0.25">
      <c r="D3" s="337" t="s">
        <v>460</v>
      </c>
      <c r="E3" s="342"/>
      <c r="F3" s="342"/>
      <c r="G3" s="295"/>
    </row>
    <row r="4" spans="1:18" s="3" customFormat="1" x14ac:dyDescent="0.25">
      <c r="A4" s="3" t="s">
        <v>560</v>
      </c>
      <c r="B4" s="165"/>
      <c r="C4" s="165"/>
      <c r="D4" s="165"/>
      <c r="E4" s="165"/>
      <c r="F4" s="165"/>
      <c r="G4" s="165"/>
      <c r="H4" s="165"/>
      <c r="I4" s="165"/>
      <c r="J4" s="165"/>
      <c r="K4" s="165"/>
      <c r="L4" s="165"/>
      <c r="M4" s="165"/>
      <c r="N4" s="165"/>
      <c r="O4" s="165"/>
      <c r="P4" s="166"/>
      <c r="Q4" s="166"/>
      <c r="R4" s="166"/>
    </row>
    <row r="5" spans="1:18" s="3" customFormat="1" ht="30.75" thickBot="1" x14ac:dyDescent="0.3">
      <c r="A5" s="280" t="s">
        <v>684</v>
      </c>
      <c r="B5" s="281">
        <v>2019</v>
      </c>
      <c r="C5" s="281">
        <v>2020</v>
      </c>
      <c r="D5" s="281">
        <v>2021</v>
      </c>
      <c r="E5" s="281">
        <v>2022</v>
      </c>
      <c r="F5" s="281">
        <v>2023</v>
      </c>
      <c r="G5" s="281">
        <v>2024</v>
      </c>
      <c r="H5" s="281">
        <v>2025</v>
      </c>
      <c r="I5" s="281">
        <v>2026</v>
      </c>
      <c r="J5" s="281">
        <v>2027</v>
      </c>
      <c r="K5" s="281">
        <v>2028</v>
      </c>
      <c r="L5" s="281">
        <v>2029</v>
      </c>
      <c r="M5" s="281">
        <v>2030</v>
      </c>
      <c r="N5" s="282">
        <v>2031</v>
      </c>
      <c r="O5" s="283">
        <v>2032</v>
      </c>
      <c r="P5" s="284" t="s">
        <v>516</v>
      </c>
      <c r="Q5" s="284" t="s">
        <v>517</v>
      </c>
      <c r="R5" s="166"/>
    </row>
    <row r="6" spans="1:18" ht="15.75" thickTop="1" x14ac:dyDescent="0.25">
      <c r="A6" s="279" t="s">
        <v>171</v>
      </c>
      <c r="B6" s="287">
        <f>SUM('C&amp;C'!D118,'C&amp;C'!D125:D130)</f>
        <v>0</v>
      </c>
      <c r="C6" s="189">
        <f>SUM('C&amp;C'!E118,'C&amp;C'!E125:E130)</f>
        <v>0</v>
      </c>
      <c r="D6" s="189">
        <f>SUM('C&amp;C'!F118,'C&amp;C'!F125:F130)</f>
        <v>0</v>
      </c>
      <c r="E6" s="189">
        <f>SUM('C&amp;C'!G118,'C&amp;C'!G125:G130)</f>
        <v>0</v>
      </c>
      <c r="F6" s="189">
        <f>SUM('C&amp;C'!H118,'C&amp;C'!H125:H130)</f>
        <v>0</v>
      </c>
      <c r="G6" s="189">
        <f>SUM('C&amp;C'!I118,'C&amp;C'!I125:I130)</f>
        <v>20373714.79127837</v>
      </c>
      <c r="H6" s="189">
        <f>SUM('C&amp;C'!J118,'C&amp;C'!J125:J130)</f>
        <v>20557272.304248616</v>
      </c>
      <c r="I6" s="189">
        <f>SUM('C&amp;C'!K118,'C&amp;C'!K125:K130)</f>
        <v>48780709.339823842</v>
      </c>
      <c r="J6" s="189">
        <f>SUM('C&amp;C'!L118,'C&amp;C'!L125:L130)</f>
        <v>49335886.766478091</v>
      </c>
      <c r="K6" s="189">
        <f>SUM('C&amp;C'!M118,'C&amp;C'!M125:M130)</f>
        <v>49871882.635412708</v>
      </c>
      <c r="L6" s="189">
        <f>SUM('C&amp;C'!N118,'C&amp;C'!N125:N130)</f>
        <v>50415983.122197509</v>
      </c>
      <c r="M6" s="189">
        <f>SUM('C&amp;C'!O118,'C&amp;C'!O125:O130)</f>
        <v>50968360.902602233</v>
      </c>
      <c r="N6" s="189">
        <f>SUM('C&amp;C'!P118,'C&amp;C'!P125:P130)</f>
        <v>51529193.518363215</v>
      </c>
      <c r="O6" s="189">
        <f>SUM('C&amp;C'!Q118,'C&amp;C'!Q125:Q130)</f>
        <v>52145824.164620392</v>
      </c>
      <c r="P6" s="289">
        <f t="shared" ref="P6:P26" si="0">SUM(B6:O6)</f>
        <v>393978827.54502505</v>
      </c>
      <c r="Q6" s="292">
        <f t="shared" ref="Q6:Q26" si="1">P6/P$27</f>
        <v>0.36863220864990154</v>
      </c>
      <c r="R6" s="183"/>
    </row>
    <row r="7" spans="1:18" x14ac:dyDescent="0.25">
      <c r="A7" s="6" t="s">
        <v>172</v>
      </c>
      <c r="B7" s="187">
        <f>SUM('C&amp;C'!D119,'C&amp;C'!D131,'C&amp;C'!D134)</f>
        <v>0</v>
      </c>
      <c r="C7" s="187">
        <f>SUM('C&amp;C'!E119,'C&amp;C'!E131,'C&amp;C'!E134)</f>
        <v>0</v>
      </c>
      <c r="D7" s="187">
        <f>SUM('C&amp;C'!F119,'C&amp;C'!F131,'C&amp;C'!F134)</f>
        <v>0</v>
      </c>
      <c r="E7" s="187">
        <f>SUM('C&amp;C'!G119,'C&amp;C'!G131,'C&amp;C'!G134)</f>
        <v>0</v>
      </c>
      <c r="F7" s="187">
        <f>SUM('C&amp;C'!H119,'C&amp;C'!H131,'C&amp;C'!H134)</f>
        <v>0</v>
      </c>
      <c r="G7" s="187">
        <f>SUM('C&amp;C'!I119,'C&amp;C'!I131,'C&amp;C'!I134)</f>
        <v>0</v>
      </c>
      <c r="H7" s="187">
        <f>SUM('C&amp;C'!J119,'C&amp;C'!J131,'C&amp;C'!J134)</f>
        <v>45161.259719586982</v>
      </c>
      <c r="I7" s="187">
        <f>SUM('C&amp;C'!K119,'C&amp;C'!K131,'C&amp;C'!K134)</f>
        <v>46485.285047860205</v>
      </c>
      <c r="J7" s="187">
        <f>SUM('C&amp;C'!L119,'C&amp;C'!L131,'C&amp;C'!L134)</f>
        <v>227775.15632278702</v>
      </c>
      <c r="K7" s="187">
        <f>SUM('C&amp;C'!M119,'C&amp;C'!M131,'C&amp;C'!M134)</f>
        <v>230766.75052335218</v>
      </c>
      <c r="L7" s="187">
        <f>SUM('C&amp;C'!N119,'C&amp;C'!N131,'C&amp;C'!N134)</f>
        <v>496327.53453846811</v>
      </c>
      <c r="M7" s="187">
        <f>SUM('C&amp;C'!O119,'C&amp;C'!O131,'C&amp;C'!O134)</f>
        <v>502226.59443437168</v>
      </c>
      <c r="N7" s="187">
        <f>SUM('C&amp;C'!P119,'C&amp;C'!P131,'C&amp;C'!P134)</f>
        <v>508222.65792673681</v>
      </c>
      <c r="O7" s="288">
        <f>SUM('C&amp;C'!Q119,'C&amp;C'!Q131,'C&amp;C'!Q134)</f>
        <v>514782.10800264741</v>
      </c>
      <c r="P7" s="289">
        <f t="shared" si="0"/>
        <v>2571747.3465158106</v>
      </c>
      <c r="Q7" s="293">
        <f t="shared" si="1"/>
        <v>2.4062940395630865E-3</v>
      </c>
    </row>
    <row r="8" spans="1:18" x14ac:dyDescent="0.25">
      <c r="A8" s="6" t="s">
        <v>512</v>
      </c>
      <c r="B8" s="187">
        <f>SUM('C&amp;C'!D120,'C&amp;C'!D132,'C&amp;C'!D135)</f>
        <v>0</v>
      </c>
      <c r="C8" s="187">
        <f>SUM('C&amp;C'!E120,'C&amp;C'!E132,'C&amp;C'!E135)</f>
        <v>0</v>
      </c>
      <c r="D8" s="187">
        <f>SUM('C&amp;C'!F120,'C&amp;C'!F132,'C&amp;C'!F135)</f>
        <v>0</v>
      </c>
      <c r="E8" s="187">
        <f>SUM('C&amp;C'!G120,'C&amp;C'!G132,'C&amp;C'!G135)</f>
        <v>0</v>
      </c>
      <c r="F8" s="187">
        <f>SUM('C&amp;C'!H120,'C&amp;C'!H132,'C&amp;C'!H135)</f>
        <v>0</v>
      </c>
      <c r="G8" s="187">
        <f>SUM('C&amp;C'!I120,'C&amp;C'!I132,'C&amp;C'!I135)</f>
        <v>0</v>
      </c>
      <c r="H8" s="187">
        <f>SUM('C&amp;C'!J120,'C&amp;C'!J132,'C&amp;C'!J135)</f>
        <v>0</v>
      </c>
      <c r="I8" s="187">
        <f>SUM('C&amp;C'!K120,'C&amp;C'!K132,'C&amp;C'!K135)</f>
        <v>0</v>
      </c>
      <c r="J8" s="187">
        <f>SUM('C&amp;C'!L120,'C&amp;C'!L132,'C&amp;C'!L135)</f>
        <v>0</v>
      </c>
      <c r="K8" s="187">
        <f>SUM('C&amp;C'!M120,'C&amp;C'!M132,'C&amp;C'!M135)</f>
        <v>0</v>
      </c>
      <c r="L8" s="187">
        <f>SUM('C&amp;C'!N120,'C&amp;C'!N132,'C&amp;C'!N135)</f>
        <v>0</v>
      </c>
      <c r="M8" s="187">
        <f>SUM('C&amp;C'!O120,'C&amp;C'!O132,'C&amp;C'!O135)</f>
        <v>0</v>
      </c>
      <c r="N8" s="187">
        <f>SUM('C&amp;C'!P120,'C&amp;C'!P132,'C&amp;C'!P135)</f>
        <v>0</v>
      </c>
      <c r="O8" s="288">
        <f>SUM('C&amp;C'!Q120,'C&amp;C'!Q132,'C&amp;C'!Q135)</f>
        <v>0</v>
      </c>
      <c r="P8" s="289">
        <f t="shared" si="0"/>
        <v>0</v>
      </c>
      <c r="Q8" s="293">
        <f t="shared" si="1"/>
        <v>0</v>
      </c>
    </row>
    <row r="9" spans="1:18" x14ac:dyDescent="0.25">
      <c r="A9" s="6" t="s">
        <v>513</v>
      </c>
      <c r="B9" s="187">
        <f>SUM('C&amp;C'!D137:D138)</f>
        <v>0</v>
      </c>
      <c r="C9" s="187">
        <f>SUM('C&amp;C'!E137:E138)</f>
        <v>1000000</v>
      </c>
      <c r="D9" s="187">
        <f>SUM('C&amp;C'!F137:F138)</f>
        <v>1000000</v>
      </c>
      <c r="E9" s="187">
        <f>SUM('C&amp;C'!G137:G138)</f>
        <v>2428571.4285714286</v>
      </c>
      <c r="F9" s="187">
        <f>SUM('C&amp;C'!H137:H138)</f>
        <v>2428571.4285714286</v>
      </c>
      <c r="G9" s="187">
        <f>SUM('C&amp;C'!I137:I138)</f>
        <v>2428571.4285714286</v>
      </c>
      <c r="H9" s="187">
        <f>SUM('C&amp;C'!J137:J138)</f>
        <v>2428571.4285714286</v>
      </c>
      <c r="I9" s="187">
        <f>SUM('C&amp;C'!K137:K138)</f>
        <v>2428571.4285714286</v>
      </c>
      <c r="J9" s="187">
        <f>SUM('C&amp;C'!L137:L138)</f>
        <v>1428571.4285714286</v>
      </c>
      <c r="K9" s="187">
        <f>SUM('C&amp;C'!M137:M138)</f>
        <v>1428571.4285714286</v>
      </c>
      <c r="L9" s="187">
        <f>SUM('C&amp;C'!N137:N138)</f>
        <v>0</v>
      </c>
      <c r="M9" s="187">
        <f>SUM('C&amp;C'!O137:O138)</f>
        <v>0</v>
      </c>
      <c r="N9" s="187">
        <f>SUM('C&amp;C'!P137:P138)</f>
        <v>0</v>
      </c>
      <c r="O9" s="288">
        <f>SUM('C&amp;C'!Q137:Q138)</f>
        <v>0</v>
      </c>
      <c r="P9" s="289">
        <f t="shared" si="0"/>
        <v>17000000.000000004</v>
      </c>
      <c r="Q9" s="293">
        <f t="shared" si="1"/>
        <v>1.5906305387266388E-2</v>
      </c>
      <c r="R9" s="169"/>
    </row>
    <row r="10" spans="1:18" x14ac:dyDescent="0.25">
      <c r="A10" s="6" t="s">
        <v>514</v>
      </c>
      <c r="B10" s="187">
        <f>SUM('C&amp;C'!D139:D140)</f>
        <v>0</v>
      </c>
      <c r="C10" s="187">
        <f>SUM('C&amp;C'!E139:E140)</f>
        <v>2000000</v>
      </c>
      <c r="D10" s="187">
        <f>SUM('C&amp;C'!F139:F140)</f>
        <v>2000000</v>
      </c>
      <c r="E10" s="187">
        <f>SUM('C&amp;C'!G139:G140)</f>
        <v>4857142.8571428573</v>
      </c>
      <c r="F10" s="187">
        <f>SUM('C&amp;C'!H139:H140)</f>
        <v>4857142.8571428573</v>
      </c>
      <c r="G10" s="187">
        <f>SUM('C&amp;C'!I139:I140)</f>
        <v>4857142.8571428573</v>
      </c>
      <c r="H10" s="187">
        <f>SUM('C&amp;C'!J139:J140)</f>
        <v>4857142.8571428573</v>
      </c>
      <c r="I10" s="187">
        <f>SUM('C&amp;C'!K139:K140)</f>
        <v>4857142.8571428573</v>
      </c>
      <c r="J10" s="187">
        <f>SUM('C&amp;C'!L139:L140)</f>
        <v>2857142.8571428573</v>
      </c>
      <c r="K10" s="187">
        <f>SUM('C&amp;C'!M139:M140)</f>
        <v>2857142.8571428573</v>
      </c>
      <c r="L10" s="187">
        <f>SUM('C&amp;C'!N139:N140)</f>
        <v>0</v>
      </c>
      <c r="M10" s="187">
        <f>SUM('C&amp;C'!O139:O140)</f>
        <v>0</v>
      </c>
      <c r="N10" s="187">
        <f>SUM('C&amp;C'!P139:P140)</f>
        <v>0</v>
      </c>
      <c r="O10" s="288">
        <f>SUM('C&amp;C'!Q139:Q140)</f>
        <v>0</v>
      </c>
      <c r="P10" s="289">
        <f t="shared" si="0"/>
        <v>34000000.000000007</v>
      </c>
      <c r="Q10" s="293">
        <f t="shared" si="1"/>
        <v>3.1812610774532776E-2</v>
      </c>
      <c r="R10" s="170"/>
    </row>
    <row r="11" spans="1:18" x14ac:dyDescent="0.25">
      <c r="A11" s="6" t="s">
        <v>173</v>
      </c>
      <c r="B11" s="187">
        <f>SUM('C&amp;C'!D121,'C&amp;C'!D133,'C&amp;C'!D136)</f>
        <v>0</v>
      </c>
      <c r="C11" s="187">
        <f>SUM('C&amp;C'!E121,'C&amp;C'!E133,'C&amp;C'!E136)</f>
        <v>0</v>
      </c>
      <c r="D11" s="187">
        <f>SUM('C&amp;C'!F121,'C&amp;C'!F133,'C&amp;C'!F136)</f>
        <v>0</v>
      </c>
      <c r="E11" s="187">
        <f>SUM('C&amp;C'!G121,'C&amp;C'!G133,'C&amp;C'!G136)</f>
        <v>0</v>
      </c>
      <c r="F11" s="187">
        <f>SUM('C&amp;C'!H121,'C&amp;C'!H133,'C&amp;C'!H136)</f>
        <v>0</v>
      </c>
      <c r="G11" s="187">
        <f>SUM('C&amp;C'!I121,'C&amp;C'!I133,'C&amp;C'!I136)</f>
        <v>0</v>
      </c>
      <c r="H11" s="187">
        <f>SUM('C&amp;C'!J121,'C&amp;C'!J133,'C&amp;C'!J136)</f>
        <v>65860.170424397686</v>
      </c>
      <c r="I11" s="187">
        <f>SUM('C&amp;C'!K121,'C&amp;C'!K133,'C&amp;C'!K136)</f>
        <v>67791.040694796131</v>
      </c>
      <c r="J11" s="187">
        <f>SUM('C&amp;C'!L121,'C&amp;C'!L133,'C&amp;C'!L136)</f>
        <v>332172.1029707311</v>
      </c>
      <c r="K11" s="187">
        <f>SUM('C&amp;C'!M121,'C&amp;C'!M133,'C&amp;C'!M136)</f>
        <v>336534.84451322193</v>
      </c>
      <c r="L11" s="187">
        <f>SUM('C&amp;C'!N121,'C&amp;C'!N133,'C&amp;C'!N136)</f>
        <v>723810.98786859924</v>
      </c>
      <c r="M11" s="187">
        <f>SUM('C&amp;C'!O121,'C&amp;C'!O133,'C&amp;C'!O136)</f>
        <v>732413.78355012543</v>
      </c>
      <c r="N11" s="187">
        <f>SUM('C&amp;C'!P121,'C&amp;C'!P133,'C&amp;C'!P136)</f>
        <v>741158.04280982446</v>
      </c>
      <c r="O11" s="288">
        <f>SUM('C&amp;C'!Q121,'C&amp;C'!Q133,'C&amp;C'!Q136)</f>
        <v>750723.90750386077</v>
      </c>
      <c r="P11" s="289">
        <f t="shared" si="0"/>
        <v>3750464.8803355573</v>
      </c>
      <c r="Q11" s="293">
        <f t="shared" si="1"/>
        <v>3.5091788076961677E-3</v>
      </c>
    </row>
    <row r="12" spans="1:18" x14ac:dyDescent="0.25">
      <c r="A12" s="6" t="s">
        <v>515</v>
      </c>
      <c r="B12" s="187">
        <f>SUM('C&amp;C'!D123,'C&amp;C'!D142,'C&amp;C'!D143)</f>
        <v>0</v>
      </c>
      <c r="C12" s="187">
        <f>SUM('C&amp;C'!E123,'C&amp;C'!E142,'C&amp;C'!E143)</f>
        <v>0</v>
      </c>
      <c r="D12" s="187">
        <f>SUM('C&amp;C'!F123,'C&amp;C'!F142,'C&amp;C'!F143)</f>
        <v>0</v>
      </c>
      <c r="E12" s="187">
        <f>SUM('C&amp;C'!G123,'C&amp;C'!G142,'C&amp;C'!G143)</f>
        <v>0</v>
      </c>
      <c r="F12" s="187">
        <f>SUM('C&amp;C'!H123,'C&amp;C'!H142,'C&amp;C'!H143)</f>
        <v>0</v>
      </c>
      <c r="G12" s="187">
        <f>SUM('C&amp;C'!I123,'C&amp;C'!I142,'C&amp;C'!I143)</f>
        <v>0</v>
      </c>
      <c r="H12" s="187">
        <f>SUM('C&amp;C'!J123,'C&amp;C'!J142,'C&amp;C'!J143)</f>
        <v>1922665.9636474212</v>
      </c>
      <c r="I12" s="187">
        <f>SUM('C&amp;C'!K123,'C&amp;C'!K142,'C&amp;C'!K143)</f>
        <v>1979034.1528760744</v>
      </c>
      <c r="J12" s="187">
        <f>SUM('C&amp;C'!L123,'C&amp;C'!L142,'C&amp;C'!L143)</f>
        <v>4444217.2184165418</v>
      </c>
      <c r="K12" s="187">
        <f>SUM('C&amp;C'!M123,'C&amp;C'!M142,'C&amp;C'!M143)</f>
        <v>4516000.2821458643</v>
      </c>
      <c r="L12" s="187">
        <f>SUM('C&amp;C'!N123,'C&amp;C'!N142,'C&amp;C'!N143)</f>
        <v>7858828.5807376765</v>
      </c>
      <c r="M12" s="187">
        <f>SUM('C&amp;C'!O123,'C&amp;C'!O142,'C&amp;C'!O143)</f>
        <v>7968390.2589968313</v>
      </c>
      <c r="N12" s="187">
        <f>SUM('C&amp;C'!P123,'C&amp;C'!P142,'C&amp;C'!P143)</f>
        <v>8079970.3270106763</v>
      </c>
      <c r="O12" s="288">
        <f>SUM('C&amp;C'!Q123,'C&amp;C'!Q142,'C&amp;C'!Q143)</f>
        <v>8200964.193298948</v>
      </c>
      <c r="P12" s="289">
        <f t="shared" si="0"/>
        <v>44970070.977130033</v>
      </c>
      <c r="Q12" s="293">
        <f t="shared" si="1"/>
        <v>4.2076922485251481E-2</v>
      </c>
    </row>
    <row r="13" spans="1:18" x14ac:dyDescent="0.25">
      <c r="A13" s="6" t="s">
        <v>170</v>
      </c>
      <c r="B13" s="187">
        <f>SUM('C&amp;C'!D82,'C&amp;C'!D84)</f>
        <v>0</v>
      </c>
      <c r="C13" s="187">
        <f>SUM('C&amp;C'!E82,'C&amp;C'!E84)</f>
        <v>0</v>
      </c>
      <c r="D13" s="187">
        <f>SUM('C&amp;C'!F82,'C&amp;C'!F84)</f>
        <v>2211022.0819999003</v>
      </c>
      <c r="E13" s="187">
        <f>SUM('C&amp;C'!G82,'C&amp;C'!G84)</f>
        <v>2290228.5960638938</v>
      </c>
      <c r="F13" s="187">
        <f>SUM('C&amp;C'!H82,'C&amp;C'!H84)</f>
        <v>2374660.1884041871</v>
      </c>
      <c r="G13" s="187">
        <f>SUM('C&amp;C'!I82,'C&amp;C'!I84)</f>
        <v>2464421.0116913598</v>
      </c>
      <c r="H13" s="187">
        <f>SUM('C&amp;C'!J82,'C&amp;C'!J84)</f>
        <v>15940460.326777507</v>
      </c>
      <c r="I13" s="187">
        <f>SUM('C&amp;C'!K82,'C&amp;C'!K84)</f>
        <v>16478096.112154298</v>
      </c>
      <c r="J13" s="187">
        <f>SUM('C&amp;C'!L82,'C&amp;C'!L84)</f>
        <v>16948268.977993339</v>
      </c>
      <c r="K13" s="187">
        <f>SUM('C&amp;C'!M82,'C&amp;C'!M84)</f>
        <v>17342882.623428401</v>
      </c>
      <c r="L13" s="187">
        <f>SUM('C&amp;C'!N82,'C&amp;C'!N84)</f>
        <v>17750944.87577343</v>
      </c>
      <c r="M13" s="187">
        <f>SUM('C&amp;C'!O82,'C&amp;C'!O84)</f>
        <v>18172541.473121699</v>
      </c>
      <c r="N13" s="187">
        <f>SUM('C&amp;C'!P82,'C&amp;C'!P84)</f>
        <v>18607815.371109515</v>
      </c>
      <c r="O13" s="288">
        <f>SUM('C&amp;C'!Q82,'C&amp;C'!Q84)</f>
        <v>19122460.337041523</v>
      </c>
      <c r="P13" s="289">
        <f t="shared" si="0"/>
        <v>149703801.97555906</v>
      </c>
      <c r="Q13" s="293">
        <f t="shared" si="1"/>
        <v>0.14007261128577031</v>
      </c>
    </row>
    <row r="14" spans="1:18" x14ac:dyDescent="0.25">
      <c r="A14" s="6" t="s">
        <v>168</v>
      </c>
      <c r="B14" s="187">
        <f>SUM('SP Berth Retrofit'!D75:D76,'SP Berth Retrofit'!D83:D84)+SUM('SP Berth Retrofit'!D77:D78,'SP Berth Retrofit'!D87:D88)</f>
        <v>0</v>
      </c>
      <c r="C14" s="187">
        <f>SUM('SP Berth Retrofit'!E75:E76,'SP Berth Retrofit'!E83:E84)+SUM('SP Berth Retrofit'!E77:E78,'SP Berth Retrofit'!E87:E88)</f>
        <v>8658927.6161869317</v>
      </c>
      <c r="D14" s="187">
        <f>SUM('SP Berth Retrofit'!F75:F76,'SP Berth Retrofit'!F83:F84)+SUM('SP Berth Retrofit'!F77:F78,'SP Berth Retrofit'!F87:F88)</f>
        <v>8976730.7130849846</v>
      </c>
      <c r="E14" s="187">
        <f>SUM('SP Berth Retrofit'!G75:G76,'SP Berth Retrofit'!G83:G84)+SUM('SP Berth Retrofit'!G77:G78,'SP Berth Retrofit'!G87:G88)</f>
        <v>9307193.5509506054</v>
      </c>
      <c r="F14" s="187">
        <f>SUM('SP Berth Retrofit'!H75:H76,'SP Berth Retrofit'!H83:H84)+SUM('SP Berth Retrofit'!H77:H78,'SP Berth Retrofit'!H87:H88)</f>
        <v>9650745.3615741916</v>
      </c>
      <c r="G14" s="187">
        <f>SUM('SP Berth Retrofit'!I75:I76,'SP Berth Retrofit'!I83:I84)+SUM('SP Berth Retrofit'!I77:I78,'SP Berth Retrofit'!I87:I88)</f>
        <v>10007841.201827196</v>
      </c>
      <c r="H14" s="187">
        <f>SUM('SP Berth Retrofit'!J75:J76,'SP Berth Retrofit'!J83:J84)+SUM('SP Berth Retrofit'!J77:J78,'SP Berth Retrofit'!J87:J88)</f>
        <v>10397502.603333814</v>
      </c>
      <c r="I14" s="187">
        <f>SUM('SP Berth Retrofit'!K75:K76,'SP Berth Retrofit'!K83:K84)+SUM('SP Berth Retrofit'!K77:K78,'SP Berth Retrofit'!K87:K88)</f>
        <v>10766242.171116062</v>
      </c>
      <c r="J14" s="187">
        <f>SUM('SP Berth Retrofit'!L75:L76,'SP Berth Retrofit'!L83:L84)+SUM('SP Berth Retrofit'!L77:L78,'SP Berth Retrofit'!L87:L88)</f>
        <v>11150138.306788586</v>
      </c>
      <c r="K14" s="187">
        <f>SUM('SP Berth Retrofit'!M75:M76,'SP Berth Retrofit'!M83:M84)+SUM('SP Berth Retrofit'!M77:M78,'SP Berth Retrofit'!M87:M88)</f>
        <v>11549591.473098563</v>
      </c>
      <c r="L14" s="187">
        <f>SUM('SP Berth Retrofit'!N75:N76,'SP Berth Retrofit'!N83:N84)+SUM('SP Berth Retrofit'!N77:N78,'SP Berth Retrofit'!N87:N88)</f>
        <v>11965046.27011255</v>
      </c>
      <c r="M14" s="187">
        <f>SUM('SP Berth Retrofit'!O75:O76,'SP Berth Retrofit'!O83:O84)+SUM('SP Berth Retrofit'!O77:O78,'SP Berth Retrofit'!O87:O88)</f>
        <v>12396987.156011166</v>
      </c>
      <c r="N14" s="187">
        <f>SUM('SP Berth Retrofit'!P75:P76,'SP Berth Retrofit'!P83:P84)+SUM('SP Berth Retrofit'!P77:P78,'SP Berth Retrofit'!P87:P88)</f>
        <v>12867450.665802112</v>
      </c>
      <c r="O14" s="288">
        <f>SUM('SP Berth Retrofit'!Q75:Q76,'SP Berth Retrofit'!Q83:Q84)+SUM('SP Berth Retrofit'!Q77:Q78,'SP Berth Retrofit'!Q87:Q88)</f>
        <v>13355918.808122212</v>
      </c>
      <c r="P14" s="289">
        <f t="shared" si="0"/>
        <v>141050315.89800897</v>
      </c>
      <c r="Q14" s="293">
        <f t="shared" si="1"/>
        <v>0.13197584703788973</v>
      </c>
      <c r="R14" s="182"/>
    </row>
    <row r="15" spans="1:18" x14ac:dyDescent="0.25">
      <c r="A15" s="6" t="s">
        <v>167</v>
      </c>
      <c r="B15" s="187">
        <f>SUM('SP Berth Retrofit'!D79:D80)+SUM('SP Berth Retrofit'!D81:D82)</f>
        <v>0</v>
      </c>
      <c r="C15" s="187">
        <f>SUM('SP Berth Retrofit'!E79:E80)+SUM('SP Berth Retrofit'!E81:E82)</f>
        <v>0</v>
      </c>
      <c r="D15" s="187">
        <f>SUM('SP Berth Retrofit'!F79:F80)+SUM('SP Berth Retrofit'!F81:F82)</f>
        <v>29197.768886892725</v>
      </c>
      <c r="E15" s="187">
        <f>SUM('SP Berth Retrofit'!G79:G80)+SUM('SP Berth Retrofit'!G81:G82)</f>
        <v>30272.451166312636</v>
      </c>
      <c r="F15" s="187">
        <f>SUM('SP Berth Retrofit'!H79:H80)+SUM('SP Berth Retrofit'!H81:H82)</f>
        <v>31386.689276391186</v>
      </c>
      <c r="G15" s="187">
        <f>SUM('SP Berth Retrofit'!I79:I80)+SUM('SP Berth Retrofit'!I81:I82)</f>
        <v>32541.939148587207</v>
      </c>
      <c r="H15" s="187">
        <f>SUM('SP Berth Retrofit'!J79:J80)+SUM('SP Berth Retrofit'!J81:J82)</f>
        <v>33739.710302829313</v>
      </c>
      <c r="I15" s="187">
        <f>SUM('SP Berth Retrofit'!K79:K80)+SUM('SP Berth Retrofit'!K81:K82)</f>
        <v>34981.567819945652</v>
      </c>
      <c r="J15" s="187">
        <f>SUM('SP Berth Retrofit'!L79:L80)+SUM('SP Berth Retrofit'!L81:L82)</f>
        <v>36269.134386694263</v>
      </c>
      <c r="K15" s="187">
        <f>SUM('SP Berth Retrofit'!M79:M80)+SUM('SP Berth Retrofit'!M81:M82)</f>
        <v>37604.092416065498</v>
      </c>
      <c r="L15" s="187">
        <f>SUM('SP Berth Retrofit'!N79:N80)+SUM('SP Berth Retrofit'!N81:N82)</f>
        <v>38988.186245623525</v>
      </c>
      <c r="M15" s="187">
        <f>SUM('SP Berth Retrofit'!O79:O80)+SUM('SP Berth Retrofit'!O81:O82)</f>
        <v>40423.224416766177</v>
      </c>
      <c r="N15" s="187">
        <f>SUM('SP Berth Retrofit'!P79:P80)+SUM('SP Berth Retrofit'!P81:P82)</f>
        <v>41911.082037874075</v>
      </c>
      <c r="O15" s="288">
        <f>SUM('SP Berth Retrofit'!Q79:Q80)+SUM('SP Berth Retrofit'!Q81:Q82)</f>
        <v>43453.703234442211</v>
      </c>
      <c r="P15" s="289">
        <f t="shared" si="0"/>
        <v>430769.54933842452</v>
      </c>
      <c r="Q15" s="293">
        <f t="shared" si="1"/>
        <v>4.0305600019482912E-4</v>
      </c>
      <c r="R15" s="182"/>
    </row>
    <row r="16" spans="1:18" x14ac:dyDescent="0.25">
      <c r="A16" s="6" t="s">
        <v>20</v>
      </c>
      <c r="B16" s="187">
        <f>SUM('SP Vessel Retrofit'!C28:C29)</f>
        <v>0</v>
      </c>
      <c r="C16" s="187">
        <f>SUM('SP Vessel Retrofit'!D28:D29)</f>
        <v>12899920.274610948</v>
      </c>
      <c r="D16" s="187">
        <f>SUM('SP Vessel Retrofit'!E28:E29)</f>
        <v>13837272.473882802</v>
      </c>
      <c r="E16" s="187">
        <f>SUM('SP Vessel Retrofit'!F28:F29)</f>
        <v>14339229.861811336</v>
      </c>
      <c r="F16" s="187">
        <f>SUM('SP Vessel Retrofit'!G28:G29)</f>
        <v>14867470.761213941</v>
      </c>
      <c r="G16" s="187">
        <f>SUM('SP Vessel Retrofit'!H28:H29)</f>
        <v>15422664.54363443</v>
      </c>
      <c r="H16" s="187">
        <f>SUM('SP Vessel Retrofit'!I28:I29)</f>
        <v>16005586.565257892</v>
      </c>
      <c r="I16" s="187">
        <f>SUM('SP Vessel Retrofit'!J28:J29)</f>
        <v>16767540.809856396</v>
      </c>
      <c r="J16" s="187">
        <f>SUM('SP Vessel Retrofit'!K28:K29)</f>
        <v>17271430.931041509</v>
      </c>
      <c r="K16" s="187">
        <f>SUM('SP Vessel Retrofit'!L28:L29)</f>
        <v>17806722.261423476</v>
      </c>
      <c r="L16" s="187">
        <f>SUM('SP Vessel Retrofit'!M28:M29)</f>
        <v>18373293.505836122</v>
      </c>
      <c r="M16" s="187">
        <f>SUM('SP Vessel Retrofit'!N28:N29)</f>
        <v>18971257.416188948</v>
      </c>
      <c r="N16" s="187">
        <f>SUM('SP Vessel Retrofit'!O28:O29)</f>
        <v>19600921.506804552</v>
      </c>
      <c r="O16" s="288">
        <f>SUM('SP Vessel Retrofit'!P28:P29)</f>
        <v>20437319.101801261</v>
      </c>
      <c r="P16" s="289">
        <f t="shared" si="0"/>
        <v>216600630.01336366</v>
      </c>
      <c r="Q16" s="293">
        <f t="shared" si="1"/>
        <v>0.20266563341569763</v>
      </c>
      <c r="R16" s="169"/>
    </row>
    <row r="17" spans="1:18" x14ac:dyDescent="0.25">
      <c r="A17" s="6" t="s">
        <v>21</v>
      </c>
      <c r="B17" s="187">
        <f>SUM('SP Vessel Retrofit'!C30:C31)</f>
        <v>0</v>
      </c>
      <c r="C17" s="187">
        <f>SUM('SP Vessel Retrofit'!D30:D31)</f>
        <v>0</v>
      </c>
      <c r="D17" s="187">
        <f>SUM('SP Vessel Retrofit'!E30:E31)</f>
        <v>958460.31046923948</v>
      </c>
      <c r="E17" s="187">
        <f>SUM('SP Vessel Retrofit'!F30:F31)</f>
        <v>993092.22788046952</v>
      </c>
      <c r="F17" s="187">
        <f>SUM('SP Vessel Retrofit'!G30:G31)</f>
        <v>1029685.1301300435</v>
      </c>
      <c r="G17" s="187">
        <f>SUM('SP Vessel Retrofit'!H30:H31)</f>
        <v>1068284.9982079193</v>
      </c>
      <c r="H17" s="187">
        <f>SUM('SP Vessel Retrofit'!I30:I31)</f>
        <v>1108946.6555979215</v>
      </c>
      <c r="I17" s="187">
        <f>SUM('SP Vessel Retrofit'!J30:J31)</f>
        <v>1164955.2779830573</v>
      </c>
      <c r="J17" s="187">
        <f>SUM('SP Vessel Retrofit'!K30:K31)</f>
        <v>1197877.5811605614</v>
      </c>
      <c r="K17" s="187">
        <f>SUM('SP Vessel Retrofit'!L30:L31)</f>
        <v>1233141.5150872988</v>
      </c>
      <c r="L17" s="187">
        <f>SUM('SP Vessel Retrofit'!M30:M31)</f>
        <v>1270721.0181714615</v>
      </c>
      <c r="M17" s="187">
        <f>SUM('SP Vessel Retrofit'!N30:N31)</f>
        <v>1310610.0337525823</v>
      </c>
      <c r="N17" s="187">
        <f>SUM('SP Vessel Retrofit'!O30:O31)</f>
        <v>1352819.0362788611</v>
      </c>
      <c r="O17" s="288">
        <f>SUM('SP Vessel Retrofit'!P30:P31)</f>
        <v>1412715.5656647871</v>
      </c>
      <c r="P17" s="289">
        <f t="shared" si="0"/>
        <v>14101309.350384202</v>
      </c>
      <c r="Q17" s="293">
        <f t="shared" si="1"/>
        <v>1.3194101934560358E-2</v>
      </c>
      <c r="R17" s="170"/>
    </row>
    <row r="18" spans="1:18" x14ac:dyDescent="0.25">
      <c r="A18" s="6" t="s">
        <v>18</v>
      </c>
      <c r="B18" s="28">
        <v>0</v>
      </c>
      <c r="C18" s="28">
        <v>0</v>
      </c>
      <c r="D18" s="187">
        <f>SUM('SP Labor &amp; Energy'!D90:D91)</f>
        <v>822209.29294720234</v>
      </c>
      <c r="E18" s="187">
        <f>SUM('SP Labor &amp; Energy'!E90:E91)</f>
        <v>844943.17759207322</v>
      </c>
      <c r="F18" s="187">
        <f>SUM('SP Labor &amp; Energy'!F90:F91)</f>
        <v>1497509.7500120993</v>
      </c>
      <c r="G18" s="187">
        <f>SUM('SP Labor &amp; Energy'!G90:G91)</f>
        <v>1561075.4031460283</v>
      </c>
      <c r="H18" s="187">
        <f>SUM('SP Labor &amp; Energy'!H90:H91)</f>
        <v>1637645.573534617</v>
      </c>
      <c r="I18" s="187">
        <f>SUM('SP Labor &amp; Energy'!I90:I91)</f>
        <v>1693856.4351950763</v>
      </c>
      <c r="J18" s="187">
        <f>SUM('SP Labor &amp; Energy'!J90:J91)</f>
        <v>1760411.340800815</v>
      </c>
      <c r="K18" s="187">
        <f>SUM('SP Labor &amp; Energy'!K90:K91)</f>
        <v>1835231.0359327984</v>
      </c>
      <c r="L18" s="187">
        <f>SUM('SP Labor &amp; Energy'!L90:L91)</f>
        <v>1924878.844540922</v>
      </c>
      <c r="M18" s="187">
        <f>SUM('SP Labor &amp; Energy'!M90:M91)</f>
        <v>2017956.1625836683</v>
      </c>
      <c r="N18" s="187">
        <f>SUM('SP Labor &amp; Energy'!N90:N91)</f>
        <v>2102301.5816518762</v>
      </c>
      <c r="O18" s="288">
        <f>SUM('SP Labor &amp; Energy'!O90:O91)</f>
        <v>2190145.818098736</v>
      </c>
      <c r="P18" s="289">
        <f t="shared" si="0"/>
        <v>19888164.416035909</v>
      </c>
      <c r="Q18" s="293">
        <f t="shared" si="1"/>
        <v>1.8608659811390094E-2</v>
      </c>
    </row>
    <row r="19" spans="1:18" x14ac:dyDescent="0.25">
      <c r="A19" s="6" t="s">
        <v>12</v>
      </c>
      <c r="B19" s="28">
        <v>0</v>
      </c>
      <c r="C19" s="28">
        <v>0</v>
      </c>
      <c r="D19" s="187">
        <f>SUM('SP Labor &amp; Energy'!D94:D95)+SUM('SP Labor &amp; Energy'!D92:D93)</f>
        <v>696254.28161450964</v>
      </c>
      <c r="E19" s="187">
        <f>SUM('SP Labor &amp; Energy'!E94:E95)+SUM('SP Labor &amp; Energy'!E92:E93)</f>
        <v>721914.90677637153</v>
      </c>
      <c r="F19" s="187">
        <f>SUM('SP Labor &amp; Energy'!F94:F95)+SUM('SP Labor &amp; Energy'!F92:F93)</f>
        <v>749072.23473574081</v>
      </c>
      <c r="G19" s="187">
        <f>SUM('SP Labor &amp; Energy'!G94:G95)+SUM('SP Labor &amp; Energy'!G92:G93)</f>
        <v>777765.42056277185</v>
      </c>
      <c r="H19" s="187">
        <f>SUM('SP Labor &amp; Energy'!H94:H95)+SUM('SP Labor &amp; Energy'!H92:H93)</f>
        <v>819101.48701489891</v>
      </c>
      <c r="I19" s="187">
        <f>SUM('SP Labor &amp; Energy'!I94:I95)+SUM('SP Labor &amp; Energy'!I92:I93)</f>
        <v>840921.09326126683</v>
      </c>
      <c r="J19" s="187">
        <f>SUM('SP Labor &amp; Energy'!J94:J95)+SUM('SP Labor &amp; Energy'!J92:J93)</f>
        <v>864489.02025057236</v>
      </c>
      <c r="K19" s="187">
        <f>SUM('SP Labor &amp; Energy'!K94:K95)+SUM('SP Labor &amp; Energy'!K92:K93)</f>
        <v>889775.71345582511</v>
      </c>
      <c r="L19" s="187">
        <f>SUM('SP Labor &amp; Energy'!L94:L95)+SUM('SP Labor &amp; Energy'!L92:L93)</f>
        <v>916768.06853913341</v>
      </c>
      <c r="M19" s="187">
        <f>SUM('SP Labor &amp; Energy'!M94:M95)+SUM('SP Labor &amp; Energy'!M92:M93)</f>
        <v>945466.51475384505</v>
      </c>
      <c r="N19" s="187">
        <f>SUM('SP Labor &amp; Energy'!N94:N95)+SUM('SP Labor &amp; Energy'!N92:N93)</f>
        <v>988718.43357499386</v>
      </c>
      <c r="O19" s="288">
        <f>SUM('SP Labor &amp; Energy'!O94:O95)+SUM('SP Labor &amp; Energy'!O92:O93)</f>
        <v>1033972.942282628</v>
      </c>
      <c r="P19" s="289">
        <f t="shared" si="0"/>
        <v>10244220.116822558</v>
      </c>
      <c r="Q19" s="293">
        <f t="shared" si="1"/>
        <v>9.5851584489739603E-3</v>
      </c>
      <c r="R19" s="182"/>
    </row>
    <row r="20" spans="1:18" s="168" customFormat="1" x14ac:dyDescent="0.25">
      <c r="A20" s="403" t="s">
        <v>19</v>
      </c>
      <c r="B20" s="404">
        <v>0</v>
      </c>
      <c r="C20" s="404">
        <v>0</v>
      </c>
      <c r="D20" s="405">
        <f>-SUM('SP Labor &amp; Energy'!D98:D99)</f>
        <v>-1202664.1868348594</v>
      </c>
      <c r="E20" s="405">
        <f>-SUM('SP Labor &amp; Energy'!E98:E99)</f>
        <v>-1298315.1522668223</v>
      </c>
      <c r="F20" s="405">
        <f>-SUM('SP Labor &amp; Energy'!F98:F99)</f>
        <v>-2385785.5409330898</v>
      </c>
      <c r="G20" s="405">
        <f>-SUM('SP Labor &amp; Energy'!G98:G99)</f>
        <v>-2599086.7854623045</v>
      </c>
      <c r="H20" s="405">
        <f>-SUM('SP Labor &amp; Energy'!H98:H99)</f>
        <v>-2794993.3002247419</v>
      </c>
      <c r="I20" s="405">
        <f>-SUM('SP Labor &amp; Energy'!I98:I99)</f>
        <v>-2970090.4061913402</v>
      </c>
      <c r="J20" s="405">
        <f>-SUM('SP Labor &amp; Energy'!J98:J99)</f>
        <v>-3182401.7799903178</v>
      </c>
      <c r="K20" s="405">
        <f>-SUM('SP Labor &amp; Energy'!K98:K99)</f>
        <v>-3413706.5402103192</v>
      </c>
      <c r="L20" s="405">
        <f>-SUM('SP Labor &amp; Energy'!L98:L99)</f>
        <v>-3665367.7712023766</v>
      </c>
      <c r="M20" s="405">
        <f>-SUM('SP Labor &amp; Energy'!M98:M99)</f>
        <v>-3907761.0229237298</v>
      </c>
      <c r="N20" s="405">
        <f>-SUM('SP Labor &amp; Energy'!N98:N99)</f>
        <v>-4198870.9513086099</v>
      </c>
      <c r="O20" s="406">
        <f>-SUM('SP Labor &amp; Energy'!O98:O99)</f>
        <v>-4472866.5057865856</v>
      </c>
      <c r="P20" s="405">
        <f t="shared" si="0"/>
        <v>-36091909.943335094</v>
      </c>
      <c r="Q20" s="407">
        <f t="shared" si="1"/>
        <v>-3.3769937739317892E-2</v>
      </c>
      <c r="R20" s="153"/>
    </row>
    <row r="21" spans="1:18" s="168" customFormat="1" x14ac:dyDescent="0.25">
      <c r="A21" s="403" t="s">
        <v>174</v>
      </c>
      <c r="B21" s="404">
        <v>0</v>
      </c>
      <c r="C21" s="404">
        <v>0</v>
      </c>
      <c r="D21" s="405">
        <f>-SUM('SP Labor &amp; Energy'!D100:D101)</f>
        <v>-499162.92158567865</v>
      </c>
      <c r="E21" s="405">
        <f>-SUM('SP Labor &amp; Energy'!E100:E101)</f>
        <v>-512269.39199166809</v>
      </c>
      <c r="F21" s="405">
        <f>-SUM('SP Labor &amp; Energy'!F100:F101)</f>
        <v>-897043.59421305731</v>
      </c>
      <c r="G21" s="405">
        <f>-SUM('SP Labor &amp; Energy'!G100:G101)</f>
        <v>-923843.00327877793</v>
      </c>
      <c r="H21" s="405">
        <f>-SUM('SP Labor &amp; Energy'!H100:H101)</f>
        <v>-912114.06862515688</v>
      </c>
      <c r="I21" s="405">
        <f>-SUM('SP Labor &amp; Energy'!I100:I101)</f>
        <v>-954386.01436201972</v>
      </c>
      <c r="J21" s="405">
        <f>-SUM('SP Labor &amp; Energy'!J100:J101)</f>
        <v>-1001181.2383029428</v>
      </c>
      <c r="K21" s="405">
        <f>-SUM('SP Labor &amp; Energy'!K100:K101)</f>
        <v>-1049142.3047649076</v>
      </c>
      <c r="L21" s="405">
        <f>-SUM('SP Labor &amp; Energy'!L100:L101)</f>
        <v>-1100789.8351495736</v>
      </c>
      <c r="M21" s="405">
        <f>-SUM('SP Labor &amp; Energy'!M100:M101)</f>
        <v>-1153382.5216731355</v>
      </c>
      <c r="N21" s="405">
        <f>-SUM('SP Labor &amp; Energy'!N100:N101)</f>
        <v>-1218786.3221494639</v>
      </c>
      <c r="O21" s="406">
        <f>-SUM('SP Labor &amp; Energy'!O100:O101)</f>
        <v>-1287475.3877437795</v>
      </c>
      <c r="P21" s="405">
        <f t="shared" si="0"/>
        <v>-11509576.603840161</v>
      </c>
      <c r="Q21" s="407">
        <f t="shared" si="1"/>
        <v>-1.0769108255224582E-2</v>
      </c>
      <c r="R21" s="153"/>
    </row>
    <row r="22" spans="1:18" x14ac:dyDescent="0.25">
      <c r="A22" s="6" t="s">
        <v>58</v>
      </c>
      <c r="B22" s="28">
        <v>0</v>
      </c>
      <c r="C22" s="187">
        <f>SUM(Admin!D58:D62)</f>
        <v>104012.69762766385</v>
      </c>
      <c r="D22" s="187">
        <f>SUM(Admin!E58:E62)</f>
        <v>0</v>
      </c>
      <c r="E22" s="187">
        <f>SUM(Admin!F58:F62)</f>
        <v>0</v>
      </c>
      <c r="F22" s="187">
        <f>SUM(Admin!G58:G62)</f>
        <v>60943.790279956003</v>
      </c>
      <c r="G22" s="187">
        <f>SUM(Admin!H58:H62)</f>
        <v>0</v>
      </c>
      <c r="H22" s="187">
        <f>SUM(Admin!I58:I62)</f>
        <v>21187.547057781245</v>
      </c>
      <c r="I22" s="187">
        <f>SUM(Admin!J58:J62)</f>
        <v>0</v>
      </c>
      <c r="J22" s="187">
        <f>SUM(Admin!K58:K62)</f>
        <v>0</v>
      </c>
      <c r="K22" s="187">
        <f>SUM(Admin!L58:L62)</f>
        <v>0</v>
      </c>
      <c r="L22" s="187">
        <f>SUM(Admin!M58:M62)</f>
        <v>0</v>
      </c>
      <c r="M22" s="187">
        <f>SUM(Admin!N58:N62)</f>
        <v>0</v>
      </c>
      <c r="N22" s="187">
        <f>SUM(Admin!O58:O62)</f>
        <v>0</v>
      </c>
      <c r="O22" s="288">
        <f>SUM(Admin!P58:P62)</f>
        <v>0</v>
      </c>
      <c r="P22" s="289">
        <f t="shared" si="0"/>
        <v>186144.03496540111</v>
      </c>
      <c r="Q22" s="293">
        <f t="shared" si="1"/>
        <v>1.7416846271633307E-4</v>
      </c>
    </row>
    <row r="23" spans="1:18" x14ac:dyDescent="0.25">
      <c r="A23" s="6" t="s">
        <v>59</v>
      </c>
      <c r="B23" s="28">
        <v>0</v>
      </c>
      <c r="C23" s="187">
        <f>SUM(Admin!D63:D67)</f>
        <v>69241.892933034353</v>
      </c>
      <c r="D23" s="187">
        <f>SUM(Admin!E63:E67)</f>
        <v>0</v>
      </c>
      <c r="E23" s="187">
        <f>SUM(Admin!F63:F67)</f>
        <v>0</v>
      </c>
      <c r="F23" s="187">
        <f>SUM(Admin!G63:G67)</f>
        <v>16759.542326987899</v>
      </c>
      <c r="G23" s="187">
        <f>SUM(Admin!H63:H67)</f>
        <v>17249.092254008916</v>
      </c>
      <c r="H23" s="187">
        <f>SUM(Admin!I63:I67)</f>
        <v>11917.995220001951</v>
      </c>
      <c r="I23" s="187">
        <f>SUM(Admin!J63:J67)</f>
        <v>12048.612135031426</v>
      </c>
      <c r="J23" s="187">
        <f>SUM(Admin!K63:K67)</f>
        <v>35175.381249040853</v>
      </c>
      <c r="K23" s="187">
        <f>SUM(Admin!L63:L67)</f>
        <v>35549.08338647661</v>
      </c>
      <c r="L23" s="187">
        <f>SUM(Admin!M63:M67)</f>
        <v>0</v>
      </c>
      <c r="M23" s="187">
        <f>SUM(Admin!N63:N67)</f>
        <v>0</v>
      </c>
      <c r="N23" s="187">
        <f>SUM(Admin!O63:O67)</f>
        <v>0</v>
      </c>
      <c r="O23" s="288">
        <f>SUM(Admin!P63:P67)</f>
        <v>0</v>
      </c>
      <c r="P23" s="289">
        <f t="shared" si="0"/>
        <v>197941.599504582</v>
      </c>
      <c r="Q23" s="293">
        <f t="shared" si="1"/>
        <v>1.8520703120963869E-4</v>
      </c>
    </row>
    <row r="24" spans="1:18" x14ac:dyDescent="0.25">
      <c r="A24" s="6" t="s">
        <v>60</v>
      </c>
      <c r="B24" s="28">
        <v>0</v>
      </c>
      <c r="C24" s="28">
        <v>0</v>
      </c>
      <c r="D24" s="187">
        <f>SUM(Admin!E73:E77)</f>
        <v>510100.12216229737</v>
      </c>
      <c r="E24" s="187">
        <f>SUM(Admin!F73:F77)</f>
        <v>528901.73982617597</v>
      </c>
      <c r="F24" s="187">
        <f>SUM(Admin!G73:G77)</f>
        <v>548828.73250070808</v>
      </c>
      <c r="G24" s="187">
        <f>SUM(Admin!H73:H77)</f>
        <v>569910.01773626986</v>
      </c>
      <c r="H24" s="187">
        <f>SUM(Admin!I73:I77)</f>
        <v>732180.79314900876</v>
      </c>
      <c r="I24" s="187">
        <f>SUM(Admin!J73:J77)</f>
        <v>751613.58280484017</v>
      </c>
      <c r="J24" s="187">
        <f>SUM(Admin!K73:K77)</f>
        <v>834031.52455290803</v>
      </c>
      <c r="K24" s="187">
        <f>SUM(Admin!L73:L77)</f>
        <v>856023.20596468146</v>
      </c>
      <c r="L24" s="187">
        <f>SUM(Admin!M73:M77)</f>
        <v>964054.27745832619</v>
      </c>
      <c r="M24" s="187">
        <f>SUM(Admin!N73:N77)</f>
        <v>989671.26780663431</v>
      </c>
      <c r="N24" s="187">
        <f>SUM(Admin!O73:O77)</f>
        <v>1027011.9740224968</v>
      </c>
      <c r="O24" s="288">
        <f>SUM(Admin!P73:P77)</f>
        <v>1065813.6781986412</v>
      </c>
      <c r="P24" s="289">
        <f t="shared" si="0"/>
        <v>9378140.9161829874</v>
      </c>
      <c r="Q24" s="293">
        <f t="shared" si="1"/>
        <v>8.7747984339779268E-3</v>
      </c>
    </row>
    <row r="25" spans="1:18" x14ac:dyDescent="0.25">
      <c r="A25" s="6" t="s">
        <v>61</v>
      </c>
      <c r="B25" s="28">
        <v>0</v>
      </c>
      <c r="C25" s="28">
        <v>0</v>
      </c>
      <c r="D25" s="187">
        <f>SUM(Admin!E68:E72)</f>
        <v>510100.12216229737</v>
      </c>
      <c r="E25" s="187">
        <f>SUM(Admin!F68:F72)</f>
        <v>528901.73982617597</v>
      </c>
      <c r="F25" s="187">
        <f>SUM(Admin!G68:G72)</f>
        <v>548828.73250070808</v>
      </c>
      <c r="G25" s="187">
        <f>SUM(Admin!H68:H72)</f>
        <v>569910.01773626986</v>
      </c>
      <c r="H25" s="187">
        <f>SUM(Admin!I68:I72)</f>
        <v>732180.79314900876</v>
      </c>
      <c r="I25" s="187">
        <f>SUM(Admin!J68:J72)</f>
        <v>751613.58280484017</v>
      </c>
      <c r="J25" s="187">
        <f>SUM(Admin!K68:K72)</f>
        <v>834031.52455290803</v>
      </c>
      <c r="K25" s="187">
        <f>SUM(Admin!L68:L72)</f>
        <v>856023.20596468146</v>
      </c>
      <c r="L25" s="187">
        <f>SUM(Admin!M68:M72)</f>
        <v>964054.27745832619</v>
      </c>
      <c r="M25" s="187">
        <f>SUM(Admin!N68:N72)</f>
        <v>989671.26780663431</v>
      </c>
      <c r="N25" s="187">
        <f>SUM(Admin!O68:O72)</f>
        <v>1027011.9740224968</v>
      </c>
      <c r="O25" s="288">
        <f>SUM(Admin!P68:P72)</f>
        <v>1065813.6781986412</v>
      </c>
      <c r="P25" s="289">
        <f t="shared" si="0"/>
        <v>9378140.9161829874</v>
      </c>
      <c r="Q25" s="293">
        <f t="shared" si="1"/>
        <v>8.7747984339779268E-3</v>
      </c>
    </row>
    <row r="26" spans="1:18" ht="15.75" thickBot="1" x14ac:dyDescent="0.3">
      <c r="A26" s="33" t="s">
        <v>175</v>
      </c>
      <c r="B26" s="278">
        <v>0</v>
      </c>
      <c r="C26" s="278">
        <v>0</v>
      </c>
      <c r="D26" s="188">
        <f>SUM(Remediation!B47:B51)+SUM(Remediation!B40:B44)</f>
        <v>2514122.7737487596</v>
      </c>
      <c r="E26" s="188">
        <f>SUM(Remediation!C47:C51)+SUM(Remediation!C40:C44)</f>
        <v>2606781.5692303847</v>
      </c>
      <c r="F26" s="188">
        <f>SUM(Remediation!D47:D51)+SUM(Remediation!D40:D44)</f>
        <v>2704847.7104494842</v>
      </c>
      <c r="G26" s="188">
        <f>SUM(Remediation!E47:E51)+SUM(Remediation!E40:E44)</f>
        <v>2808462.6064189868</v>
      </c>
      <c r="H26" s="188">
        <f>SUM(Remediation!F47:F51)+SUM(Remediation!F40:F44)</f>
        <v>3153347.6194703667</v>
      </c>
      <c r="I26" s="188">
        <f>SUM(Remediation!G47:G51)+SUM(Remediation!G40:G44)</f>
        <v>3237834.1684116684</v>
      </c>
      <c r="J26" s="188">
        <f>SUM(Remediation!H47:H51)+SUM(Remediation!H40:H44)</f>
        <v>4324821.8943457119</v>
      </c>
      <c r="K26" s="188">
        <f>SUM(Remediation!I47:I51)+SUM(Remediation!I40:I44)</f>
        <v>4431373.2671899889</v>
      </c>
      <c r="L26" s="188">
        <f>SUM(Remediation!J47:J51)+SUM(Remediation!J40:J44)</f>
        <v>5548623.3016982023</v>
      </c>
      <c r="M26" s="188">
        <f>SUM(Remediation!K47:K51)+SUM(Remediation!K40:K44)</f>
        <v>5678791.9042807277</v>
      </c>
      <c r="N26" s="188">
        <f>SUM(Remediation!L47:L51)+SUM(Remediation!L40:L44)</f>
        <v>5864087.2187754577</v>
      </c>
      <c r="O26" s="290">
        <f>SUM(Remediation!M47:M51)+SUM(Remediation!M40:M44)</f>
        <v>6056260.4244062304</v>
      </c>
      <c r="P26" s="291">
        <f t="shared" si="0"/>
        <v>48929354.458425969</v>
      </c>
      <c r="Q26" s="294">
        <f t="shared" si="1"/>
        <v>4.5781485553972205E-2</v>
      </c>
    </row>
    <row r="27" spans="1:18" s="14" customFormat="1" ht="15.75" thickTop="1" x14ac:dyDescent="0.25">
      <c r="A27" s="14" t="s">
        <v>8</v>
      </c>
      <c r="B27" s="402">
        <f>SUM(B6:B26)</f>
        <v>0</v>
      </c>
      <c r="C27" s="402">
        <f t="shared" ref="C27:O27" si="2">SUM(C6:C26)</f>
        <v>24732102.481358577</v>
      </c>
      <c r="D27" s="402">
        <f t="shared" si="2"/>
        <v>32363642.832538344</v>
      </c>
      <c r="E27" s="402">
        <f t="shared" si="2"/>
        <v>37666589.562579587</v>
      </c>
      <c r="F27" s="402">
        <f t="shared" si="2"/>
        <v>38083623.773972586</v>
      </c>
      <c r="G27" s="402">
        <f t="shared" si="2"/>
        <v>59436625.54061541</v>
      </c>
      <c r="H27" s="402">
        <f t="shared" si="2"/>
        <v>76763364.284770101</v>
      </c>
      <c r="I27" s="402">
        <f t="shared" si="2"/>
        <v>106734961.097146</v>
      </c>
      <c r="J27" s="402">
        <f t="shared" si="2"/>
        <v>109699128.12873183</v>
      </c>
      <c r="K27" s="402">
        <f t="shared" si="2"/>
        <v>111651967.43068247</v>
      </c>
      <c r="L27" s="402">
        <f t="shared" si="2"/>
        <v>114446165.24482439</v>
      </c>
      <c r="M27" s="402">
        <f t="shared" si="2"/>
        <v>116623624.41570938</v>
      </c>
      <c r="N27" s="402">
        <f t="shared" si="2"/>
        <v>118920936.1167326</v>
      </c>
      <c r="O27" s="402">
        <f t="shared" si="2"/>
        <v>121635826.53694458</v>
      </c>
      <c r="P27" s="276">
        <f>SUM(P6:P26)</f>
        <v>1068758557.446606</v>
      </c>
      <c r="Q27" s="277">
        <f>SUM(Q6:Q26)</f>
        <v>1</v>
      </c>
      <c r="R27" s="167"/>
    </row>
    <row r="28" spans="1:18" s="14" customFormat="1" x14ac:dyDescent="0.25">
      <c r="B28" s="402"/>
      <c r="C28" s="402"/>
      <c r="D28" s="402"/>
      <c r="E28" s="402"/>
      <c r="F28" s="402"/>
      <c r="G28" s="402"/>
      <c r="H28" s="402"/>
      <c r="I28" s="402"/>
      <c r="J28" s="402"/>
      <c r="K28" s="402"/>
      <c r="L28" s="402"/>
      <c r="M28" s="402"/>
      <c r="N28" s="402"/>
      <c r="O28" s="402">
        <f>SUM(B27:O27)</f>
        <v>1068758557.4466059</v>
      </c>
      <c r="P28" s="167"/>
      <c r="Q28" s="167"/>
      <c r="R28" s="167"/>
    </row>
    <row r="29" spans="1:18" hidden="1" x14ac:dyDescent="0.25">
      <c r="A29" s="274" t="s">
        <v>667</v>
      </c>
      <c r="B29" s="275"/>
      <c r="C29" s="275"/>
      <c r="D29" s="275"/>
      <c r="E29" s="275"/>
      <c r="F29" s="275"/>
      <c r="G29" s="275"/>
      <c r="H29" s="275"/>
      <c r="I29" s="275"/>
      <c r="J29" s="275"/>
      <c r="K29" s="275"/>
      <c r="L29" s="275"/>
      <c r="M29" s="275"/>
      <c r="N29" s="275" t="s">
        <v>667</v>
      </c>
      <c r="O29" s="275">
        <f>Summary!F19</f>
        <v>1068758557.4466058</v>
      </c>
      <c r="P29" s="275">
        <f>Summary!F19</f>
        <v>1068758557.4466058</v>
      </c>
    </row>
    <row r="30" spans="1:18" hidden="1" x14ac:dyDescent="0.25">
      <c r="A30" s="83" t="s">
        <v>686</v>
      </c>
      <c r="B30" s="285"/>
      <c r="C30" s="285">
        <f>SUM(Admin!C81:C82)</f>
        <v>407482.15115405578</v>
      </c>
      <c r="D30" s="285">
        <f>SUM(Admin!D81:D82)</f>
        <v>1237167.580826994</v>
      </c>
      <c r="E30" s="285">
        <f>SUM(Admin!E81:E82)</f>
        <v>1270045.5660266925</v>
      </c>
      <c r="F30" s="285">
        <f>SUM(Admin!F81:F82)</f>
        <v>1309556.439969887</v>
      </c>
      <c r="G30" s="285">
        <f>SUM(Admin!G81:G82)</f>
        <v>1351137.87060181</v>
      </c>
      <c r="H30" s="285">
        <f>SUM(Admin!H81:H82)</f>
        <v>1408837.1146683763</v>
      </c>
      <c r="I30" s="285">
        <f>SUM(Admin!I81:I82)</f>
        <v>1442657.488489544</v>
      </c>
      <c r="J30" s="285">
        <f>SUM(Admin!J81:J82)</f>
        <v>1477280.0142385075</v>
      </c>
      <c r="K30" s="285">
        <f>SUM(Admin!K81:K82)</f>
        <v>1514129.9108570353</v>
      </c>
      <c r="L30" s="285">
        <f>SUM(Admin!L81:L82)</f>
        <v>1553190.4786928531</v>
      </c>
      <c r="M30" s="285">
        <f>SUM(Admin!M81:M82)</f>
        <v>1594462.0817883322</v>
      </c>
      <c r="N30" s="285">
        <f>SUM(Admin!N81:N82)</f>
        <v>1654621.7955287774</v>
      </c>
      <c r="O30" s="285">
        <f>SUM(Admin!O81:O82)</f>
        <v>1717135.3270721808</v>
      </c>
      <c r="P30" s="285">
        <f t="shared" ref="P30" si="3">SUM(B30:O30)</f>
        <v>17937703.819915045</v>
      </c>
    </row>
    <row r="31" spans="1:18" hidden="1" x14ac:dyDescent="0.25">
      <c r="A31" s="83"/>
      <c r="B31" s="285"/>
      <c r="C31" s="285"/>
      <c r="D31" s="285"/>
      <c r="E31" s="285"/>
      <c r="F31" s="285"/>
      <c r="G31" s="285"/>
      <c r="H31" s="285"/>
      <c r="I31" s="285"/>
      <c r="J31" s="285"/>
      <c r="K31" s="285"/>
      <c r="L31" s="285"/>
      <c r="M31" s="285"/>
      <c r="N31" s="285"/>
      <c r="O31" s="285"/>
      <c r="P31" s="286">
        <f>P30/O28</f>
        <v>1.6783682053288444E-2</v>
      </c>
    </row>
  </sheetData>
  <pageMargins left="0.7" right="0.7" top="0.75" bottom="0.75" header="0.3" footer="0.3"/>
  <pageSetup orientation="landscape" r:id="rId1"/>
  <headerFooter>
    <oddHeader>&amp;CPRELIMINARY DISCUSSION DRAFT - DO NOT CITE OR QUOTE</oddHeader>
    <oddFooter>&amp;L&amp;F&amp;R&amp;D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7"/>
  <sheetViews>
    <sheetView zoomScaleNormal="100" workbookViewId="0">
      <selection activeCell="F103" sqref="A1:F1048576"/>
    </sheetView>
  </sheetViews>
  <sheetFormatPr defaultColWidth="9.140625" defaultRowHeight="15" x14ac:dyDescent="0.25"/>
  <cols>
    <col min="1" max="1" width="47.140625" style="38" customWidth="1"/>
    <col min="2" max="2" width="25.7109375" style="38" customWidth="1"/>
    <col min="3" max="3" width="12.28515625" style="38" bestFit="1" customWidth="1"/>
    <col min="4" max="4" width="13.5703125" style="38" customWidth="1"/>
    <col min="5" max="5" width="39" style="38" bestFit="1" customWidth="1"/>
    <col min="6" max="6" width="17.7109375" style="38" customWidth="1"/>
    <col min="7" max="16384" width="9.140625" style="1"/>
  </cols>
  <sheetData>
    <row r="1" spans="1:5" ht="18.75" x14ac:dyDescent="0.3">
      <c r="A1" s="314" t="s">
        <v>69</v>
      </c>
      <c r="B1" s="408" t="s">
        <v>497</v>
      </c>
      <c r="C1" s="409"/>
      <c r="D1" s="409"/>
      <c r="E1" s="122"/>
    </row>
    <row r="2" spans="1:5" x14ac:dyDescent="0.25">
      <c r="B2" s="410" t="s">
        <v>459</v>
      </c>
      <c r="C2" s="122"/>
      <c r="D2" s="122"/>
      <c r="E2" s="122"/>
    </row>
    <row r="3" spans="1:5" x14ac:dyDescent="0.25">
      <c r="B3" s="411" t="s">
        <v>460</v>
      </c>
      <c r="C3" s="124"/>
      <c r="D3" s="124"/>
      <c r="E3" s="122"/>
    </row>
    <row r="5" spans="1:5" ht="15.75" x14ac:dyDescent="0.25">
      <c r="A5" s="486" t="s">
        <v>117</v>
      </c>
      <c r="B5" s="360" t="s">
        <v>118</v>
      </c>
      <c r="C5" s="302" t="s">
        <v>26</v>
      </c>
    </row>
    <row r="6" spans="1:5" ht="17.25" x14ac:dyDescent="0.25">
      <c r="A6" s="156" t="s">
        <v>518</v>
      </c>
      <c r="B6" s="349" t="s">
        <v>120</v>
      </c>
      <c r="C6" s="413">
        <v>4900000</v>
      </c>
    </row>
    <row r="7" spans="1:5" ht="30" x14ac:dyDescent="0.25">
      <c r="A7" s="414" t="s">
        <v>726</v>
      </c>
      <c r="B7" s="415" t="s">
        <v>194</v>
      </c>
      <c r="C7" s="416">
        <f>AVERAGE(4800,1100,2000)</f>
        <v>2633.3333333333335</v>
      </c>
      <c r="E7" s="417"/>
    </row>
    <row r="8" spans="1:5" ht="17.25" x14ac:dyDescent="0.25">
      <c r="A8" s="156" t="s">
        <v>710</v>
      </c>
      <c r="B8" s="349" t="s">
        <v>195</v>
      </c>
      <c r="C8" s="413">
        <v>40</v>
      </c>
    </row>
    <row r="9" spans="1:5" ht="17.25" x14ac:dyDescent="0.25">
      <c r="A9" s="156" t="s">
        <v>712</v>
      </c>
      <c r="B9" s="349" t="s">
        <v>195</v>
      </c>
      <c r="C9" s="413">
        <v>160</v>
      </c>
    </row>
    <row r="10" spans="1:5" ht="17.25" x14ac:dyDescent="0.25">
      <c r="A10" s="156" t="s">
        <v>713</v>
      </c>
      <c r="B10" s="349" t="s">
        <v>195</v>
      </c>
      <c r="C10" s="413">
        <v>500</v>
      </c>
      <c r="E10" s="417"/>
    </row>
    <row r="11" spans="1:5" ht="17.25" x14ac:dyDescent="0.25">
      <c r="A11" s="156" t="s">
        <v>714</v>
      </c>
      <c r="B11" s="349" t="s">
        <v>467</v>
      </c>
      <c r="C11" s="418">
        <v>2</v>
      </c>
      <c r="E11" s="417"/>
    </row>
    <row r="12" spans="1:5" ht="17.25" x14ac:dyDescent="0.25">
      <c r="A12" s="156" t="s">
        <v>716</v>
      </c>
      <c r="B12" s="349" t="s">
        <v>121</v>
      </c>
      <c r="C12" s="413">
        <v>900</v>
      </c>
    </row>
    <row r="13" spans="1:5" ht="17.25" x14ac:dyDescent="0.25">
      <c r="A13" s="156" t="s">
        <v>717</v>
      </c>
      <c r="B13" s="349" t="s">
        <v>196</v>
      </c>
      <c r="C13" s="413">
        <v>33000</v>
      </c>
    </row>
    <row r="14" spans="1:5" ht="17.25" x14ac:dyDescent="0.25">
      <c r="A14" s="156" t="s">
        <v>719</v>
      </c>
      <c r="B14" s="349" t="s">
        <v>196</v>
      </c>
      <c r="C14" s="413">
        <v>200000</v>
      </c>
    </row>
    <row r="15" spans="1:5" ht="32.25" x14ac:dyDescent="0.25">
      <c r="A15" s="156" t="s">
        <v>720</v>
      </c>
      <c r="B15" s="349" t="s">
        <v>122</v>
      </c>
      <c r="C15" s="413">
        <v>170000</v>
      </c>
    </row>
    <row r="16" spans="1:5" ht="17.25" x14ac:dyDescent="0.25">
      <c r="A16" s="156" t="s">
        <v>721</v>
      </c>
      <c r="B16" s="349" t="s">
        <v>468</v>
      </c>
      <c r="C16" s="413">
        <v>300</v>
      </c>
      <c r="E16" s="417"/>
    </row>
    <row r="17" spans="1:5" ht="17.25" x14ac:dyDescent="0.25">
      <c r="A17" s="156" t="s">
        <v>723</v>
      </c>
      <c r="B17" s="349" t="s">
        <v>196</v>
      </c>
      <c r="C17" s="413">
        <v>800</v>
      </c>
    </row>
    <row r="18" spans="1:5" ht="17.25" x14ac:dyDescent="0.25">
      <c r="A18" s="156" t="s">
        <v>724</v>
      </c>
      <c r="B18" s="349" t="s">
        <v>97</v>
      </c>
      <c r="C18" s="419">
        <v>0.5</v>
      </c>
    </row>
    <row r="19" spans="1:5" ht="17.25" x14ac:dyDescent="0.25">
      <c r="A19" s="156" t="s">
        <v>725</v>
      </c>
      <c r="B19" s="349" t="s">
        <v>196</v>
      </c>
      <c r="C19" s="413">
        <v>180000</v>
      </c>
      <c r="E19" s="417"/>
    </row>
    <row r="20" spans="1:5" x14ac:dyDescent="0.25">
      <c r="A20" s="156" t="s">
        <v>29</v>
      </c>
      <c r="B20" s="349" t="s">
        <v>197</v>
      </c>
      <c r="C20" s="420">
        <v>0.1295</v>
      </c>
    </row>
    <row r="21" spans="1:5" ht="30" x14ac:dyDescent="0.25">
      <c r="A21" s="421" t="s">
        <v>685</v>
      </c>
      <c r="B21" s="422"/>
      <c r="C21" s="422"/>
      <c r="D21" s="423"/>
    </row>
    <row r="22" spans="1:5" ht="60" x14ac:dyDescent="0.25">
      <c r="A22" s="424" t="s">
        <v>709</v>
      </c>
      <c r="B22" s="422"/>
      <c r="C22" s="422"/>
      <c r="D22" s="423"/>
    </row>
    <row r="23" spans="1:5" ht="30" x14ac:dyDescent="0.25">
      <c r="A23" s="424" t="s">
        <v>711</v>
      </c>
      <c r="B23" s="422"/>
      <c r="C23" s="422"/>
      <c r="D23" s="423"/>
      <c r="E23" s="425"/>
    </row>
    <row r="24" spans="1:5" ht="30" x14ac:dyDescent="0.25">
      <c r="A24" s="424" t="s">
        <v>715</v>
      </c>
      <c r="B24" s="422"/>
      <c r="C24" s="422"/>
      <c r="D24" s="423"/>
      <c r="E24" s="425"/>
    </row>
    <row r="25" spans="1:5" ht="30" x14ac:dyDescent="0.25">
      <c r="A25" s="424" t="s">
        <v>718</v>
      </c>
      <c r="B25" s="422"/>
      <c r="C25" s="422"/>
      <c r="D25" s="423"/>
      <c r="E25" s="425"/>
    </row>
    <row r="26" spans="1:5" ht="45" x14ac:dyDescent="0.25">
      <c r="A26" s="424" t="s">
        <v>722</v>
      </c>
      <c r="B26" s="422"/>
      <c r="C26" s="422"/>
      <c r="D26" s="423"/>
      <c r="E26" s="425"/>
    </row>
    <row r="28" spans="1:5" ht="15.75" x14ac:dyDescent="0.25">
      <c r="A28" s="486" t="s">
        <v>119</v>
      </c>
      <c r="B28" s="360" t="s">
        <v>118</v>
      </c>
      <c r="C28" s="302" t="s">
        <v>26</v>
      </c>
      <c r="E28" s="417"/>
    </row>
    <row r="29" spans="1:5" ht="32.25" x14ac:dyDescent="0.25">
      <c r="A29" s="156" t="s">
        <v>521</v>
      </c>
      <c r="B29" s="349" t="s">
        <v>120</v>
      </c>
      <c r="C29" s="413">
        <v>3600000</v>
      </c>
      <c r="E29" s="417"/>
    </row>
    <row r="30" spans="1:5" ht="32.25" x14ac:dyDescent="0.25">
      <c r="A30" s="156" t="s">
        <v>522</v>
      </c>
      <c r="B30" s="349" t="s">
        <v>255</v>
      </c>
      <c r="C30" s="413">
        <f>AVERAGE(1027000,1195000)*4.5</f>
        <v>4999500</v>
      </c>
      <c r="E30" s="417"/>
    </row>
    <row r="31" spans="1:5" ht="47.25" x14ac:dyDescent="0.25">
      <c r="A31" s="156" t="s">
        <v>523</v>
      </c>
      <c r="B31" s="349" t="s">
        <v>255</v>
      </c>
      <c r="C31" s="413">
        <v>4500000</v>
      </c>
    </row>
    <row r="32" spans="1:5" ht="32.25" x14ac:dyDescent="0.25">
      <c r="A32" s="156" t="s">
        <v>729</v>
      </c>
      <c r="B32" s="349" t="s">
        <v>255</v>
      </c>
      <c r="C32" s="416">
        <v>7000000</v>
      </c>
      <c r="E32" s="417"/>
    </row>
    <row r="33" spans="1:5" ht="30" x14ac:dyDescent="0.25">
      <c r="A33" s="156" t="s">
        <v>731</v>
      </c>
      <c r="B33" s="349" t="s">
        <v>277</v>
      </c>
      <c r="C33" s="413">
        <v>0</v>
      </c>
      <c r="E33" s="417"/>
    </row>
    <row r="34" spans="1:5" ht="17.25" x14ac:dyDescent="0.25">
      <c r="A34" s="156" t="s">
        <v>732</v>
      </c>
      <c r="B34" s="349" t="s">
        <v>120</v>
      </c>
      <c r="C34" s="413">
        <v>12000</v>
      </c>
      <c r="E34" s="417"/>
    </row>
    <row r="35" spans="1:5" ht="32.25" x14ac:dyDescent="0.25">
      <c r="A35" s="156" t="s">
        <v>733</v>
      </c>
      <c r="B35" s="349" t="s">
        <v>122</v>
      </c>
      <c r="C35" s="413">
        <v>150000</v>
      </c>
      <c r="E35" s="417"/>
    </row>
    <row r="36" spans="1:5" ht="30" x14ac:dyDescent="0.25">
      <c r="A36" s="156" t="s">
        <v>734</v>
      </c>
      <c r="B36" s="426" t="s">
        <v>278</v>
      </c>
      <c r="C36" s="413">
        <v>17500</v>
      </c>
      <c r="E36" s="417"/>
    </row>
    <row r="37" spans="1:5" ht="17.25" x14ac:dyDescent="0.25">
      <c r="A37" s="156" t="s">
        <v>735</v>
      </c>
      <c r="B37" s="349" t="s">
        <v>34</v>
      </c>
      <c r="C37" s="418">
        <v>20</v>
      </c>
      <c r="E37" s="417"/>
    </row>
    <row r="38" spans="1:5" ht="17.25" x14ac:dyDescent="0.25">
      <c r="A38" s="156" t="s">
        <v>736</v>
      </c>
      <c r="B38" s="349" t="s">
        <v>121</v>
      </c>
      <c r="C38" s="413">
        <v>100</v>
      </c>
      <c r="E38" s="417"/>
    </row>
    <row r="39" spans="1:5" x14ac:dyDescent="0.25">
      <c r="A39" s="156" t="s">
        <v>552</v>
      </c>
      <c r="B39" s="349" t="s">
        <v>197</v>
      </c>
      <c r="C39" s="420">
        <v>8.0199999999999994E-2</v>
      </c>
    </row>
    <row r="40" spans="1:5" ht="30" x14ac:dyDescent="0.25">
      <c r="A40" s="421" t="s">
        <v>685</v>
      </c>
      <c r="B40" s="422"/>
      <c r="C40" s="422"/>
      <c r="D40" s="422"/>
      <c r="E40" s="417"/>
    </row>
    <row r="41" spans="1:5" ht="60" x14ac:dyDescent="0.25">
      <c r="A41" s="424" t="s">
        <v>727</v>
      </c>
      <c r="B41" s="422"/>
      <c r="C41" s="422"/>
      <c r="D41" s="422"/>
      <c r="E41" s="417"/>
    </row>
    <row r="42" spans="1:5" ht="45" x14ac:dyDescent="0.25">
      <c r="A42" s="424" t="s">
        <v>728</v>
      </c>
      <c r="B42" s="422"/>
      <c r="C42" s="422"/>
      <c r="D42" s="422"/>
      <c r="E42" s="417"/>
    </row>
    <row r="43" spans="1:5" ht="60" x14ac:dyDescent="0.25">
      <c r="A43" s="424" t="s">
        <v>730</v>
      </c>
      <c r="B43" s="422"/>
      <c r="C43" s="422"/>
      <c r="D43" s="422"/>
      <c r="E43" s="417"/>
    </row>
    <row r="44" spans="1:5" x14ac:dyDescent="0.25">
      <c r="D44" s="422"/>
    </row>
    <row r="45" spans="1:5" ht="33.75" x14ac:dyDescent="0.25">
      <c r="A45" s="487" t="s">
        <v>524</v>
      </c>
      <c r="B45" s="348" t="s">
        <v>409</v>
      </c>
      <c r="C45" s="154" t="s">
        <v>410</v>
      </c>
    </row>
    <row r="46" spans="1:5" x14ac:dyDescent="0.25">
      <c r="A46" s="156" t="s">
        <v>411</v>
      </c>
      <c r="B46" s="427" t="s">
        <v>413</v>
      </c>
      <c r="C46" s="420">
        <v>1</v>
      </c>
    </row>
    <row r="47" spans="1:5" x14ac:dyDescent="0.25">
      <c r="A47" s="156" t="s">
        <v>82</v>
      </c>
      <c r="B47" s="427" t="s">
        <v>413</v>
      </c>
      <c r="C47" s="420">
        <v>1</v>
      </c>
    </row>
    <row r="48" spans="1:5" x14ac:dyDescent="0.25">
      <c r="A48" s="156" t="s">
        <v>412</v>
      </c>
      <c r="B48" s="427" t="s">
        <v>414</v>
      </c>
      <c r="C48" s="420">
        <v>1</v>
      </c>
    </row>
    <row r="49" spans="1:6" x14ac:dyDescent="0.25">
      <c r="A49" s="156" t="s">
        <v>768</v>
      </c>
      <c r="B49" s="427" t="s">
        <v>415</v>
      </c>
      <c r="C49" s="420">
        <v>1</v>
      </c>
    </row>
    <row r="50" spans="1:6" x14ac:dyDescent="0.25">
      <c r="A50" s="156" t="s">
        <v>769</v>
      </c>
      <c r="B50" s="427" t="s">
        <v>416</v>
      </c>
      <c r="C50" s="420">
        <v>1</v>
      </c>
    </row>
    <row r="51" spans="1:6" ht="45" x14ac:dyDescent="0.25">
      <c r="A51" s="64" t="s">
        <v>526</v>
      </c>
      <c r="C51" s="428"/>
    </row>
    <row r="52" spans="1:6" x14ac:dyDescent="0.25">
      <c r="C52" s="428"/>
    </row>
    <row r="53" spans="1:6" ht="31.5" x14ac:dyDescent="0.25">
      <c r="A53" s="486" t="s">
        <v>185</v>
      </c>
      <c r="B53" s="360" t="s">
        <v>118</v>
      </c>
      <c r="C53" s="429" t="s">
        <v>26</v>
      </c>
      <c r="E53" s="430"/>
    </row>
    <row r="54" spans="1:6" ht="32.25" x14ac:dyDescent="0.25">
      <c r="A54" s="426" t="s">
        <v>670</v>
      </c>
      <c r="B54" s="349" t="s">
        <v>286</v>
      </c>
      <c r="C54" s="413">
        <f>6316048*1.11</f>
        <v>7010813.2800000003</v>
      </c>
      <c r="E54" s="431"/>
    </row>
    <row r="55" spans="1:6" ht="32.25" x14ac:dyDescent="0.25">
      <c r="A55" s="426" t="s">
        <v>519</v>
      </c>
      <c r="B55" s="349" t="s">
        <v>310</v>
      </c>
      <c r="C55" s="413">
        <f>1795725*1.11</f>
        <v>1993254.7500000002</v>
      </c>
      <c r="E55" s="431"/>
    </row>
    <row r="56" spans="1:6" ht="32.25" x14ac:dyDescent="0.25">
      <c r="A56" s="426" t="s">
        <v>671</v>
      </c>
      <c r="B56" s="349" t="s">
        <v>286</v>
      </c>
      <c r="C56" s="413">
        <v>83200000</v>
      </c>
      <c r="E56" s="431"/>
    </row>
    <row r="57" spans="1:6" s="9" customFormat="1" ht="32.25" x14ac:dyDescent="0.25">
      <c r="A57" s="432" t="s">
        <v>740</v>
      </c>
      <c r="B57" s="415" t="s">
        <v>286</v>
      </c>
      <c r="C57" s="416">
        <v>21983333</v>
      </c>
      <c r="D57" s="417"/>
      <c r="E57" s="431"/>
      <c r="F57" s="417"/>
    </row>
    <row r="58" spans="1:6" ht="32.25" x14ac:dyDescent="0.25">
      <c r="A58" s="296" t="s">
        <v>520</v>
      </c>
      <c r="B58" s="349" t="s">
        <v>97</v>
      </c>
      <c r="C58" s="419">
        <v>0.5</v>
      </c>
      <c r="E58" s="431"/>
    </row>
    <row r="59" spans="1:6" ht="32.25" x14ac:dyDescent="0.25">
      <c r="A59" s="426" t="s">
        <v>741</v>
      </c>
      <c r="B59" s="349" t="s">
        <v>287</v>
      </c>
      <c r="C59" s="413">
        <f>791478*1.11</f>
        <v>878540.58000000007</v>
      </c>
      <c r="E59" s="431"/>
    </row>
    <row r="60" spans="1:6" ht="32.25" x14ac:dyDescent="0.25">
      <c r="A60" s="426" t="s">
        <v>742</v>
      </c>
      <c r="B60" s="349" t="s">
        <v>287</v>
      </c>
      <c r="C60" s="413">
        <f>1468182*1.11</f>
        <v>1629682.0200000003</v>
      </c>
      <c r="E60" s="431"/>
    </row>
    <row r="61" spans="1:6" ht="32.25" x14ac:dyDescent="0.25">
      <c r="A61" s="426" t="s">
        <v>743</v>
      </c>
      <c r="B61" s="349" t="s">
        <v>287</v>
      </c>
      <c r="C61" s="413">
        <f>2850000*1.11</f>
        <v>3163500.0000000005</v>
      </c>
      <c r="E61" s="431"/>
    </row>
    <row r="62" spans="1:6" ht="32.25" x14ac:dyDescent="0.25">
      <c r="A62" s="426" t="s">
        <v>744</v>
      </c>
      <c r="B62" s="349" t="s">
        <v>287</v>
      </c>
      <c r="C62" s="413">
        <f>2256278*1.11</f>
        <v>2504468.58</v>
      </c>
      <c r="E62" s="431"/>
    </row>
    <row r="63" spans="1:6" ht="17.25" x14ac:dyDescent="0.25">
      <c r="A63" s="426" t="s">
        <v>745</v>
      </c>
      <c r="B63" s="349" t="s">
        <v>284</v>
      </c>
      <c r="C63" s="413">
        <v>250000</v>
      </c>
      <c r="E63" s="417"/>
    </row>
    <row r="64" spans="1:6" ht="17.25" x14ac:dyDescent="0.25">
      <c r="A64" s="426" t="s">
        <v>747</v>
      </c>
      <c r="B64" s="349" t="s">
        <v>285</v>
      </c>
      <c r="C64" s="413">
        <v>2355</v>
      </c>
      <c r="E64" s="417"/>
    </row>
    <row r="65" spans="1:7" ht="30" customHeight="1" x14ac:dyDescent="0.25">
      <c r="A65" s="426" t="s">
        <v>748</v>
      </c>
      <c r="B65" s="349" t="s">
        <v>297</v>
      </c>
      <c r="C65" s="413">
        <v>24285</v>
      </c>
      <c r="E65" s="417"/>
    </row>
    <row r="66" spans="1:7" ht="30" customHeight="1" x14ac:dyDescent="0.25">
      <c r="A66" s="426" t="s">
        <v>749</v>
      </c>
      <c r="B66" s="349" t="s">
        <v>298</v>
      </c>
      <c r="C66" s="413">
        <v>10000</v>
      </c>
      <c r="E66" s="417"/>
    </row>
    <row r="67" spans="1:7" ht="32.25" x14ac:dyDescent="0.25">
      <c r="A67" s="426" t="s">
        <v>750</v>
      </c>
      <c r="B67" s="349" t="s">
        <v>630</v>
      </c>
      <c r="C67" s="420">
        <v>2021</v>
      </c>
      <c r="E67" s="417"/>
    </row>
    <row r="68" spans="1:7" ht="17.25" x14ac:dyDescent="0.25">
      <c r="A68" s="426" t="s">
        <v>751</v>
      </c>
      <c r="B68" s="349" t="s">
        <v>630</v>
      </c>
      <c r="C68" s="420">
        <v>2025</v>
      </c>
      <c r="E68" s="417"/>
    </row>
    <row r="69" spans="1:7" ht="32.25" x14ac:dyDescent="0.25">
      <c r="A69" s="426" t="s">
        <v>752</v>
      </c>
      <c r="B69" s="349" t="s">
        <v>630</v>
      </c>
      <c r="C69" s="420">
        <v>2027</v>
      </c>
      <c r="E69" s="417"/>
    </row>
    <row r="70" spans="1:7" ht="32.25" x14ac:dyDescent="0.25">
      <c r="A70" s="426" t="s">
        <v>753</v>
      </c>
      <c r="B70" s="349" t="s">
        <v>630</v>
      </c>
      <c r="C70" s="420">
        <v>2029</v>
      </c>
      <c r="E70" s="417"/>
    </row>
    <row r="71" spans="1:7" x14ac:dyDescent="0.25">
      <c r="A71" s="426" t="s">
        <v>184</v>
      </c>
      <c r="B71" s="349" t="s">
        <v>197</v>
      </c>
      <c r="C71" s="420">
        <v>8.0199999999999994E-2</v>
      </c>
      <c r="E71" s="417"/>
    </row>
    <row r="72" spans="1:7" x14ac:dyDescent="0.25">
      <c r="A72" s="426" t="s">
        <v>29</v>
      </c>
      <c r="B72" s="349" t="s">
        <v>197</v>
      </c>
      <c r="C72" s="420">
        <v>0.1295</v>
      </c>
      <c r="E72" s="417"/>
    </row>
    <row r="73" spans="1:7" ht="30" x14ac:dyDescent="0.25">
      <c r="A73" s="64" t="s">
        <v>739</v>
      </c>
      <c r="D73" s="428"/>
    </row>
    <row r="74" spans="1:7" ht="30" x14ac:dyDescent="0.25">
      <c r="A74" s="179" t="s">
        <v>550</v>
      </c>
      <c r="D74" s="428"/>
    </row>
    <row r="75" spans="1:7" x14ac:dyDescent="0.25">
      <c r="A75" s="64" t="s">
        <v>757</v>
      </c>
      <c r="D75" s="428"/>
    </row>
    <row r="76" spans="1:7" ht="30" x14ac:dyDescent="0.25">
      <c r="A76" s="179" t="s">
        <v>746</v>
      </c>
      <c r="D76" s="428"/>
    </row>
    <row r="77" spans="1:7" x14ac:dyDescent="0.25">
      <c r="D77" s="428"/>
    </row>
    <row r="78" spans="1:7" ht="15.75" x14ac:dyDescent="0.25">
      <c r="A78" s="486" t="s">
        <v>124</v>
      </c>
      <c r="B78" s="302" t="s">
        <v>137</v>
      </c>
      <c r="C78" s="302" t="s">
        <v>138</v>
      </c>
      <c r="D78" s="302" t="s">
        <v>139</v>
      </c>
      <c r="E78" s="303" t="s">
        <v>140</v>
      </c>
      <c r="F78" s="302" t="s">
        <v>141</v>
      </c>
    </row>
    <row r="79" spans="1:7" x14ac:dyDescent="0.25">
      <c r="A79" s="426" t="s">
        <v>125</v>
      </c>
      <c r="B79" s="410">
        <v>5</v>
      </c>
      <c r="C79" s="350">
        <v>10000</v>
      </c>
      <c r="D79" s="433">
        <v>2020</v>
      </c>
      <c r="E79" s="434" t="s">
        <v>143</v>
      </c>
      <c r="F79" s="435">
        <v>44197</v>
      </c>
      <c r="G79" s="9"/>
    </row>
    <row r="80" spans="1:7" x14ac:dyDescent="0.25">
      <c r="A80" s="426" t="s">
        <v>126</v>
      </c>
      <c r="B80" s="410">
        <v>4</v>
      </c>
      <c r="C80" s="350">
        <v>10000</v>
      </c>
      <c r="D80" s="433">
        <v>2020</v>
      </c>
      <c r="E80" s="434" t="s">
        <v>143</v>
      </c>
      <c r="F80" s="435">
        <v>44197</v>
      </c>
    </row>
    <row r="81" spans="1:6" x14ac:dyDescent="0.25">
      <c r="A81" s="426" t="s">
        <v>127</v>
      </c>
      <c r="B81" s="410">
        <v>5</v>
      </c>
      <c r="C81" s="350">
        <v>10000</v>
      </c>
      <c r="D81" s="433">
        <v>2023</v>
      </c>
      <c r="E81" s="434" t="s">
        <v>144</v>
      </c>
      <c r="F81" s="435">
        <v>45292</v>
      </c>
    </row>
    <row r="82" spans="1:6" x14ac:dyDescent="0.25">
      <c r="A82" s="426" t="s">
        <v>770</v>
      </c>
      <c r="B82" s="410">
        <v>2</v>
      </c>
      <c r="C82" s="350">
        <v>10000</v>
      </c>
      <c r="D82" s="433">
        <v>2025</v>
      </c>
      <c r="E82" s="434" t="s">
        <v>145</v>
      </c>
      <c r="F82" s="435">
        <v>46023</v>
      </c>
    </row>
    <row r="83" spans="1:6" x14ac:dyDescent="0.25">
      <c r="A83" s="426" t="s">
        <v>771</v>
      </c>
      <c r="B83" s="410">
        <v>0</v>
      </c>
      <c r="C83" s="350">
        <v>10000</v>
      </c>
      <c r="D83" s="433">
        <v>2027</v>
      </c>
      <c r="E83" s="434" t="s">
        <v>146</v>
      </c>
      <c r="F83" s="435">
        <v>46753</v>
      </c>
    </row>
    <row r="84" spans="1:6" x14ac:dyDescent="0.25">
      <c r="A84" s="426" t="s">
        <v>128</v>
      </c>
      <c r="B84" s="411">
        <f>SUM('Berths, Terminals, Vessels'!B13:B17)</f>
        <v>19</v>
      </c>
      <c r="C84" s="350">
        <v>2500</v>
      </c>
      <c r="D84" s="433">
        <v>2020</v>
      </c>
      <c r="E84" s="434" t="s">
        <v>147</v>
      </c>
      <c r="F84" s="435">
        <v>44197</v>
      </c>
    </row>
    <row r="85" spans="1:6" x14ac:dyDescent="0.25">
      <c r="A85" s="426" t="s">
        <v>129</v>
      </c>
      <c r="B85" s="411">
        <f>SUM('Berths, Terminals, Vessels'!B41:B44)</f>
        <v>5</v>
      </c>
      <c r="C85" s="350">
        <v>2500</v>
      </c>
      <c r="D85" s="433">
        <v>2020</v>
      </c>
      <c r="E85" s="434" t="s">
        <v>147</v>
      </c>
      <c r="F85" s="435">
        <v>44197</v>
      </c>
    </row>
    <row r="86" spans="1:6" x14ac:dyDescent="0.25">
      <c r="A86" s="426" t="s">
        <v>130</v>
      </c>
      <c r="B86" s="411">
        <f>SUM('Berths, Terminals, Vessels'!B58:B64)</f>
        <v>11</v>
      </c>
      <c r="C86" s="350">
        <v>2500</v>
      </c>
      <c r="D86" s="433" t="s">
        <v>152</v>
      </c>
      <c r="E86" s="434" t="s">
        <v>148</v>
      </c>
      <c r="F86" s="435">
        <v>45444</v>
      </c>
    </row>
    <row r="87" spans="1:6" x14ac:dyDescent="0.25">
      <c r="A87" s="426" t="s">
        <v>772</v>
      </c>
      <c r="B87" s="411">
        <f>SUM('Berths, Terminals, Vessels'!B78:B79)</f>
        <v>9</v>
      </c>
      <c r="C87" s="350">
        <v>2500</v>
      </c>
      <c r="D87" s="433" t="s">
        <v>153</v>
      </c>
      <c r="E87" s="434" t="s">
        <v>149</v>
      </c>
      <c r="F87" s="435">
        <v>46174</v>
      </c>
    </row>
    <row r="88" spans="1:6" x14ac:dyDescent="0.25">
      <c r="A88" s="426" t="s">
        <v>773</v>
      </c>
      <c r="B88" s="411">
        <f>SUM('Berths, Terminals, Vessels'!B80:B83)</f>
        <v>13</v>
      </c>
      <c r="C88" s="350">
        <v>2500</v>
      </c>
      <c r="D88" s="433" t="s">
        <v>154</v>
      </c>
      <c r="E88" s="434" t="s">
        <v>150</v>
      </c>
      <c r="F88" s="435">
        <v>46905</v>
      </c>
    </row>
    <row r="89" spans="1:6" ht="30" x14ac:dyDescent="0.25">
      <c r="A89" s="426" t="s">
        <v>131</v>
      </c>
      <c r="B89" s="411">
        <f>'Vessel Visits'!B14</f>
        <v>3742</v>
      </c>
      <c r="C89" s="350">
        <v>100</v>
      </c>
      <c r="D89" s="433" t="s">
        <v>155</v>
      </c>
      <c r="E89" s="434" t="s">
        <v>151</v>
      </c>
      <c r="F89" s="351" t="s">
        <v>142</v>
      </c>
    </row>
    <row r="90" spans="1:6" ht="30" x14ac:dyDescent="0.25">
      <c r="A90" s="426" t="s">
        <v>132</v>
      </c>
      <c r="B90" s="411">
        <f>'Vessel Visits'!B64</f>
        <v>527</v>
      </c>
      <c r="C90" s="350">
        <v>100</v>
      </c>
      <c r="D90" s="433" t="s">
        <v>156</v>
      </c>
      <c r="E90" s="434" t="s">
        <v>151</v>
      </c>
      <c r="F90" s="351" t="s">
        <v>142</v>
      </c>
    </row>
    <row r="91" spans="1:6" ht="30" x14ac:dyDescent="0.25">
      <c r="A91" s="426" t="s">
        <v>133</v>
      </c>
      <c r="B91" s="411">
        <f>'Vessel Visits'!B107</f>
        <v>1017</v>
      </c>
      <c r="C91" s="350">
        <v>100</v>
      </c>
      <c r="D91" s="433" t="s">
        <v>157</v>
      </c>
      <c r="E91" s="434" t="s">
        <v>151</v>
      </c>
      <c r="F91" s="351" t="s">
        <v>142</v>
      </c>
    </row>
    <row r="92" spans="1:6" ht="30" x14ac:dyDescent="0.25">
      <c r="A92" s="426" t="s">
        <v>774</v>
      </c>
      <c r="B92" s="411">
        <f>'Vessel Visits'!B148</f>
        <v>577</v>
      </c>
      <c r="C92" s="350">
        <v>100</v>
      </c>
      <c r="D92" s="433" t="s">
        <v>158</v>
      </c>
      <c r="E92" s="434" t="s">
        <v>151</v>
      </c>
      <c r="F92" s="351" t="s">
        <v>142</v>
      </c>
    </row>
    <row r="93" spans="1:6" ht="30" x14ac:dyDescent="0.25">
      <c r="A93" s="426" t="s">
        <v>775</v>
      </c>
      <c r="B93" s="411">
        <f>'Vessel Visits'!B184</f>
        <v>766</v>
      </c>
      <c r="C93" s="350">
        <v>100</v>
      </c>
      <c r="D93" s="433" t="s">
        <v>159</v>
      </c>
      <c r="E93" s="434" t="s">
        <v>151</v>
      </c>
      <c r="F93" s="351" t="s">
        <v>142</v>
      </c>
    </row>
    <row r="94" spans="1:6" ht="30" x14ac:dyDescent="0.25">
      <c r="A94" s="426" t="s">
        <v>134</v>
      </c>
      <c r="B94" s="411">
        <f>B89</f>
        <v>3742</v>
      </c>
      <c r="C94" s="436">
        <v>100</v>
      </c>
      <c r="D94" s="433" t="s">
        <v>155</v>
      </c>
      <c r="E94" s="434" t="s">
        <v>151</v>
      </c>
      <c r="F94" s="351" t="s">
        <v>142</v>
      </c>
    </row>
    <row r="95" spans="1:6" ht="30" x14ac:dyDescent="0.25">
      <c r="A95" s="426" t="s">
        <v>135</v>
      </c>
      <c r="B95" s="411">
        <f t="shared" ref="B95:B98" si="0">B90</f>
        <v>527</v>
      </c>
      <c r="C95" s="436">
        <v>100</v>
      </c>
      <c r="D95" s="433" t="s">
        <v>156</v>
      </c>
      <c r="E95" s="434" t="s">
        <v>151</v>
      </c>
      <c r="F95" s="351" t="s">
        <v>142</v>
      </c>
    </row>
    <row r="96" spans="1:6" ht="30" x14ac:dyDescent="0.25">
      <c r="A96" s="426" t="s">
        <v>136</v>
      </c>
      <c r="B96" s="411">
        <f t="shared" si="0"/>
        <v>1017</v>
      </c>
      <c r="C96" s="436">
        <v>100</v>
      </c>
      <c r="D96" s="433" t="s">
        <v>157</v>
      </c>
      <c r="E96" s="434" t="s">
        <v>151</v>
      </c>
      <c r="F96" s="351" t="s">
        <v>142</v>
      </c>
    </row>
    <row r="97" spans="1:6" ht="30" x14ac:dyDescent="0.25">
      <c r="A97" s="426" t="s">
        <v>776</v>
      </c>
      <c r="B97" s="411">
        <f t="shared" si="0"/>
        <v>577</v>
      </c>
      <c r="C97" s="436">
        <v>100</v>
      </c>
      <c r="D97" s="433" t="s">
        <v>158</v>
      </c>
      <c r="E97" s="434" t="s">
        <v>151</v>
      </c>
      <c r="F97" s="351" t="s">
        <v>142</v>
      </c>
    </row>
    <row r="98" spans="1:6" ht="30" x14ac:dyDescent="0.25">
      <c r="A98" s="426" t="s">
        <v>777</v>
      </c>
      <c r="B98" s="411">
        <f t="shared" si="0"/>
        <v>766</v>
      </c>
      <c r="C98" s="436">
        <v>100</v>
      </c>
      <c r="D98" s="433" t="s">
        <v>159</v>
      </c>
      <c r="E98" s="434" t="s">
        <v>151</v>
      </c>
      <c r="F98" s="351" t="s">
        <v>142</v>
      </c>
    </row>
    <row r="99" spans="1:6" x14ac:dyDescent="0.25">
      <c r="B99" s="64"/>
    </row>
    <row r="100" spans="1:6" ht="18" x14ac:dyDescent="0.25">
      <c r="A100" s="412" t="s">
        <v>762</v>
      </c>
    </row>
    <row r="101" spans="1:6" ht="30" x14ac:dyDescent="0.25">
      <c r="A101" s="302" t="s">
        <v>399</v>
      </c>
      <c r="B101" s="302" t="s">
        <v>400</v>
      </c>
      <c r="C101" s="302" t="s">
        <v>401</v>
      </c>
      <c r="D101" s="302" t="s">
        <v>402</v>
      </c>
      <c r="E101" s="302" t="s">
        <v>405</v>
      </c>
    </row>
    <row r="102" spans="1:6" ht="30" x14ac:dyDescent="0.25">
      <c r="A102" s="426" t="s">
        <v>403</v>
      </c>
      <c r="B102" s="410">
        <v>2</v>
      </c>
      <c r="C102" s="410">
        <v>2021</v>
      </c>
      <c r="D102" s="437">
        <v>173000</v>
      </c>
      <c r="E102" s="437">
        <v>172000</v>
      </c>
    </row>
    <row r="103" spans="1:6" x14ac:dyDescent="0.25">
      <c r="A103" s="426" t="s">
        <v>404</v>
      </c>
      <c r="B103" s="410">
        <v>2</v>
      </c>
      <c r="C103" s="410">
        <v>2020</v>
      </c>
      <c r="D103" s="437">
        <v>182000</v>
      </c>
      <c r="E103" s="437">
        <v>181000</v>
      </c>
    </row>
    <row r="104" spans="1:6" s="16" customFormat="1" ht="30" x14ac:dyDescent="0.25">
      <c r="A104" s="64" t="s">
        <v>763</v>
      </c>
      <c r="B104" s="122"/>
      <c r="C104" s="122"/>
      <c r="D104" s="438"/>
      <c r="E104" s="438"/>
      <c r="F104" s="19"/>
    </row>
    <row r="106" spans="1:6" ht="18" x14ac:dyDescent="0.25">
      <c r="A106" s="412" t="s">
        <v>838</v>
      </c>
    </row>
    <row r="107" spans="1:6" ht="30" x14ac:dyDescent="0.25">
      <c r="A107" s="302" t="s">
        <v>406</v>
      </c>
      <c r="B107" s="302" t="s">
        <v>400</v>
      </c>
      <c r="C107" s="302" t="s">
        <v>401</v>
      </c>
      <c r="D107" s="302" t="s">
        <v>402</v>
      </c>
      <c r="E107" s="302" t="s">
        <v>405</v>
      </c>
    </row>
    <row r="108" spans="1:6" x14ac:dyDescent="0.25">
      <c r="A108" s="426" t="s">
        <v>407</v>
      </c>
      <c r="B108" s="410">
        <v>1</v>
      </c>
      <c r="C108" s="410">
        <v>2021</v>
      </c>
      <c r="D108" s="439">
        <f>D103</f>
        <v>182000</v>
      </c>
      <c r="E108" s="439">
        <f>E103</f>
        <v>181000</v>
      </c>
    </row>
    <row r="109" spans="1:6" x14ac:dyDescent="0.25">
      <c r="A109" s="426" t="s">
        <v>408</v>
      </c>
      <c r="B109" s="410">
        <v>1</v>
      </c>
      <c r="C109" s="410">
        <v>2021</v>
      </c>
      <c r="D109" s="439">
        <f>D103</f>
        <v>182000</v>
      </c>
      <c r="E109" s="439">
        <f>E103</f>
        <v>181000</v>
      </c>
    </row>
    <row r="110" spans="1:6" ht="45" x14ac:dyDescent="0.25">
      <c r="A110" s="64" t="s">
        <v>764</v>
      </c>
    </row>
    <row r="112" spans="1:6" ht="47.25" x14ac:dyDescent="0.25">
      <c r="A112" s="412" t="s">
        <v>507</v>
      </c>
    </row>
    <row r="113" spans="1:5" ht="30" x14ac:dyDescent="0.25">
      <c r="A113" s="302" t="s">
        <v>138</v>
      </c>
      <c r="B113" s="302" t="s">
        <v>26</v>
      </c>
      <c r="C113" s="302" t="s">
        <v>118</v>
      </c>
      <c r="D113" s="302" t="s">
        <v>852</v>
      </c>
      <c r="E113" s="302" t="s">
        <v>853</v>
      </c>
    </row>
    <row r="114" spans="1:5" ht="17.25" x14ac:dyDescent="0.25">
      <c r="A114" s="426" t="s">
        <v>758</v>
      </c>
      <c r="B114" s="437">
        <v>500000</v>
      </c>
      <c r="C114" s="440" t="s">
        <v>506</v>
      </c>
      <c r="D114" s="441">
        <v>2020</v>
      </c>
      <c r="E114" s="441">
        <v>2022</v>
      </c>
    </row>
    <row r="115" spans="1:5" ht="32.25" x14ac:dyDescent="0.25">
      <c r="A115" s="426" t="s">
        <v>760</v>
      </c>
      <c r="B115" s="437">
        <v>1000000</v>
      </c>
      <c r="C115" s="440" t="s">
        <v>506</v>
      </c>
      <c r="D115" s="441">
        <v>2020</v>
      </c>
      <c r="E115" s="441">
        <v>2022</v>
      </c>
    </row>
    <row r="116" spans="1:5" ht="30" x14ac:dyDescent="0.25">
      <c r="A116" s="179" t="s">
        <v>759</v>
      </c>
    </row>
    <row r="117" spans="1:5" ht="30" x14ac:dyDescent="0.25">
      <c r="A117" s="179" t="s">
        <v>761</v>
      </c>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ignoredErrors>
    <ignoredError sqref="B87:B88"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10"/>
  <sheetViews>
    <sheetView topLeftCell="A96" zoomScaleNormal="100" workbookViewId="0">
      <selection activeCell="A91" sqref="A91"/>
    </sheetView>
  </sheetViews>
  <sheetFormatPr defaultColWidth="9.140625" defaultRowHeight="15" x14ac:dyDescent="0.25"/>
  <cols>
    <col min="1" max="1" width="42.42578125" style="19" customWidth="1"/>
    <col min="2" max="5" width="15.28515625" style="19" customWidth="1"/>
    <col min="6" max="7" width="16.140625" style="19" customWidth="1"/>
    <col min="8" max="9" width="9.140625" style="19"/>
    <col min="10" max="16384" width="9.140625" style="16"/>
  </cols>
  <sheetData>
    <row r="1" spans="1:9" ht="30.75" x14ac:dyDescent="0.3">
      <c r="A1" s="314" t="s">
        <v>89</v>
      </c>
      <c r="D1" s="408" t="s">
        <v>497</v>
      </c>
      <c r="E1" s="468"/>
      <c r="F1" s="468"/>
      <c r="G1" s="469"/>
    </row>
    <row r="2" spans="1:9" ht="45" x14ac:dyDescent="0.25">
      <c r="D2" s="395" t="s">
        <v>464</v>
      </c>
      <c r="E2" s="469"/>
      <c r="F2" s="469"/>
      <c r="G2" s="469"/>
    </row>
    <row r="3" spans="1:9" x14ac:dyDescent="0.25">
      <c r="D3" s="410" t="s">
        <v>459</v>
      </c>
      <c r="E3" s="469"/>
      <c r="F3" s="469"/>
      <c r="G3" s="469"/>
    </row>
    <row r="4" spans="1:9" x14ac:dyDescent="0.25">
      <c r="D4" s="411" t="s">
        <v>460</v>
      </c>
      <c r="E4" s="470"/>
      <c r="F4" s="470"/>
      <c r="G4" s="469"/>
    </row>
    <row r="5" spans="1:9" x14ac:dyDescent="0.25">
      <c r="E5" s="469"/>
      <c r="F5" s="469"/>
      <c r="G5" s="469"/>
    </row>
    <row r="6" spans="1:9" s="1" customFormat="1" x14ac:dyDescent="0.25">
      <c r="A6" s="38"/>
      <c r="B6" s="38"/>
      <c r="C6" s="38"/>
      <c r="D6" s="428"/>
      <c r="E6" s="469"/>
      <c r="F6" s="469"/>
      <c r="G6" s="469"/>
      <c r="H6" s="38"/>
      <c r="I6" s="38"/>
    </row>
    <row r="7" spans="1:9" s="1" customFormat="1" ht="47.25" x14ac:dyDescent="0.25">
      <c r="A7" s="412" t="s">
        <v>465</v>
      </c>
      <c r="B7" s="445"/>
      <c r="C7" s="445"/>
      <c r="D7" s="425"/>
      <c r="E7" s="38"/>
      <c r="F7" s="38"/>
      <c r="G7" s="38"/>
      <c r="H7" s="38"/>
      <c r="I7" s="38"/>
    </row>
    <row r="8" spans="1:9" s="1" customFormat="1" ht="105" x14ac:dyDescent="0.25">
      <c r="A8" s="8" t="s">
        <v>81</v>
      </c>
      <c r="B8" s="301" t="s">
        <v>609</v>
      </c>
      <c r="C8" s="302" t="s">
        <v>786</v>
      </c>
      <c r="D8" s="446"/>
      <c r="E8" s="38"/>
      <c r="F8" s="38"/>
      <c r="G8" s="38"/>
      <c r="H8" s="38"/>
      <c r="I8" s="38"/>
    </row>
    <row r="9" spans="1:9" s="1" customFormat="1" ht="17.25" x14ac:dyDescent="0.25">
      <c r="A9" s="426" t="s">
        <v>780</v>
      </c>
      <c r="B9" s="447">
        <f>B20*D20+B21*D21+B22*D22+B25*D25</f>
        <v>1053.351354175441</v>
      </c>
      <c r="C9" s="448">
        <v>38.7546172626759</v>
      </c>
      <c r="D9" s="417"/>
      <c r="E9" s="38"/>
      <c r="F9" s="38"/>
      <c r="G9" s="38"/>
      <c r="H9" s="38"/>
      <c r="I9" s="38"/>
    </row>
    <row r="10" spans="1:9" s="1" customFormat="1" x14ac:dyDescent="0.25">
      <c r="A10" s="426" t="s">
        <v>123</v>
      </c>
      <c r="B10" s="449">
        <v>5620</v>
      </c>
      <c r="C10" s="448">
        <v>11.243408662899901</v>
      </c>
      <c r="D10" s="417"/>
      <c r="E10" s="38"/>
      <c r="F10" s="38"/>
      <c r="G10" s="38"/>
      <c r="H10" s="38"/>
      <c r="I10" s="38"/>
    </row>
    <row r="11" spans="1:9" s="1" customFormat="1" ht="17.25" x14ac:dyDescent="0.25">
      <c r="A11" s="426" t="s">
        <v>781</v>
      </c>
      <c r="B11" s="449">
        <v>1159</v>
      </c>
      <c r="C11" s="448">
        <v>19.8</v>
      </c>
      <c r="D11" s="38"/>
      <c r="E11" s="38"/>
      <c r="F11" s="38"/>
      <c r="G11" s="38"/>
      <c r="H11" s="38"/>
      <c r="I11" s="38"/>
    </row>
    <row r="12" spans="1:9" s="1" customFormat="1" ht="17.25" x14ac:dyDescent="0.25">
      <c r="A12" s="426" t="s">
        <v>782</v>
      </c>
      <c r="B12" s="447">
        <f>E20*G20+E21*G21+E26*G26+E27*G27+E28*G28+E29*G29</f>
        <v>938.32729256138236</v>
      </c>
      <c r="C12" s="448">
        <v>40.700000000000003</v>
      </c>
      <c r="D12" s="38"/>
      <c r="E12" s="38"/>
      <c r="F12" s="38"/>
      <c r="G12" s="38"/>
      <c r="H12" s="38"/>
      <c r="I12" s="38"/>
    </row>
    <row r="13" spans="1:9" ht="30" x14ac:dyDescent="0.25">
      <c r="A13" s="124" t="s">
        <v>783</v>
      </c>
      <c r="B13" s="122"/>
      <c r="C13" s="122"/>
      <c r="D13" s="122"/>
      <c r="E13" s="450"/>
    </row>
    <row r="14" spans="1:9" ht="45" x14ac:dyDescent="0.25">
      <c r="A14" s="124" t="s">
        <v>784</v>
      </c>
      <c r="B14" s="122"/>
      <c r="C14" s="122"/>
      <c r="D14" s="122"/>
      <c r="E14" s="450"/>
    </row>
    <row r="15" spans="1:9" ht="45" x14ac:dyDescent="0.25">
      <c r="A15" s="124" t="s">
        <v>785</v>
      </c>
      <c r="B15" s="122"/>
      <c r="C15" s="122"/>
      <c r="D15" s="122"/>
      <c r="E15" s="450"/>
    </row>
    <row r="16" spans="1:9" x14ac:dyDescent="0.25">
      <c r="A16" s="124"/>
      <c r="B16" s="122"/>
      <c r="C16" s="122"/>
      <c r="D16" s="122"/>
      <c r="E16" s="450"/>
    </row>
    <row r="17" spans="1:7" x14ac:dyDescent="0.25">
      <c r="A17" s="124"/>
      <c r="B17" s="122"/>
      <c r="C17" s="122"/>
      <c r="D17" s="122"/>
      <c r="E17" s="450"/>
    </row>
    <row r="18" spans="1:7" ht="30" customHeight="1" x14ac:dyDescent="0.25">
      <c r="B18" s="113" t="s">
        <v>13</v>
      </c>
      <c r="C18" s="113" t="s">
        <v>13</v>
      </c>
      <c r="D18" s="113" t="s">
        <v>13</v>
      </c>
      <c r="E18" s="113" t="s">
        <v>461</v>
      </c>
      <c r="F18" s="113" t="s">
        <v>461</v>
      </c>
      <c r="G18" s="113" t="s">
        <v>461</v>
      </c>
    </row>
    <row r="19" spans="1:7" ht="47.25" x14ac:dyDescent="0.25">
      <c r="A19" s="8" t="s">
        <v>610</v>
      </c>
      <c r="B19" s="160" t="s">
        <v>787</v>
      </c>
      <c r="C19" s="301" t="s">
        <v>462</v>
      </c>
      <c r="D19" s="301" t="s">
        <v>463</v>
      </c>
      <c r="E19" s="160" t="s">
        <v>787</v>
      </c>
      <c r="F19" s="301" t="s">
        <v>462</v>
      </c>
      <c r="G19" s="301" t="s">
        <v>463</v>
      </c>
    </row>
    <row r="20" spans="1:7" x14ac:dyDescent="0.25">
      <c r="A20" s="426" t="s">
        <v>0</v>
      </c>
      <c r="B20" s="451">
        <v>1100.6601737686922</v>
      </c>
      <c r="C20" s="395">
        <f>'Vessel Visits'!B9</f>
        <v>1029</v>
      </c>
      <c r="D20" s="452">
        <f>C20/SUM(C$20:C$29)</f>
        <v>0.27886178861788619</v>
      </c>
      <c r="E20" s="451">
        <v>735.50627615062763</v>
      </c>
      <c r="F20" s="395">
        <f>'Vessel Visits'!B146</f>
        <v>209</v>
      </c>
      <c r="G20" s="452">
        <f>F20/SUM(F$20:F$29)</f>
        <v>0.15562174236783322</v>
      </c>
    </row>
    <row r="21" spans="1:7" x14ac:dyDescent="0.25">
      <c r="A21" s="426" t="s">
        <v>1</v>
      </c>
      <c r="B21" s="451">
        <v>1057.2511522640543</v>
      </c>
      <c r="C21" s="395">
        <f>'Vessel Visits'!B10</f>
        <v>909</v>
      </c>
      <c r="D21" s="452">
        <f t="shared" ref="D21:D22" si="0">C21/SUM(C$20:C$29)</f>
        <v>0.24634146341463414</v>
      </c>
      <c r="E21" s="451">
        <v>999.97169074580245</v>
      </c>
      <c r="F21" s="395">
        <f>'Vessel Visits'!B147</f>
        <v>368</v>
      </c>
      <c r="G21" s="452">
        <f>F21/SUM(F$20:F$29)</f>
        <v>0.27401340282948622</v>
      </c>
    </row>
    <row r="22" spans="1:7" x14ac:dyDescent="0.25">
      <c r="A22" s="426" t="s">
        <v>2</v>
      </c>
      <c r="B22" s="451">
        <v>1051.5845683728037</v>
      </c>
      <c r="C22" s="395">
        <f>'Vessel Visits'!B11</f>
        <v>1597</v>
      </c>
      <c r="D22" s="452">
        <f t="shared" si="0"/>
        <v>0.43279132791327912</v>
      </c>
      <c r="E22" s="453"/>
      <c r="F22" s="453"/>
      <c r="G22" s="453"/>
    </row>
    <row r="23" spans="1:7" x14ac:dyDescent="0.25">
      <c r="A23" s="426" t="s">
        <v>3</v>
      </c>
      <c r="B23" s="453"/>
      <c r="C23" s="453"/>
      <c r="D23" s="453"/>
      <c r="E23" s="453"/>
      <c r="F23" s="453"/>
      <c r="G23" s="453"/>
    </row>
    <row r="24" spans="1:7" x14ac:dyDescent="0.25">
      <c r="A24" s="426" t="s">
        <v>4</v>
      </c>
      <c r="B24" s="453"/>
      <c r="C24" s="453"/>
      <c r="D24" s="453"/>
      <c r="E24" s="453"/>
      <c r="F24" s="453"/>
      <c r="G24" s="453"/>
    </row>
    <row r="25" spans="1:7" x14ac:dyDescent="0.25">
      <c r="A25" s="426" t="s">
        <v>5</v>
      </c>
      <c r="B25" s="451">
        <v>734.6149999999999</v>
      </c>
      <c r="C25" s="395">
        <f>'Vessel Visits'!B13</f>
        <v>155</v>
      </c>
      <c r="D25" s="452">
        <f t="shared" ref="D25" si="1">C25/SUM(C$20:C$29)</f>
        <v>4.2005420054200542E-2</v>
      </c>
      <c r="E25" s="453"/>
      <c r="F25" s="453"/>
      <c r="G25" s="453"/>
    </row>
    <row r="26" spans="1:7" x14ac:dyDescent="0.25">
      <c r="A26" s="454" t="s">
        <v>778</v>
      </c>
      <c r="B26" s="453"/>
      <c r="C26" s="453"/>
      <c r="D26" s="453"/>
      <c r="E26" s="451">
        <v>784</v>
      </c>
      <c r="F26" s="395">
        <f>'Vessel Visits'!B180</f>
        <v>55</v>
      </c>
      <c r="G26" s="452">
        <f t="shared" ref="G26:G29" si="2">F26/SUM(F$20:F$29)</f>
        <v>4.0953090096798213E-2</v>
      </c>
    </row>
    <row r="27" spans="1:7" x14ac:dyDescent="0.25">
      <c r="A27" s="454" t="s">
        <v>779</v>
      </c>
      <c r="B27" s="453"/>
      <c r="C27" s="453"/>
      <c r="D27" s="453"/>
      <c r="E27" s="451">
        <v>981.38</v>
      </c>
      <c r="F27" s="395">
        <f>'Vessel Visits'!B181</f>
        <v>403</v>
      </c>
      <c r="G27" s="452">
        <f t="shared" si="2"/>
        <v>0.30007446016381234</v>
      </c>
    </row>
    <row r="28" spans="1:7" ht="17.25" x14ac:dyDescent="0.25">
      <c r="A28" s="454" t="s">
        <v>788</v>
      </c>
      <c r="B28" s="453"/>
      <c r="C28" s="453"/>
      <c r="D28" s="453"/>
      <c r="E28" s="451">
        <f>AVERAGE(1157.81,1010.23,769.92)</f>
        <v>979.32</v>
      </c>
      <c r="F28" s="395">
        <f>'Vessel Visits'!B182</f>
        <v>241</v>
      </c>
      <c r="G28" s="452">
        <f t="shared" si="2"/>
        <v>0.17944899478778853</v>
      </c>
    </row>
    <row r="29" spans="1:7" ht="17.25" x14ac:dyDescent="0.25">
      <c r="A29" s="454" t="s">
        <v>789</v>
      </c>
      <c r="B29" s="453"/>
      <c r="C29" s="453"/>
      <c r="D29" s="453"/>
      <c r="E29" s="451">
        <f>AVERAGE(784,1121.4)</f>
        <v>952.7</v>
      </c>
      <c r="F29" s="395">
        <f>'Vessel Visits'!B183</f>
        <v>67</v>
      </c>
      <c r="G29" s="452">
        <f t="shared" si="2"/>
        <v>4.9888309754281462E-2</v>
      </c>
    </row>
    <row r="30" spans="1:7" x14ac:dyDescent="0.25">
      <c r="A30" s="124"/>
      <c r="B30" s="122"/>
      <c r="C30" s="122"/>
      <c r="D30" s="455">
        <f>SUM(D20:D29)</f>
        <v>0.99999999999999989</v>
      </c>
      <c r="E30" s="450"/>
      <c r="G30" s="452">
        <f>SUM(G20:G29)</f>
        <v>1</v>
      </c>
    </row>
    <row r="31" spans="1:7" ht="13.9" customHeight="1" x14ac:dyDescent="0.25">
      <c r="A31" s="124" t="s">
        <v>790</v>
      </c>
      <c r="B31" s="124"/>
      <c r="C31" s="124"/>
      <c r="D31" s="124"/>
      <c r="E31" s="124"/>
      <c r="F31" s="124"/>
      <c r="G31" s="124"/>
    </row>
    <row r="32" spans="1:7" ht="13.9" customHeight="1" x14ac:dyDescent="0.25">
      <c r="A32" s="124"/>
      <c r="B32" s="124"/>
      <c r="C32" s="124"/>
      <c r="D32" s="124"/>
      <c r="E32" s="124"/>
      <c r="F32" s="124"/>
      <c r="G32" s="124"/>
    </row>
    <row r="33" spans="1:10" ht="30" x14ac:dyDescent="0.25">
      <c r="A33" s="124" t="s">
        <v>791</v>
      </c>
      <c r="B33" s="122"/>
      <c r="C33" s="122"/>
      <c r="D33" s="122"/>
      <c r="E33" s="450"/>
    </row>
    <row r="34" spans="1:10" ht="30" x14ac:dyDescent="0.25">
      <c r="A34" s="124" t="s">
        <v>792</v>
      </c>
      <c r="B34" s="122"/>
      <c r="C34" s="122"/>
      <c r="D34" s="122"/>
      <c r="E34" s="450"/>
    </row>
    <row r="35" spans="1:10" x14ac:dyDescent="0.25">
      <c r="A35" s="124"/>
      <c r="B35" s="122"/>
      <c r="C35" s="122"/>
      <c r="D35" s="122"/>
      <c r="E35" s="450"/>
    </row>
    <row r="36" spans="1:10" x14ac:dyDescent="0.25">
      <c r="A36" s="124"/>
      <c r="B36" s="122"/>
      <c r="C36" s="122"/>
      <c r="D36" s="122"/>
      <c r="E36" s="450"/>
    </row>
    <row r="38" spans="1:10" x14ac:dyDescent="0.25">
      <c r="C38" s="353"/>
      <c r="D38" s="353"/>
      <c r="E38" s="353"/>
      <c r="F38" s="122"/>
    </row>
    <row r="39" spans="1:10" ht="62.25" x14ac:dyDescent="0.25">
      <c r="A39" s="486" t="s">
        <v>90</v>
      </c>
      <c r="B39" s="113" t="s">
        <v>793</v>
      </c>
      <c r="C39" s="113" t="s">
        <v>793</v>
      </c>
      <c r="D39" s="113" t="s">
        <v>793</v>
      </c>
      <c r="E39" s="113" t="s">
        <v>793</v>
      </c>
      <c r="F39" s="113"/>
    </row>
    <row r="40" spans="1:10" ht="30" customHeight="1" x14ac:dyDescent="0.25">
      <c r="A40" s="456" t="s">
        <v>84</v>
      </c>
      <c r="B40" s="301" t="s">
        <v>92</v>
      </c>
      <c r="C40" s="301" t="s">
        <v>93</v>
      </c>
      <c r="D40" s="301" t="s">
        <v>94</v>
      </c>
      <c r="E40" s="301" t="s">
        <v>95</v>
      </c>
      <c r="F40" s="113" t="s">
        <v>91</v>
      </c>
    </row>
    <row r="41" spans="1:10" ht="15" customHeight="1" x14ac:dyDescent="0.25">
      <c r="A41" s="457">
        <v>2019</v>
      </c>
      <c r="B41" s="458">
        <v>17.887613504009796</v>
      </c>
      <c r="C41" s="458">
        <v>16.252293669847827</v>
      </c>
      <c r="D41" s="458">
        <v>20.561020770532156</v>
      </c>
      <c r="E41" s="458">
        <v>15.712295005077788</v>
      </c>
      <c r="F41" s="459">
        <f>AVERAGE(B41:E41)/100</f>
        <v>0.17603305737366892</v>
      </c>
      <c r="H41" s="460"/>
      <c r="J41" s="17"/>
    </row>
    <row r="42" spans="1:10" x14ac:dyDescent="0.25">
      <c r="A42" s="457">
        <v>2020</v>
      </c>
      <c r="B42" s="458">
        <v>17.505890681031374</v>
      </c>
      <c r="C42" s="458">
        <v>16.477323084626104</v>
      </c>
      <c r="D42" s="458">
        <v>20.72202009667528</v>
      </c>
      <c r="E42" s="458">
        <v>15.648289219997675</v>
      </c>
      <c r="F42" s="459">
        <f t="shared" ref="F42:F52" si="3">AVERAGE(B42:E42)/100</f>
        <v>0.1758838077058261</v>
      </c>
      <c r="H42" s="460"/>
      <c r="J42" s="17"/>
    </row>
    <row r="43" spans="1:10" x14ac:dyDescent="0.25">
      <c r="A43" s="457">
        <v>2021</v>
      </c>
      <c r="B43" s="458">
        <v>17.544775486941916</v>
      </c>
      <c r="C43" s="458">
        <v>16.470130408816534</v>
      </c>
      <c r="D43" s="458">
        <v>21.110494550736703</v>
      </c>
      <c r="E43" s="458">
        <v>15.654872259968419</v>
      </c>
      <c r="F43" s="459">
        <f t="shared" si="3"/>
        <v>0.17695068176615891</v>
      </c>
      <c r="H43" s="460"/>
      <c r="J43" s="17"/>
    </row>
    <row r="44" spans="1:10" x14ac:dyDescent="0.25">
      <c r="A44" s="457">
        <v>2022</v>
      </c>
      <c r="B44" s="458">
        <v>17.492699251054226</v>
      </c>
      <c r="C44" s="458">
        <v>16.669217256315999</v>
      </c>
      <c r="D44" s="458">
        <v>20.277747776268011</v>
      </c>
      <c r="E44" s="458">
        <v>15.715465679089707</v>
      </c>
      <c r="F44" s="459">
        <f t="shared" si="3"/>
        <v>0.17538782490681984</v>
      </c>
      <c r="H44" s="460"/>
      <c r="J44" s="17"/>
    </row>
    <row r="45" spans="1:10" x14ac:dyDescent="0.25">
      <c r="A45" s="457">
        <v>2023</v>
      </c>
      <c r="B45" s="458">
        <v>17.581555345675273</v>
      </c>
      <c r="C45" s="458">
        <v>17.471596550514423</v>
      </c>
      <c r="D45" s="458">
        <v>20.331228443860322</v>
      </c>
      <c r="E45" s="458">
        <v>15.134952939943505</v>
      </c>
      <c r="F45" s="459">
        <f t="shared" si="3"/>
        <v>0.17629833319998378</v>
      </c>
      <c r="H45" s="460"/>
      <c r="J45" s="17"/>
    </row>
    <row r="46" spans="1:10" x14ac:dyDescent="0.25">
      <c r="A46" s="457">
        <v>2024</v>
      </c>
      <c r="B46" s="458">
        <v>17.708856340227566</v>
      </c>
      <c r="C46" s="458">
        <v>17.657916592182218</v>
      </c>
      <c r="D46" s="458">
        <v>20.308653326534074</v>
      </c>
      <c r="E46" s="458">
        <v>15.220950719785041</v>
      </c>
      <c r="F46" s="459">
        <f t="shared" si="3"/>
        <v>0.17724094244682223</v>
      </c>
      <c r="H46" s="460"/>
      <c r="J46" s="17"/>
    </row>
    <row r="47" spans="1:10" x14ac:dyDescent="0.25">
      <c r="A47" s="457">
        <v>2025</v>
      </c>
      <c r="B47" s="458">
        <v>17.489203524993048</v>
      </c>
      <c r="C47" s="458">
        <v>18.353299619619722</v>
      </c>
      <c r="D47" s="458">
        <v>20.419640682333892</v>
      </c>
      <c r="E47" s="458">
        <v>15.398457079462379</v>
      </c>
      <c r="F47" s="459">
        <f t="shared" si="3"/>
        <v>0.17915150226602261</v>
      </c>
      <c r="H47" s="460"/>
      <c r="J47" s="17"/>
    </row>
    <row r="48" spans="1:10" x14ac:dyDescent="0.25">
      <c r="A48" s="457">
        <v>2026</v>
      </c>
      <c r="B48" s="458">
        <v>17.387301684518125</v>
      </c>
      <c r="C48" s="458">
        <v>18.067547843134552</v>
      </c>
      <c r="D48" s="458">
        <v>20.523705638437114</v>
      </c>
      <c r="E48" s="458">
        <v>15.556409087765925</v>
      </c>
      <c r="F48" s="459">
        <f t="shared" si="3"/>
        <v>0.17883741063463929</v>
      </c>
      <c r="H48" s="460"/>
      <c r="J48" s="17"/>
    </row>
    <row r="49" spans="1:10" x14ac:dyDescent="0.25">
      <c r="A49" s="457">
        <v>2027</v>
      </c>
      <c r="B49" s="458">
        <v>17.212207593569119</v>
      </c>
      <c r="C49" s="458">
        <v>18.317327242627371</v>
      </c>
      <c r="D49" s="458">
        <v>20.664857428865464</v>
      </c>
      <c r="E49" s="458">
        <v>15.551466323772283</v>
      </c>
      <c r="F49" s="459">
        <f t="shared" si="3"/>
        <v>0.17936464647208561</v>
      </c>
      <c r="H49" s="460"/>
      <c r="J49" s="17"/>
    </row>
    <row r="50" spans="1:10" x14ac:dyDescent="0.25">
      <c r="A50" s="457">
        <v>2028</v>
      </c>
      <c r="B50" s="458">
        <v>17.229883106091709</v>
      </c>
      <c r="C50" s="458">
        <v>18.584585807186823</v>
      </c>
      <c r="D50" s="458">
        <v>20.79384325902317</v>
      </c>
      <c r="E50" s="458">
        <v>15.565460113733611</v>
      </c>
      <c r="F50" s="459">
        <f t="shared" si="3"/>
        <v>0.1804344307150883</v>
      </c>
      <c r="H50" s="460"/>
      <c r="J50" s="17"/>
    </row>
    <row r="51" spans="1:10" x14ac:dyDescent="0.25">
      <c r="A51" s="457">
        <v>2029</v>
      </c>
      <c r="B51" s="458">
        <v>17.310665557379508</v>
      </c>
      <c r="C51" s="458">
        <v>19.018127745718079</v>
      </c>
      <c r="D51" s="458">
        <v>21.042330483230987</v>
      </c>
      <c r="E51" s="458">
        <v>15.670016937206581</v>
      </c>
      <c r="F51" s="459">
        <f t="shared" si="3"/>
        <v>0.18260285180883787</v>
      </c>
      <c r="H51" s="460"/>
      <c r="J51" s="17"/>
    </row>
    <row r="52" spans="1:10" x14ac:dyDescent="0.25">
      <c r="A52" s="457">
        <v>2030</v>
      </c>
      <c r="B52" s="458">
        <v>17.388130688298403</v>
      </c>
      <c r="C52" s="458">
        <v>19.503859810895776</v>
      </c>
      <c r="D52" s="458">
        <v>21.261017357220776</v>
      </c>
      <c r="E52" s="458">
        <v>15.726596551760119</v>
      </c>
      <c r="F52" s="459">
        <f t="shared" si="3"/>
        <v>0.1846990110204377</v>
      </c>
      <c r="H52" s="460"/>
      <c r="J52" s="17"/>
    </row>
    <row r="53" spans="1:10" x14ac:dyDescent="0.25">
      <c r="A53" s="457">
        <v>2031</v>
      </c>
      <c r="B53" s="461"/>
      <c r="C53" s="461"/>
      <c r="D53" s="461"/>
      <c r="E53" s="461"/>
      <c r="F53" s="459">
        <f>F$41+($A53-$A$41)*(F52-F$41)/($A52-$A$41)</f>
        <v>0.18548682498832578</v>
      </c>
      <c r="H53" s="460"/>
      <c r="J53" s="17"/>
    </row>
    <row r="54" spans="1:10" x14ac:dyDescent="0.25">
      <c r="A54" s="457">
        <v>2032</v>
      </c>
      <c r="B54" s="461"/>
      <c r="C54" s="461"/>
      <c r="D54" s="461"/>
      <c r="E54" s="461"/>
      <c r="F54" s="459">
        <f>F$41+($A54-$A$41)*(F53-F$41)/($A53-$A$41)</f>
        <v>0.18627463895621385</v>
      </c>
      <c r="H54" s="460"/>
      <c r="J54" s="17"/>
    </row>
    <row r="55" spans="1:10" ht="15" customHeight="1" x14ac:dyDescent="0.25">
      <c r="A55" s="352" t="s">
        <v>794</v>
      </c>
      <c r="B55" s="352"/>
      <c r="C55" s="352"/>
      <c r="D55" s="352"/>
      <c r="E55" s="352"/>
      <c r="F55" s="352"/>
      <c r="G55" s="18"/>
    </row>
    <row r="56" spans="1:10" ht="13.9" customHeight="1" x14ac:dyDescent="0.25">
      <c r="A56" s="352"/>
      <c r="B56" s="352"/>
      <c r="C56" s="352"/>
      <c r="D56" s="352"/>
      <c r="E56" s="352"/>
      <c r="F56" s="352"/>
      <c r="G56" s="18"/>
    </row>
    <row r="57" spans="1:10" ht="13.9" customHeight="1" x14ac:dyDescent="0.25">
      <c r="A57" s="352"/>
      <c r="B57" s="352"/>
      <c r="C57" s="352"/>
      <c r="D57" s="352"/>
      <c r="E57" s="352"/>
      <c r="F57" s="352"/>
      <c r="G57" s="18"/>
    </row>
    <row r="58" spans="1:10" x14ac:dyDescent="0.25">
      <c r="A58" s="114"/>
      <c r="B58" s="114"/>
      <c r="C58" s="114"/>
      <c r="D58" s="114"/>
      <c r="E58" s="114"/>
      <c r="F58" s="114"/>
    </row>
    <row r="59" spans="1:10" ht="15.75" x14ac:dyDescent="0.25">
      <c r="A59" s="412" t="s">
        <v>96</v>
      </c>
      <c r="B59" s="114"/>
      <c r="C59" s="114"/>
      <c r="D59" s="114"/>
      <c r="E59" s="114"/>
      <c r="F59" s="114"/>
    </row>
    <row r="60" spans="1:10" ht="15" customHeight="1" x14ac:dyDescent="0.25">
      <c r="A60" s="122"/>
      <c r="B60" s="122"/>
      <c r="C60" s="126"/>
      <c r="D60" s="114"/>
      <c r="E60" s="114"/>
      <c r="F60" s="114"/>
    </row>
    <row r="61" spans="1:10" ht="15" customHeight="1" x14ac:dyDescent="0.25">
      <c r="A61" s="353"/>
      <c r="B61" s="353"/>
      <c r="C61" s="126"/>
      <c r="D61" s="114"/>
      <c r="E61" s="114"/>
      <c r="F61" s="114"/>
    </row>
    <row r="62" spans="1:10" ht="15" customHeight="1" x14ac:dyDescent="0.25">
      <c r="A62" s="353"/>
      <c r="B62" s="353"/>
      <c r="C62" s="126"/>
      <c r="D62" s="114"/>
      <c r="E62" s="114"/>
      <c r="F62" s="114"/>
    </row>
    <row r="63" spans="1:10" ht="62.25" x14ac:dyDescent="0.25">
      <c r="A63" s="113" t="s">
        <v>84</v>
      </c>
      <c r="B63" s="113" t="s">
        <v>795</v>
      </c>
      <c r="C63" s="114"/>
      <c r="D63" s="114"/>
      <c r="E63" s="114"/>
      <c r="F63" s="114"/>
    </row>
    <row r="64" spans="1:10" x14ac:dyDescent="0.25">
      <c r="A64" s="457">
        <v>2021</v>
      </c>
      <c r="B64" s="462">
        <v>0.10742668569259947</v>
      </c>
      <c r="C64" s="114"/>
      <c r="D64" s="114"/>
      <c r="E64" s="114"/>
      <c r="F64" s="114"/>
    </row>
    <row r="65" spans="1:6" x14ac:dyDescent="0.25">
      <c r="A65" s="457">
        <v>2022</v>
      </c>
      <c r="B65" s="462">
        <v>0.10633355805511226</v>
      </c>
      <c r="C65" s="114"/>
      <c r="D65" s="114"/>
      <c r="E65" s="114"/>
      <c r="F65" s="114"/>
    </row>
    <row r="66" spans="1:6" x14ac:dyDescent="0.25">
      <c r="A66" s="457">
        <v>2023</v>
      </c>
      <c r="B66" s="462">
        <v>0.10560685195285498</v>
      </c>
      <c r="C66" s="114"/>
      <c r="D66" s="114"/>
      <c r="E66" s="114"/>
      <c r="F66" s="114"/>
    </row>
    <row r="67" spans="1:6" x14ac:dyDescent="0.25">
      <c r="A67" s="457">
        <v>2024</v>
      </c>
      <c r="B67" s="462">
        <v>0.10489102848205996</v>
      </c>
      <c r="C67" s="114"/>
      <c r="D67" s="114"/>
      <c r="E67" s="114"/>
      <c r="F67" s="114"/>
    </row>
    <row r="68" spans="1:6" x14ac:dyDescent="0.25">
      <c r="A68" s="457">
        <v>2025</v>
      </c>
      <c r="B68" s="462">
        <v>9.9781422960452767E-2</v>
      </c>
      <c r="C68" s="114"/>
      <c r="D68" s="114"/>
      <c r="E68" s="114"/>
      <c r="F68" s="114"/>
    </row>
    <row r="69" spans="1:6" x14ac:dyDescent="0.25">
      <c r="A69" s="457">
        <v>2026</v>
      </c>
      <c r="B69" s="462">
        <v>0.10076410255793643</v>
      </c>
      <c r="C69" s="114"/>
      <c r="D69" s="114"/>
      <c r="E69" s="114"/>
      <c r="F69" s="114"/>
    </row>
    <row r="70" spans="1:6" x14ac:dyDescent="0.25">
      <c r="A70" s="457">
        <v>2027</v>
      </c>
      <c r="B70" s="462">
        <v>0.10200827198772901</v>
      </c>
      <c r="C70" s="114"/>
      <c r="D70" s="114"/>
      <c r="E70" s="114"/>
      <c r="F70" s="114"/>
    </row>
    <row r="71" spans="1:6" x14ac:dyDescent="0.25">
      <c r="A71" s="457">
        <v>2028</v>
      </c>
      <c r="B71" s="462">
        <v>0.10314853595703005</v>
      </c>
      <c r="C71" s="114"/>
      <c r="D71" s="114"/>
      <c r="E71" s="114"/>
      <c r="F71" s="114"/>
    </row>
    <row r="72" spans="1:6" x14ac:dyDescent="0.25">
      <c r="A72" s="457">
        <v>2029</v>
      </c>
      <c r="B72" s="462">
        <v>0.10442598177571655</v>
      </c>
      <c r="C72" s="114"/>
      <c r="D72" s="114"/>
      <c r="E72" s="114"/>
      <c r="F72" s="114"/>
    </row>
    <row r="73" spans="1:6" x14ac:dyDescent="0.25">
      <c r="A73" s="457">
        <v>2030</v>
      </c>
      <c r="B73" s="462">
        <v>0.10556652073578138</v>
      </c>
      <c r="C73" s="114"/>
      <c r="D73" s="114"/>
      <c r="E73" s="114"/>
      <c r="F73" s="114"/>
    </row>
    <row r="74" spans="1:6" x14ac:dyDescent="0.25">
      <c r="A74" s="457">
        <v>2031</v>
      </c>
      <c r="B74" s="462">
        <v>0.10753395574057938</v>
      </c>
      <c r="C74" s="114"/>
      <c r="D74" s="114"/>
      <c r="E74" s="114"/>
      <c r="F74" s="114"/>
    </row>
    <row r="75" spans="1:6" x14ac:dyDescent="0.25">
      <c r="A75" s="457">
        <v>2032</v>
      </c>
      <c r="B75" s="462">
        <v>0.1095013907453774</v>
      </c>
      <c r="C75" s="114"/>
      <c r="D75" s="114"/>
      <c r="E75" s="114"/>
      <c r="F75" s="114"/>
    </row>
    <row r="76" spans="1:6" ht="15.75" x14ac:dyDescent="0.25">
      <c r="A76" s="412"/>
      <c r="B76" s="114"/>
      <c r="C76" s="114"/>
      <c r="D76" s="114"/>
      <c r="E76" s="114"/>
      <c r="F76" s="114"/>
    </row>
    <row r="77" spans="1:6" ht="15" customHeight="1" x14ac:dyDescent="0.25">
      <c r="A77" s="356" t="s">
        <v>797</v>
      </c>
      <c r="B77" s="24">
        <v>1</v>
      </c>
      <c r="C77" s="299" t="s">
        <v>97</v>
      </c>
      <c r="E77" s="114"/>
      <c r="F77" s="114"/>
    </row>
    <row r="78" spans="1:6" x14ac:dyDescent="0.25">
      <c r="A78" s="463" t="s">
        <v>796</v>
      </c>
      <c r="B78" s="114"/>
      <c r="C78" s="114"/>
      <c r="D78" s="114"/>
      <c r="E78" s="114"/>
      <c r="F78" s="114"/>
    </row>
    <row r="79" spans="1:6" x14ac:dyDescent="0.25">
      <c r="A79" s="463" t="s">
        <v>798</v>
      </c>
      <c r="B79" s="114"/>
      <c r="C79" s="114"/>
      <c r="D79" s="114"/>
      <c r="E79" s="114"/>
      <c r="F79" s="114"/>
    </row>
    <row r="80" spans="1:6" x14ac:dyDescent="0.25">
      <c r="A80" s="126"/>
      <c r="B80" s="127"/>
      <c r="C80" s="126"/>
      <c r="D80" s="114"/>
      <c r="E80" s="114"/>
      <c r="F80" s="114"/>
    </row>
    <row r="81" spans="1:6" ht="15.75" x14ac:dyDescent="0.25">
      <c r="A81" s="412" t="s">
        <v>332</v>
      </c>
      <c r="B81" s="127"/>
      <c r="C81" s="126"/>
      <c r="D81" s="126"/>
      <c r="E81" s="126"/>
      <c r="F81" s="126"/>
    </row>
    <row r="82" spans="1:6" ht="17.25" x14ac:dyDescent="0.25">
      <c r="A82" s="355" t="s">
        <v>799</v>
      </c>
      <c r="B82" s="128">
        <v>217</v>
      </c>
      <c r="C82" s="299" t="s">
        <v>48</v>
      </c>
      <c r="D82" s="122"/>
      <c r="E82" s="122"/>
      <c r="F82" s="126"/>
    </row>
    <row r="83" spans="1:6" ht="66.599999999999994" customHeight="1" x14ac:dyDescent="0.25">
      <c r="A83" s="354" t="s">
        <v>800</v>
      </c>
      <c r="B83" s="354"/>
      <c r="C83" s="354"/>
      <c r="D83" s="357"/>
      <c r="E83" s="357"/>
      <c r="F83" s="126"/>
    </row>
    <row r="84" spans="1:6" x14ac:dyDescent="0.25">
      <c r="A84" s="114"/>
      <c r="B84" s="114"/>
      <c r="C84" s="114"/>
      <c r="D84" s="114"/>
      <c r="E84" s="114"/>
      <c r="F84" s="114"/>
    </row>
    <row r="85" spans="1:6" ht="15.75" x14ac:dyDescent="0.25">
      <c r="A85" s="412" t="s">
        <v>98</v>
      </c>
      <c r="B85" s="114"/>
      <c r="C85" s="114"/>
      <c r="D85" s="114"/>
      <c r="E85" s="114"/>
      <c r="F85" s="114"/>
    </row>
    <row r="86" spans="1:6" ht="17.25" x14ac:dyDescent="0.25">
      <c r="A86" s="348" t="s">
        <v>99</v>
      </c>
      <c r="B86" s="462">
        <v>763.5</v>
      </c>
      <c r="C86" s="358" t="s">
        <v>801</v>
      </c>
      <c r="F86" s="114"/>
    </row>
    <row r="87" spans="1:6" x14ac:dyDescent="0.25">
      <c r="A87" s="114"/>
      <c r="B87" s="114"/>
      <c r="C87" s="114"/>
      <c r="D87" s="114"/>
      <c r="E87" s="114"/>
      <c r="F87" s="114"/>
    </row>
    <row r="88" spans="1:6" ht="15" customHeight="1" x14ac:dyDescent="0.25">
      <c r="A88" s="122"/>
      <c r="B88" s="122"/>
      <c r="C88" s="122"/>
      <c r="D88" s="122"/>
    </row>
    <row r="89" spans="1:6" ht="15" customHeight="1" x14ac:dyDescent="0.25">
      <c r="A89" s="353"/>
      <c r="B89" s="353"/>
      <c r="C89" s="353"/>
      <c r="D89" s="353"/>
    </row>
    <row r="90" spans="1:6" ht="15" customHeight="1" x14ac:dyDescent="0.25">
      <c r="A90" s="353"/>
      <c r="B90" s="353"/>
      <c r="C90" s="353"/>
      <c r="D90" s="353"/>
    </row>
    <row r="91" spans="1:6" ht="61.15" customHeight="1" x14ac:dyDescent="0.25">
      <c r="A91" s="113" t="s">
        <v>84</v>
      </c>
      <c r="B91" s="113" t="s">
        <v>804</v>
      </c>
      <c r="C91" s="113" t="s">
        <v>100</v>
      </c>
      <c r="D91" s="113" t="s">
        <v>101</v>
      </c>
    </row>
    <row r="92" spans="1:6" x14ac:dyDescent="0.25">
      <c r="A92" s="457">
        <v>2016</v>
      </c>
      <c r="B92" s="462">
        <v>2.33</v>
      </c>
      <c r="C92" s="464" t="s">
        <v>83</v>
      </c>
      <c r="D92" s="411"/>
    </row>
    <row r="93" spans="1:6" x14ac:dyDescent="0.25">
      <c r="A93" s="457">
        <v>2017</v>
      </c>
      <c r="B93" s="462">
        <v>2.65</v>
      </c>
      <c r="C93" s="452">
        <f>B93/B92</f>
        <v>1.1373390557939913</v>
      </c>
      <c r="D93" s="439">
        <f>B86*C93</f>
        <v>868.35836909871239</v>
      </c>
    </row>
    <row r="94" spans="1:6" x14ac:dyDescent="0.25">
      <c r="A94" s="457">
        <v>2018</v>
      </c>
      <c r="B94" s="462">
        <v>2.8</v>
      </c>
      <c r="C94" s="452">
        <f t="shared" ref="C94:C108" si="4">B94/B93</f>
        <v>1.0566037735849056</v>
      </c>
      <c r="D94" s="439">
        <f>D93*C94</f>
        <v>917.51072961373382</v>
      </c>
    </row>
    <row r="95" spans="1:6" x14ac:dyDescent="0.25">
      <c r="A95" s="457">
        <v>2019</v>
      </c>
      <c r="B95" s="462">
        <v>2.91</v>
      </c>
      <c r="C95" s="452">
        <f t="shared" si="4"/>
        <v>1.0392857142857144</v>
      </c>
      <c r="D95" s="439">
        <f>D94*C95</f>
        <v>953.55579399141629</v>
      </c>
    </row>
    <row r="96" spans="1:6" x14ac:dyDescent="0.25">
      <c r="A96" s="457">
        <v>2020</v>
      </c>
      <c r="B96" s="462">
        <v>3.39</v>
      </c>
      <c r="C96" s="452">
        <f t="shared" si="4"/>
        <v>1.1649484536082475</v>
      </c>
      <c r="D96" s="439">
        <f t="shared" ref="D96:D108" si="5">D95*C96</f>
        <v>1110.843347639485</v>
      </c>
    </row>
    <row r="97" spans="1:4" x14ac:dyDescent="0.25">
      <c r="A97" s="457">
        <v>2021</v>
      </c>
      <c r="B97" s="462">
        <v>3.64</v>
      </c>
      <c r="C97" s="452">
        <f t="shared" si="4"/>
        <v>1.0737463126843658</v>
      </c>
      <c r="D97" s="439">
        <f t="shared" si="5"/>
        <v>1192.7639484978542</v>
      </c>
    </row>
    <row r="98" spans="1:4" x14ac:dyDescent="0.25">
      <c r="A98" s="457">
        <v>2022</v>
      </c>
      <c r="B98" s="462">
        <v>3.79</v>
      </c>
      <c r="C98" s="452">
        <f t="shared" si="4"/>
        <v>1.0412087912087913</v>
      </c>
      <c r="D98" s="439">
        <f t="shared" si="5"/>
        <v>1241.9163090128759</v>
      </c>
    </row>
    <row r="99" spans="1:4" x14ac:dyDescent="0.25">
      <c r="A99" s="457">
        <v>2023</v>
      </c>
      <c r="B99" s="462">
        <v>3.95</v>
      </c>
      <c r="C99" s="452">
        <f t="shared" si="4"/>
        <v>1.0422163588390501</v>
      </c>
      <c r="D99" s="439">
        <f t="shared" si="5"/>
        <v>1294.3454935622321</v>
      </c>
    </row>
    <row r="100" spans="1:4" x14ac:dyDescent="0.25">
      <c r="A100" s="457">
        <v>2024</v>
      </c>
      <c r="B100" s="462">
        <v>4.1500000000000004</v>
      </c>
      <c r="C100" s="452">
        <f t="shared" si="4"/>
        <v>1.0506329113924051</v>
      </c>
      <c r="D100" s="439">
        <f t="shared" si="5"/>
        <v>1359.8819742489275</v>
      </c>
    </row>
    <row r="101" spans="1:4" x14ac:dyDescent="0.25">
      <c r="A101" s="457">
        <v>2025</v>
      </c>
      <c r="B101" s="462">
        <v>4.3</v>
      </c>
      <c r="C101" s="452">
        <f t="shared" si="4"/>
        <v>1.0361445783132528</v>
      </c>
      <c r="D101" s="439">
        <f t="shared" si="5"/>
        <v>1409.0343347639487</v>
      </c>
    </row>
    <row r="102" spans="1:4" x14ac:dyDescent="0.25">
      <c r="A102" s="457">
        <v>2026</v>
      </c>
      <c r="B102" s="462">
        <v>4.41</v>
      </c>
      <c r="C102" s="452">
        <f t="shared" si="4"/>
        <v>1.0255813953488373</v>
      </c>
      <c r="D102" s="439">
        <f t="shared" si="5"/>
        <v>1445.0793991416313</v>
      </c>
    </row>
    <row r="103" spans="1:4" x14ac:dyDescent="0.25">
      <c r="A103" s="457">
        <v>2027</v>
      </c>
      <c r="B103" s="462">
        <v>4.5599999999999996</v>
      </c>
      <c r="C103" s="452">
        <f t="shared" si="4"/>
        <v>1.0340136054421767</v>
      </c>
      <c r="D103" s="439">
        <f t="shared" si="5"/>
        <v>1494.2317596566525</v>
      </c>
    </row>
    <row r="104" spans="1:4" x14ac:dyDescent="0.25">
      <c r="A104" s="457">
        <v>2028</v>
      </c>
      <c r="B104" s="462">
        <v>4.72</v>
      </c>
      <c r="C104" s="452">
        <f t="shared" si="4"/>
        <v>1.0350877192982457</v>
      </c>
      <c r="D104" s="439">
        <f t="shared" si="5"/>
        <v>1546.6609442060089</v>
      </c>
    </row>
    <row r="105" spans="1:4" x14ac:dyDescent="0.25">
      <c r="A105" s="457">
        <v>2029</v>
      </c>
      <c r="B105" s="462">
        <v>4.8899999999999997</v>
      </c>
      <c r="C105" s="452">
        <f t="shared" si="4"/>
        <v>1.0360169491525424</v>
      </c>
      <c r="D105" s="439">
        <f t="shared" si="5"/>
        <v>1602.3669527897</v>
      </c>
    </row>
    <row r="106" spans="1:4" x14ac:dyDescent="0.25">
      <c r="A106" s="457">
        <v>2030</v>
      </c>
      <c r="B106" s="462">
        <v>5.03</v>
      </c>
      <c r="C106" s="452">
        <f t="shared" si="4"/>
        <v>1.028629856850716</v>
      </c>
      <c r="D106" s="439">
        <f t="shared" si="5"/>
        <v>1648.2424892703871</v>
      </c>
    </row>
    <row r="107" spans="1:4" x14ac:dyDescent="0.25">
      <c r="A107" s="457">
        <v>2031</v>
      </c>
      <c r="B107" s="462">
        <v>5.21</v>
      </c>
      <c r="C107" s="452">
        <f t="shared" si="4"/>
        <v>1.0357852882703777</v>
      </c>
      <c r="D107" s="439">
        <f t="shared" si="5"/>
        <v>1707.225321888413</v>
      </c>
    </row>
    <row r="108" spans="1:4" x14ac:dyDescent="0.25">
      <c r="A108" s="457">
        <v>2032</v>
      </c>
      <c r="B108" s="462">
        <v>5.35</v>
      </c>
      <c r="C108" s="452">
        <f t="shared" si="4"/>
        <v>1.0268714011516313</v>
      </c>
      <c r="D108" s="439">
        <f t="shared" si="5"/>
        <v>1753.1008583690993</v>
      </c>
    </row>
    <row r="109" spans="1:4" ht="30" x14ac:dyDescent="0.25">
      <c r="A109" s="465" t="s">
        <v>802</v>
      </c>
    </row>
    <row r="110" spans="1:4" ht="14.25" customHeight="1" x14ac:dyDescent="0.25">
      <c r="A110" s="466" t="s">
        <v>803</v>
      </c>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rowBreaks count="1" manualBreakCount="1">
    <brk id="8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39"/>
  <sheetViews>
    <sheetView topLeftCell="B1" zoomScaleNormal="100" workbookViewId="0">
      <selection activeCell="A37" sqref="A37"/>
    </sheetView>
  </sheetViews>
  <sheetFormatPr defaultColWidth="9.140625" defaultRowHeight="15" x14ac:dyDescent="0.25"/>
  <cols>
    <col min="1" max="1" width="22.85546875" style="19" customWidth="1"/>
    <col min="2" max="11" width="11.42578125" style="19" customWidth="1"/>
    <col min="12" max="14" width="11.42578125" style="16" customWidth="1"/>
    <col min="15" max="16384" width="9.140625" style="16"/>
  </cols>
  <sheetData>
    <row r="1" spans="1:9" ht="37.5" x14ac:dyDescent="0.3">
      <c r="A1" s="314" t="s">
        <v>102</v>
      </c>
      <c r="C1" s="471"/>
      <c r="D1" s="408" t="s">
        <v>497</v>
      </c>
      <c r="E1" s="409"/>
      <c r="F1" s="409"/>
      <c r="G1" s="122"/>
    </row>
    <row r="2" spans="1:9" ht="15" customHeight="1" x14ac:dyDescent="0.3">
      <c r="A2" s="314"/>
      <c r="C2" s="471"/>
      <c r="D2" s="410" t="s">
        <v>459</v>
      </c>
      <c r="E2" s="122"/>
      <c r="F2" s="122"/>
      <c r="G2" s="122"/>
    </row>
    <row r="3" spans="1:9" ht="15" customHeight="1" x14ac:dyDescent="0.3">
      <c r="A3" s="314"/>
      <c r="C3" s="471"/>
      <c r="D3" s="411" t="s">
        <v>460</v>
      </c>
      <c r="E3" s="124"/>
      <c r="F3" s="124"/>
      <c r="G3" s="122"/>
    </row>
    <row r="4" spans="1:9" ht="15" customHeight="1" x14ac:dyDescent="0.3">
      <c r="A4" s="314"/>
      <c r="C4" s="471"/>
      <c r="D4" s="471"/>
      <c r="E4" s="481"/>
      <c r="F4" s="482"/>
      <c r="G4" s="122"/>
    </row>
    <row r="5" spans="1:9" ht="45" x14ac:dyDescent="0.25">
      <c r="A5" s="472"/>
      <c r="B5" s="113" t="s">
        <v>103</v>
      </c>
      <c r="C5" s="113" t="s">
        <v>103</v>
      </c>
      <c r="D5" s="113" t="s">
        <v>103</v>
      </c>
      <c r="E5" s="113" t="s">
        <v>103</v>
      </c>
      <c r="F5" s="113" t="s">
        <v>104</v>
      </c>
      <c r="G5" s="113" t="s">
        <v>104</v>
      </c>
      <c r="H5" s="113" t="s">
        <v>104</v>
      </c>
      <c r="I5" s="113" t="s">
        <v>104</v>
      </c>
    </row>
    <row r="6" spans="1:9" ht="32.25" x14ac:dyDescent="0.25">
      <c r="A6" s="272" t="s">
        <v>84</v>
      </c>
      <c r="B6" s="113" t="s">
        <v>806</v>
      </c>
      <c r="C6" s="113" t="s">
        <v>14</v>
      </c>
      <c r="D6" s="113" t="s">
        <v>805</v>
      </c>
      <c r="E6" s="473" t="s">
        <v>105</v>
      </c>
      <c r="F6" s="113" t="s">
        <v>85</v>
      </c>
      <c r="G6" s="113" t="s">
        <v>14</v>
      </c>
      <c r="H6" s="113" t="s">
        <v>809</v>
      </c>
      <c r="I6" s="473" t="s">
        <v>105</v>
      </c>
    </row>
    <row r="7" spans="1:9" hidden="1" x14ac:dyDescent="0.25">
      <c r="A7" s="348">
        <v>2018</v>
      </c>
      <c r="B7" s="474">
        <v>3.8665099247932266E-2</v>
      </c>
      <c r="C7" s="474">
        <v>3.680699999999959E-2</v>
      </c>
      <c r="D7" s="474">
        <v>3.6721349367557554E-2</v>
      </c>
      <c r="E7" s="483">
        <v>4.8046931054337438E-3</v>
      </c>
      <c r="F7" s="484">
        <f>B7</f>
        <v>3.8665099247932266E-2</v>
      </c>
      <c r="G7" s="484">
        <f t="shared" ref="G7:I7" si="0">C7</f>
        <v>3.680699999999959E-2</v>
      </c>
      <c r="H7" s="484">
        <f t="shared" si="0"/>
        <v>3.6721349367557554E-2</v>
      </c>
      <c r="I7" s="484">
        <f t="shared" si="0"/>
        <v>4.8046931054337438E-3</v>
      </c>
    </row>
    <row r="8" spans="1:9" x14ac:dyDescent="0.25">
      <c r="A8" s="348">
        <v>2019</v>
      </c>
      <c r="B8" s="474">
        <v>3.945082772902242E-2</v>
      </c>
      <c r="C8" s="474">
        <v>3.68070000000007E-2</v>
      </c>
      <c r="D8" s="474">
        <v>3.6910429683187029E-2</v>
      </c>
      <c r="E8" s="483">
        <v>4.9511029323738853E-3</v>
      </c>
      <c r="F8" s="485">
        <f>F7+B8*(1+F7)</f>
        <v>7.9641297146510415E-2</v>
      </c>
      <c r="G8" s="485">
        <f t="shared" ref="G8:I21" si="1">G7+C8*(1+G7)</f>
        <v>7.4968755249000291E-2</v>
      </c>
      <c r="H8" s="485">
        <f t="shared" si="1"/>
        <v>7.4987179834447554E-2</v>
      </c>
      <c r="I8" s="485">
        <f t="shared" si="1"/>
        <v>9.7795845679310989E-3</v>
      </c>
    </row>
    <row r="9" spans="1:9" x14ac:dyDescent="0.25">
      <c r="A9" s="348">
        <v>2020</v>
      </c>
      <c r="B9" s="474">
        <v>6.7541926763360127E-2</v>
      </c>
      <c r="C9" s="474">
        <v>7.8742518624776103E-2</v>
      </c>
      <c r="D9" s="474">
        <v>3.7101408884453901E-2</v>
      </c>
      <c r="E9" s="483">
        <v>5.0984685547268427E-3</v>
      </c>
      <c r="F9" s="485">
        <f t="shared" ref="F9:F21" si="2">F8+B9*(1+F8)</f>
        <v>0.15256235056907913</v>
      </c>
      <c r="G9" s="485">
        <f t="shared" si="1"/>
        <v>0.15961450248024708</v>
      </c>
      <c r="H9" s="485">
        <f t="shared" si="1"/>
        <v>0.11487071873903137</v>
      </c>
      <c r="I9" s="485">
        <f t="shared" si="1"/>
        <v>1.492791402705583E-2</v>
      </c>
    </row>
    <row r="10" spans="1:9" x14ac:dyDescent="0.25">
      <c r="A10" s="348">
        <v>2021</v>
      </c>
      <c r="B10" s="474">
        <v>3.5823483948360435E-2</v>
      </c>
      <c r="C10" s="474">
        <v>3.6807000000000256E-2</v>
      </c>
      <c r="D10" s="474">
        <v>3.2431274943651278E-2</v>
      </c>
      <c r="E10" s="483">
        <v>1.1528452252178134E-2</v>
      </c>
      <c r="F10" s="485">
        <f t="shared" si="2"/>
        <v>0.19385114943417511</v>
      </c>
      <c r="G10" s="485">
        <f t="shared" si="1"/>
        <v>0.20229643347303783</v>
      </c>
      <c r="H10" s="485">
        <f t="shared" si="1"/>
        <v>0.15102739754508301</v>
      </c>
      <c r="I10" s="485">
        <f t="shared" si="1"/>
        <v>2.6628462023319498E-2</v>
      </c>
    </row>
    <row r="11" spans="1:9" x14ac:dyDescent="0.25">
      <c r="A11" s="348">
        <v>2022</v>
      </c>
      <c r="B11" s="474">
        <v>3.6866010880050037E-2</v>
      </c>
      <c r="C11" s="474">
        <v>3.680700000000181E-2</v>
      </c>
      <c r="D11" s="474">
        <v>2.8998265455361993E-2</v>
      </c>
      <c r="E11" s="474">
        <v>7.8062375615997048E-3</v>
      </c>
      <c r="F11" s="485">
        <f t="shared" si="2"/>
        <v>0.23786367889837565</v>
      </c>
      <c r="G11" s="485">
        <f t="shared" si="1"/>
        <v>0.24654935829988212</v>
      </c>
      <c r="H11" s="485">
        <f t="shared" si="1"/>
        <v>0.18440519556548982</v>
      </c>
      <c r="I11" s="485">
        <f t="shared" si="1"/>
        <v>3.4642567685373271E-2</v>
      </c>
    </row>
    <row r="12" spans="1:9" x14ac:dyDescent="0.25">
      <c r="A12" s="348">
        <v>2023</v>
      </c>
      <c r="B12" s="474">
        <v>3.7799439147330638E-2</v>
      </c>
      <c r="C12" s="474">
        <v>3.6807000000002477E-2</v>
      </c>
      <c r="D12" s="474">
        <v>2.9103730853841991E-2</v>
      </c>
      <c r="E12" s="474">
        <v>7.8549475747948794E-3</v>
      </c>
      <c r="F12" s="485">
        <f t="shared" si="2"/>
        <v>0.28465423170158566</v>
      </c>
      <c r="G12" s="485">
        <f t="shared" si="1"/>
        <v>0.29243110053082899</v>
      </c>
      <c r="H12" s="485">
        <f t="shared" si="1"/>
        <v>0.21887580559911993</v>
      </c>
      <c r="I12" s="485">
        <f t="shared" si="1"/>
        <v>4.2769630813193044E-2</v>
      </c>
    </row>
    <row r="13" spans="1:9" x14ac:dyDescent="0.25">
      <c r="A13" s="348">
        <v>2024</v>
      </c>
      <c r="B13" s="474">
        <v>3.8638732505061446E-2</v>
      </c>
      <c r="C13" s="474">
        <v>3.6806999999996703E-2</v>
      </c>
      <c r="D13" s="474">
        <v>2.9210220510180296E-2</v>
      </c>
      <c r="E13" s="474">
        <v>7.9055431611416704E-3</v>
      </c>
      <c r="F13" s="485">
        <f t="shared" si="2"/>
        <v>0.33429164292179847</v>
      </c>
      <c r="G13" s="485">
        <f t="shared" si="1"/>
        <v>0.34000161204806295</v>
      </c>
      <c r="H13" s="485">
        <f t="shared" si="1"/>
        <v>0.2544794366551939</v>
      </c>
      <c r="I13" s="485">
        <f t="shared" si="1"/>
        <v>5.1013291136714503E-2</v>
      </c>
    </row>
    <row r="14" spans="1:9" x14ac:dyDescent="0.25">
      <c r="A14" s="348">
        <v>2025</v>
      </c>
      <c r="B14" s="474">
        <v>5.6781621008111793E-2</v>
      </c>
      <c r="C14" s="474">
        <v>3.680700000000181E-2</v>
      </c>
      <c r="D14" s="474">
        <v>2.9317723564273868E-2</v>
      </c>
      <c r="E14" s="474">
        <v>7.9580932257303783E-3</v>
      </c>
      <c r="F14" s="485">
        <f t="shared" si="2"/>
        <v>0.41005488530447487</v>
      </c>
      <c r="G14" s="485">
        <f t="shared" si="1"/>
        <v>0.38932305138271844</v>
      </c>
      <c r="H14" s="485">
        <f t="shared" si="1"/>
        <v>0.29125791799611689</v>
      </c>
      <c r="I14" s="485">
        <f t="shared" si="1"/>
        <v>5.9377352889062179E-2</v>
      </c>
    </row>
    <row r="15" spans="1:9" x14ac:dyDescent="0.25">
      <c r="A15" s="348">
        <v>2026</v>
      </c>
      <c r="B15" s="474">
        <v>2.4419519346086105E-2</v>
      </c>
      <c r="C15" s="474">
        <v>3.6807000000002921E-2</v>
      </c>
      <c r="D15" s="474">
        <v>2.9341114226862475E-2</v>
      </c>
      <c r="E15" s="474">
        <v>1.0959638145370487E-2</v>
      </c>
      <c r="F15" s="485">
        <f t="shared" si="2"/>
        <v>0.44448774785521072</v>
      </c>
      <c r="G15" s="485">
        <f t="shared" si="1"/>
        <v>0.44045986493496619</v>
      </c>
      <c r="H15" s="485">
        <f t="shared" si="1"/>
        <v>0.32914486406438159</v>
      </c>
      <c r="I15" s="485">
        <f t="shared" si="1"/>
        <v>7.0987745336126756E-2</v>
      </c>
    </row>
    <row r="16" spans="1:9" x14ac:dyDescent="0.25">
      <c r="A16" s="348">
        <v>2027</v>
      </c>
      <c r="B16" s="474">
        <v>2.6087062829845076E-2</v>
      </c>
      <c r="C16" s="474">
        <v>3.6806999999996259E-2</v>
      </c>
      <c r="D16" s="474">
        <v>2.2735427167451583E-2</v>
      </c>
      <c r="E16" s="474">
        <v>1.0580585782265617E-2</v>
      </c>
      <c r="F16" s="485">
        <f t="shared" si="2"/>
        <v>0.48217019049045101</v>
      </c>
      <c r="G16" s="485">
        <f t="shared" si="1"/>
        <v>0.4934788711836221</v>
      </c>
      <c r="H16" s="485">
        <f t="shared" si="1"/>
        <v>0.35936354031630968</v>
      </c>
      <c r="I16" s="485">
        <f t="shared" si="1"/>
        <v>8.2319423047410883E-2</v>
      </c>
    </row>
    <row r="17" spans="1:11" x14ac:dyDescent="0.25">
      <c r="A17" s="348">
        <v>2028</v>
      </c>
      <c r="B17" s="474">
        <v>2.7564108670243392E-2</v>
      </c>
      <c r="C17" s="474">
        <v>3.6807000000004919E-2</v>
      </c>
      <c r="D17" s="474">
        <v>2.2737833429721022E-2</v>
      </c>
      <c r="E17" s="474">
        <v>1.0623968359858127E-2</v>
      </c>
      <c r="F17" s="485">
        <f t="shared" si="2"/>
        <v>0.5230248906889251</v>
      </c>
      <c r="G17" s="485">
        <f t="shared" si="1"/>
        <v>0.548449347995285</v>
      </c>
      <c r="H17" s="485">
        <f t="shared" si="1"/>
        <v>0.39027252206645779</v>
      </c>
      <c r="I17" s="485">
        <f t="shared" si="1"/>
        <v>9.3817950353126484E-2</v>
      </c>
    </row>
    <row r="18" spans="1:11" x14ac:dyDescent="0.25">
      <c r="A18" s="348">
        <v>2029</v>
      </c>
      <c r="B18" s="474">
        <v>2.8879087113472313E-2</v>
      </c>
      <c r="C18" s="474">
        <v>3.6806999999997592E-2</v>
      </c>
      <c r="D18" s="474">
        <v>2.2740238633076615E-2</v>
      </c>
      <c r="E18" s="474">
        <v>1.0668054894061862E-2</v>
      </c>
      <c r="F18" s="485">
        <f t="shared" si="2"/>
        <v>0.56700845918311726</v>
      </c>
      <c r="G18" s="485">
        <f t="shared" si="1"/>
        <v>0.60544312314694371</v>
      </c>
      <c r="H18" s="485">
        <f t="shared" si="1"/>
        <v>0.42188765098325831</v>
      </c>
      <c r="I18" s="485">
        <f t="shared" si="1"/>
        <v>0.10548686029160387</v>
      </c>
    </row>
    <row r="19" spans="1:11" x14ac:dyDescent="0.25">
      <c r="A19" s="348">
        <v>2030</v>
      </c>
      <c r="B19" s="474">
        <v>3.0055258006755903E-2</v>
      </c>
      <c r="C19" s="474">
        <v>3.680699999999959E-2</v>
      </c>
      <c r="D19" s="474">
        <v>2.2742642774647326E-2</v>
      </c>
      <c r="E19" s="474">
        <v>1.0712860694722659E-2</v>
      </c>
      <c r="F19" s="485">
        <f t="shared" si="2"/>
        <v>0.61410530272263486</v>
      </c>
      <c r="G19" s="485">
        <f t="shared" si="1"/>
        <v>0.66453466818061258</v>
      </c>
      <c r="H19" s="485">
        <f t="shared" si="1"/>
        <v>0.45422513389525299</v>
      </c>
      <c r="I19" s="485">
        <f t="shared" si="1"/>
        <v>0.11732978702575415</v>
      </c>
    </row>
    <row r="20" spans="1:11" x14ac:dyDescent="0.25">
      <c r="A20" s="348">
        <v>2031</v>
      </c>
      <c r="B20" s="474">
        <v>4.778839088513398E-2</v>
      </c>
      <c r="C20" s="474">
        <v>3.680699999999959E-2</v>
      </c>
      <c r="D20" s="474">
        <v>2.3638874239532148E-2</v>
      </c>
      <c r="E20" s="474">
        <v>1.1674158854140915E-2</v>
      </c>
      <c r="F20" s="485">
        <f t="shared" si="2"/>
        <v>0.69124079785891168</v>
      </c>
      <c r="G20" s="485">
        <f t="shared" si="1"/>
        <v>0.7258011957123357</v>
      </c>
      <c r="H20" s="485">
        <f t="shared" si="1"/>
        <v>0.48860137895136968</v>
      </c>
      <c r="I20" s="485">
        <f t="shared" si="1"/>
        <v>0.13037367245195625</v>
      </c>
    </row>
    <row r="21" spans="1:11" x14ac:dyDescent="0.25">
      <c r="A21" s="348">
        <v>2032</v>
      </c>
      <c r="B21" s="474">
        <v>4.7796702132069324E-2</v>
      </c>
      <c r="C21" s="474">
        <v>3.6807000000002477E-2</v>
      </c>
      <c r="D21" s="474">
        <v>2.297227301974436E-2</v>
      </c>
      <c r="E21" s="474">
        <v>1.1380053822583225E-2</v>
      </c>
      <c r="F21" s="485">
        <f t="shared" si="2"/>
        <v>0.77207653050777736</v>
      </c>
      <c r="G21" s="485">
        <f t="shared" si="1"/>
        <v>0.78932276032292392</v>
      </c>
      <c r="H21" s="485">
        <f t="shared" si="1"/>
        <v>0.52279793624620852</v>
      </c>
      <c r="I21" s="485">
        <f t="shared" si="1"/>
        <v>0.14323738568409056</v>
      </c>
    </row>
    <row r="22" spans="1:11" ht="60" x14ac:dyDescent="0.25">
      <c r="A22" s="124" t="s">
        <v>807</v>
      </c>
      <c r="B22" s="475"/>
      <c r="C22" s="475"/>
      <c r="D22" s="475"/>
      <c r="E22" s="423"/>
    </row>
    <row r="23" spans="1:11" ht="60" x14ac:dyDescent="0.25">
      <c r="A23" s="465" t="s">
        <v>808</v>
      </c>
      <c r="E23" s="476"/>
    </row>
    <row r="24" spans="1:11" x14ac:dyDescent="0.25">
      <c r="A24" s="477"/>
    </row>
    <row r="25" spans="1:11" ht="75" x14ac:dyDescent="0.25">
      <c r="A25" s="113" t="s">
        <v>446</v>
      </c>
      <c r="B25" s="301" t="s">
        <v>562</v>
      </c>
      <c r="C25" s="301" t="s">
        <v>447</v>
      </c>
      <c r="D25" s="301" t="s">
        <v>448</v>
      </c>
      <c r="E25" s="301" t="s">
        <v>447</v>
      </c>
    </row>
    <row r="26" spans="1:11" s="1" customFormat="1" x14ac:dyDescent="0.25">
      <c r="A26" s="22" t="s">
        <v>85</v>
      </c>
      <c r="B26" s="478">
        <f>'Vessel Visits'!B14</f>
        <v>3742</v>
      </c>
      <c r="C26" s="479">
        <f>B26/B$31</f>
        <v>0.56448936491175139</v>
      </c>
      <c r="D26" s="478">
        <f>B26</f>
        <v>3742</v>
      </c>
      <c r="E26" s="479">
        <f>D26/D$31</f>
        <v>0.66678545972915182</v>
      </c>
      <c r="G26" s="38"/>
      <c r="H26" s="38"/>
      <c r="I26" s="38"/>
      <c r="J26" s="38"/>
      <c r="K26" s="38"/>
    </row>
    <row r="27" spans="1:11" s="1" customFormat="1" x14ac:dyDescent="0.25">
      <c r="A27" s="22" t="s">
        <v>14</v>
      </c>
      <c r="B27" s="478">
        <f>'Vessel Visits'!B64</f>
        <v>527</v>
      </c>
      <c r="C27" s="479">
        <f>B27/B$31</f>
        <v>7.9499170312264292E-2</v>
      </c>
      <c r="D27" s="478">
        <f t="shared" ref="D27:D30" si="3">B27</f>
        <v>527</v>
      </c>
      <c r="E27" s="479">
        <f>D27/D$31</f>
        <v>9.3905915894511763E-2</v>
      </c>
      <c r="G27" s="38"/>
      <c r="H27" s="38"/>
      <c r="I27" s="38"/>
      <c r="J27" s="38"/>
      <c r="K27" s="38"/>
    </row>
    <row r="28" spans="1:11" s="1" customFormat="1" x14ac:dyDescent="0.25">
      <c r="A28" s="22" t="s">
        <v>15</v>
      </c>
      <c r="B28" s="478">
        <f>'Vessel Visits'!B107</f>
        <v>1017</v>
      </c>
      <c r="C28" s="479">
        <f>B28/B$31</f>
        <v>0.15341680494795595</v>
      </c>
      <c r="D28" s="451">
        <v>0</v>
      </c>
      <c r="E28" s="479">
        <f>D28/D$31</f>
        <v>0</v>
      </c>
      <c r="G28" s="38"/>
      <c r="H28" s="38"/>
      <c r="I28" s="38"/>
      <c r="J28" s="38"/>
      <c r="K28" s="38"/>
    </row>
    <row r="29" spans="1:11" s="1" customFormat="1" x14ac:dyDescent="0.25">
      <c r="A29" s="22" t="s">
        <v>768</v>
      </c>
      <c r="B29" s="478">
        <f>'Vessel Visits'!B148</f>
        <v>577</v>
      </c>
      <c r="C29" s="479">
        <f>B29/B$31</f>
        <v>8.7041786091416509E-2</v>
      </c>
      <c r="D29" s="478">
        <f t="shared" si="3"/>
        <v>577</v>
      </c>
      <c r="E29" s="479">
        <f>D29/D$31</f>
        <v>0.10281539558089807</v>
      </c>
      <c r="G29" s="38"/>
      <c r="H29" s="38"/>
      <c r="I29" s="38"/>
      <c r="J29" s="38"/>
      <c r="K29" s="38"/>
    </row>
    <row r="30" spans="1:11" s="1" customFormat="1" x14ac:dyDescent="0.25">
      <c r="A30" s="348" t="s">
        <v>769</v>
      </c>
      <c r="B30" s="478">
        <f>'Vessel Visits'!B184</f>
        <v>766</v>
      </c>
      <c r="C30" s="479">
        <f>B30/B$31</f>
        <v>0.11555287373661186</v>
      </c>
      <c r="D30" s="478">
        <f t="shared" si="3"/>
        <v>766</v>
      </c>
      <c r="E30" s="479">
        <f>D30/D$31</f>
        <v>0.13649322879543835</v>
      </c>
      <c r="G30" s="38"/>
      <c r="H30" s="38"/>
      <c r="I30" s="38"/>
      <c r="J30" s="38"/>
      <c r="K30" s="38"/>
    </row>
    <row r="31" spans="1:11" s="1" customFormat="1" x14ac:dyDescent="0.25">
      <c r="A31" s="450"/>
      <c r="B31" s="478">
        <f>SUM(B26:B30)</f>
        <v>6629</v>
      </c>
      <c r="C31" s="479">
        <f>SUM(C26:C30)</f>
        <v>1</v>
      </c>
      <c r="D31" s="478">
        <f>SUM(D26:D30)</f>
        <v>5612</v>
      </c>
      <c r="E31" s="479">
        <f>SUM(E26:E30)</f>
        <v>1</v>
      </c>
      <c r="G31" s="38"/>
      <c r="H31" s="38"/>
      <c r="I31" s="38"/>
      <c r="J31" s="38"/>
      <c r="K31" s="38"/>
    </row>
    <row r="33" spans="1:14" ht="75" x14ac:dyDescent="0.25">
      <c r="A33" s="472" t="s">
        <v>561</v>
      </c>
    </row>
    <row r="34" spans="1:14" x14ac:dyDescent="0.25">
      <c r="A34" s="457">
        <v>2019</v>
      </c>
      <c r="B34" s="457">
        <v>2020</v>
      </c>
      <c r="C34" s="457">
        <v>2021</v>
      </c>
      <c r="D34" s="457">
        <v>2022</v>
      </c>
      <c r="E34" s="457">
        <v>2023</v>
      </c>
      <c r="F34" s="457">
        <v>2024</v>
      </c>
      <c r="G34" s="457">
        <v>2025</v>
      </c>
      <c r="H34" s="457">
        <v>2026</v>
      </c>
      <c r="I34" s="457">
        <v>2027</v>
      </c>
      <c r="J34" s="457">
        <v>2028</v>
      </c>
      <c r="K34" s="457">
        <v>2029</v>
      </c>
      <c r="L34" s="15">
        <v>2030</v>
      </c>
      <c r="M34" s="15">
        <v>2031</v>
      </c>
      <c r="N34" s="15">
        <v>2032</v>
      </c>
    </row>
    <row r="35" spans="1:14" x14ac:dyDescent="0.25">
      <c r="A35" s="480">
        <f>$F8*$C26+$G8*$C27+$H8*$C28+$I8*$C29+$I8*$C30</f>
        <v>6.4402204239678643E-2</v>
      </c>
      <c r="B35" s="480">
        <f>$F9*$C26+$G9*$C27+$H9*$C28+$I9*$C29+$I9*$C30</f>
        <v>0.11945645921443887</v>
      </c>
      <c r="C35" s="480">
        <f>$F10*$C26+$G10*$C27+$H10*$C28+$I10*$C29+$I10*$C30</f>
        <v>0.15407423584607657</v>
      </c>
      <c r="D35" s="480">
        <f>$F11*$C26+$G11*$C27+$H11*$C28+$I11*$C29+$I11*$C30</f>
        <v>0.18918124159802671</v>
      </c>
      <c r="E35" s="480">
        <f>$F12*$C26+$G12*$C27+$H12*$C28+$I12*$C29+$I12*$C30</f>
        <v>0.22617644191937</v>
      </c>
      <c r="F35" s="480">
        <f>$F13*$C26+$G13*$C27+$H13*$C28+$I13*$C29+$I13*$C30</f>
        <v>0.26511036573203184</v>
      </c>
      <c r="G35" s="480">
        <f>$F14*$C26+$G14*$C27+$H14*$C28+$I14*$C29+$I14*$C30</f>
        <v>0.31913587515765562</v>
      </c>
      <c r="H35" s="480">
        <f>$F15*$C26+$G15*$C27+$H15*$C28+$I15*$C29+$I15*$C30</f>
        <v>0.35080289184414243</v>
      </c>
      <c r="I35" s="480">
        <f>$F16*$C26+$G16*$C27+$H16*$C28+$I16*$C29+$I16*$C30</f>
        <v>0.38322098711470748</v>
      </c>
      <c r="J35" s="480">
        <f>$F17*$C26+$G17*$C27+$H17*$C28+$I17*$C29+$I17*$C30</f>
        <v>0.41772463563392809</v>
      </c>
      <c r="K35" s="480">
        <f>$F18*$C26+$G18*$C27+$H18*$C28+$I18*$C29+$I18*$C30</f>
        <v>0.45429820102327073</v>
      </c>
      <c r="L35" s="260">
        <f>$F19*$C26+$G19*$C27+$H19*$C28+$I19*$C29+$I19*$C30</f>
        <v>0.49294202414637844</v>
      </c>
      <c r="M35" s="260">
        <f>$F20*$C26+$G20*$C27+$H20*$C28+$I20*$C29+$I20*$C30</f>
        <v>0.54927134412806888</v>
      </c>
      <c r="N35" s="260">
        <f>$F21*$C26+$G21*$C27+$H21*$C28+$I21*$C29+$I21*$C30</f>
        <v>0.60780461336346525</v>
      </c>
    </row>
    <row r="37" spans="1:14" ht="60" x14ac:dyDescent="0.25">
      <c r="A37" s="472" t="s">
        <v>106</v>
      </c>
    </row>
    <row r="38" spans="1:14" x14ac:dyDescent="0.25">
      <c r="A38" s="457">
        <v>2019</v>
      </c>
      <c r="B38" s="457">
        <v>2020</v>
      </c>
      <c r="C38" s="457">
        <v>2021</v>
      </c>
      <c r="D38" s="457">
        <v>2022</v>
      </c>
      <c r="E38" s="457">
        <v>2023</v>
      </c>
      <c r="F38" s="457">
        <v>2024</v>
      </c>
      <c r="G38" s="457">
        <v>2025</v>
      </c>
      <c r="H38" s="457">
        <v>2026</v>
      </c>
      <c r="I38" s="457">
        <v>2027</v>
      </c>
      <c r="J38" s="457">
        <v>2028</v>
      </c>
      <c r="K38" s="457">
        <v>2029</v>
      </c>
      <c r="L38" s="15">
        <v>2030</v>
      </c>
      <c r="M38" s="15">
        <v>2031</v>
      </c>
      <c r="N38" s="15">
        <v>2032</v>
      </c>
    </row>
    <row r="39" spans="1:14" x14ac:dyDescent="0.25">
      <c r="A39" s="480">
        <f>$F8*$E26+$G8*$E27+$H8*$E28+$I8*$E29+$I8*$E30</f>
        <v>6.2484007486314434E-2</v>
      </c>
      <c r="B39" s="480">
        <f>$F9*$E26+$G9*$E27+$H9*$E28+$I9*$E29+$I9*$E30</f>
        <v>0.12028748167764083</v>
      </c>
      <c r="C39" s="480">
        <f>$F10*$E26+$G10*$E27+$H10*$E28+$I10*$E29+$I10*$E30</f>
        <v>0.15462638027802786</v>
      </c>
      <c r="D39" s="480">
        <f>$F11*$E26+$G11*$E27+$H11*$E28+$I11*$E29+$I11*$E30</f>
        <v>0.19004675100912613</v>
      </c>
      <c r="E39" s="480">
        <f>$F12*$E26+$G12*$E27+$H12*$E28+$I12*$E29+$I12*$E30</f>
        <v>0.22749945459536683</v>
      </c>
      <c r="F39" s="480">
        <f>$F13*$E26+$G13*$E27+$H13*$E28+$I13*$E29+$I13*$FD30</f>
        <v>0.26007392130231355</v>
      </c>
      <c r="G39" s="480">
        <f>$F14*$E26+$G14*$E27+$H14*$E28+$I14*$E29+$I14*$E30</f>
        <v>0.32418788556985889</v>
      </c>
      <c r="H39" s="480">
        <f>$F15*$E26+$G15*$E27+$H15*$E28+$I15*$E29+$I15*$E30</f>
        <v>0.35472773401306917</v>
      </c>
      <c r="I39" s="480">
        <f>$F16*$E26+$G16*$E27+$H16*$E28+$I16*$E29+$I16*$E30</f>
        <v>0.38754440539588547</v>
      </c>
      <c r="J39" s="480">
        <f>$F17*$E26+$G17*$E27+$H17*$E28+$I17*$E29+$I17*$E30</f>
        <v>0.42269947517386347</v>
      </c>
      <c r="K39" s="480">
        <f>$F18*$E26+$G18*$E27+$H18*$E28+$I18*$E29+$I18*$E30</f>
        <v>0.46017160255404277</v>
      </c>
      <c r="L39" s="260">
        <f>$F19*$E26+$G19*$E27+$H19*$E28+$I19*$E29+$I19*$E30</f>
        <v>0.49995825318867965</v>
      </c>
      <c r="M39" s="260">
        <f>$F20*$E26+$G20*$E27+$H20*$E28+$I20*$E29+$I20*$E30</f>
        <v>0.56026588343396744</v>
      </c>
      <c r="N39" s="260">
        <f>$F21*$E26+$G21*$E27+$H21*$E28+$I21*$E29+$I21*$E30</f>
        <v>0.62320942281254765</v>
      </c>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topLeftCell="A14" zoomScaleNormal="100" workbookViewId="0">
      <selection activeCell="H5" sqref="H5"/>
    </sheetView>
  </sheetViews>
  <sheetFormatPr defaultColWidth="9.140625" defaultRowHeight="15" x14ac:dyDescent="0.25"/>
  <cols>
    <col min="1" max="1" width="33.7109375" style="38" customWidth="1"/>
    <col min="2" max="2" width="20.140625" style="38" customWidth="1"/>
    <col min="3" max="3" width="11.7109375" style="38" customWidth="1"/>
    <col min="4" max="4" width="12.140625" style="38" customWidth="1"/>
    <col min="5" max="8" width="11.7109375" style="38" customWidth="1"/>
    <col min="9" max="9" width="11.7109375" style="1" customWidth="1"/>
    <col min="10" max="10" width="12" style="1" customWidth="1"/>
    <col min="11" max="15" width="11.7109375" style="1" customWidth="1"/>
    <col min="16" max="16" width="12" style="1" customWidth="1"/>
    <col min="17" max="17" width="11.7109375" style="1" customWidth="1"/>
    <col min="18" max="26" width="12.7109375" style="1" customWidth="1"/>
    <col min="27" max="16384" width="9.140625" style="1"/>
  </cols>
  <sheetData>
    <row r="1" spans="1:7" ht="30.75" x14ac:dyDescent="0.3">
      <c r="A1" s="314" t="s">
        <v>111</v>
      </c>
      <c r="B1" s="408" t="s">
        <v>497</v>
      </c>
      <c r="C1" s="409"/>
      <c r="D1" s="409"/>
      <c r="E1" s="409"/>
      <c r="F1" s="122"/>
    </row>
    <row r="2" spans="1:7" x14ac:dyDescent="0.25">
      <c r="B2" s="410" t="s">
        <v>459</v>
      </c>
      <c r="C2" s="122"/>
      <c r="D2" s="122"/>
      <c r="E2" s="122"/>
      <c r="F2" s="122"/>
    </row>
    <row r="3" spans="1:7" x14ac:dyDescent="0.25">
      <c r="C3" s="122"/>
      <c r="D3" s="122"/>
      <c r="E3" s="122"/>
      <c r="F3" s="122"/>
    </row>
    <row r="5" spans="1:7" ht="77.25" x14ac:dyDescent="0.25">
      <c r="A5" s="8" t="s">
        <v>563</v>
      </c>
      <c r="B5" s="8" t="s">
        <v>812</v>
      </c>
      <c r="C5" s="8" t="s">
        <v>812</v>
      </c>
      <c r="D5" s="8" t="s">
        <v>813</v>
      </c>
      <c r="E5" s="8" t="s">
        <v>813</v>
      </c>
      <c r="F5" s="8" t="s">
        <v>814</v>
      </c>
      <c r="G5" s="8" t="s">
        <v>814</v>
      </c>
    </row>
    <row r="6" spans="1:7" ht="60" x14ac:dyDescent="0.25">
      <c r="A6" s="8" t="s">
        <v>610</v>
      </c>
      <c r="B6" s="302" t="s">
        <v>10</v>
      </c>
      <c r="C6" s="302" t="s">
        <v>11</v>
      </c>
      <c r="D6" s="302" t="s">
        <v>10</v>
      </c>
      <c r="E6" s="302" t="s">
        <v>11</v>
      </c>
      <c r="F6" s="302" t="s">
        <v>10</v>
      </c>
      <c r="G6" s="302" t="s">
        <v>11</v>
      </c>
    </row>
    <row r="7" spans="1:7" x14ac:dyDescent="0.25">
      <c r="A7" s="426" t="s">
        <v>0</v>
      </c>
      <c r="B7" s="419">
        <v>1</v>
      </c>
      <c r="C7" s="419">
        <v>0</v>
      </c>
      <c r="D7" s="419">
        <v>1</v>
      </c>
      <c r="E7" s="419">
        <v>0</v>
      </c>
      <c r="F7" s="419">
        <v>1</v>
      </c>
      <c r="G7" s="419">
        <v>0</v>
      </c>
    </row>
    <row r="8" spans="1:7" x14ac:dyDescent="0.25">
      <c r="A8" s="426" t="s">
        <v>1</v>
      </c>
      <c r="B8" s="419">
        <v>1</v>
      </c>
      <c r="C8" s="419">
        <v>0</v>
      </c>
      <c r="D8" s="419">
        <v>0</v>
      </c>
      <c r="E8" s="419">
        <v>1</v>
      </c>
      <c r="F8" s="419">
        <v>0</v>
      </c>
      <c r="G8" s="419">
        <v>1</v>
      </c>
    </row>
    <row r="9" spans="1:7" x14ac:dyDescent="0.25">
      <c r="A9" s="426" t="s">
        <v>2</v>
      </c>
      <c r="B9" s="419">
        <v>1</v>
      </c>
      <c r="C9" s="419">
        <v>0</v>
      </c>
      <c r="D9" s="419">
        <v>1</v>
      </c>
      <c r="E9" s="419">
        <v>0</v>
      </c>
      <c r="F9" s="419">
        <v>0</v>
      </c>
      <c r="G9" s="419">
        <v>1</v>
      </c>
    </row>
    <row r="10" spans="1:7" x14ac:dyDescent="0.25">
      <c r="A10" s="426" t="s">
        <v>3</v>
      </c>
      <c r="B10" s="419">
        <v>1</v>
      </c>
      <c r="C10" s="419">
        <v>0</v>
      </c>
      <c r="D10" s="419">
        <v>1</v>
      </c>
      <c r="E10" s="419">
        <v>0</v>
      </c>
      <c r="F10" s="419">
        <v>0</v>
      </c>
      <c r="G10" s="419">
        <v>1</v>
      </c>
    </row>
    <row r="11" spans="1:7" x14ac:dyDescent="0.25">
      <c r="A11" s="426" t="s">
        <v>4</v>
      </c>
      <c r="B11" s="419">
        <v>1</v>
      </c>
      <c r="C11" s="419">
        <v>0</v>
      </c>
      <c r="D11" s="419">
        <v>1</v>
      </c>
      <c r="E11" s="419">
        <v>0</v>
      </c>
      <c r="F11" s="419">
        <v>0</v>
      </c>
      <c r="G11" s="419">
        <v>1</v>
      </c>
    </row>
    <row r="12" spans="1:7" x14ac:dyDescent="0.25">
      <c r="A12" s="426" t="s">
        <v>5</v>
      </c>
      <c r="B12" s="419">
        <v>1</v>
      </c>
      <c r="C12" s="419">
        <v>0</v>
      </c>
      <c r="D12" s="419">
        <v>1</v>
      </c>
      <c r="E12" s="419">
        <v>0</v>
      </c>
      <c r="F12" s="419">
        <v>0</v>
      </c>
      <c r="G12" s="419">
        <v>1</v>
      </c>
    </row>
    <row r="15" spans="1:7" ht="30" customHeight="1" x14ac:dyDescent="0.25">
      <c r="A15" s="8" t="s">
        <v>193</v>
      </c>
      <c r="B15" s="8" t="s">
        <v>236</v>
      </c>
      <c r="C15" s="8" t="s">
        <v>236</v>
      </c>
      <c r="D15" s="8" t="s">
        <v>817</v>
      </c>
      <c r="E15" s="8" t="s">
        <v>817</v>
      </c>
      <c r="F15" s="8" t="s">
        <v>12</v>
      </c>
      <c r="G15" s="8" t="s">
        <v>12</v>
      </c>
    </row>
    <row r="16" spans="1:7" ht="60" x14ac:dyDescent="0.25">
      <c r="A16" s="8" t="s">
        <v>610</v>
      </c>
      <c r="B16" s="302" t="s">
        <v>10</v>
      </c>
      <c r="C16" s="302" t="s">
        <v>11</v>
      </c>
      <c r="D16" s="302" t="s">
        <v>10</v>
      </c>
      <c r="E16" s="302" t="s">
        <v>11</v>
      </c>
      <c r="F16" s="302" t="s">
        <v>10</v>
      </c>
      <c r="G16" s="302" t="s">
        <v>11</v>
      </c>
    </row>
    <row r="17" spans="1:8" x14ac:dyDescent="0.25">
      <c r="A17" s="426" t="s">
        <v>0</v>
      </c>
      <c r="B17" s="419">
        <v>1</v>
      </c>
      <c r="C17" s="419">
        <v>0</v>
      </c>
      <c r="D17" s="419">
        <v>1</v>
      </c>
      <c r="E17" s="419">
        <v>0</v>
      </c>
      <c r="F17" s="419">
        <v>1</v>
      </c>
      <c r="G17" s="419">
        <v>0</v>
      </c>
    </row>
    <row r="18" spans="1:8" x14ac:dyDescent="0.25">
      <c r="A18" s="426" t="s">
        <v>1</v>
      </c>
      <c r="B18" s="419">
        <v>1</v>
      </c>
      <c r="C18" s="419">
        <v>0</v>
      </c>
      <c r="D18" s="419">
        <v>0</v>
      </c>
      <c r="E18" s="419">
        <v>1</v>
      </c>
      <c r="F18" s="419">
        <v>0</v>
      </c>
      <c r="G18" s="419">
        <v>1</v>
      </c>
    </row>
    <row r="19" spans="1:8" x14ac:dyDescent="0.25">
      <c r="A19" s="426" t="s">
        <v>2</v>
      </c>
      <c r="B19" s="419">
        <v>1</v>
      </c>
      <c r="C19" s="419">
        <v>0</v>
      </c>
      <c r="D19" s="419">
        <v>1</v>
      </c>
      <c r="E19" s="419">
        <v>0</v>
      </c>
      <c r="F19" s="419">
        <v>0</v>
      </c>
      <c r="G19" s="419">
        <v>1</v>
      </c>
    </row>
    <row r="20" spans="1:8" x14ac:dyDescent="0.25">
      <c r="A20" s="426" t="s">
        <v>3</v>
      </c>
      <c r="B20" s="419">
        <v>1</v>
      </c>
      <c r="C20" s="419">
        <v>0</v>
      </c>
      <c r="D20" s="419">
        <v>1</v>
      </c>
      <c r="E20" s="419">
        <v>0</v>
      </c>
      <c r="F20" s="419">
        <v>0</v>
      </c>
      <c r="G20" s="419">
        <v>1</v>
      </c>
    </row>
    <row r="21" spans="1:8" x14ac:dyDescent="0.25">
      <c r="A21" s="426" t="s">
        <v>4</v>
      </c>
      <c r="B21" s="419">
        <v>1</v>
      </c>
      <c r="C21" s="419">
        <v>0</v>
      </c>
      <c r="D21" s="419">
        <v>1</v>
      </c>
      <c r="E21" s="419">
        <v>0</v>
      </c>
      <c r="F21" s="419">
        <v>0</v>
      </c>
      <c r="G21" s="419">
        <v>1</v>
      </c>
    </row>
    <row r="22" spans="1:8" x14ac:dyDescent="0.25">
      <c r="A22" s="426" t="s">
        <v>5</v>
      </c>
      <c r="B22" s="419">
        <v>1</v>
      </c>
      <c r="C22" s="419">
        <v>0</v>
      </c>
      <c r="D22" s="419">
        <v>1</v>
      </c>
      <c r="E22" s="419">
        <v>0</v>
      </c>
      <c r="F22" s="419">
        <v>0</v>
      </c>
      <c r="G22" s="419">
        <v>1</v>
      </c>
    </row>
    <row r="23" spans="1:8" x14ac:dyDescent="0.25">
      <c r="A23" s="454" t="s">
        <v>778</v>
      </c>
      <c r="B23" s="419">
        <v>0</v>
      </c>
      <c r="C23" s="419">
        <v>1</v>
      </c>
      <c r="D23" s="419">
        <v>0</v>
      </c>
      <c r="E23" s="419">
        <v>1</v>
      </c>
      <c r="F23" s="419">
        <v>0</v>
      </c>
      <c r="G23" s="419">
        <v>1</v>
      </c>
    </row>
    <row r="24" spans="1:8" x14ac:dyDescent="0.25">
      <c r="A24" s="454" t="s">
        <v>779</v>
      </c>
      <c r="B24" s="419">
        <v>0</v>
      </c>
      <c r="C24" s="419">
        <v>1</v>
      </c>
      <c r="D24" s="419">
        <v>0</v>
      </c>
      <c r="E24" s="419">
        <v>1</v>
      </c>
      <c r="F24" s="419">
        <v>0</v>
      </c>
      <c r="G24" s="419">
        <v>1</v>
      </c>
    </row>
    <row r="25" spans="1:8" x14ac:dyDescent="0.25">
      <c r="A25" s="454" t="s">
        <v>810</v>
      </c>
      <c r="B25" s="419">
        <v>0</v>
      </c>
      <c r="C25" s="419">
        <v>1</v>
      </c>
      <c r="D25" s="419">
        <v>0</v>
      </c>
      <c r="E25" s="419">
        <v>1</v>
      </c>
      <c r="F25" s="419">
        <v>0</v>
      </c>
      <c r="G25" s="419">
        <v>1</v>
      </c>
    </row>
    <row r="26" spans="1:8" x14ac:dyDescent="0.25">
      <c r="A26" s="454" t="s">
        <v>811</v>
      </c>
      <c r="B26" s="419">
        <v>0</v>
      </c>
      <c r="C26" s="419">
        <v>1</v>
      </c>
      <c r="D26" s="419">
        <v>0</v>
      </c>
      <c r="E26" s="419">
        <v>1</v>
      </c>
      <c r="F26" s="419">
        <v>0</v>
      </c>
      <c r="G26" s="419">
        <v>1</v>
      </c>
      <c r="H26" s="38" t="s">
        <v>466</v>
      </c>
    </row>
    <row r="27" spans="1:8" ht="60" x14ac:dyDescent="0.25">
      <c r="A27" s="64" t="s">
        <v>815</v>
      </c>
    </row>
    <row r="28" spans="1:8" ht="45" x14ac:dyDescent="0.25">
      <c r="A28" s="64" t="s">
        <v>816</v>
      </c>
    </row>
    <row r="29" spans="1:8" x14ac:dyDescent="0.25">
      <c r="A29" s="64"/>
    </row>
    <row r="30" spans="1:8" x14ac:dyDescent="0.25">
      <c r="A30" s="417"/>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4"/>
  <sheetViews>
    <sheetView zoomScaleNormal="100" workbookViewId="0">
      <selection activeCell="A77" sqref="A77"/>
    </sheetView>
  </sheetViews>
  <sheetFormatPr defaultColWidth="9.140625" defaultRowHeight="15" x14ac:dyDescent="0.25"/>
  <cols>
    <col min="1" max="1" width="33.7109375" style="38" customWidth="1"/>
    <col min="2" max="2" width="19" style="38" customWidth="1"/>
    <col min="3" max="3" width="17.5703125" style="38" customWidth="1"/>
    <col min="4" max="5" width="12.140625" style="38" customWidth="1"/>
    <col min="6" max="9" width="11.7109375" style="38" customWidth="1"/>
    <col min="10" max="10" width="11.7109375" style="1" customWidth="1"/>
    <col min="11" max="11" width="12" style="1" customWidth="1"/>
    <col min="12" max="16" width="11.7109375" style="1" customWidth="1"/>
    <col min="17" max="17" width="12" style="1" customWidth="1"/>
    <col min="18" max="18" width="11.7109375" style="1" customWidth="1"/>
    <col min="19" max="27" width="12.7109375" style="1" customWidth="1"/>
    <col min="28" max="16384" width="9.140625" style="1"/>
  </cols>
  <sheetData>
    <row r="1" spans="1:11" ht="93.75" x14ac:dyDescent="0.3">
      <c r="A1" s="314" t="s">
        <v>182</v>
      </c>
    </row>
    <row r="2" spans="1:11" ht="30" x14ac:dyDescent="0.25">
      <c r="B2" s="408" t="s">
        <v>497</v>
      </c>
      <c r="C2" s="409"/>
      <c r="D2" s="409"/>
      <c r="E2" s="409"/>
      <c r="F2" s="122"/>
    </row>
    <row r="3" spans="1:11" x14ac:dyDescent="0.25">
      <c r="B3" s="410" t="s">
        <v>459</v>
      </c>
      <c r="C3" s="122"/>
      <c r="D3" s="122"/>
      <c r="E3" s="122"/>
      <c r="F3" s="122"/>
    </row>
    <row r="4" spans="1:11" x14ac:dyDescent="0.25">
      <c r="B4" s="411" t="s">
        <v>460</v>
      </c>
      <c r="C4" s="124"/>
      <c r="D4" s="124"/>
      <c r="E4" s="124"/>
      <c r="F4" s="122"/>
    </row>
    <row r="5" spans="1:11" x14ac:dyDescent="0.25">
      <c r="C5" s="122"/>
      <c r="D5" s="122"/>
      <c r="E5" s="122"/>
      <c r="F5" s="122"/>
    </row>
    <row r="6" spans="1:11" ht="15.75" x14ac:dyDescent="0.25">
      <c r="A6" s="315" t="s">
        <v>186</v>
      </c>
      <c r="G6" s="122"/>
      <c r="H6" s="122"/>
    </row>
    <row r="7" spans="1:11" ht="77.25" x14ac:dyDescent="0.25">
      <c r="A7" s="302" t="s">
        <v>214</v>
      </c>
      <c r="B7" s="8" t="s">
        <v>393</v>
      </c>
      <c r="C7" s="8" t="s">
        <v>237</v>
      </c>
      <c r="D7" s="353"/>
      <c r="E7" s="353"/>
      <c r="F7" s="122"/>
      <c r="G7" s="353"/>
      <c r="H7" s="122"/>
    </row>
    <row r="8" spans="1:11" x14ac:dyDescent="0.25">
      <c r="A8" s="296" t="s">
        <v>570</v>
      </c>
      <c r="B8" s="410">
        <f>34+23</f>
        <v>57</v>
      </c>
      <c r="C8" s="43">
        <v>2020</v>
      </c>
      <c r="D8" s="122"/>
      <c r="E8" s="122"/>
      <c r="F8" s="122"/>
      <c r="G8" s="488"/>
      <c r="H8" s="122"/>
    </row>
    <row r="9" spans="1:11" x14ac:dyDescent="0.25">
      <c r="A9" s="296" t="s">
        <v>38</v>
      </c>
      <c r="B9" s="410">
        <f>39+23</f>
        <v>62</v>
      </c>
      <c r="C9" s="43">
        <v>2020</v>
      </c>
      <c r="D9" s="122"/>
      <c r="E9" s="122"/>
      <c r="F9" s="122"/>
      <c r="G9" s="488"/>
      <c r="H9" s="122"/>
    </row>
    <row r="10" spans="1:11" s="16" customFormat="1" x14ac:dyDescent="0.25">
      <c r="A10" s="489"/>
      <c r="B10" s="489"/>
      <c r="C10" s="489"/>
      <c r="D10" s="489"/>
      <c r="E10" s="19"/>
      <c r="F10" s="19"/>
      <c r="G10" s="122"/>
      <c r="H10" s="122"/>
      <c r="I10" s="19"/>
    </row>
    <row r="11" spans="1:11" ht="30" customHeight="1" x14ac:dyDescent="0.25">
      <c r="A11" s="490"/>
      <c r="B11" s="360" t="s">
        <v>392</v>
      </c>
      <c r="C11" s="360" t="s">
        <v>392</v>
      </c>
      <c r="D11" s="360" t="s">
        <v>392</v>
      </c>
      <c r="E11" s="360" t="s">
        <v>392</v>
      </c>
      <c r="F11" s="8" t="s">
        <v>392</v>
      </c>
      <c r="G11" s="8" t="s">
        <v>392</v>
      </c>
      <c r="H11" s="8" t="s">
        <v>571</v>
      </c>
      <c r="I11" s="360" t="s">
        <v>571</v>
      </c>
      <c r="J11" s="360" t="s">
        <v>571</v>
      </c>
    </row>
    <row r="12" spans="1:11" ht="92.25" x14ac:dyDescent="0.25">
      <c r="A12" s="8" t="s">
        <v>62</v>
      </c>
      <c r="B12" s="302" t="s">
        <v>107</v>
      </c>
      <c r="C12" s="302" t="s">
        <v>108</v>
      </c>
      <c r="D12" s="49" t="s">
        <v>396</v>
      </c>
      <c r="E12" s="49" t="s">
        <v>397</v>
      </c>
      <c r="F12" s="302" t="s">
        <v>9</v>
      </c>
      <c r="G12" s="302" t="s">
        <v>238</v>
      </c>
      <c r="H12" s="302" t="s">
        <v>6</v>
      </c>
      <c r="I12" s="302" t="s">
        <v>190</v>
      </c>
      <c r="J12" s="302" t="s">
        <v>7</v>
      </c>
      <c r="K12" s="48"/>
    </row>
    <row r="13" spans="1:11" ht="14.25" customHeight="1" x14ac:dyDescent="0.25">
      <c r="A13" s="426" t="s">
        <v>0</v>
      </c>
      <c r="B13" s="410">
        <v>7</v>
      </c>
      <c r="C13" s="410">
        <v>22</v>
      </c>
      <c r="D13" s="410">
        <v>0</v>
      </c>
      <c r="E13" s="410">
        <v>2</v>
      </c>
      <c r="F13" s="410">
        <v>0</v>
      </c>
      <c r="G13" s="351">
        <v>2020</v>
      </c>
      <c r="H13" s="410">
        <v>0</v>
      </c>
      <c r="I13" s="410">
        <v>0</v>
      </c>
      <c r="J13" s="23">
        <v>0</v>
      </c>
      <c r="K13" s="9"/>
    </row>
    <row r="14" spans="1:11" x14ac:dyDescent="0.25">
      <c r="A14" s="426" t="s">
        <v>1</v>
      </c>
      <c r="B14" s="410">
        <v>6</v>
      </c>
      <c r="C14" s="410">
        <v>20</v>
      </c>
      <c r="D14" s="410">
        <v>0</v>
      </c>
      <c r="E14" s="410">
        <v>0</v>
      </c>
      <c r="F14" s="410">
        <v>0</v>
      </c>
      <c r="G14" s="351">
        <v>2020</v>
      </c>
      <c r="H14" s="410">
        <v>0</v>
      </c>
      <c r="I14" s="410">
        <v>0</v>
      </c>
      <c r="J14" s="23">
        <v>1</v>
      </c>
      <c r="K14" s="9"/>
    </row>
    <row r="15" spans="1:11" x14ac:dyDescent="0.25">
      <c r="A15" s="426" t="s">
        <v>2</v>
      </c>
      <c r="B15" s="410">
        <v>4</v>
      </c>
      <c r="C15" s="410">
        <v>12</v>
      </c>
      <c r="D15" s="410">
        <v>0</v>
      </c>
      <c r="E15" s="410">
        <v>3</v>
      </c>
      <c r="F15" s="410">
        <v>0</v>
      </c>
      <c r="G15" s="351">
        <v>2020</v>
      </c>
      <c r="H15" s="410">
        <v>0</v>
      </c>
      <c r="I15" s="410">
        <v>0</v>
      </c>
      <c r="J15" s="23">
        <v>0</v>
      </c>
      <c r="K15" s="9"/>
    </row>
    <row r="16" spans="1:11" x14ac:dyDescent="0.25">
      <c r="A16" s="426" t="s">
        <v>4</v>
      </c>
      <c r="B16" s="410">
        <v>1</v>
      </c>
      <c r="C16" s="410">
        <v>3</v>
      </c>
      <c r="D16" s="410">
        <v>0</v>
      </c>
      <c r="E16" s="410">
        <v>0</v>
      </c>
      <c r="F16" s="410">
        <v>0</v>
      </c>
      <c r="G16" s="351">
        <v>2020</v>
      </c>
      <c r="H16" s="410">
        <v>0</v>
      </c>
      <c r="I16" s="410">
        <v>0</v>
      </c>
      <c r="J16" s="23">
        <v>0</v>
      </c>
      <c r="K16" s="9"/>
    </row>
    <row r="17" spans="1:11" ht="15.75" thickBot="1" x14ac:dyDescent="0.3">
      <c r="A17" s="491" t="s">
        <v>5</v>
      </c>
      <c r="B17" s="492">
        <v>1</v>
      </c>
      <c r="C17" s="492">
        <v>3</v>
      </c>
      <c r="D17" s="492">
        <v>0</v>
      </c>
      <c r="E17" s="492">
        <v>0</v>
      </c>
      <c r="F17" s="492">
        <v>0</v>
      </c>
      <c r="G17" s="351">
        <v>2020</v>
      </c>
      <c r="H17" s="492">
        <v>0</v>
      </c>
      <c r="I17" s="492">
        <v>0</v>
      </c>
      <c r="J17" s="47">
        <v>0</v>
      </c>
      <c r="K17" s="9"/>
    </row>
    <row r="18" spans="1:11" ht="15.75" thickTop="1" x14ac:dyDescent="0.25">
      <c r="A18" s="493" t="s">
        <v>79</v>
      </c>
      <c r="B18" s="494">
        <f>SUM(B13:B17)</f>
        <v>19</v>
      </c>
      <c r="C18" s="494">
        <f t="shared" ref="C18:J18" si="0">SUM(C13:C17)</f>
        <v>60</v>
      </c>
      <c r="D18" s="494">
        <f t="shared" si="0"/>
        <v>0</v>
      </c>
      <c r="E18" s="494">
        <f t="shared" si="0"/>
        <v>5</v>
      </c>
      <c r="F18" s="494">
        <f t="shared" si="0"/>
        <v>0</v>
      </c>
      <c r="G18" s="495" t="s">
        <v>83</v>
      </c>
      <c r="H18" s="494">
        <f t="shared" si="0"/>
        <v>0</v>
      </c>
      <c r="I18" s="494">
        <f t="shared" si="0"/>
        <v>0</v>
      </c>
      <c r="J18" s="259">
        <f t="shared" si="0"/>
        <v>1</v>
      </c>
      <c r="K18" s="9"/>
    </row>
    <row r="19" spans="1:11" x14ac:dyDescent="0.25">
      <c r="A19" s="496" t="s">
        <v>395</v>
      </c>
    </row>
    <row r="20" spans="1:11" ht="409.5" x14ac:dyDescent="0.25">
      <c r="A20" s="75" t="s">
        <v>608</v>
      </c>
      <c r="B20" s="75"/>
      <c r="C20" s="75"/>
      <c r="D20" s="75"/>
      <c r="E20" s="75"/>
      <c r="F20" s="75"/>
      <c r="G20" s="75"/>
      <c r="H20" s="75"/>
      <c r="I20" s="75"/>
      <c r="J20" s="75"/>
      <c r="K20" s="29"/>
    </row>
    <row r="21" spans="1:11" ht="13.9" customHeight="1" x14ac:dyDescent="0.25">
      <c r="A21" s="75"/>
      <c r="B21" s="75"/>
      <c r="C21" s="75"/>
      <c r="D21" s="75"/>
      <c r="E21" s="75"/>
      <c r="F21" s="75"/>
      <c r="G21" s="75"/>
      <c r="H21" s="75"/>
      <c r="I21" s="75"/>
      <c r="J21" s="75"/>
      <c r="K21" s="29"/>
    </row>
    <row r="22" spans="1:11" ht="13.9" customHeight="1" x14ac:dyDescent="0.25">
      <c r="A22" s="75"/>
      <c r="B22" s="75"/>
      <c r="C22" s="75"/>
      <c r="D22" s="75"/>
      <c r="E22" s="75"/>
      <c r="F22" s="75"/>
      <c r="G22" s="75"/>
      <c r="H22" s="75"/>
      <c r="I22" s="75"/>
      <c r="J22" s="75"/>
      <c r="K22" s="29"/>
    </row>
    <row r="23" spans="1:11" ht="13.9" customHeight="1" x14ac:dyDescent="0.25">
      <c r="A23" s="75"/>
      <c r="B23" s="75"/>
      <c r="C23" s="75"/>
      <c r="D23" s="75"/>
      <c r="E23" s="75"/>
      <c r="F23" s="75"/>
      <c r="G23" s="75"/>
      <c r="H23" s="75"/>
      <c r="I23" s="75"/>
      <c r="J23" s="75"/>
      <c r="K23" s="29"/>
    </row>
    <row r="24" spans="1:11" ht="13.9" customHeight="1" x14ac:dyDescent="0.25">
      <c r="A24" s="75"/>
      <c r="B24" s="75"/>
      <c r="C24" s="75"/>
      <c r="D24" s="75"/>
      <c r="E24" s="75"/>
      <c r="F24" s="75"/>
      <c r="G24" s="75"/>
      <c r="H24" s="75"/>
      <c r="I24" s="75"/>
      <c r="J24" s="75"/>
      <c r="K24" s="29"/>
    </row>
    <row r="25" spans="1:11" ht="13.9" customHeight="1" x14ac:dyDescent="0.25">
      <c r="A25" s="75"/>
      <c r="B25" s="75"/>
      <c r="C25" s="75"/>
      <c r="D25" s="75"/>
      <c r="E25" s="75"/>
      <c r="F25" s="75"/>
      <c r="G25" s="75"/>
      <c r="H25" s="75"/>
      <c r="I25" s="75"/>
      <c r="J25" s="75"/>
      <c r="K25" s="29"/>
    </row>
    <row r="26" spans="1:11" ht="13.9" customHeight="1" x14ac:dyDescent="0.25">
      <c r="A26" s="75"/>
      <c r="B26" s="75"/>
      <c r="C26" s="75"/>
      <c r="D26" s="75"/>
      <c r="E26" s="75"/>
      <c r="F26" s="75"/>
      <c r="G26" s="75"/>
      <c r="H26" s="75"/>
      <c r="I26" s="75"/>
      <c r="J26" s="75"/>
      <c r="K26" s="29"/>
    </row>
    <row r="27" spans="1:11" ht="13.9" customHeight="1" x14ac:dyDescent="0.25">
      <c r="A27" s="75"/>
      <c r="B27" s="75"/>
      <c r="C27" s="75"/>
      <c r="D27" s="75"/>
      <c r="E27" s="75"/>
      <c r="F27" s="75"/>
      <c r="G27" s="75"/>
      <c r="H27" s="75"/>
      <c r="I27" s="75"/>
      <c r="J27" s="75"/>
      <c r="K27" s="29"/>
    </row>
    <row r="28" spans="1:11" ht="13.9" customHeight="1" x14ac:dyDescent="0.25">
      <c r="A28" s="75"/>
      <c r="B28" s="75"/>
      <c r="C28" s="75"/>
      <c r="D28" s="75"/>
      <c r="E28" s="75"/>
      <c r="F28" s="75"/>
      <c r="G28" s="75"/>
      <c r="H28" s="75"/>
      <c r="I28" s="75"/>
      <c r="J28" s="75"/>
      <c r="K28" s="29"/>
    </row>
    <row r="29" spans="1:11" ht="13.9" customHeight="1" x14ac:dyDescent="0.25">
      <c r="A29" s="75"/>
      <c r="B29" s="75"/>
      <c r="C29" s="75"/>
      <c r="D29" s="75"/>
      <c r="E29" s="75"/>
      <c r="F29" s="75"/>
      <c r="G29" s="75"/>
      <c r="H29" s="75"/>
      <c r="I29" s="75"/>
      <c r="J29" s="75"/>
      <c r="K29" s="29"/>
    </row>
    <row r="30" spans="1:11" ht="13.9" customHeight="1" x14ac:dyDescent="0.25">
      <c r="A30" s="75"/>
      <c r="B30" s="75"/>
      <c r="C30" s="75"/>
      <c r="D30" s="75"/>
      <c r="E30" s="75"/>
      <c r="F30" s="75"/>
      <c r="G30" s="75"/>
      <c r="H30" s="75"/>
      <c r="I30" s="75"/>
      <c r="J30" s="75"/>
      <c r="K30" s="29"/>
    </row>
    <row r="31" spans="1:11" ht="45" x14ac:dyDescent="0.25">
      <c r="A31" s="64" t="s">
        <v>564</v>
      </c>
      <c r="B31" s="75"/>
      <c r="C31" s="75"/>
      <c r="D31" s="75"/>
      <c r="E31" s="75"/>
      <c r="F31" s="75"/>
      <c r="G31" s="75"/>
      <c r="H31" s="75"/>
      <c r="I31" s="75"/>
      <c r="J31" s="75"/>
    </row>
    <row r="32" spans="1:11" ht="45" x14ac:dyDescent="0.25">
      <c r="A32" s="64" t="s">
        <v>819</v>
      </c>
    </row>
    <row r="33" spans="1:11" ht="60" x14ac:dyDescent="0.25">
      <c r="A33" s="64" t="s">
        <v>818</v>
      </c>
    </row>
    <row r="35" spans="1:11" ht="15.75" x14ac:dyDescent="0.25">
      <c r="A35" s="315" t="s">
        <v>187</v>
      </c>
      <c r="D35" s="122"/>
      <c r="E35" s="122"/>
      <c r="F35" s="122"/>
      <c r="G35" s="122"/>
      <c r="H35" s="122"/>
      <c r="K35" s="16"/>
    </row>
    <row r="36" spans="1:11" ht="77.25" x14ac:dyDescent="0.25">
      <c r="A36" s="302" t="s">
        <v>214</v>
      </c>
      <c r="B36" s="8" t="s">
        <v>393</v>
      </c>
      <c r="C36" s="8" t="s">
        <v>237</v>
      </c>
      <c r="D36" s="353"/>
      <c r="E36" s="353"/>
      <c r="F36" s="122"/>
      <c r="G36" s="353"/>
      <c r="H36" s="122"/>
    </row>
    <row r="37" spans="1:11" x14ac:dyDescent="0.25">
      <c r="A37" s="497" t="s">
        <v>110</v>
      </c>
      <c r="B37" s="410">
        <f>14+12</f>
        <v>26</v>
      </c>
      <c r="C37" s="410">
        <v>2020</v>
      </c>
      <c r="D37" s="122"/>
      <c r="E37" s="122"/>
      <c r="F37" s="122"/>
      <c r="G37" s="122"/>
      <c r="H37" s="122"/>
    </row>
    <row r="38" spans="1:11" x14ac:dyDescent="0.25">
      <c r="D38" s="122"/>
      <c r="E38" s="122"/>
      <c r="F38" s="122"/>
      <c r="G38" s="122"/>
      <c r="H38" s="122"/>
    </row>
    <row r="39" spans="1:11" ht="15" customHeight="1" x14ac:dyDescent="0.25">
      <c r="A39" s="8"/>
      <c r="B39" s="8" t="s">
        <v>394</v>
      </c>
      <c r="C39" s="8" t="s">
        <v>394</v>
      </c>
      <c r="D39" s="8" t="s">
        <v>394</v>
      </c>
      <c r="E39" s="8" t="s">
        <v>394</v>
      </c>
      <c r="F39" s="8" t="s">
        <v>394</v>
      </c>
      <c r="G39" s="8" t="s">
        <v>394</v>
      </c>
    </row>
    <row r="40" spans="1:11" ht="75" x14ac:dyDescent="0.25">
      <c r="A40" s="8" t="s">
        <v>62</v>
      </c>
      <c r="B40" s="302" t="s">
        <v>107</v>
      </c>
      <c r="C40" s="302" t="s">
        <v>108</v>
      </c>
      <c r="D40" s="302" t="s">
        <v>181</v>
      </c>
      <c r="E40" s="49" t="s">
        <v>305</v>
      </c>
      <c r="F40" s="302" t="s">
        <v>9</v>
      </c>
      <c r="G40" s="302" t="s">
        <v>238</v>
      </c>
    </row>
    <row r="41" spans="1:11" x14ac:dyDescent="0.25">
      <c r="A41" s="426" t="s">
        <v>0</v>
      </c>
      <c r="B41" s="410">
        <v>1</v>
      </c>
      <c r="C41" s="410">
        <v>2</v>
      </c>
      <c r="D41" s="410">
        <v>0</v>
      </c>
      <c r="E41" s="410">
        <v>0</v>
      </c>
      <c r="F41" s="410">
        <v>0</v>
      </c>
      <c r="G41" s="43">
        <v>2020</v>
      </c>
    </row>
    <row r="42" spans="1:11" x14ac:dyDescent="0.25">
      <c r="A42" s="426" t="s">
        <v>1</v>
      </c>
      <c r="B42" s="410">
        <v>1</v>
      </c>
      <c r="C42" s="410">
        <v>1</v>
      </c>
      <c r="D42" s="410">
        <v>0</v>
      </c>
      <c r="E42" s="410">
        <v>0</v>
      </c>
      <c r="F42" s="410">
        <v>0</v>
      </c>
      <c r="G42" s="43">
        <v>2020</v>
      </c>
    </row>
    <row r="43" spans="1:11" x14ac:dyDescent="0.25">
      <c r="A43" s="426" t="s">
        <v>3</v>
      </c>
      <c r="B43" s="410">
        <v>1</v>
      </c>
      <c r="C43" s="410">
        <v>2</v>
      </c>
      <c r="D43" s="410">
        <v>1</v>
      </c>
      <c r="E43" s="410">
        <v>0</v>
      </c>
      <c r="F43" s="410">
        <v>0</v>
      </c>
      <c r="G43" s="43">
        <v>2020</v>
      </c>
    </row>
    <row r="44" spans="1:11" x14ac:dyDescent="0.25">
      <c r="A44" s="426" t="s">
        <v>4</v>
      </c>
      <c r="B44" s="410">
        <v>2</v>
      </c>
      <c r="C44" s="410">
        <v>6</v>
      </c>
      <c r="D44" s="498">
        <v>0</v>
      </c>
      <c r="E44" s="498">
        <v>0</v>
      </c>
      <c r="F44" s="410">
        <v>0</v>
      </c>
      <c r="G44" s="43">
        <v>2020</v>
      </c>
    </row>
    <row r="45" spans="1:11" x14ac:dyDescent="0.25">
      <c r="A45" s="156" t="s">
        <v>79</v>
      </c>
      <c r="B45" s="411">
        <f>SUM(B41:B44)</f>
        <v>5</v>
      </c>
      <c r="C45" s="411">
        <f t="shared" ref="C45:F45" si="1">SUM(C41:C44)</f>
        <v>11</v>
      </c>
      <c r="D45" s="411">
        <f t="shared" si="1"/>
        <v>1</v>
      </c>
      <c r="E45" s="411">
        <f t="shared" si="1"/>
        <v>0</v>
      </c>
      <c r="F45" s="411">
        <f t="shared" si="1"/>
        <v>0</v>
      </c>
      <c r="G45" s="464" t="s">
        <v>83</v>
      </c>
    </row>
    <row r="46" spans="1:11" s="29" customFormat="1" ht="90" x14ac:dyDescent="0.25">
      <c r="A46" s="364" t="s">
        <v>566</v>
      </c>
      <c r="B46" s="364"/>
      <c r="C46" s="364"/>
      <c r="D46" s="364"/>
      <c r="E46" s="364"/>
      <c r="F46" s="364"/>
      <c r="G46" s="364"/>
      <c r="H46" s="425"/>
      <c r="I46" s="425"/>
    </row>
    <row r="47" spans="1:11" s="29" customFormat="1" ht="15" customHeight="1" x14ac:dyDescent="0.25">
      <c r="A47" s="75"/>
      <c r="B47" s="75"/>
      <c r="C47" s="75"/>
      <c r="D47" s="75"/>
      <c r="E47" s="75"/>
      <c r="F47" s="75"/>
      <c r="G47" s="75"/>
      <c r="H47" s="425"/>
      <c r="I47" s="425"/>
    </row>
    <row r="48" spans="1:11" ht="45" x14ac:dyDescent="0.25">
      <c r="A48" s="64" t="s">
        <v>565</v>
      </c>
      <c r="C48" s="425"/>
      <c r="D48" s="425"/>
      <c r="E48" s="425"/>
      <c r="F48" s="425"/>
      <c r="G48" s="425"/>
      <c r="H48" s="425"/>
    </row>
    <row r="49" spans="1:9" x14ac:dyDescent="0.25">
      <c r="C49" s="425"/>
      <c r="D49" s="425"/>
      <c r="E49" s="425"/>
      <c r="F49" s="425"/>
      <c r="G49" s="425"/>
      <c r="H49" s="425"/>
    </row>
    <row r="50" spans="1:9" ht="15.75" x14ac:dyDescent="0.25">
      <c r="A50" s="315" t="s">
        <v>188</v>
      </c>
      <c r="C50" s="425"/>
      <c r="D50" s="425"/>
      <c r="E50" s="425"/>
      <c r="F50" s="425"/>
      <c r="G50" s="425"/>
      <c r="H50" s="425"/>
    </row>
    <row r="51" spans="1:9" ht="47.25" x14ac:dyDescent="0.25">
      <c r="A51" s="426" t="s">
        <v>623</v>
      </c>
      <c r="B51" s="410">
        <v>0</v>
      </c>
      <c r="C51" s="425"/>
      <c r="D51" s="425"/>
      <c r="E51" s="425"/>
      <c r="F51" s="425"/>
      <c r="G51" s="425"/>
      <c r="H51" s="425"/>
    </row>
    <row r="52" spans="1:9" ht="45" x14ac:dyDescent="0.25">
      <c r="A52" s="426" t="s">
        <v>390</v>
      </c>
      <c r="B52" s="410" t="s">
        <v>620</v>
      </c>
      <c r="C52" s="425"/>
      <c r="D52" s="425"/>
      <c r="E52" s="425"/>
      <c r="F52" s="425"/>
      <c r="G52" s="425"/>
      <c r="H52" s="425"/>
    </row>
    <row r="53" spans="1:9" ht="32.25" x14ac:dyDescent="0.25">
      <c r="A53" s="426" t="s">
        <v>624</v>
      </c>
      <c r="B53" s="410">
        <f>21+240</f>
        <v>261</v>
      </c>
      <c r="C53" s="425"/>
      <c r="D53" s="425"/>
      <c r="E53" s="425"/>
      <c r="F53" s="425"/>
      <c r="G53" s="425"/>
      <c r="H53" s="425"/>
    </row>
    <row r="54" spans="1:9" x14ac:dyDescent="0.25">
      <c r="A54" s="426" t="s">
        <v>237</v>
      </c>
      <c r="B54" s="410">
        <v>2024</v>
      </c>
      <c r="C54" s="425"/>
      <c r="D54" s="425"/>
      <c r="E54" s="425"/>
      <c r="F54" s="425"/>
      <c r="G54" s="425"/>
      <c r="H54" s="425"/>
    </row>
    <row r="55" spans="1:9" x14ac:dyDescent="0.25">
      <c r="C55" s="425"/>
      <c r="D55" s="425"/>
      <c r="E55" s="425"/>
      <c r="F55" s="425"/>
      <c r="G55" s="425"/>
      <c r="H55" s="425"/>
    </row>
    <row r="56" spans="1:9" ht="30" customHeight="1" x14ac:dyDescent="0.25">
      <c r="B56" s="8" t="s">
        <v>386</v>
      </c>
      <c r="C56" s="8" t="s">
        <v>386</v>
      </c>
      <c r="D56" s="8" t="s">
        <v>386</v>
      </c>
      <c r="E56" s="302" t="s">
        <v>383</v>
      </c>
      <c r="F56" s="8" t="s">
        <v>622</v>
      </c>
      <c r="G56" s="8" t="s">
        <v>622</v>
      </c>
      <c r="H56" s="8" t="s">
        <v>622</v>
      </c>
    </row>
    <row r="57" spans="1:9" ht="90" x14ac:dyDescent="0.25">
      <c r="A57" s="8" t="s">
        <v>610</v>
      </c>
      <c r="B57" s="302" t="s">
        <v>107</v>
      </c>
      <c r="C57" s="302" t="s">
        <v>108</v>
      </c>
      <c r="D57" s="302" t="s">
        <v>239</v>
      </c>
      <c r="E57" s="302" t="s">
        <v>181</v>
      </c>
      <c r="F57" s="302" t="s">
        <v>6</v>
      </c>
      <c r="G57" s="302" t="s">
        <v>190</v>
      </c>
      <c r="H57" s="302" t="s">
        <v>7</v>
      </c>
    </row>
    <row r="58" spans="1:9" x14ac:dyDescent="0.25">
      <c r="A58" s="426" t="s">
        <v>0</v>
      </c>
      <c r="B58" s="410">
        <v>1</v>
      </c>
      <c r="C58" s="410">
        <v>4</v>
      </c>
      <c r="D58" s="43">
        <v>2024</v>
      </c>
      <c r="E58" s="411">
        <f>C58</f>
        <v>4</v>
      </c>
      <c r="F58" s="410">
        <v>0</v>
      </c>
      <c r="G58" s="410">
        <v>0</v>
      </c>
      <c r="H58" s="410">
        <v>1</v>
      </c>
    </row>
    <row r="59" spans="1:9" x14ac:dyDescent="0.25">
      <c r="A59" s="426" t="s">
        <v>1</v>
      </c>
      <c r="B59" s="410">
        <v>3</v>
      </c>
      <c r="C59" s="410">
        <v>4</v>
      </c>
      <c r="D59" s="43">
        <v>2024</v>
      </c>
      <c r="E59" s="411">
        <f t="shared" ref="E59:E64" si="2">C59</f>
        <v>4</v>
      </c>
      <c r="F59" s="410">
        <v>1</v>
      </c>
      <c r="G59" s="410">
        <v>0</v>
      </c>
      <c r="H59" s="410">
        <v>1</v>
      </c>
    </row>
    <row r="60" spans="1:9" x14ac:dyDescent="0.25">
      <c r="A60" s="426" t="s">
        <v>3</v>
      </c>
      <c r="B60" s="410">
        <v>1</v>
      </c>
      <c r="C60" s="410">
        <v>1</v>
      </c>
      <c r="D60" s="43">
        <v>2024</v>
      </c>
      <c r="E60" s="411">
        <f t="shared" si="2"/>
        <v>1</v>
      </c>
      <c r="F60" s="410">
        <v>0</v>
      </c>
      <c r="G60" s="410">
        <v>0</v>
      </c>
      <c r="H60" s="410">
        <v>1</v>
      </c>
    </row>
    <row r="61" spans="1:9" x14ac:dyDescent="0.25">
      <c r="A61" s="426" t="s">
        <v>4</v>
      </c>
      <c r="B61" s="410">
        <v>1</v>
      </c>
      <c r="C61" s="410">
        <v>5</v>
      </c>
      <c r="D61" s="43">
        <v>2024</v>
      </c>
      <c r="E61" s="411">
        <f t="shared" si="2"/>
        <v>5</v>
      </c>
      <c r="F61" s="410">
        <v>1</v>
      </c>
      <c r="G61" s="410">
        <v>0</v>
      </c>
      <c r="H61" s="410">
        <v>1</v>
      </c>
    </row>
    <row r="62" spans="1:9" x14ac:dyDescent="0.25">
      <c r="A62" s="426" t="s">
        <v>5</v>
      </c>
      <c r="B62" s="410">
        <v>3</v>
      </c>
      <c r="C62" s="410">
        <v>4</v>
      </c>
      <c r="D62" s="43">
        <v>2024</v>
      </c>
      <c r="E62" s="411">
        <f t="shared" si="2"/>
        <v>4</v>
      </c>
      <c r="F62" s="410">
        <v>1</v>
      </c>
      <c r="G62" s="498">
        <v>0</v>
      </c>
      <c r="H62" s="410">
        <v>0</v>
      </c>
      <c r="I62" s="417"/>
    </row>
    <row r="63" spans="1:9" x14ac:dyDescent="0.25">
      <c r="A63" s="454" t="s">
        <v>779</v>
      </c>
      <c r="B63" s="410">
        <v>1</v>
      </c>
      <c r="C63" s="410">
        <v>1</v>
      </c>
      <c r="D63" s="43">
        <v>2024</v>
      </c>
      <c r="E63" s="411">
        <f t="shared" si="2"/>
        <v>1</v>
      </c>
      <c r="F63" s="410">
        <v>0</v>
      </c>
      <c r="G63" s="410">
        <v>0</v>
      </c>
      <c r="H63" s="410">
        <v>1</v>
      </c>
    </row>
    <row r="64" spans="1:9" x14ac:dyDescent="0.25">
      <c r="A64" s="454" t="s">
        <v>810</v>
      </c>
      <c r="B64" s="410">
        <v>1</v>
      </c>
      <c r="C64" s="410">
        <v>2</v>
      </c>
      <c r="D64" s="43">
        <v>2024</v>
      </c>
      <c r="E64" s="411">
        <f t="shared" si="2"/>
        <v>2</v>
      </c>
      <c r="F64" s="410">
        <v>0</v>
      </c>
      <c r="G64" s="410">
        <v>0</v>
      </c>
      <c r="H64" s="410">
        <v>1</v>
      </c>
    </row>
    <row r="65" spans="1:10" x14ac:dyDescent="0.25">
      <c r="A65" s="156" t="s">
        <v>79</v>
      </c>
      <c r="B65" s="411">
        <f>SUM(B58:B64)</f>
        <v>11</v>
      </c>
      <c r="C65" s="411">
        <f t="shared" ref="C65:H65" si="3">SUM(C58:C64)</f>
        <v>21</v>
      </c>
      <c r="D65" s="464" t="s">
        <v>83</v>
      </c>
      <c r="E65" s="411">
        <f t="shared" si="3"/>
        <v>21</v>
      </c>
      <c r="F65" s="411">
        <f t="shared" si="3"/>
        <v>3</v>
      </c>
      <c r="G65" s="411">
        <f t="shared" si="3"/>
        <v>0</v>
      </c>
      <c r="H65" s="411">
        <f t="shared" si="3"/>
        <v>6</v>
      </c>
    </row>
    <row r="66" spans="1:10" ht="15" customHeight="1" x14ac:dyDescent="0.25">
      <c r="A66" s="363" t="s">
        <v>619</v>
      </c>
      <c r="B66" s="363"/>
      <c r="C66" s="363"/>
      <c r="D66" s="363"/>
      <c r="E66" s="363"/>
      <c r="F66" s="363"/>
      <c r="G66" s="425"/>
      <c r="H66" s="425"/>
    </row>
    <row r="67" spans="1:10" ht="15" customHeight="1" x14ac:dyDescent="0.25">
      <c r="A67" s="363" t="s">
        <v>621</v>
      </c>
      <c r="B67" s="363"/>
      <c r="C67" s="363"/>
      <c r="D67" s="363"/>
      <c r="E67" s="363"/>
      <c r="F67" s="363"/>
      <c r="G67" s="363"/>
      <c r="H67" s="425"/>
    </row>
    <row r="68" spans="1:10" ht="45" x14ac:dyDescent="0.25">
      <c r="A68" s="64" t="s">
        <v>567</v>
      </c>
      <c r="B68" s="425"/>
      <c r="C68" s="425"/>
      <c r="D68" s="425"/>
      <c r="E68" s="425"/>
      <c r="F68" s="425"/>
      <c r="G68" s="425"/>
      <c r="H68" s="425"/>
    </row>
    <row r="69" spans="1:10" x14ac:dyDescent="0.25">
      <c r="C69" s="425"/>
      <c r="D69" s="425"/>
      <c r="E69" s="425"/>
      <c r="F69" s="425"/>
      <c r="G69" s="425"/>
      <c r="H69" s="425"/>
    </row>
    <row r="70" spans="1:10" ht="15.75" x14ac:dyDescent="0.25">
      <c r="A70" s="315" t="s">
        <v>189</v>
      </c>
      <c r="C70" s="425"/>
      <c r="D70" s="425"/>
      <c r="E70" s="425"/>
      <c r="F70" s="425"/>
      <c r="G70" s="425"/>
      <c r="H70" s="425"/>
    </row>
    <row r="71" spans="1:10" ht="47.25" x14ac:dyDescent="0.25">
      <c r="A71" s="426" t="s">
        <v>623</v>
      </c>
      <c r="B71" s="410">
        <v>0</v>
      </c>
      <c r="C71" s="425"/>
      <c r="D71" s="425"/>
      <c r="E71" s="425"/>
      <c r="F71" s="425"/>
      <c r="G71" s="425"/>
      <c r="H71" s="425"/>
    </row>
    <row r="72" spans="1:10" ht="45" x14ac:dyDescent="0.25">
      <c r="A72" s="426" t="s">
        <v>390</v>
      </c>
      <c r="B72" s="410" t="s">
        <v>620</v>
      </c>
      <c r="C72" s="425"/>
      <c r="D72" s="425"/>
      <c r="E72" s="425"/>
      <c r="F72" s="425"/>
      <c r="G72" s="425"/>
      <c r="H72" s="425"/>
    </row>
    <row r="73" spans="1:10" ht="32.25" x14ac:dyDescent="0.25">
      <c r="A73" s="426" t="s">
        <v>624</v>
      </c>
      <c r="B73" s="410">
        <f>33+413</f>
        <v>446</v>
      </c>
      <c r="C73" s="425"/>
      <c r="D73" s="425"/>
      <c r="E73" s="425"/>
      <c r="F73" s="425"/>
      <c r="G73" s="425"/>
      <c r="H73" s="425"/>
    </row>
    <row r="74" spans="1:10" ht="30" x14ac:dyDescent="0.25">
      <c r="A74" s="426" t="s">
        <v>391</v>
      </c>
      <c r="B74" s="410">
        <v>2026</v>
      </c>
      <c r="C74" s="425"/>
      <c r="D74" s="425"/>
      <c r="E74" s="425"/>
      <c r="F74" s="425"/>
      <c r="G74" s="425"/>
      <c r="H74" s="425"/>
    </row>
    <row r="75" spans="1:10" x14ac:dyDescent="0.25">
      <c r="C75" s="425"/>
      <c r="D75" s="425"/>
      <c r="E75" s="425"/>
      <c r="F75" s="425"/>
      <c r="G75" s="425"/>
      <c r="H75" s="425"/>
    </row>
    <row r="76" spans="1:10" ht="30" customHeight="1" x14ac:dyDescent="0.25">
      <c r="B76" s="8" t="s">
        <v>386</v>
      </c>
      <c r="C76" s="8" t="s">
        <v>386</v>
      </c>
      <c r="D76" s="8" t="s">
        <v>386</v>
      </c>
      <c r="E76" s="8" t="s">
        <v>383</v>
      </c>
      <c r="F76" s="8" t="s">
        <v>383</v>
      </c>
      <c r="G76" s="8" t="s">
        <v>820</v>
      </c>
      <c r="H76" s="8" t="s">
        <v>820</v>
      </c>
      <c r="I76" s="8" t="s">
        <v>820</v>
      </c>
    </row>
    <row r="77" spans="1:10" ht="107.25" x14ac:dyDescent="0.25">
      <c r="A77" s="8" t="s">
        <v>610</v>
      </c>
      <c r="B77" s="302" t="s">
        <v>107</v>
      </c>
      <c r="C77" s="302" t="s">
        <v>108</v>
      </c>
      <c r="D77" s="302" t="s">
        <v>384</v>
      </c>
      <c r="E77" s="302" t="s">
        <v>181</v>
      </c>
      <c r="F77" s="302" t="s">
        <v>387</v>
      </c>
      <c r="G77" s="302" t="s">
        <v>569</v>
      </c>
      <c r="H77" s="49" t="s">
        <v>388</v>
      </c>
      <c r="I77" s="49" t="s">
        <v>822</v>
      </c>
    </row>
    <row r="78" spans="1:10" x14ac:dyDescent="0.25">
      <c r="A78" s="426" t="s">
        <v>1</v>
      </c>
      <c r="B78" s="498">
        <v>4</v>
      </c>
      <c r="C78" s="498">
        <v>8</v>
      </c>
      <c r="D78" s="43">
        <v>2024</v>
      </c>
      <c r="E78" s="411">
        <f>C78</f>
        <v>8</v>
      </c>
      <c r="F78" s="410">
        <v>0</v>
      </c>
      <c r="G78" s="22">
        <f>C78</f>
        <v>8</v>
      </c>
      <c r="H78" s="22">
        <f t="shared" ref="H78:H83" si="4">C78</f>
        <v>8</v>
      </c>
      <c r="I78" s="22">
        <f>C78</f>
        <v>8</v>
      </c>
    </row>
    <row r="79" spans="1:10" ht="17.25" x14ac:dyDescent="0.25">
      <c r="A79" s="426" t="s">
        <v>821</v>
      </c>
      <c r="B79" s="498">
        <v>5</v>
      </c>
      <c r="C79" s="498">
        <v>6</v>
      </c>
      <c r="D79" s="43">
        <v>2024</v>
      </c>
      <c r="E79" s="411">
        <f t="shared" ref="E79:E83" si="5">C79</f>
        <v>6</v>
      </c>
      <c r="F79" s="410">
        <v>0</v>
      </c>
      <c r="G79" s="22">
        <f t="shared" ref="G79:G83" si="6">C79</f>
        <v>6</v>
      </c>
      <c r="H79" s="22">
        <f t="shared" si="4"/>
        <v>6</v>
      </c>
      <c r="I79" s="22">
        <f>C79</f>
        <v>6</v>
      </c>
    </row>
    <row r="80" spans="1:10" x14ac:dyDescent="0.25">
      <c r="A80" s="454" t="s">
        <v>778</v>
      </c>
      <c r="B80" s="498">
        <v>1</v>
      </c>
      <c r="C80" s="498">
        <v>3</v>
      </c>
      <c r="D80" s="43">
        <v>2026</v>
      </c>
      <c r="E80" s="411">
        <f t="shared" si="5"/>
        <v>3</v>
      </c>
      <c r="F80" s="410">
        <v>0</v>
      </c>
      <c r="G80" s="22">
        <f t="shared" si="6"/>
        <v>3</v>
      </c>
      <c r="H80" s="22">
        <f t="shared" si="4"/>
        <v>3</v>
      </c>
      <c r="I80" s="22">
        <f t="shared" ref="I80:I83" si="7">C80</f>
        <v>3</v>
      </c>
      <c r="J80" s="9"/>
    </row>
    <row r="81" spans="1:9" x14ac:dyDescent="0.25">
      <c r="A81" s="454" t="s">
        <v>779</v>
      </c>
      <c r="B81" s="498">
        <v>5</v>
      </c>
      <c r="C81" s="498">
        <v>8</v>
      </c>
      <c r="D81" s="43">
        <v>2026</v>
      </c>
      <c r="E81" s="411">
        <f t="shared" si="5"/>
        <v>8</v>
      </c>
      <c r="F81" s="410">
        <v>0</v>
      </c>
      <c r="G81" s="22">
        <f t="shared" si="6"/>
        <v>8</v>
      </c>
      <c r="H81" s="22">
        <f t="shared" si="4"/>
        <v>8</v>
      </c>
      <c r="I81" s="22">
        <f t="shared" si="7"/>
        <v>8</v>
      </c>
    </row>
    <row r="82" spans="1:9" x14ac:dyDescent="0.25">
      <c r="A82" s="454" t="s">
        <v>810</v>
      </c>
      <c r="B82" s="498">
        <v>5</v>
      </c>
      <c r="C82" s="498">
        <v>6</v>
      </c>
      <c r="D82" s="43">
        <v>2026</v>
      </c>
      <c r="E82" s="411">
        <f t="shared" si="5"/>
        <v>6</v>
      </c>
      <c r="F82" s="410">
        <v>0</v>
      </c>
      <c r="G82" s="22">
        <f t="shared" si="6"/>
        <v>6</v>
      </c>
      <c r="H82" s="22">
        <f t="shared" si="4"/>
        <v>6</v>
      </c>
      <c r="I82" s="22">
        <f t="shared" si="7"/>
        <v>6</v>
      </c>
    </row>
    <row r="83" spans="1:9" ht="15.75" thickBot="1" x14ac:dyDescent="0.3">
      <c r="A83" s="454" t="s">
        <v>811</v>
      </c>
      <c r="B83" s="498">
        <v>2</v>
      </c>
      <c r="C83" s="498">
        <v>3</v>
      </c>
      <c r="D83" s="43">
        <v>2026</v>
      </c>
      <c r="E83" s="411">
        <f t="shared" si="5"/>
        <v>3</v>
      </c>
      <c r="F83" s="410">
        <v>0</v>
      </c>
      <c r="G83" s="22">
        <f t="shared" si="6"/>
        <v>3</v>
      </c>
      <c r="H83" s="22">
        <f t="shared" si="4"/>
        <v>3</v>
      </c>
      <c r="I83" s="22">
        <f t="shared" si="7"/>
        <v>3</v>
      </c>
    </row>
    <row r="84" spans="1:9" ht="15.75" thickTop="1" x14ac:dyDescent="0.25">
      <c r="A84" s="493" t="s">
        <v>79</v>
      </c>
      <c r="B84" s="411">
        <f>SUM(B78:B83)</f>
        <v>22</v>
      </c>
      <c r="C84" s="411">
        <f>SUM(C78:C83)</f>
        <v>34</v>
      </c>
      <c r="D84" s="464" t="s">
        <v>83</v>
      </c>
      <c r="E84" s="411">
        <f t="shared" ref="E84:I84" si="8">SUM(E78:E83)</f>
        <v>34</v>
      </c>
      <c r="F84" s="411">
        <f t="shared" si="8"/>
        <v>0</v>
      </c>
      <c r="G84" s="411">
        <f t="shared" si="8"/>
        <v>34</v>
      </c>
      <c r="H84" s="411">
        <f t="shared" si="8"/>
        <v>34</v>
      </c>
      <c r="I84" s="411">
        <f t="shared" si="8"/>
        <v>34</v>
      </c>
    </row>
    <row r="85" spans="1:9" s="29" customFormat="1" ht="15" customHeight="1" x14ac:dyDescent="0.25">
      <c r="A85" s="365" t="s">
        <v>619</v>
      </c>
      <c r="B85" s="365"/>
      <c r="C85" s="365"/>
      <c r="D85" s="365"/>
      <c r="E85" s="365"/>
      <c r="F85" s="365"/>
      <c r="G85" s="365"/>
      <c r="H85" s="365"/>
      <c r="I85" s="425"/>
    </row>
    <row r="86" spans="1:9" s="29" customFormat="1" ht="14.45" customHeight="1" x14ac:dyDescent="0.25">
      <c r="A86" s="363" t="s">
        <v>385</v>
      </c>
      <c r="B86" s="363"/>
      <c r="C86" s="363"/>
      <c r="D86" s="363"/>
      <c r="E86" s="363"/>
      <c r="F86" s="363"/>
      <c r="G86" s="363"/>
      <c r="H86" s="122"/>
      <c r="I86" s="425"/>
    </row>
    <row r="87" spans="1:9" s="29" customFormat="1" ht="30" x14ac:dyDescent="0.25">
      <c r="A87" s="499" t="s">
        <v>568</v>
      </c>
      <c r="B87" s="122"/>
      <c r="C87" s="122"/>
      <c r="D87" s="500"/>
      <c r="E87" s="122"/>
      <c r="F87" s="122"/>
      <c r="G87" s="122"/>
      <c r="H87" s="122"/>
      <c r="I87" s="425"/>
    </row>
    <row r="88" spans="1:9" s="29" customFormat="1" ht="60" x14ac:dyDescent="0.25">
      <c r="A88" s="499" t="s">
        <v>389</v>
      </c>
      <c r="B88" s="122"/>
      <c r="C88" s="122"/>
      <c r="D88" s="500"/>
      <c r="E88" s="122"/>
      <c r="F88" s="122"/>
      <c r="G88" s="122"/>
      <c r="H88" s="122"/>
      <c r="I88" s="425"/>
    </row>
    <row r="89" spans="1:9" s="29" customFormat="1" ht="75" x14ac:dyDescent="0.25">
      <c r="A89" s="424" t="s">
        <v>509</v>
      </c>
      <c r="B89" s="122"/>
      <c r="C89" s="122"/>
      <c r="D89" s="500"/>
      <c r="E89" s="122"/>
      <c r="F89" s="122"/>
      <c r="G89" s="122"/>
      <c r="H89" s="122"/>
      <c r="I89" s="425"/>
    </row>
    <row r="90" spans="1:9" s="29" customFormat="1" ht="75" x14ac:dyDescent="0.25">
      <c r="A90" s="424" t="s">
        <v>551</v>
      </c>
      <c r="B90" s="122"/>
      <c r="C90" s="122"/>
      <c r="D90" s="500"/>
      <c r="E90" s="122"/>
      <c r="F90" s="122"/>
      <c r="G90" s="122"/>
      <c r="H90" s="122"/>
      <c r="I90" s="425"/>
    </row>
    <row r="91" spans="1:9" ht="30" x14ac:dyDescent="0.25">
      <c r="A91" s="499" t="s">
        <v>824</v>
      </c>
    </row>
    <row r="92" spans="1:9" s="29" customFormat="1" ht="75" x14ac:dyDescent="0.25">
      <c r="A92" s="499" t="s">
        <v>823</v>
      </c>
      <c r="B92" s="425"/>
      <c r="C92" s="425"/>
      <c r="D92" s="425"/>
      <c r="E92" s="425"/>
      <c r="F92" s="425"/>
      <c r="G92" s="425"/>
      <c r="H92" s="467"/>
      <c r="I92" s="425"/>
    </row>
    <row r="93" spans="1:9" x14ac:dyDescent="0.25">
      <c r="A93" s="501"/>
    </row>
    <row r="94" spans="1:9" x14ac:dyDescent="0.25">
      <c r="A94" s="417"/>
    </row>
  </sheetData>
  <pageMargins left="0.7" right="0.7" top="0.75" bottom="0.75" header="0.3" footer="0.3"/>
  <pageSetup paperSize="5" orientation="landscape" r:id="rId1"/>
  <headerFooter>
    <oddHeader>&amp;CPRELIMINARY DISCUSSION DRAFT - DO NOT CITE OR QUOTE</oddHeader>
    <oddFooter>&amp;L&amp;f&amp;CPage &amp;P of &amp;N&amp;R&amp;d</oddFooter>
  </headerFooter>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Cover</vt:lpstr>
      <vt:lpstr>Contents</vt:lpstr>
      <vt:lpstr>Summary</vt:lpstr>
      <vt:lpstr>Relative Costs</vt:lpstr>
      <vt:lpstr>Cost Inputs</vt:lpstr>
      <vt:lpstr>Electricity &amp; Fuel</vt:lpstr>
      <vt:lpstr>Growth</vt:lpstr>
      <vt:lpstr>Apportion</vt:lpstr>
      <vt:lpstr>Berths, Terminals, Vessels</vt:lpstr>
      <vt:lpstr>Flexibility</vt:lpstr>
      <vt:lpstr>Vessel Visits</vt:lpstr>
      <vt:lpstr>C&amp;C</vt:lpstr>
      <vt:lpstr>SP Berth Retrofit</vt:lpstr>
      <vt:lpstr>SP Vessel Retrofit</vt:lpstr>
      <vt:lpstr>SP Labor &amp; Energy</vt:lpstr>
      <vt:lpstr>Admin</vt:lpstr>
      <vt:lpstr>Remediation</vt:lpstr>
      <vt:lpstr>Contents!Print_Area</vt:lpstr>
      <vt:lpstr>Summary!Print_Area</vt:lpstr>
      <vt:lpstr>'Vessel Visits'!Print_Titles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Haynes, Tracy@ARB</dc:creator>
  <cp:lastModifiedBy>Carmichael, Lynsay@ARB</cp:lastModifiedBy>
  <cp:lastPrinted>2019-05-10T18:12:03Z</cp:lastPrinted>
  <dcterms:created xsi:type="dcterms:W3CDTF">2018-12-26T18:23:58Z</dcterms:created>
  <dcterms:modified xsi:type="dcterms:W3CDTF">2020-04-24T17:27:32Z</dcterms:modified>
</cp:coreProperties>
</file>