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page Project\ADF Drupal Documents\"/>
    </mc:Choice>
  </mc:AlternateContent>
  <bookViews>
    <workbookView xWindow="-105" yWindow="-105" windowWidth="19425" windowHeight="10425"/>
  </bookViews>
  <sheets>
    <sheet name="Table of Contents" sheetId="39" r:id="rId1"/>
    <sheet name="1. Historical &amp; Future Volumes" sheetId="21" r:id="rId2"/>
    <sheet name="2. Summary of Scenarios" sheetId="33" r:id="rId3"/>
    <sheet name="3. Quantitative Results" sheetId="23" r:id="rId4"/>
    <sheet name="4. Qualitative Analysis" sheetId="41" r:id="rId5"/>
    <sheet name="5. Calculations - Scenario A" sheetId="13" r:id="rId6"/>
    <sheet name="6. Calculations - Scenario B" sheetId="30" r:id="rId7"/>
    <sheet name="7. Calculations - Scenario C" sheetId="31" r:id="rId8"/>
    <sheet name="8. Calculations - Scenario D" sheetId="32"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3" l="1"/>
  <c r="E20" i="13"/>
  <c r="F20" i="13"/>
  <c r="C20" i="13"/>
  <c r="C7" i="21"/>
  <c r="D7" i="21"/>
  <c r="E7" i="21"/>
  <c r="F7" i="21"/>
  <c r="G7" i="21"/>
  <c r="H7" i="21"/>
  <c r="I7" i="21"/>
  <c r="J7" i="21"/>
  <c r="K7" i="21"/>
  <c r="L7" i="21"/>
  <c r="M7" i="21"/>
  <c r="N7" i="21"/>
  <c r="B7" i="21"/>
  <c r="C9" i="21"/>
  <c r="D9" i="21"/>
  <c r="E9" i="21"/>
  <c r="F9" i="21"/>
  <c r="G9" i="21"/>
  <c r="H9" i="21"/>
  <c r="I9" i="21"/>
  <c r="J9" i="21"/>
  <c r="K9" i="21"/>
  <c r="L9" i="21"/>
  <c r="M9" i="21"/>
  <c r="N9" i="21"/>
  <c r="B9" i="21"/>
  <c r="D19" i="13" l="1"/>
  <c r="E19" i="13"/>
  <c r="F19" i="13"/>
  <c r="C19" i="13"/>
  <c r="D17" i="31"/>
  <c r="F17" i="32"/>
  <c r="C17" i="30" l="1"/>
  <c r="D17" i="32"/>
  <c r="E17" i="31"/>
  <c r="F17" i="30"/>
  <c r="C17" i="32"/>
  <c r="E17" i="32"/>
  <c r="E17" i="30"/>
  <c r="D17" i="30"/>
  <c r="F17" i="31"/>
  <c r="C17" i="31"/>
  <c r="C18" i="13" l="1"/>
  <c r="C16" i="31" l="1"/>
  <c r="C17" i="13"/>
  <c r="C29" i="13" s="1"/>
  <c r="C16" i="30"/>
  <c r="C27" i="30" s="1"/>
  <c r="C16" i="32"/>
  <c r="E16" i="23"/>
  <c r="E12" i="23"/>
  <c r="E8" i="23"/>
  <c r="E4" i="23"/>
  <c r="C18" i="32" l="1"/>
  <c r="C27" i="32"/>
  <c r="D16" i="31"/>
  <c r="D16" i="30"/>
  <c r="D17" i="13"/>
  <c r="D16" i="32"/>
  <c r="D18" i="13"/>
  <c r="C4" i="23"/>
  <c r="C18" i="31"/>
  <c r="C29" i="31" s="1"/>
  <c r="C27" i="31"/>
  <c r="C18" i="30"/>
  <c r="D18" i="32" l="1"/>
  <c r="D27" i="32"/>
  <c r="E16" i="32"/>
  <c r="E16" i="31"/>
  <c r="E16" i="30"/>
  <c r="E17" i="13"/>
  <c r="F18" i="13"/>
  <c r="D16" i="23" s="1"/>
  <c r="E18" i="13"/>
  <c r="C26" i="32"/>
  <c r="C28" i="32" s="1"/>
  <c r="D7" i="32" s="1"/>
  <c r="C29" i="32"/>
  <c r="C19" i="32"/>
  <c r="C25" i="32" s="1"/>
  <c r="E7" i="32" s="1"/>
  <c r="C26" i="30"/>
  <c r="C28" i="30" s="1"/>
  <c r="C29" i="30"/>
  <c r="C26" i="31"/>
  <c r="C28" i="31" s="1"/>
  <c r="D7" i="31" s="1"/>
  <c r="G6" i="23" s="1"/>
  <c r="C19" i="31"/>
  <c r="C25" i="31" s="1"/>
  <c r="E7" i="31" s="1"/>
  <c r="H6" i="23" s="1"/>
  <c r="C19" i="30"/>
  <c r="D29" i="32" l="1"/>
  <c r="D26" i="32"/>
  <c r="D28" i="32" s="1"/>
  <c r="D8" i="32" s="1"/>
  <c r="G11" i="23" s="1"/>
  <c r="D19" i="32"/>
  <c r="D25" i="32" s="1"/>
  <c r="E8" i="32" s="1"/>
  <c r="H11" i="23" s="1"/>
  <c r="F16" i="32"/>
  <c r="F16" i="30"/>
  <c r="F17" i="13"/>
  <c r="F16" i="31"/>
  <c r="E27" i="32"/>
  <c r="E18" i="32"/>
  <c r="E29" i="32" s="1"/>
  <c r="C20" i="32"/>
  <c r="C20" i="31"/>
  <c r="C20" i="30"/>
  <c r="D5" i="23" s="1"/>
  <c r="C25" i="30"/>
  <c r="D20" i="32" l="1"/>
  <c r="D24" i="32" s="1"/>
  <c r="D30" i="32" s="1"/>
  <c r="C8" i="32" s="1"/>
  <c r="C24" i="32"/>
  <c r="C30" i="32" s="1"/>
  <c r="C7" i="32" s="1"/>
  <c r="D7" i="23"/>
  <c r="E19" i="32"/>
  <c r="E25" i="32" s="1"/>
  <c r="E9" i="32" s="1"/>
  <c r="H15" i="23" s="1"/>
  <c r="E26" i="32"/>
  <c r="E28" i="32" s="1"/>
  <c r="D9" i="32" s="1"/>
  <c r="G15" i="23" s="1"/>
  <c r="F18" i="32"/>
  <c r="F27" i="32"/>
  <c r="C24" i="30"/>
  <c r="C30" i="30" s="1"/>
  <c r="C7" i="30" s="1"/>
  <c r="C24" i="31"/>
  <c r="C30" i="31" s="1"/>
  <c r="C7" i="31" s="1"/>
  <c r="D6" i="23"/>
  <c r="E7" i="30"/>
  <c r="H5" i="23" s="1"/>
  <c r="D7" i="30"/>
  <c r="G5" i="23" s="1"/>
  <c r="F11" i="23" l="1"/>
  <c r="D11" i="23"/>
  <c r="F6" i="23"/>
  <c r="F7" i="23"/>
  <c r="E20" i="32"/>
  <c r="F29" i="32"/>
  <c r="F26" i="32"/>
  <c r="F28" i="32" s="1"/>
  <c r="D10" i="32" s="1"/>
  <c r="F19" i="32"/>
  <c r="F25" i="32" s="1"/>
  <c r="E10" i="32" s="1"/>
  <c r="F5" i="23"/>
  <c r="G7" i="23" l="1"/>
  <c r="G19" i="23"/>
  <c r="H19" i="23"/>
  <c r="H7" i="23"/>
  <c r="F20" i="32"/>
  <c r="E24" i="32"/>
  <c r="E30" i="32" s="1"/>
  <c r="C9" i="32" s="1"/>
  <c r="D15" i="23"/>
  <c r="F26" i="13"/>
  <c r="F15" i="23" l="1"/>
  <c r="F24" i="32"/>
  <c r="F30" i="32" s="1"/>
  <c r="C10" i="32" s="1"/>
  <c r="D19" i="23"/>
  <c r="D7" i="13"/>
  <c r="D27" i="30"/>
  <c r="D18" i="30"/>
  <c r="D29" i="30" s="1"/>
  <c r="E26" i="13"/>
  <c r="D12" i="23"/>
  <c r="D18" i="31"/>
  <c r="D29" i="31" s="1"/>
  <c r="D27" i="31"/>
  <c r="F27" i="30"/>
  <c r="F18" i="30"/>
  <c r="F29" i="30" s="1"/>
  <c r="C26" i="13"/>
  <c r="D4" i="23"/>
  <c r="D29" i="13"/>
  <c r="C8" i="23"/>
  <c r="E27" i="30"/>
  <c r="E18" i="30"/>
  <c r="E29" i="30" s="1"/>
  <c r="E18" i="31"/>
  <c r="E27" i="31"/>
  <c r="F18" i="31"/>
  <c r="F27" i="31"/>
  <c r="F29" i="13"/>
  <c r="F32" i="13" s="1"/>
  <c r="C9" i="13" s="1"/>
  <c r="C16" i="23"/>
  <c r="E29" i="13"/>
  <c r="C12" i="23"/>
  <c r="D26" i="13"/>
  <c r="D8" i="23"/>
  <c r="F19" i="23" l="1"/>
  <c r="E32" i="13"/>
  <c r="C8" i="13" s="1"/>
  <c r="D32" i="13"/>
  <c r="C7" i="13" s="1"/>
  <c r="D8" i="13"/>
  <c r="E26" i="31"/>
  <c r="E28" i="31" s="1"/>
  <c r="D9" i="31" s="1"/>
  <c r="E19" i="31"/>
  <c r="E25" i="31" s="1"/>
  <c r="E9" i="31" s="1"/>
  <c r="H14" i="23" s="1"/>
  <c r="E26" i="30"/>
  <c r="E28" i="30" s="1"/>
  <c r="D9" i="30" s="1"/>
  <c r="E19" i="30"/>
  <c r="E25" i="30" s="1"/>
  <c r="E9" i="30" s="1"/>
  <c r="H13" i="23" s="1"/>
  <c r="D26" i="30"/>
  <c r="D28" i="30" s="1"/>
  <c r="D8" i="30" s="1"/>
  <c r="D19" i="30"/>
  <c r="D25" i="30" s="1"/>
  <c r="E8" i="30" s="1"/>
  <c r="H9" i="23" s="1"/>
  <c r="F29" i="31"/>
  <c r="F26" i="31"/>
  <c r="F28" i="31" s="1"/>
  <c r="D10" i="31" s="1"/>
  <c r="F19" i="31"/>
  <c r="F25" i="31" s="1"/>
  <c r="E10" i="31" s="1"/>
  <c r="H18" i="23" s="1"/>
  <c r="D19" i="31"/>
  <c r="D25" i="31" s="1"/>
  <c r="E8" i="31" s="1"/>
  <c r="H10" i="23" s="1"/>
  <c r="D26" i="31"/>
  <c r="D28" i="31" s="1"/>
  <c r="D8" i="31" s="1"/>
  <c r="E29" i="31"/>
  <c r="D9" i="13"/>
  <c r="F26" i="30"/>
  <c r="F28" i="30" s="1"/>
  <c r="D10" i="30" s="1"/>
  <c r="F19" i="30"/>
  <c r="F25" i="30" s="1"/>
  <c r="E10" i="30" s="1"/>
  <c r="H17" i="23" s="1"/>
  <c r="D6" i="13"/>
  <c r="E20" i="31" l="1"/>
  <c r="D14" i="23" s="1"/>
  <c r="E20" i="30"/>
  <c r="D13" i="23" s="1"/>
  <c r="D20" i="31"/>
  <c r="D10" i="23" s="1"/>
  <c r="F20" i="31"/>
  <c r="F24" i="31" s="1"/>
  <c r="F30" i="31" s="1"/>
  <c r="C10" i="31" s="1"/>
  <c r="D20" i="30"/>
  <c r="D9" i="23" s="1"/>
  <c r="G14" i="23"/>
  <c r="G10" i="23"/>
  <c r="F20" i="30"/>
  <c r="G9" i="23"/>
  <c r="G17" i="23"/>
  <c r="G18" i="23"/>
  <c r="G13" i="23"/>
  <c r="E9" i="13"/>
  <c r="E6" i="13"/>
  <c r="E7" i="13"/>
  <c r="E8" i="13"/>
  <c r="E24" i="31" l="1"/>
  <c r="E30" i="31" s="1"/>
  <c r="C9" i="31" s="1"/>
  <c r="F14" i="23" s="1"/>
  <c r="F18" i="23"/>
  <c r="D18" i="23"/>
  <c r="E24" i="30"/>
  <c r="E30" i="30" s="1"/>
  <c r="C9" i="30" s="1"/>
  <c r="D24" i="31"/>
  <c r="D30" i="31" s="1"/>
  <c r="C8" i="31" s="1"/>
  <c r="D24" i="30"/>
  <c r="D30" i="30" s="1"/>
  <c r="C8" i="30" s="1"/>
  <c r="D17" i="23"/>
  <c r="F24" i="30"/>
  <c r="F30" i="30" s="1"/>
  <c r="C10" i="30" s="1"/>
  <c r="F12" i="23"/>
  <c r="F8" i="23"/>
  <c r="F16" i="23"/>
  <c r="C32" i="13"/>
  <c r="C6" i="13" s="1"/>
  <c r="F13" i="23" l="1"/>
  <c r="F4" i="23"/>
  <c r="F9" i="23"/>
  <c r="F10" i="23"/>
  <c r="F17" i="23"/>
</calcChain>
</file>

<file path=xl/sharedStrings.xml><?xml version="1.0" encoding="utf-8"?>
<sst xmlns="http://schemas.openxmlformats.org/spreadsheetml/2006/main" count="325" uniqueCount="152">
  <si>
    <t>Non-NTDE NOx (TPD)</t>
  </si>
  <si>
    <t>Total Diesel Demand (million gal)</t>
  </si>
  <si>
    <t>Total BD NOx (TPD)</t>
  </si>
  <si>
    <t>NOx Impact of Formulation (TPD)</t>
  </si>
  <si>
    <t>Step</t>
  </si>
  <si>
    <t>B20 Vol as B100 (million gal)</t>
  </si>
  <si>
    <t>B5 Vol as B100 (million gal)</t>
  </si>
  <si>
    <t>Formulation RD/BD Ratio</t>
  </si>
  <si>
    <t>Estimate the Total BD volume as B100 using the formula:  Total BD Vol as B100 = (B20 Vol as B100) + (B5 Vol as B100).</t>
  </si>
  <si>
    <t>BD NOx from B5 (TPD)</t>
  </si>
  <si>
    <t>BD NOx from B20 (TPD)</t>
  </si>
  <si>
    <t>RD Vol as R100 (million gal)</t>
  </si>
  <si>
    <t>BD Vol as B100 (million gal)</t>
  </si>
  <si>
    <t>Total NOx Impact (TPD)</t>
  </si>
  <si>
    <t>Notes</t>
  </si>
  <si>
    <t>a.</t>
  </si>
  <si>
    <t xml:space="preserve">Estimate the B20 volume as B100 using the formula:  B20 Vol as B100 = (RD Vol) x (Formulation RD/BD Ratio).  This assumes that all renewable diesel in the State is used for the ADF formulation, maximizing the volume of B20 as B100.  If the volume of B20 as B100 exceeds the Total Diesel Demand Volume divided by 5, the amount of B20 as B100 is limited to the Total Diesel Demand Volume divided by 5.  </t>
  </si>
  <si>
    <t>Calculate the RD/BD blend ratio for each formulation using the formula:  Formulation RD/BD Ratio = (Percent renewable diesel in formulation) / (Percent biodiesel in formulation)</t>
  </si>
  <si>
    <t>Estimate the B20 volume as B100 assuming that B20 is maximized.  Formula:  If (RD Vol) / (Formulation RD/BD Ratio) &gt;  (BD Vol as B100), Then (B20 Vol as B100) = (BD Vol as B100), Else (B20 Vol as B100) = (RD Vol) / (Formulation RD/BD Ratio).</t>
  </si>
  <si>
    <t>Year</t>
  </si>
  <si>
    <t>Scenario A Calculations</t>
  </si>
  <si>
    <t>Total RD NOx (TPD)</t>
  </si>
  <si>
    <t>NOx Impact of Non-Formulation RD (TPD)</t>
  </si>
  <si>
    <t>Scenario B Calculations</t>
  </si>
  <si>
    <t>%NOx Increase for B100</t>
  </si>
  <si>
    <t>%NOx Decrease for R100</t>
  </si>
  <si>
    <t>%NOx Increase for B100 from 2015 ADF ISOR:  https://ww3.arb.ca.gov/regact/2015/adf2015/adf15isor.pdf; see note a. below</t>
  </si>
  <si>
    <t xml:space="preserve">%NOx Decrease from R100 from 2015 ADF ISOR:  https://ww3.arb.ca.gov/regact/2015/adf2015/adf15isor.pdf  </t>
  </si>
  <si>
    <t>Scenario B Calculation Methodology</t>
  </si>
  <si>
    <t>Scenario C Calculations</t>
  </si>
  <si>
    <t>Scenario C Calculation Methodology</t>
  </si>
  <si>
    <t>B:  R75/B20 Maximize BD</t>
  </si>
  <si>
    <t>C:  R55/B20 Maximize BD</t>
  </si>
  <si>
    <t>D:  R40/B20 Maximize BD</t>
  </si>
  <si>
    <t>Scenario D Calculations</t>
  </si>
  <si>
    <t>Scenario D Calculation Methodology</t>
  </si>
  <si>
    <t>Scenario A Calculation Methodology</t>
  </si>
  <si>
    <t>N/A</t>
  </si>
  <si>
    <t>-</t>
  </si>
  <si>
    <t>Scenario</t>
  </si>
  <si>
    <t>A</t>
  </si>
  <si>
    <t>B</t>
  </si>
  <si>
    <t>C</t>
  </si>
  <si>
    <t>D</t>
  </si>
  <si>
    <t>ADF Formulation Blend Level</t>
  </si>
  <si>
    <t>R75/B20</t>
  </si>
  <si>
    <t>R55/B20</t>
  </si>
  <si>
    <t>R40/B20</t>
  </si>
  <si>
    <t>Maximize BD Volume: B20 based on ADF Formulation Blend Level + Saturation of remaining Diesel Demand to B5</t>
  </si>
  <si>
    <t>BD Volume as B100 (million gal)</t>
  </si>
  <si>
    <t>RD Volume as R100 (million gal)</t>
  </si>
  <si>
    <t>2.  RD volumes estimated as R100 based on LCFS Illustrative Compliance Scenario Calculator (Project/Low Demand/Low ZEV/20% Scenario):  https://www.arb.ca.gov/fuels/lcfs/2018-0815_illustrative_compliance_scenario_calc.xlsx?_ga=2.225274906.1680858013.1588706403-1042658205.1574400241</t>
  </si>
  <si>
    <t>A:  LCFS Compliance Scenario Volumes</t>
  </si>
  <si>
    <t>Future RD, BD, and Total Diesel Demand Volumes Based on Project Scenario Volumes in LCFS Illustrative Compliance Scenario Calculator</t>
  </si>
  <si>
    <t>Future RD and Total Diesel Demand Volumes Based on Project Scenario in LCFS Illustrative Compliance Scenario Calculator</t>
  </si>
  <si>
    <t>Table of Contents:  Staff Analysis of ADF Public Formulation Blend Level</t>
  </si>
  <si>
    <t>Sheet # and Name</t>
  </si>
  <si>
    <t>Description</t>
  </si>
  <si>
    <t>2.  Summary of Scenarios</t>
  </si>
  <si>
    <t>4.  Qualitative Results</t>
  </si>
  <si>
    <t>3.  Quantitative Results</t>
  </si>
  <si>
    <t>1.  Historical &amp; Future Volumes</t>
  </si>
  <si>
    <t>5.  Calculations - Scenario A</t>
  </si>
  <si>
    <t>6.  Calculations - Scenario B</t>
  </si>
  <si>
    <t>7.  Calculations - Scenario C</t>
  </si>
  <si>
    <t>8.  Calculations - Scenario D</t>
  </si>
  <si>
    <t xml:space="preserve">Notes:  </t>
  </si>
  <si>
    <t>Summary of Scenarios Evaluated for Quantitative Analysis of Potential Future NOx Impacts of ADF Program</t>
  </si>
  <si>
    <r>
      <t>Historical Volumes</t>
    </r>
    <r>
      <rPr>
        <b/>
        <vertAlign val="superscript"/>
        <sz val="11"/>
        <color theme="1"/>
        <rFont val="Calibri"/>
        <family val="2"/>
        <scheme val="minor"/>
      </rPr>
      <t>1</t>
    </r>
  </si>
  <si>
    <r>
      <t>Future Volumes</t>
    </r>
    <r>
      <rPr>
        <b/>
        <vertAlign val="superscript"/>
        <sz val="11"/>
        <color theme="1"/>
        <rFont val="Calibri"/>
        <family val="2"/>
        <scheme val="minor"/>
      </rPr>
      <t>2</t>
    </r>
  </si>
  <si>
    <t>Based on LCFS Illustrative Compliance Scenario Calculator (Project/LD/Low ZEV/20% Scenario)</t>
  </si>
  <si>
    <t>1. Future volumes from LCFS Illustrative Compliance Scenario Calculator (Project/Low Demand/Low ZEV/20% Scenario).  CARB.  2018.  Illustrative Compliance Scenario Calculator.  August 15.  Available at:  https://www.arb.ca.gov/fuels/lcfs/2018-0815_illustrative_compliance_scenario_calc.xlsx?_ga=2.225274906.1680858013.1588706403-1042658205.1574400241</t>
  </si>
  <si>
    <r>
      <t>Renewable Diesel Volume</t>
    </r>
    <r>
      <rPr>
        <b/>
        <vertAlign val="superscript"/>
        <sz val="11"/>
        <color theme="1"/>
        <rFont val="Calibri"/>
        <family val="2"/>
        <scheme val="minor"/>
      </rPr>
      <t>1</t>
    </r>
  </si>
  <si>
    <r>
      <t>Total Diesel Demand</t>
    </r>
    <r>
      <rPr>
        <b/>
        <vertAlign val="superscript"/>
        <sz val="11"/>
        <color theme="1"/>
        <rFont val="Calibri"/>
        <family val="2"/>
        <scheme val="minor"/>
      </rPr>
      <t>1</t>
    </r>
  </si>
  <si>
    <r>
      <t>Biodiesel Volume</t>
    </r>
    <r>
      <rPr>
        <b/>
        <vertAlign val="superscript"/>
        <sz val="11"/>
        <color theme="1"/>
        <rFont val="Calibri"/>
        <family val="2"/>
        <scheme val="minor"/>
      </rPr>
      <t>2,3</t>
    </r>
  </si>
  <si>
    <t>2. Future biodiesel volume for Scenario A from LCFS Illustrative Compliance Scenario Calculator (Project/Low Demand/Low ZEV/20% Scenario).  CARB.  2018.  Illustrative Compliance Scenario Calculator.  August 15.  Available at:  https://www.arb.ca.gov/fuels/lcfs/2018-0815_illustrative_compliance_scenario_calc.xlsx?_ga=2.225274906.1680858013.1588706403-1042658205.1574400241</t>
  </si>
  <si>
    <t>1. Scenario descriptions:
    A:  Biodiesel volumes based on LCFS Illustrative Compliance Scenario (Project/Low Demand/Low ZEV/20% Scenario);
    B:  Maximize biodiesel volume based on ADF formulation of R75/B20 (i.e., estimate B20 volume as B100 based on ADF formulation blend ratio and then add BD to saturate remaining Total Diesel Demand to B5);
    C: Maximize biodiesel volume based on ADF formulation of R55/B20 (i.e., estimate B20 volume as B100 based on ADF formulation blend ratio and then add BD to saturate remaining Total Diesel Demand to B5);
    D: Maximize biodiesel volume based on ADF formulation of R40/B20 (i.e., estimate B20 volume as B100 based on ADF formulation blend ratio and then add BD to saturate remaining Total Diesel Demand to B5);</t>
  </si>
  <si>
    <t>3.  BD volumes estimated as described in descriptions for Scenarios A - D in sheet "2. Summary of Scenarios"</t>
  </si>
  <si>
    <t>Notes:</t>
  </si>
  <si>
    <t xml:space="preserve">Staff Analysis:  </t>
  </si>
  <si>
    <t>Staff Analysis:</t>
  </si>
  <si>
    <t xml:space="preserve">
However, if future renewable diesel use continues to increase at the same rate and biodiesel use increases at a much higher rate than recent trends, the orange line shifts above the green line again, and there would be insufficient renewable diesel volumes in the State to offset NOx emissions associated with biodiesel use from 2020 through 2023.  Staff notes that the State Water Resources Control Board recently amended the Underground Storage Tank regulation to allow the storage of biodiesel blends up to B20 in underground storage tanks in California beginning on January 1, 2020.  This amendment removed a potential limitation to biodiesel growth in California.  Staff also notes that the nationwide supply of biodiesel in the US is sufficient to quickly increase volumes in California if demand increases.  
While the increases in future biodiesel volumes shown in this figure represent a conservative scenario (i.e., a scenario that may result in higher biodiesel NOx emissions), these potential biodiesel volume increases suggest that staff should select the ADF public formulation blend level and prescribe other requirements as necessary to ensure that there is sufficient renewable diesel in the State to serve as a component of formulations to meet in-use requirements for biodiesel blends above the NOx control and to serve as an offsetting factor to mitigate NOx emissions from biodiesel blends below the NOx control level.</t>
  </si>
  <si>
    <t>Calculations for Scenario A:  LCFS Compliance Scenario Volumes</t>
  </si>
  <si>
    <t>4.  Non-NTDE NOx estimated using CEPAM (https://www.arb.ca.gov/app/emsinv/fcemssumcat/fcemssumcat2016.php) and ORION (https://www.arb.ca.gov/orion/)</t>
  </si>
  <si>
    <t>Methodology Notes</t>
  </si>
  <si>
    <t>Calculations for Scenario B:  R75/B20 Maximize BD</t>
  </si>
  <si>
    <t>Calculations for Scenario C:  R55/B20 Maximize BD</t>
  </si>
  <si>
    <t>Calculations for Scenario D:  R40/B20 Maximize BD</t>
  </si>
  <si>
    <t>BD Volume Maximized Based on ADF Public Formulation Blend Level of R75/B20 and Assumption that All RD is Used in ADF Public Formulation</t>
  </si>
  <si>
    <t>BD Volume Maximized Based on ADF Public Formulation Blend Level of R55/B20 and Assumption that All RD is Used in ADF Public Formulation</t>
  </si>
  <si>
    <t>BD Volume Maximized Based on ADF Public Formulation Blend Level of R40/B20 and Assumption that All RD is Used in ADF Public Formulation</t>
  </si>
  <si>
    <t>RD Volume as R100 from LCFS Illustrative Compliance Scenario Calculator (Project/Low Demand/Low ZEV/20% Scenario):  https://www.arb.ca.gov/fuels/lcfs/2018-0815_illustrative_compliance_scenario_calc.xlsx?_ga=2.225274906.1680858013.1588706403-1042658205.1574400241</t>
  </si>
  <si>
    <t>BD Volume as B100 from LCFS Illustrative Compliance Scenario Calculator (Project/Low Demand/Low ZEV/20% Scenario):  https://www.arb.ca.gov/fuels/lcfs/2018-0815_illustrative_compliance_scenario_calc.xlsx?_ga=2.225274906.1680858013.1588706403-1042658205.1574400241</t>
  </si>
  <si>
    <r>
      <t>Total Diesel Demand</t>
    </r>
    <r>
      <rPr>
        <vertAlign val="superscript"/>
        <sz val="11"/>
        <color theme="1"/>
        <rFont val="Calibri"/>
        <family val="2"/>
        <scheme val="minor"/>
      </rPr>
      <t>4</t>
    </r>
    <r>
      <rPr>
        <sz val="11"/>
        <color theme="1"/>
        <rFont val="Calibri"/>
        <family val="2"/>
        <scheme val="minor"/>
      </rPr>
      <t xml:space="preserve"> (million gal)</t>
    </r>
  </si>
  <si>
    <t>1.  Historical volumes from LCFS Quarterly Data Spreadsheet.  CARB.  2020.  LCFS Quarterly Data Spreadsheet.  April 30.  Available at:  https://ww3.arb.ca.gov/fuels/lcfs/dashboard/quarterlysummary/quarterlysummary_043020.xlsx</t>
  </si>
  <si>
    <t>2.  Future volumes from LCFS Illustrative Compliance Scenario Calculator (Project/Low Demand/Low ZEV/20% Scenario).  CARB.  2018.  Illustrative Compliance Scenario Calculator.  August 15.  Available at:  https://www.arb.ca.gov/fuels/lcfs/2018-0815_illustrative_compliance_scenario_calc.xlsx?_ga=2.225274906.1680858013.1588706403-1042658205.1574400241</t>
  </si>
  <si>
    <t>Methodology Notes:</t>
  </si>
  <si>
    <t>Non-NTDE NOx estimated using CEPAM (https://www.arb.ca.gov/app/emsinv/fcemssumcat/fcemssumcat2016.php) and ORION (https://www.arb.ca.gov/orion/) following the methodology in the Disclosure Document Analysis (see Appendix 4):  https://ww3.arb.ca.gov/regact/2018/lcfs18/finaldisc.pdf?_ga=2.130894351.1260211689.1588616941-1042658205.1574400241</t>
  </si>
  <si>
    <t>This sheet provides a table summarizing the scenarios evaluated as part of staff's quantitative analysis of potential NOx impacts of the ADF program for years 2020 through 2023.  The table includes the ADF public formulation blend level and basis for the fuel volumes evaluated as part of each scenario.</t>
  </si>
  <si>
    <t>This sheet provides staff's calculations of potential NOx impacts for Scenario A relative to conventional diesel for years 2020 through 2023.</t>
  </si>
  <si>
    <t>This sheet provides staff's calculations of potential NOx impacts for Scenario B relative to conventional diesel for years 2020 through 2023.</t>
  </si>
  <si>
    <t>This sheet provides staff's calculations of potential NOx impacts for Scenario C relative to conventional diesel for years 2020 through 2023.</t>
  </si>
  <si>
    <t>This sheet provides staff's calculations of potential NOx impacts for Scenario D relative to conventional diesel for years 2020 through 2023.</t>
  </si>
  <si>
    <t>Conventional Diesel Volume (million gal)</t>
  </si>
  <si>
    <t>4.  Total Diesel Demand estimated using the formula:  Total Diesel Demand = (BD Volume as B100) + (RD Volume as R100) + (Conventional Diesel Volume)</t>
  </si>
  <si>
    <t>This sheet provides historical (2011 - 2019) and future (2020 - 2023) biodiesel, renewable diesel, conventional diesel, and Total Diesel Demand volumes based on publicly available data.  Staff also estimated the volume of renewable diesel needed to fully mitigate NOx emissions from biodiesel for each year.  These volumes were used in staff's qualitative and quantitative analyses of the ADF public formulation blend level.</t>
  </si>
  <si>
    <t>Historical and Future Biodiesel, Renewable Diesel, Conventional Diesel, and Total Diesel Demand Volumes</t>
  </si>
  <si>
    <t>3. Future biodiesel volumes for Scenarios B through D estimated assuming that all renewable diesel in the State is used for the ADF formulation and that the volume of B20 as B100 is maximized.  Volume of B5 as B100 estimated assuming that all diesel in the State (RD + BD + conventional diesel) is blended to either B20 or B5.</t>
  </si>
  <si>
    <t>Summary of Quantitative Analysis Results:  ADF Program NOx Impacts Relative to Conventional Diesel for Scenarios A - D, 2020 - 2023</t>
  </si>
  <si>
    <t>5.  Total NOx Impact Relative to Conventional Diesel estimated as the sum of the NOx Impact of ADF Formulation Relative to Conventional Diesel and NOx Impact of B5 Relative to Conventional Diesel.</t>
  </si>
  <si>
    <t xml:space="preserve">7.  The Total NOx Impact for Scenario A does not depend on the ADF formulation or the amount of biodiesel going to B20 vs B5; therefore, staff has not shown the NOx Impact of the Formulation Relative to Conventional Diesel or the NOx Impact of B5 Relative to Conventional Diesel for this scenario. </t>
  </si>
  <si>
    <t>8. NOx Impact of B5 Relative to Conventional Diesel estimated based on the volume of B5 for each scenario.</t>
  </si>
  <si>
    <t>6. NOx Impact of ADF Formulation Relative to Conventional Diesel estimated based on the NOx impact of RD and BD in the ADF formulation (i.e., BD NOx from B20 and RD NOx from RD used in the R75/B20 or R55/B20 formulation)</t>
  </si>
  <si>
    <t>Total NOx Impact Relative to Conventional Diesel (TPD)</t>
  </si>
  <si>
    <t xml:space="preserve">1.  The Total NOx Impact for Scenario A does not depend on the ADF formulation or the amount of biodiesel going to B20 vs B5; therefore, staff has not shown the NOx Impact of the Formulation Relative to Conventional Diesel or the NOx Impact of B5 Relative to Conventional Diesel for this scenario. </t>
  </si>
  <si>
    <t>Conventional Diesel Volume from LCFS Illustrative Compliance Scenario Calculator (Project/Low Demand/Low ZEV/20% Scenario):  https://www.arb.ca.gov/fuels/lcfs/2018-0815_illustrative_compliance_scenario_calc.xlsx?_ga=2.225274906.1680858013.1588706403-1042658205.1574400241</t>
  </si>
  <si>
    <t>Total Diesel Demand estimated using the formula:  Total Diesel Demand = (BD Volume as B100) + (RD Volume as R100) + (Conventional Diesel Volume)</t>
  </si>
  <si>
    <t>Estimate the volume of B5 (as B100) using the formula:  B5 volume as B100 = (BD Vol as B100) - (B20 Vol as B100) . This assumes that all diesel in the State (RD + BD + Conventional Diesel) is blended to either B20 or B5 and that the B20 volume is maximized, as noted in step 6.</t>
  </si>
  <si>
    <t xml:space="preserve">Estimate the Total BD NOx Impact Relative to Conventional Diesel using the formula:  Total BD NOx = (BD Vol as B100) / (Total Diesel Demand) x (%NOx increase for B100) x (Non-NTDE NOx).  This follows the methodology used for BD NOx estimation from the Disclosure Document Analysis (see Appendix 4):  https://ww3.arb.ca.gov/regact/2018/lcfs18/finaldisc.pdf?_ga=2.130894351.1260211689.1588616941-1042658205.1574400241 </t>
  </si>
  <si>
    <t xml:space="preserve">Estimate BD NOx Impact from B5 Relative to Conventional Diesel using the formula:  BD NOx from B5 = (B5 Vol as B100) / (Total Diesel Demand) x (%NOx increase for B100) x (Non-NTDE NOx).  This follows the methodology used for BD NOx estimation from the Disclosure Document Analysis (see Appendix 4):  https://ww3.arb.ca.gov/regact/2018/lcfs18/finaldisc.pdf?_ga=2.130894351.1260211689.1588616941-1042658205.1574400241 </t>
  </si>
  <si>
    <t xml:space="preserve">Estimate BD NOx Impact from B20 Relative to Conventional Diesel using the formula:  BD NOx from B20 = (B20 Vol as B100) / (Total Diesel Demand) x (%NOx increase for B100) x (Non-NTDE NOx).  This follows the methodology used for BD NOx estimation from the Disclosure Document Analysis (see Appendix 4):  https://ww3.arb.ca.gov/regact/2018/lcfs18/finaldisc.pdf?_ga=2.130894351.1260211689.1588616941-1042658205.1574400241 </t>
  </si>
  <si>
    <t xml:space="preserve">Estimate Total RD NOx Impact Relative to Conventional Diesel using the formula:  Total RD NOx = (RD Vol as R100) / (Total Diesel Demand) x (-1) x (%NOx decrease for R100) x (Non-NTDE NOx).  This follows the methodology used for RD NOx estimation from the Disclosure Document Analysis (see Appendix 4):  https://ww3.arb.ca.gov/regact/2018/lcfs18/finaldisc.pdf?_ga=2.130894351.1260211689.1588616941-1042658205.1574400241 </t>
  </si>
  <si>
    <t>Estimate NOx Impact of the Formulation Relative to Conventional Diesel using the formula:  (NOx Impact of the Formulation) = (BD NOx from B20) + (B20 Vol as B100) x (Formulation RD/BD Ratio) / (Total Diesel Demand) x (-1) x (%NOx Decrease from R100) x (Non-NTDE NOx)</t>
  </si>
  <si>
    <t>Estimate NOx Impact of Non-Formulation RD Relative to Conventional Diesel using the formula:  (NOx Impact of Non-Formulation RD) = [(RD Vol as R100) - (B20 Vol as B100) x (Formulation RD/BD Ratio)] / (Total Diesel Demand) x (-1) x (%NOx Decrease from R100) x (Non-NTDE NOx)</t>
  </si>
  <si>
    <t>Estimate Total NOx Impact Relative to Conventional Diesel using the formula:  Total NOx Impact = (Total BD NOx) + (Total RD NOx)</t>
  </si>
  <si>
    <t xml:space="preserve">Staff assumed a NOx increase of 4.0% for B20 versus conventional diesel based the average of soy-based NOx emissions data from the literature search described in Section B of Chapter 6 of the staff report for the 2015 ADF regulation.  This NOx increase also aligns with CARB’s determination that B5 results in a one percent NOx increase relative to conventional diesel and data showing that biodiesel NOx increases are linear up to B20.  The NOx increase for B20 was extrapolated to B100, noting that only blends of B20 and lower can legally be used in California.   </t>
  </si>
  <si>
    <t>Scenario A - Summary of Potential Future NOx Impacts Relative to Conventional Diesel</t>
  </si>
  <si>
    <t>Scenario B - Summary of Potential Future NOx Impacts Relative to Conventional Diesel</t>
  </si>
  <si>
    <t>Total Diesel Demand estimated using the formula:  Total Diesel Demand = (BD Volume as B100) + (RD Volume as R100) + (Conventional Diesel Volume).  Values linked to calculations in Sheet "1. Historical &amp; Future Volumes".</t>
  </si>
  <si>
    <t>Estimate the volume of B5 (as B100) using the formula:  B5 volume as B100 = [(Total Diesel Demand) - (B20 volume as B100) x 5]/20. This assumes that all diesel in the State (RD + BD + Conventional Diesel) is blended to either B20 or B5 and that the B20 volume is maximized, as noted in step 2.</t>
  </si>
  <si>
    <t>Estimate Total RD NOx Impact Relative to Conventional Diesel using the formula:  Total RD NOx = (RD Vol as R100) / (Total Diesel Demand) x (-1) x (%NOx decrease for R100) x (Non-NTDE NOx).  This follows the methodology used for RD NOx estimation from the Disclosure Document Analysis (see Appendix 4):  https://ww3.arb.ca.gov/regact/2018/lcfs18/finaldisc.pdf?_ga=2.130894351.1260211689.1588616941-1042658205.1574400241</t>
  </si>
  <si>
    <t>Scenario C - Summary of Potential Future NOx Impacts Relative to Conventional Diesel</t>
  </si>
  <si>
    <t>NOx Impact of Formulation Relative to Conventional Diesel (TPD)</t>
  </si>
  <si>
    <t>NOx Impact of B5 Relative to Conventional Diesel (TPD)</t>
  </si>
  <si>
    <t>Scenario D - Summary of Potential Future NOx Impacts Relative to Conventional Diesel</t>
  </si>
  <si>
    <t>3.  RD Volume as R100 needed for full NOx mitigation of BD Volume as B100 = (BD Volume as B100) x (%NOx Increase for B100) / (%NOx Decrease for R100).  
%NOx Increase for B100 from 2015 ADF ISOR:  https://ww3.arb.ca.gov/regact/2015/adf2015/adf15isor.pdf.  Staff assumed a NOx increase of 4.0% for B20 versus conventional diesel based the average of soy-based NOx emissions data from the literature search described in Section B of Chapter 6 of the staff report for the 2015 ADF regulation.  This NOx increase also aligns with CARB’s determination that B5 results in a one percent NOx increase relative to conventional diesel and data showing that biodiesel NOx increases are linear up to B20.  The NOx increase for B20 was extrapolated to B100, noting that only blends of B20 and lower can legally be used in California.   
%NOx Decrease from R100 from 2015 ADF ISOR:  https://ww3.arb.ca.gov/regact/2015/adf2015/adf15isor.pdf  .</t>
  </si>
  <si>
    <r>
      <t>RD Volume as R100 needed for full NOx mitigation of 
BD Volume as B100</t>
    </r>
    <r>
      <rPr>
        <vertAlign val="superscript"/>
        <sz val="11"/>
        <color theme="1"/>
        <rFont val="Calibri"/>
        <family val="2"/>
        <scheme val="minor"/>
      </rPr>
      <t>3</t>
    </r>
    <r>
      <rPr>
        <sz val="11"/>
        <color theme="1"/>
        <rFont val="Calibri"/>
        <family val="2"/>
        <scheme val="minor"/>
      </rPr>
      <t xml:space="preserve"> (million gal)</t>
    </r>
  </si>
  <si>
    <t xml:space="preserve">This sheet provides a table summarizing the results of staff's quantitative analysis of potential NOx impacts of the ADF program for years 2020 through 2023 for each of the four scenarios evaluated.  This sheet also provides a discussion of staff's quantitative analysis beneath the table.  </t>
  </si>
  <si>
    <r>
      <t>This sheet provides a figure showing staff's qualitative analysis of the historical and future renewable diesel and biodiesel volumes in California and ADF Program NOx impacts from the time when the LCFS regulation was first adopted in 2011 up through 2023.  This sheet also provides a discussion of staff's qualitative analysis beneath the figure.</t>
    </r>
    <r>
      <rPr>
        <sz val="11"/>
        <color rgb="FFFF0000"/>
        <rFont val="Calibri"/>
        <family val="2"/>
        <scheme val="minor"/>
      </rPr>
      <t xml:space="preserve"> </t>
    </r>
  </si>
  <si>
    <t xml:space="preserve">This figure shows staff’s qualitative analysis of the historical and future renewable diesel and biodiesel volumes in California from the time when the LCFS regulation was first adopted in 2011 up through 2023.  Historical renewable diesel and biodiesel volumes are based on LCFS reporting data and are shown as solid green and blue lines, respectively.  Future renewable diesel and biodiesel volumes are based on Project Scenario volumes from the LCFS Illustrative Compliance Scenario Calculator and are shown as dashed green and blue lines, respectively. 
The orange line represents the volume of renewable diesel that would be required to fully mitigate NOx emissions associated with biodiesel use based on the NOx emission factors for renewable diesel and biodiesel.  This figure shows that for years 2011 through 2017, the orange line is above the green line, indicating that there was not sufficient renewable diesel in the State to fully mitigate NOx emissions from biodiesel use.  However, this trend shifted in 2018 and 2019.  During these years, the orange line was below the green line, and there was more than enough renewable diesel in the State to offset NOx emissions from biodiesel use.  If these recent trends continue, there would be sufficient renewable diesel volumes to mitigate NOx emissions from biodiesel use in California in the future at any ADF public formulation blend level.  </t>
  </si>
  <si>
    <r>
      <t>NOx Impact of Formulation Relative to Conventional Diesel</t>
    </r>
    <r>
      <rPr>
        <b/>
        <vertAlign val="superscript"/>
        <sz val="11"/>
        <color theme="1"/>
        <rFont val="Calibri"/>
        <family val="2"/>
        <scheme val="minor"/>
      </rPr>
      <t>1</t>
    </r>
    <r>
      <rPr>
        <b/>
        <sz val="11"/>
        <color theme="1"/>
        <rFont val="Calibri"/>
        <family val="2"/>
        <scheme val="minor"/>
      </rPr>
      <t xml:space="preserve"> (TPD)</t>
    </r>
  </si>
  <si>
    <r>
      <t>NOx Impact of B5 Relative to Conventional Diesel</t>
    </r>
    <r>
      <rPr>
        <b/>
        <vertAlign val="superscript"/>
        <sz val="11"/>
        <color theme="1"/>
        <rFont val="Calibri"/>
        <family val="2"/>
        <scheme val="minor"/>
      </rPr>
      <t>1</t>
    </r>
    <r>
      <rPr>
        <b/>
        <sz val="11"/>
        <color theme="1"/>
        <rFont val="Calibri"/>
        <family val="2"/>
        <scheme val="minor"/>
      </rPr>
      <t xml:space="preserve"> (TPD)</t>
    </r>
  </si>
  <si>
    <r>
      <t>Scenario</t>
    </r>
    <r>
      <rPr>
        <b/>
        <vertAlign val="superscript"/>
        <sz val="11"/>
        <color theme="1"/>
        <rFont val="Calibri"/>
        <family val="2"/>
        <scheme val="minor"/>
      </rPr>
      <t>1</t>
    </r>
  </si>
  <si>
    <r>
      <t>NOx Impact of B5 Relative to Conventional Diesel</t>
    </r>
    <r>
      <rPr>
        <b/>
        <vertAlign val="superscript"/>
        <sz val="11"/>
        <color theme="1"/>
        <rFont val="Calibri"/>
        <family val="2"/>
        <scheme val="minor"/>
      </rPr>
      <t>7,8</t>
    </r>
    <r>
      <rPr>
        <b/>
        <sz val="11"/>
        <color theme="1"/>
        <rFont val="Calibri"/>
        <family val="2"/>
        <scheme val="minor"/>
      </rPr>
      <t xml:space="preserve"> 
(TPD)</t>
    </r>
  </si>
  <si>
    <r>
      <t>Non-NTDE NOx</t>
    </r>
    <r>
      <rPr>
        <b/>
        <vertAlign val="superscript"/>
        <sz val="11"/>
        <color theme="1"/>
        <rFont val="Calibri"/>
        <family val="2"/>
        <scheme val="minor"/>
      </rPr>
      <t>4</t>
    </r>
    <r>
      <rPr>
        <b/>
        <sz val="11"/>
        <color theme="1"/>
        <rFont val="Calibri"/>
        <family val="2"/>
        <scheme val="minor"/>
      </rPr>
      <t xml:space="preserve"> 
(TPD)</t>
    </r>
  </si>
  <si>
    <r>
      <t>Total NOx Impact Relative to Conventional Diesel</t>
    </r>
    <r>
      <rPr>
        <b/>
        <vertAlign val="superscript"/>
        <sz val="11"/>
        <color theme="1"/>
        <rFont val="Calibri"/>
        <family val="2"/>
        <scheme val="minor"/>
      </rPr>
      <t>5</t>
    </r>
    <r>
      <rPr>
        <b/>
        <sz val="11"/>
        <color theme="1"/>
        <rFont val="Calibri"/>
        <family val="2"/>
        <scheme val="minor"/>
      </rPr>
      <t xml:space="preserve"> 
(TPD)</t>
    </r>
  </si>
  <si>
    <r>
      <t>NOx Impact of ADF Formulation Relative to Conventional Diesel</t>
    </r>
    <r>
      <rPr>
        <b/>
        <vertAlign val="superscript"/>
        <sz val="11"/>
        <color theme="1"/>
        <rFont val="Calibri"/>
        <family val="2"/>
        <scheme val="minor"/>
      </rPr>
      <t>6,7</t>
    </r>
    <r>
      <rPr>
        <b/>
        <sz val="11"/>
        <color theme="1"/>
        <rFont val="Calibri"/>
        <family val="2"/>
        <scheme val="minor"/>
      </rPr>
      <t xml:space="preserve"> 
(TPD)</t>
    </r>
  </si>
  <si>
    <r>
      <t>RD Volume</t>
    </r>
    <r>
      <rPr>
        <b/>
        <vertAlign val="superscript"/>
        <sz val="11"/>
        <color theme="1"/>
        <rFont val="Calibri"/>
        <family val="2"/>
        <scheme val="minor"/>
      </rPr>
      <t xml:space="preserve">2 </t>
    </r>
    <r>
      <rPr>
        <b/>
        <sz val="11"/>
        <color theme="1"/>
        <rFont val="Calibri"/>
        <family val="2"/>
        <scheme val="minor"/>
      </rPr>
      <t xml:space="preserve">
(million gallons)</t>
    </r>
  </si>
  <si>
    <r>
      <t>BD Volume</t>
    </r>
    <r>
      <rPr>
        <b/>
        <vertAlign val="superscript"/>
        <sz val="11"/>
        <color theme="1"/>
        <rFont val="Calibri"/>
        <family val="2"/>
        <scheme val="minor"/>
      </rPr>
      <t xml:space="preserve">3 </t>
    </r>
    <r>
      <rPr>
        <b/>
        <sz val="11"/>
        <color theme="1"/>
        <rFont val="Calibri"/>
        <family val="2"/>
        <scheme val="minor"/>
      </rPr>
      <t>(million gallons)</t>
    </r>
  </si>
  <si>
    <t>Total NOx Impact Relative to Conventional Diesel 
(TPD)</t>
  </si>
  <si>
    <t>NOx Impact of B5 Relative to Conventional Diesel 
(TPD)</t>
  </si>
  <si>
    <t>This table shows the results of staff’s additional quantitative analysis of potential future NOx emissions associated with renewable diesel and biodiesel use in California for years 2020 through 2023 based on the four scenarios described on the previous slide.  Staff’s analysis accounted for the level of adoption of new technology diesel engines (or NTDEs), which is an offsetting factor for biodiesel NOx emissions.  The level of NOx emissions associated with non-NTDEs, in which biodiesel use would result in a NOx increase relative to conventional diesel, is projected to decrease substantially over the next four years.  
This table indicates that use of renewable diesel and biodiesel volumes from the LCFS Illustrative Compliance Scenario Calculator (Scenario A) would result in a NOx increase relative to use of conventional diesel from 2020 through 2023.  Staff assumed that the renewable diesel and biodiesel volumes for this scenario are independent of the ADF formulation; that is, there would be no restriction on biodiesel use or requirement for additional renewable diesel use based on the ADF public formulation blend level.  
This table also shows that use of an R75/B20 ADF public formulation and a conservative approach that maximizes future biodiesel volumes (Scenario B) would result in NOx reductions relative to use of conventional diesel from 2020 through 2023.  Similarly, use of an R55/B20 ADF public formulation and the same conservative approach for estimating biodiesel volumes (Scenario C) would result in a NOx reduction in 2022 and 2023 but a NOx increase in 2020 and 2021.  Use of an R40/B20 ADF public formulation and the same conservative approach for estimating biodiesel volumes (Scenario D) would result in a NOx increase in all future years (Scenario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</si>
</sst>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u/>
      <sz val="11"/>
      <color theme="1"/>
      <name val="Calibri"/>
      <family val="2"/>
      <scheme val="minor"/>
    </font>
    <font>
      <b/>
      <vertAlign val="superscript"/>
      <sz val="11"/>
      <color theme="1"/>
      <name val="Calibri"/>
      <family val="2"/>
      <scheme val="minor"/>
    </font>
    <font>
      <b/>
      <u/>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2" fillId="0" borderId="0" xfId="0" applyFont="1"/>
    <xf numFmtId="9" fontId="0" fillId="0" borderId="0" xfId="1" applyFont="1"/>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0" fontId="2" fillId="0" borderId="0" xfId="0" applyFont="1" applyAlignment="1">
      <alignment horizontal="left"/>
    </xf>
    <xf numFmtId="0" fontId="0" fillId="0" borderId="0" xfId="0" applyAlignment="1">
      <alignment horizontal="left"/>
    </xf>
    <xf numFmtId="0" fontId="0" fillId="0" borderId="0" xfId="0" applyAlignment="1">
      <alignment horizontal="center" vertical="center"/>
    </xf>
    <xf numFmtId="9" fontId="0" fillId="0" borderId="0" xfId="1" applyFont="1" applyAlignment="1">
      <alignment horizontal="center" vertical="center"/>
    </xf>
    <xf numFmtId="0" fontId="2" fillId="0" borderId="0" xfId="0" applyFont="1" applyAlignment="1">
      <alignment horizontal="center"/>
    </xf>
    <xf numFmtId="2" fontId="0" fillId="0" borderId="0" xfId="0" applyNumberFormat="1" applyAlignment="1">
      <alignment horizontal="center"/>
    </xf>
    <xf numFmtId="0" fontId="0" fillId="0" borderId="0" xfId="0" applyAlignment="1">
      <alignment horizontal="left"/>
    </xf>
    <xf numFmtId="1" fontId="0" fillId="0" borderId="0" xfId="0" applyNumberFormat="1"/>
    <xf numFmtId="0" fontId="0" fillId="0" borderId="0" xfId="0" applyFont="1" applyAlignment="1">
      <alignment horizontal="center" vertical="center"/>
    </xf>
    <xf numFmtId="0" fontId="2" fillId="0" borderId="0" xfId="0" applyFont="1" applyAlignment="1"/>
    <xf numFmtId="0" fontId="0" fillId="0" borderId="0" xfId="0" applyAlignment="1"/>
    <xf numFmtId="0" fontId="0" fillId="0" borderId="0" xfId="0" applyAlignment="1">
      <alignment horizontal="left"/>
    </xf>
    <xf numFmtId="0" fontId="0" fillId="0" borderId="1" xfId="0" applyBorder="1" applyAlignment="1">
      <alignment horizontal="center" vertical="center" wrapText="1"/>
    </xf>
    <xf numFmtId="0" fontId="0" fillId="0" borderId="0" xfId="0" applyAlignment="1">
      <alignment horizontal="left"/>
    </xf>
    <xf numFmtId="0" fontId="0" fillId="0" borderId="1" xfId="0" applyBorder="1" applyAlignment="1">
      <alignment horizontal="center" vertical="center"/>
    </xf>
    <xf numFmtId="1" fontId="0" fillId="0" borderId="1" xfId="0" applyNumberFormat="1" applyBorder="1" applyAlignment="1">
      <alignment horizontal="center"/>
    </xf>
    <xf numFmtId="0" fontId="4" fillId="0" borderId="0" xfId="0" applyFont="1"/>
    <xf numFmtId="0" fontId="0" fillId="0" borderId="4" xfId="0" applyFill="1" applyBorder="1" applyAlignment="1">
      <alignment horizontal="left"/>
    </xf>
    <xf numFmtId="1" fontId="0" fillId="0" borderId="4" xfId="0" applyNumberFormat="1" applyFill="1" applyBorder="1" applyAlignment="1">
      <alignment horizontal="center" vertic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0" fontId="0" fillId="0" borderId="1" xfId="0" applyFill="1" applyBorder="1" applyAlignment="1">
      <alignment horizontal="left"/>
    </xf>
    <xf numFmtId="1" fontId="0" fillId="0" borderId="1" xfId="0" applyNumberFormat="1" applyFill="1" applyBorder="1" applyAlignment="1">
      <alignment horizontal="center" vertical="center"/>
    </xf>
    <xf numFmtId="164" fontId="0" fillId="0" borderId="1" xfId="0" applyNumberFormat="1" applyFill="1" applyBorder="1" applyAlignment="1">
      <alignment horizontal="center"/>
    </xf>
    <xf numFmtId="164" fontId="0" fillId="0" borderId="6" xfId="0" applyNumberFormat="1" applyFill="1" applyBorder="1" applyAlignment="1">
      <alignment horizontal="center"/>
    </xf>
    <xf numFmtId="0" fontId="0" fillId="0" borderId="7" xfId="0" applyFill="1" applyBorder="1" applyAlignment="1">
      <alignment horizontal="left"/>
    </xf>
    <xf numFmtId="1" fontId="0" fillId="0" borderId="7" xfId="0" applyNumberFormat="1" applyFill="1" applyBorder="1" applyAlignment="1">
      <alignment horizontal="center" vertical="center"/>
    </xf>
    <xf numFmtId="164" fontId="0" fillId="0" borderId="7" xfId="0" applyNumberFormat="1" applyFill="1" applyBorder="1" applyAlignment="1">
      <alignment horizontal="center"/>
    </xf>
    <xf numFmtId="164" fontId="0" fillId="0" borderId="8" xfId="0" applyNumberFormat="1" applyFill="1" applyBorder="1" applyAlignment="1">
      <alignment horizontal="center"/>
    </xf>
    <xf numFmtId="1" fontId="0" fillId="0" borderId="3" xfId="0" applyNumberFormat="1" applyFill="1" applyBorder="1" applyAlignment="1">
      <alignment horizontal="center" vertical="center"/>
    </xf>
    <xf numFmtId="164" fontId="0" fillId="0" borderId="3" xfId="0" applyNumberFormat="1" applyFill="1" applyBorder="1" applyAlignment="1">
      <alignment horizontal="center"/>
    </xf>
    <xf numFmtId="164" fontId="0" fillId="0" borderId="12" xfId="0" applyNumberFormat="1" applyFill="1" applyBorder="1" applyAlignment="1">
      <alignment horizontal="center"/>
    </xf>
    <xf numFmtId="1"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4" fontId="0" fillId="0" borderId="13" xfId="0" applyNumberFormat="1" applyFill="1" applyBorder="1" applyAlignment="1">
      <alignment horizontal="center"/>
    </xf>
    <xf numFmtId="0" fontId="0" fillId="0" borderId="0" xfId="0" applyFont="1" applyAlignment="1">
      <alignment wrapText="1"/>
    </xf>
    <xf numFmtId="0" fontId="6" fillId="0" borderId="0" xfId="0" applyFont="1"/>
    <xf numFmtId="0" fontId="0" fillId="0" borderId="0" xfId="0" applyBorder="1" applyAlignment="1">
      <alignment horizontal="center"/>
    </xf>
    <xf numFmtId="164" fontId="0" fillId="0" borderId="0" xfId="0" applyNumberFormat="1" applyBorder="1" applyAlignment="1">
      <alignment horizontal="center"/>
    </xf>
    <xf numFmtId="0" fontId="0" fillId="0" borderId="15" xfId="0" applyBorder="1" applyAlignment="1">
      <alignment horizontal="center" vertical="center"/>
    </xf>
    <xf numFmtId="0" fontId="0" fillId="0" borderId="15" xfId="0" applyBorder="1" applyAlignment="1">
      <alignment horizontal="center"/>
    </xf>
    <xf numFmtId="0" fontId="0" fillId="0" borderId="6" xfId="0" applyBorder="1" applyAlignment="1">
      <alignment horizontal="center"/>
    </xf>
    <xf numFmtId="0" fontId="0" fillId="0" borderId="6" xfId="0" applyBorder="1" applyAlignment="1">
      <alignment horizontal="center" vertical="center"/>
    </xf>
    <xf numFmtId="1" fontId="0" fillId="0" borderId="16" xfId="0" applyNumberFormat="1" applyBorder="1" applyAlignment="1">
      <alignment horizontal="center"/>
    </xf>
    <xf numFmtId="1" fontId="0" fillId="0" borderId="7" xfId="0" applyNumberFormat="1" applyBorder="1" applyAlignment="1">
      <alignment horizontal="center"/>
    </xf>
    <xf numFmtId="1" fontId="0" fillId="0" borderId="8" xfId="0" applyNumberFormat="1" applyBorder="1" applyAlignment="1">
      <alignment horizontal="center"/>
    </xf>
    <xf numFmtId="1" fontId="0" fillId="0" borderId="15" xfId="0" applyNumberFormat="1" applyBorder="1" applyAlignment="1">
      <alignment horizontal="center"/>
    </xf>
    <xf numFmtId="1" fontId="0" fillId="0" borderId="6" xfId="0" applyNumberFormat="1" applyBorder="1" applyAlignment="1">
      <alignment horizontal="center"/>
    </xf>
    <xf numFmtId="0" fontId="0" fillId="0" borderId="23" xfId="0" applyBorder="1"/>
    <xf numFmtId="0" fontId="0" fillId="0" borderId="23" xfId="0" applyBorder="1" applyAlignment="1">
      <alignment horizontal="left" vertical="center" wrapText="1"/>
    </xf>
    <xf numFmtId="0" fontId="0" fillId="0" borderId="24" xfId="0" applyBorder="1"/>
    <xf numFmtId="0" fontId="0" fillId="0" borderId="3" xfId="0" applyBorder="1" applyAlignment="1">
      <alignment horizontal="center" vertical="center" wrapText="1"/>
    </xf>
    <xf numFmtId="0" fontId="0" fillId="0" borderId="25" xfId="0" applyBorder="1"/>
    <xf numFmtId="0" fontId="0" fillId="0" borderId="17"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1" fontId="0" fillId="0" borderId="17" xfId="0" applyNumberFormat="1" applyBorder="1" applyAlignment="1">
      <alignment horizontal="center"/>
    </xf>
    <xf numFmtId="1" fontId="0" fillId="0" borderId="3" xfId="0" applyNumberFormat="1" applyBorder="1" applyAlignment="1">
      <alignment horizontal="center"/>
    </xf>
    <xf numFmtId="1" fontId="0" fillId="0" borderId="12" xfId="0" applyNumberFormat="1"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2" fillId="2" borderId="29"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64" fontId="0" fillId="0" borderId="6" xfId="0" applyNumberFormat="1" applyBorder="1" applyAlignment="1">
      <alignment horizontal="center"/>
    </xf>
    <xf numFmtId="0" fontId="0" fillId="0" borderId="16" xfId="0"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3" xfId="0" applyNumberFormat="1" applyBorder="1" applyAlignment="1">
      <alignment horizontal="center"/>
    </xf>
    <xf numFmtId="164" fontId="0" fillId="0" borderId="12" xfId="0" applyNumberFormat="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32" xfId="0" applyFont="1" applyBorder="1" applyAlignment="1">
      <alignment horizontal="left" vertical="center" wrapTex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2" fillId="2" borderId="1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 fontId="0" fillId="0" borderId="4" xfId="0" applyNumberFormat="1" applyFill="1" applyBorder="1" applyAlignment="1">
      <alignment horizontal="center" vertical="center"/>
    </xf>
    <xf numFmtId="1" fontId="0" fillId="0" borderId="1" xfId="0" applyNumberFormat="1" applyFill="1" applyBorder="1" applyAlignment="1">
      <alignment horizontal="center" vertical="center"/>
    </xf>
    <xf numFmtId="1" fontId="0" fillId="0" borderId="7" xfId="0" applyNumberForma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 fontId="0" fillId="0" borderId="3" xfId="0" applyNumberFormat="1" applyFill="1" applyBorder="1" applyAlignment="1">
      <alignment horizontal="center" vertical="center"/>
    </xf>
    <xf numFmtId="1" fontId="0" fillId="0" borderId="2" xfId="0" applyNumberFormat="1" applyFill="1" applyBorder="1" applyAlignment="1">
      <alignment horizontal="center" vertical="center"/>
    </xf>
    <xf numFmtId="0" fontId="0" fillId="0" borderId="0" xfId="0" applyFont="1" applyAlignment="1">
      <alignment horizontal="left" wrapText="1"/>
    </xf>
    <xf numFmtId="0" fontId="0" fillId="0" borderId="0" xfId="0" applyFont="1" applyAlignment="1">
      <alignment horizontal="left" vertical="center" wrapText="1"/>
    </xf>
    <xf numFmtId="0" fontId="0" fillId="0" borderId="0" xfId="0"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400" b="1"/>
              <a:t>Qualitative Analysis of Historical and Future Biodiesel and</a:t>
            </a:r>
          </a:p>
          <a:p>
            <a:pPr>
              <a:defRPr b="1"/>
            </a:pPr>
            <a:r>
              <a:rPr lang="en-US" sz="1400" b="1"/>
              <a:t> Renewable Diesel Volumes and ADF Program NOx Impacts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84930790361592"/>
          <c:y val="0.11343736578382248"/>
          <c:w val="0.84428612135610026"/>
          <c:h val="0.75347715619849831"/>
        </c:manualLayout>
      </c:layout>
      <c:scatterChart>
        <c:scatterStyle val="smoothMarker"/>
        <c:varyColors val="0"/>
        <c:ser>
          <c:idx val="1"/>
          <c:order val="0"/>
          <c:tx>
            <c:v>Renewable Diesel Volume (Historical)</c:v>
          </c:tx>
          <c:spPr>
            <a:ln w="19050" cap="rnd">
              <a:solidFill>
                <a:srgbClr val="92D050"/>
              </a:solidFill>
              <a:round/>
            </a:ln>
            <a:effectLst/>
          </c:spPr>
          <c:marker>
            <c:symbol val="circle"/>
            <c:size val="5"/>
            <c:spPr>
              <a:solidFill>
                <a:srgbClr val="92D050"/>
              </a:solidFill>
              <a:ln w="9525">
                <a:solidFill>
                  <a:srgbClr val="92D050"/>
                </a:solidFill>
              </a:ln>
              <a:effectLst/>
            </c:spPr>
          </c:marker>
          <c:xVal>
            <c:numRef>
              <c:f>'1. Historical &amp; Future Volumes'!$B$4:$J$4</c:f>
              <c:numCache>
                <c:formatCode>General</c:formatCode>
                <c:ptCount val="9"/>
                <c:pt idx="0">
                  <c:v>2011</c:v>
                </c:pt>
                <c:pt idx="1">
                  <c:v>2012</c:v>
                </c:pt>
                <c:pt idx="2">
                  <c:v>2013</c:v>
                </c:pt>
                <c:pt idx="3">
                  <c:v>2014</c:v>
                </c:pt>
                <c:pt idx="4">
                  <c:v>2015</c:v>
                </c:pt>
                <c:pt idx="5">
                  <c:v>2016</c:v>
                </c:pt>
                <c:pt idx="6">
                  <c:v>2017</c:v>
                </c:pt>
                <c:pt idx="7">
                  <c:v>2018</c:v>
                </c:pt>
                <c:pt idx="8">
                  <c:v>2019</c:v>
                </c:pt>
              </c:numCache>
            </c:numRef>
          </c:xVal>
          <c:yVal>
            <c:numRef>
              <c:f>'1. Historical &amp; Future Volumes'!$B$6:$J$6</c:f>
              <c:numCache>
                <c:formatCode>General</c:formatCode>
                <c:ptCount val="9"/>
                <c:pt idx="0">
                  <c:v>1.8</c:v>
                </c:pt>
                <c:pt idx="1">
                  <c:v>8.8000000000000007</c:v>
                </c:pt>
                <c:pt idx="2">
                  <c:v>117</c:v>
                </c:pt>
                <c:pt idx="3">
                  <c:v>113</c:v>
                </c:pt>
                <c:pt idx="4">
                  <c:v>165</c:v>
                </c:pt>
                <c:pt idx="5">
                  <c:v>256</c:v>
                </c:pt>
                <c:pt idx="6">
                  <c:v>335</c:v>
                </c:pt>
                <c:pt idx="7">
                  <c:v>384</c:v>
                </c:pt>
                <c:pt idx="8">
                  <c:v>618</c:v>
                </c:pt>
              </c:numCache>
            </c:numRef>
          </c:yVal>
          <c:smooth val="1"/>
          <c:extLst>
            <c:ext xmlns:c16="http://schemas.microsoft.com/office/drawing/2014/chart" uri="{C3380CC4-5D6E-409C-BE32-E72D297353CC}">
              <c16:uniqueId val="{00000000-DF82-47A8-AF5E-9C2D41887C89}"/>
            </c:ext>
          </c:extLst>
        </c:ser>
        <c:ser>
          <c:idx val="3"/>
          <c:order val="1"/>
          <c:tx>
            <c:v>Renewable Diesel Volume (Future)</c:v>
          </c:tx>
          <c:spPr>
            <a:ln w="19050" cap="rnd">
              <a:solidFill>
                <a:srgbClr val="92D050"/>
              </a:solidFill>
              <a:prstDash val="dash"/>
              <a:round/>
            </a:ln>
            <a:effectLst/>
          </c:spPr>
          <c:marker>
            <c:symbol val="circle"/>
            <c:size val="7"/>
            <c:spPr>
              <a:noFill/>
              <a:ln w="9525">
                <a:solidFill>
                  <a:srgbClr val="92D050"/>
                </a:solidFill>
              </a:ln>
              <a:effectLst/>
            </c:spPr>
          </c:marker>
          <c:xVal>
            <c:numRef>
              <c:f>('1. Historical &amp; Future Volumes'!$J$4,'1. Historical &amp; Future Volumes'!$K$4:$N$4)</c:f>
              <c:numCache>
                <c:formatCode>General</c:formatCode>
                <c:ptCount val="5"/>
                <c:pt idx="0">
                  <c:v>2019</c:v>
                </c:pt>
                <c:pt idx="1">
                  <c:v>2020</c:v>
                </c:pt>
                <c:pt idx="2">
                  <c:v>2021</c:v>
                </c:pt>
                <c:pt idx="3">
                  <c:v>2022</c:v>
                </c:pt>
                <c:pt idx="4">
                  <c:v>2023</c:v>
                </c:pt>
              </c:numCache>
            </c:numRef>
          </c:xVal>
          <c:yVal>
            <c:numRef>
              <c:f>('1. Historical &amp; Future Volumes'!$J$6,'1. Historical &amp; Future Volumes'!$K$6:$N$6)</c:f>
              <c:numCache>
                <c:formatCode>0</c:formatCode>
                <c:ptCount val="5"/>
                <c:pt idx="0" formatCode="General">
                  <c:v>618</c:v>
                </c:pt>
                <c:pt idx="1">
                  <c:v>650</c:v>
                </c:pt>
                <c:pt idx="2">
                  <c:v>750</c:v>
                </c:pt>
                <c:pt idx="3">
                  <c:v>850</c:v>
                </c:pt>
                <c:pt idx="4">
                  <c:v>900</c:v>
                </c:pt>
              </c:numCache>
            </c:numRef>
          </c:yVal>
          <c:smooth val="1"/>
          <c:extLst>
            <c:ext xmlns:c16="http://schemas.microsoft.com/office/drawing/2014/chart" uri="{C3380CC4-5D6E-409C-BE32-E72D297353CC}">
              <c16:uniqueId val="{00000001-DF82-47A8-AF5E-9C2D41887C89}"/>
            </c:ext>
          </c:extLst>
        </c:ser>
        <c:ser>
          <c:idx val="0"/>
          <c:order val="2"/>
          <c:tx>
            <c:v>Biodiesel Volume (Historical)</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'1. Historical &amp; Future Volumes'!$B$4:$J$4</c:f>
              <c:numCache>
                <c:formatCode>General</c:formatCode>
                <c:ptCount val="9"/>
                <c:pt idx="0">
                  <c:v>2011</c:v>
                </c:pt>
                <c:pt idx="1">
                  <c:v>2012</c:v>
                </c:pt>
                <c:pt idx="2">
                  <c:v>2013</c:v>
                </c:pt>
                <c:pt idx="3">
                  <c:v>2014</c:v>
                </c:pt>
                <c:pt idx="4">
                  <c:v>2015</c:v>
                </c:pt>
                <c:pt idx="5">
                  <c:v>2016</c:v>
                </c:pt>
                <c:pt idx="6">
                  <c:v>2017</c:v>
                </c:pt>
                <c:pt idx="7">
                  <c:v>2018</c:v>
                </c:pt>
                <c:pt idx="8">
                  <c:v>2019</c:v>
                </c:pt>
              </c:numCache>
            </c:numRef>
          </c:xVal>
          <c:yVal>
            <c:numRef>
              <c:f>'1. Historical &amp; Future Volumes'!$B$5:$J$5</c:f>
              <c:numCache>
                <c:formatCode>General</c:formatCode>
                <c:ptCount val="9"/>
                <c:pt idx="0">
                  <c:v>13</c:v>
                </c:pt>
                <c:pt idx="1">
                  <c:v>20</c:v>
                </c:pt>
                <c:pt idx="2">
                  <c:v>60</c:v>
                </c:pt>
                <c:pt idx="3">
                  <c:v>67</c:v>
                </c:pt>
                <c:pt idx="4">
                  <c:v>126</c:v>
                </c:pt>
                <c:pt idx="5">
                  <c:v>163</c:v>
                </c:pt>
                <c:pt idx="6">
                  <c:v>170</c:v>
                </c:pt>
                <c:pt idx="7">
                  <c:v>184</c:v>
                </c:pt>
                <c:pt idx="8">
                  <c:v>212</c:v>
                </c:pt>
              </c:numCache>
            </c:numRef>
          </c:yVal>
          <c:smooth val="1"/>
          <c:extLst>
            <c:ext xmlns:c16="http://schemas.microsoft.com/office/drawing/2014/chart" uri="{C3380CC4-5D6E-409C-BE32-E72D297353CC}">
              <c16:uniqueId val="{00000002-DF82-47A8-AF5E-9C2D41887C89}"/>
            </c:ext>
          </c:extLst>
        </c:ser>
        <c:ser>
          <c:idx val="2"/>
          <c:order val="3"/>
          <c:tx>
            <c:v>Biodiesel Volume  (Future)</c:v>
          </c:tx>
          <c:spPr>
            <a:ln w="19050" cap="rnd">
              <a:solidFill>
                <a:schemeClr val="accent1"/>
              </a:solidFill>
              <a:prstDash val="dash"/>
              <a:round/>
            </a:ln>
            <a:effectLst/>
          </c:spPr>
          <c:marker>
            <c:symbol val="circle"/>
            <c:size val="7"/>
            <c:spPr>
              <a:noFill/>
              <a:ln w="9525">
                <a:solidFill>
                  <a:schemeClr val="accent1"/>
                </a:solidFill>
              </a:ln>
              <a:effectLst/>
            </c:spPr>
          </c:marker>
          <c:dPt>
            <c:idx val="0"/>
            <c:marker>
              <c:symbol val="circle"/>
              <c:size val="5"/>
              <c:spPr>
                <a:noFill/>
                <a:ln w="9525">
                  <a:solidFill>
                    <a:srgbClr val="FFC000"/>
                  </a:solidFill>
                </a:ln>
                <a:effectLst/>
              </c:spPr>
            </c:marker>
            <c:bubble3D val="0"/>
            <c:spPr>
              <a:ln w="19050" cap="rnd">
                <a:solidFill>
                  <a:schemeClr val="accent1"/>
                </a:solidFill>
                <a:round/>
              </a:ln>
              <a:effectLst/>
            </c:spPr>
            <c:extLst>
              <c:ext xmlns:c16="http://schemas.microsoft.com/office/drawing/2014/chart" uri="{C3380CC4-5D6E-409C-BE32-E72D297353CC}">
                <c16:uniqueId val="{00000004-DF82-47A8-AF5E-9C2D41887C89}"/>
              </c:ext>
            </c:extLst>
          </c:dPt>
          <c:xVal>
            <c:numRef>
              <c:f>('1. Historical &amp; Future Volumes'!$J$4,'1. Historical &amp; Future Volumes'!$K$4:$N$4)</c:f>
              <c:numCache>
                <c:formatCode>General</c:formatCode>
                <c:ptCount val="5"/>
                <c:pt idx="0">
                  <c:v>2019</c:v>
                </c:pt>
                <c:pt idx="1">
                  <c:v>2020</c:v>
                </c:pt>
                <c:pt idx="2">
                  <c:v>2021</c:v>
                </c:pt>
                <c:pt idx="3">
                  <c:v>2022</c:v>
                </c:pt>
                <c:pt idx="4">
                  <c:v>2023</c:v>
                </c:pt>
              </c:numCache>
            </c:numRef>
          </c:xVal>
          <c:yVal>
            <c:numRef>
              <c:f>('1. Historical &amp; Future Volumes'!$J$5,'1. Historical &amp; Future Volumes'!$K$5:$N$5)</c:f>
              <c:numCache>
                <c:formatCode>0</c:formatCode>
                <c:ptCount val="5"/>
                <c:pt idx="0" formatCode="General">
                  <c:v>212</c:v>
                </c:pt>
                <c:pt idx="1">
                  <c:v>350</c:v>
                </c:pt>
                <c:pt idx="2">
                  <c:v>425</c:v>
                </c:pt>
                <c:pt idx="3">
                  <c:v>500</c:v>
                </c:pt>
                <c:pt idx="4">
                  <c:v>500</c:v>
                </c:pt>
              </c:numCache>
            </c:numRef>
          </c:yVal>
          <c:smooth val="1"/>
          <c:extLst>
            <c:ext xmlns:c16="http://schemas.microsoft.com/office/drawing/2014/chart" uri="{C3380CC4-5D6E-409C-BE32-E72D297353CC}">
              <c16:uniqueId val="{00000005-DF82-47A8-AF5E-9C2D41887C89}"/>
            </c:ext>
          </c:extLst>
        </c:ser>
        <c:ser>
          <c:idx val="4"/>
          <c:order val="4"/>
          <c:tx>
            <c:v>Renewable Diesel Volume for Full Nox Mitigation</c:v>
          </c:tx>
          <c:spPr>
            <a:ln w="19050" cap="rnd">
              <a:solidFill>
                <a:srgbClr val="FFC000"/>
              </a:solidFill>
              <a:prstDash val="solid"/>
              <a:round/>
            </a:ln>
            <a:effectLst/>
          </c:spPr>
          <c:marker>
            <c:symbol val="circle"/>
            <c:size val="5"/>
            <c:spPr>
              <a:solidFill>
                <a:schemeClr val="accent4"/>
              </a:solidFill>
              <a:ln w="9525">
                <a:solidFill>
                  <a:srgbClr val="FFC000"/>
                </a:solidFill>
              </a:ln>
              <a:effectLst/>
            </c:spPr>
          </c:marker>
          <c:xVal>
            <c:numRef>
              <c:f>'1. Historical &amp; Future Volumes'!$B$4:$J$4</c:f>
              <c:numCache>
                <c:formatCode>General</c:formatCode>
                <c:ptCount val="9"/>
                <c:pt idx="0">
                  <c:v>2011</c:v>
                </c:pt>
                <c:pt idx="1">
                  <c:v>2012</c:v>
                </c:pt>
                <c:pt idx="2">
                  <c:v>2013</c:v>
                </c:pt>
                <c:pt idx="3">
                  <c:v>2014</c:v>
                </c:pt>
                <c:pt idx="4">
                  <c:v>2015</c:v>
                </c:pt>
                <c:pt idx="5">
                  <c:v>2016</c:v>
                </c:pt>
                <c:pt idx="6">
                  <c:v>2017</c:v>
                </c:pt>
                <c:pt idx="7">
                  <c:v>2018</c:v>
                </c:pt>
                <c:pt idx="8">
                  <c:v>2019</c:v>
                </c:pt>
              </c:numCache>
            </c:numRef>
          </c:xVal>
          <c:yVal>
            <c:numRef>
              <c:f>'1. Historical &amp; Future Volumes'!$B$7:$J$7</c:f>
              <c:numCache>
                <c:formatCode>General</c:formatCode>
                <c:ptCount val="9"/>
                <c:pt idx="0">
                  <c:v>26</c:v>
                </c:pt>
                <c:pt idx="1">
                  <c:v>40</c:v>
                </c:pt>
                <c:pt idx="2">
                  <c:v>120</c:v>
                </c:pt>
                <c:pt idx="3">
                  <c:v>134</c:v>
                </c:pt>
                <c:pt idx="4">
                  <c:v>251.99999999999997</c:v>
                </c:pt>
                <c:pt idx="5">
                  <c:v>326</c:v>
                </c:pt>
                <c:pt idx="6">
                  <c:v>340</c:v>
                </c:pt>
                <c:pt idx="7">
                  <c:v>368</c:v>
                </c:pt>
                <c:pt idx="8">
                  <c:v>424.00000000000006</c:v>
                </c:pt>
              </c:numCache>
            </c:numRef>
          </c:yVal>
          <c:smooth val="1"/>
          <c:extLst>
            <c:ext xmlns:c16="http://schemas.microsoft.com/office/drawing/2014/chart" uri="{C3380CC4-5D6E-409C-BE32-E72D297353CC}">
              <c16:uniqueId val="{00000006-DF82-47A8-AF5E-9C2D41887C89}"/>
            </c:ext>
          </c:extLst>
        </c:ser>
        <c:ser>
          <c:idx val="5"/>
          <c:order val="5"/>
          <c:tx>
            <c:v>Renewable Diesel Volume for Full Nox Mitigation</c:v>
          </c:tx>
          <c:spPr>
            <a:ln w="19050" cap="rnd">
              <a:solidFill>
                <a:srgbClr val="FFC000"/>
              </a:solidFill>
              <a:prstDash val="dash"/>
              <a:round/>
            </a:ln>
            <a:effectLst/>
          </c:spPr>
          <c:marker>
            <c:symbol val="circle"/>
            <c:size val="5"/>
            <c:spPr>
              <a:noFill/>
              <a:ln w="9525">
                <a:solidFill>
                  <a:srgbClr val="FFC000"/>
                </a:solidFill>
              </a:ln>
              <a:effectLst/>
            </c:spPr>
          </c:marker>
          <c:xVal>
            <c:numRef>
              <c:f>('1. Historical &amp; Future Volumes'!$J$4,'1. Historical &amp; Future Volumes'!$K$4:$N$4)</c:f>
              <c:numCache>
                <c:formatCode>General</c:formatCode>
                <c:ptCount val="5"/>
                <c:pt idx="0">
                  <c:v>2019</c:v>
                </c:pt>
                <c:pt idx="1">
                  <c:v>2020</c:v>
                </c:pt>
                <c:pt idx="2">
                  <c:v>2021</c:v>
                </c:pt>
                <c:pt idx="3">
                  <c:v>2022</c:v>
                </c:pt>
                <c:pt idx="4">
                  <c:v>2023</c:v>
                </c:pt>
              </c:numCache>
            </c:numRef>
          </c:xVal>
          <c:yVal>
            <c:numRef>
              <c:f>('1. Historical &amp; Future Volumes'!$J$7,'1. Historical &amp; Future Volumes'!$K$7:$N$7)</c:f>
              <c:numCache>
                <c:formatCode>General</c:formatCode>
                <c:ptCount val="5"/>
                <c:pt idx="0">
                  <c:v>424.00000000000006</c:v>
                </c:pt>
                <c:pt idx="1">
                  <c:v>700</c:v>
                </c:pt>
                <c:pt idx="2">
                  <c:v>850</c:v>
                </c:pt>
                <c:pt idx="3">
                  <c:v>1000</c:v>
                </c:pt>
                <c:pt idx="4">
                  <c:v>1000</c:v>
                </c:pt>
              </c:numCache>
            </c:numRef>
          </c:yVal>
          <c:smooth val="1"/>
          <c:extLst>
            <c:ext xmlns:c16="http://schemas.microsoft.com/office/drawing/2014/chart" uri="{C3380CC4-5D6E-409C-BE32-E72D297353CC}">
              <c16:uniqueId val="{00000007-DF82-47A8-AF5E-9C2D41887C89}"/>
            </c:ext>
          </c:extLst>
        </c:ser>
        <c:dLbls>
          <c:showLegendKey val="0"/>
          <c:showVal val="0"/>
          <c:showCatName val="0"/>
          <c:showSerName val="0"/>
          <c:showPercent val="0"/>
          <c:showBubbleSize val="0"/>
        </c:dLbls>
        <c:axId val="567388432"/>
        <c:axId val="567387792"/>
      </c:scatterChart>
      <c:valAx>
        <c:axId val="567388432"/>
        <c:scaling>
          <c:orientation val="minMax"/>
          <c:max val="2023"/>
          <c:min val="201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Year</a:t>
                </a:r>
              </a:p>
            </c:rich>
          </c:tx>
          <c:layout>
            <c:manualLayout>
              <c:xMode val="edge"/>
              <c:yMode val="edge"/>
              <c:x val="0.51249959164864634"/>
              <c:y val="0.9433168143941497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67387792"/>
        <c:crosses val="autoZero"/>
        <c:crossBetween val="midCat"/>
        <c:majorUnit val="2"/>
      </c:valAx>
      <c:valAx>
        <c:axId val="567387792"/>
        <c:scaling>
          <c:orientation val="minMax"/>
          <c:max val="10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Fuel</a:t>
                </a:r>
                <a:r>
                  <a:rPr lang="en-US" sz="1200" baseline="0"/>
                  <a:t> Volume (Million Gallons)</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67388432"/>
        <c:crosses val="autoZero"/>
        <c:crossBetween val="midCat"/>
      </c:valAx>
      <c:spPr>
        <a:noFill/>
        <a:ln>
          <a:noFill/>
        </a:ln>
        <a:effectLst/>
      </c:spPr>
    </c:plotArea>
    <c:legend>
      <c:legendPos val="b"/>
      <c:legendEntry>
        <c:idx val="5"/>
        <c:delete val="1"/>
      </c:legendEntry>
      <c:layout>
        <c:manualLayout>
          <c:xMode val="edge"/>
          <c:yMode val="edge"/>
          <c:x val="0.13241223300126159"/>
          <c:y val="0.16555811337536297"/>
          <c:w val="0.36243310495279002"/>
          <c:h val="0.39488440761765242"/>
        </c:manualLayout>
      </c:layout>
      <c:overlay val="0"/>
      <c:spPr>
        <a:solidFill>
          <a:schemeClr val="bg1"/>
        </a:solidFill>
        <a:ln w="3175">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6350</xdr:rowOff>
    </xdr:from>
    <xdr:to>
      <xdr:col>12</xdr:col>
      <xdr:colOff>209550</xdr:colOff>
      <xdr:row>23</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heetViews>
  <sheetFormatPr defaultRowHeight="15" x14ac:dyDescent="0.25"/>
  <cols>
    <col min="1" max="1" width="29.85546875" customWidth="1"/>
    <col min="2" max="2" width="19.5703125" customWidth="1"/>
  </cols>
  <sheetData>
    <row r="1" spans="1:11" x14ac:dyDescent="0.25">
      <c r="A1" s="1" t="s">
        <v>55</v>
      </c>
    </row>
    <row r="2" spans="1:11" ht="15.75" thickBot="1" x14ac:dyDescent="0.3"/>
    <row r="3" spans="1:11" ht="15.75" thickBot="1" x14ac:dyDescent="0.3">
      <c r="A3" s="77" t="s">
        <v>56</v>
      </c>
      <c r="B3" s="101" t="s">
        <v>57</v>
      </c>
      <c r="C3" s="101"/>
      <c r="D3" s="101"/>
      <c r="E3" s="101"/>
      <c r="F3" s="101"/>
      <c r="G3" s="101"/>
      <c r="H3" s="101"/>
      <c r="I3" s="101"/>
      <c r="J3" s="101"/>
      <c r="K3" s="102"/>
    </row>
    <row r="4" spans="1:11" ht="59.65" customHeight="1" x14ac:dyDescent="0.25">
      <c r="A4" s="76" t="s">
        <v>61</v>
      </c>
      <c r="B4" s="99" t="s">
        <v>105</v>
      </c>
      <c r="C4" s="99"/>
      <c r="D4" s="99"/>
      <c r="E4" s="99"/>
      <c r="F4" s="99"/>
      <c r="G4" s="99"/>
      <c r="H4" s="99"/>
      <c r="I4" s="99"/>
      <c r="J4" s="99"/>
      <c r="K4" s="100"/>
    </row>
    <row r="5" spans="1:11" ht="48.6" customHeight="1" x14ac:dyDescent="0.25">
      <c r="A5" s="74" t="s">
        <v>58</v>
      </c>
      <c r="B5" s="103" t="s">
        <v>98</v>
      </c>
      <c r="C5" s="103"/>
      <c r="D5" s="103"/>
      <c r="E5" s="103"/>
      <c r="F5" s="103"/>
      <c r="G5" s="103"/>
      <c r="H5" s="103"/>
      <c r="I5" s="103"/>
      <c r="J5" s="103"/>
      <c r="K5" s="104"/>
    </row>
    <row r="6" spans="1:11" ht="47.45" customHeight="1" x14ac:dyDescent="0.25">
      <c r="A6" s="74" t="s">
        <v>60</v>
      </c>
      <c r="B6" s="105" t="s">
        <v>137</v>
      </c>
      <c r="C6" s="105"/>
      <c r="D6" s="105"/>
      <c r="E6" s="105"/>
      <c r="F6" s="105"/>
      <c r="G6" s="105"/>
      <c r="H6" s="105"/>
      <c r="I6" s="105"/>
      <c r="J6" s="105"/>
      <c r="K6" s="106"/>
    </row>
    <row r="7" spans="1:11" ht="59.65" customHeight="1" x14ac:dyDescent="0.25">
      <c r="A7" s="74" t="s">
        <v>59</v>
      </c>
      <c r="B7" s="96" t="s">
        <v>138</v>
      </c>
      <c r="C7" s="97"/>
      <c r="D7" s="97"/>
      <c r="E7" s="97"/>
      <c r="F7" s="97"/>
      <c r="G7" s="97"/>
      <c r="H7" s="97"/>
      <c r="I7" s="97"/>
      <c r="J7" s="97"/>
      <c r="K7" s="98"/>
    </row>
    <row r="8" spans="1:11" ht="30" customHeight="1" x14ac:dyDescent="0.25">
      <c r="A8" s="74" t="s">
        <v>62</v>
      </c>
      <c r="B8" s="90" t="s">
        <v>99</v>
      </c>
      <c r="C8" s="91"/>
      <c r="D8" s="91"/>
      <c r="E8" s="91"/>
      <c r="F8" s="91"/>
      <c r="G8" s="91"/>
      <c r="H8" s="91"/>
      <c r="I8" s="91"/>
      <c r="J8" s="91"/>
      <c r="K8" s="92"/>
    </row>
    <row r="9" spans="1:11" ht="30" customHeight="1" x14ac:dyDescent="0.25">
      <c r="A9" s="74" t="s">
        <v>63</v>
      </c>
      <c r="B9" s="90" t="s">
        <v>100</v>
      </c>
      <c r="C9" s="91"/>
      <c r="D9" s="91"/>
      <c r="E9" s="91"/>
      <c r="F9" s="91"/>
      <c r="G9" s="91"/>
      <c r="H9" s="91"/>
      <c r="I9" s="91"/>
      <c r="J9" s="91"/>
      <c r="K9" s="92"/>
    </row>
    <row r="10" spans="1:11" ht="30" customHeight="1" x14ac:dyDescent="0.25">
      <c r="A10" s="74" t="s">
        <v>64</v>
      </c>
      <c r="B10" s="90" t="s">
        <v>101</v>
      </c>
      <c r="C10" s="91"/>
      <c r="D10" s="91"/>
      <c r="E10" s="91"/>
      <c r="F10" s="91"/>
      <c r="G10" s="91"/>
      <c r="H10" s="91"/>
      <c r="I10" s="91"/>
      <c r="J10" s="91"/>
      <c r="K10" s="92"/>
    </row>
    <row r="11" spans="1:11" ht="30" customHeight="1" thickBot="1" x14ac:dyDescent="0.3">
      <c r="A11" s="75" t="s">
        <v>65</v>
      </c>
      <c r="B11" s="93" t="s">
        <v>102</v>
      </c>
      <c r="C11" s="94"/>
      <c r="D11" s="94"/>
      <c r="E11" s="94"/>
      <c r="F11" s="94"/>
      <c r="G11" s="94"/>
      <c r="H11" s="94"/>
      <c r="I11" s="94"/>
      <c r="J11" s="94"/>
      <c r="K11" s="95"/>
    </row>
  </sheetData>
  <sheetProtection algorithmName="SHA-512" hashValue="aC2d32sQ9FPuV7wlGYwRm0ttFUSr7aFfH+SsHm+PVNnOBZDTZfLa7sU/l9+teL14F/qD/t1F24xVWQBR+741JQ==" saltValue="E4BZPEOB1teSAzMie7n4Fw==" spinCount="100000" sheet="1" objects="1" scenarios="1"/>
  <mergeCells count="9">
    <mergeCell ref="B10:K10"/>
    <mergeCell ref="B11:K11"/>
    <mergeCell ref="B7:K7"/>
    <mergeCell ref="B4:K4"/>
    <mergeCell ref="B3:K3"/>
    <mergeCell ref="B5:K5"/>
    <mergeCell ref="B6:K6"/>
    <mergeCell ref="B8:K8"/>
    <mergeCell ref="B9:K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heetViews>
  <sheetFormatPr defaultRowHeight="15" x14ac:dyDescent="0.25"/>
  <cols>
    <col min="1" max="1" width="47.5703125" customWidth="1"/>
  </cols>
  <sheetData>
    <row r="1" spans="1:14" x14ac:dyDescent="0.25">
      <c r="A1" s="1" t="s">
        <v>106</v>
      </c>
    </row>
    <row r="2" spans="1:14" ht="15.75" thickBot="1" x14ac:dyDescent="0.3"/>
    <row r="3" spans="1:14" ht="17.25" x14ac:dyDescent="0.25">
      <c r="A3" s="110" t="s">
        <v>19</v>
      </c>
      <c r="B3" s="107" t="s">
        <v>68</v>
      </c>
      <c r="C3" s="108"/>
      <c r="D3" s="108"/>
      <c r="E3" s="108"/>
      <c r="F3" s="108"/>
      <c r="G3" s="108"/>
      <c r="H3" s="108"/>
      <c r="I3" s="108"/>
      <c r="J3" s="109"/>
      <c r="K3" s="107" t="s">
        <v>69</v>
      </c>
      <c r="L3" s="108"/>
      <c r="M3" s="108"/>
      <c r="N3" s="109"/>
    </row>
    <row r="4" spans="1:14" ht="15.75" thickBot="1" x14ac:dyDescent="0.3">
      <c r="A4" s="111"/>
      <c r="B4" s="78">
        <v>2011</v>
      </c>
      <c r="C4" s="79">
        <v>2012</v>
      </c>
      <c r="D4" s="79">
        <v>2013</v>
      </c>
      <c r="E4" s="79">
        <v>2014</v>
      </c>
      <c r="F4" s="79">
        <v>2015</v>
      </c>
      <c r="G4" s="79">
        <v>2016</v>
      </c>
      <c r="H4" s="79">
        <v>2017</v>
      </c>
      <c r="I4" s="79">
        <v>2018</v>
      </c>
      <c r="J4" s="80">
        <v>2019</v>
      </c>
      <c r="K4" s="78">
        <v>2020</v>
      </c>
      <c r="L4" s="79">
        <v>2021</v>
      </c>
      <c r="M4" s="79">
        <v>2022</v>
      </c>
      <c r="N4" s="80">
        <v>2023</v>
      </c>
    </row>
    <row r="5" spans="1:14" x14ac:dyDescent="0.25">
      <c r="A5" s="60" t="s">
        <v>49</v>
      </c>
      <c r="B5" s="61">
        <v>13</v>
      </c>
      <c r="C5" s="62">
        <v>20</v>
      </c>
      <c r="D5" s="62">
        <v>60</v>
      </c>
      <c r="E5" s="62">
        <v>67</v>
      </c>
      <c r="F5" s="62">
        <v>126</v>
      </c>
      <c r="G5" s="62">
        <v>163</v>
      </c>
      <c r="H5" s="62">
        <v>170</v>
      </c>
      <c r="I5" s="62">
        <v>184</v>
      </c>
      <c r="J5" s="63">
        <v>212</v>
      </c>
      <c r="K5" s="64">
        <v>350</v>
      </c>
      <c r="L5" s="65">
        <v>425</v>
      </c>
      <c r="M5" s="65">
        <v>500</v>
      </c>
      <c r="N5" s="66">
        <v>500</v>
      </c>
    </row>
    <row r="6" spans="1:14" x14ac:dyDescent="0.25">
      <c r="A6" s="56" t="s">
        <v>50</v>
      </c>
      <c r="B6" s="48">
        <v>1.8</v>
      </c>
      <c r="C6" s="3">
        <v>8.8000000000000007</v>
      </c>
      <c r="D6" s="3">
        <v>117</v>
      </c>
      <c r="E6" s="3">
        <v>113</v>
      </c>
      <c r="F6" s="3">
        <v>165</v>
      </c>
      <c r="G6" s="3">
        <v>256</v>
      </c>
      <c r="H6" s="3">
        <v>335</v>
      </c>
      <c r="I6" s="3">
        <v>384</v>
      </c>
      <c r="J6" s="49">
        <v>618</v>
      </c>
      <c r="K6" s="54">
        <v>650</v>
      </c>
      <c r="L6" s="23">
        <v>750</v>
      </c>
      <c r="M6" s="23">
        <v>850</v>
      </c>
      <c r="N6" s="55">
        <v>900</v>
      </c>
    </row>
    <row r="7" spans="1:14" ht="31.7" customHeight="1" x14ac:dyDescent="0.25">
      <c r="A7" s="57" t="s">
        <v>136</v>
      </c>
      <c r="B7" s="47">
        <f>B5*0.04*5/0.1</f>
        <v>26</v>
      </c>
      <c r="C7" s="22">
        <f t="shared" ref="C7:N7" si="0">C5*0.04*5/0.1</f>
        <v>40</v>
      </c>
      <c r="D7" s="22">
        <f t="shared" si="0"/>
        <v>120</v>
      </c>
      <c r="E7" s="22">
        <f t="shared" si="0"/>
        <v>134</v>
      </c>
      <c r="F7" s="22">
        <f t="shared" si="0"/>
        <v>251.99999999999997</v>
      </c>
      <c r="G7" s="22">
        <f t="shared" si="0"/>
        <v>326</v>
      </c>
      <c r="H7" s="22">
        <f t="shared" si="0"/>
        <v>340</v>
      </c>
      <c r="I7" s="22">
        <f t="shared" si="0"/>
        <v>368</v>
      </c>
      <c r="J7" s="50">
        <f t="shared" si="0"/>
        <v>424.00000000000006</v>
      </c>
      <c r="K7" s="47">
        <f t="shared" si="0"/>
        <v>700</v>
      </c>
      <c r="L7" s="22">
        <f t="shared" si="0"/>
        <v>850</v>
      </c>
      <c r="M7" s="22">
        <f t="shared" si="0"/>
        <v>1000</v>
      </c>
      <c r="N7" s="50">
        <f t="shared" si="0"/>
        <v>1000</v>
      </c>
    </row>
    <row r="8" spans="1:14" x14ac:dyDescent="0.25">
      <c r="A8" s="56" t="s">
        <v>103</v>
      </c>
      <c r="B8" s="48">
        <v>3585</v>
      </c>
      <c r="C8" s="3">
        <v>3575</v>
      </c>
      <c r="D8" s="3">
        <v>3498</v>
      </c>
      <c r="E8" s="3">
        <v>3487</v>
      </c>
      <c r="F8" s="3">
        <v>3466</v>
      </c>
      <c r="G8" s="3">
        <v>3382</v>
      </c>
      <c r="H8" s="3">
        <v>3342</v>
      </c>
      <c r="I8" s="3">
        <v>3210</v>
      </c>
      <c r="J8" s="49">
        <v>2988</v>
      </c>
      <c r="K8" s="54">
        <v>2688</v>
      </c>
      <c r="L8" s="23">
        <v>2540</v>
      </c>
      <c r="M8" s="23">
        <v>2392</v>
      </c>
      <c r="N8" s="55">
        <v>2374</v>
      </c>
    </row>
    <row r="9" spans="1:14" ht="18" thickBot="1" x14ac:dyDescent="0.3">
      <c r="A9" s="58" t="s">
        <v>93</v>
      </c>
      <c r="B9" s="51">
        <f>SUM(B5:B6,B8)</f>
        <v>3599.8</v>
      </c>
      <c r="C9" s="52">
        <f t="shared" ref="C9:N9" si="1">SUM(C5:C6,C8)</f>
        <v>3603.8</v>
      </c>
      <c r="D9" s="52">
        <f t="shared" si="1"/>
        <v>3675</v>
      </c>
      <c r="E9" s="52">
        <f t="shared" si="1"/>
        <v>3667</v>
      </c>
      <c r="F9" s="52">
        <f t="shared" si="1"/>
        <v>3757</v>
      </c>
      <c r="G9" s="52">
        <f t="shared" si="1"/>
        <v>3801</v>
      </c>
      <c r="H9" s="52">
        <f t="shared" si="1"/>
        <v>3847</v>
      </c>
      <c r="I9" s="52">
        <f t="shared" si="1"/>
        <v>3778</v>
      </c>
      <c r="J9" s="53">
        <f t="shared" si="1"/>
        <v>3818</v>
      </c>
      <c r="K9" s="51">
        <f t="shared" si="1"/>
        <v>3688</v>
      </c>
      <c r="L9" s="52">
        <f t="shared" si="1"/>
        <v>3715</v>
      </c>
      <c r="M9" s="52">
        <f t="shared" si="1"/>
        <v>3742</v>
      </c>
      <c r="N9" s="53">
        <f t="shared" si="1"/>
        <v>3774</v>
      </c>
    </row>
    <row r="11" spans="1:14" x14ac:dyDescent="0.25">
      <c r="A11" s="44" t="s">
        <v>66</v>
      </c>
    </row>
    <row r="12" spans="1:14" x14ac:dyDescent="0.25">
      <c r="A12" s="113" t="s">
        <v>94</v>
      </c>
      <c r="B12" s="113"/>
      <c r="C12" s="113"/>
      <c r="D12" s="113"/>
      <c r="E12" s="113"/>
      <c r="F12" s="113"/>
      <c r="G12" s="113"/>
      <c r="H12" s="113"/>
      <c r="I12" s="113"/>
      <c r="J12" s="113"/>
      <c r="K12" s="113"/>
      <c r="L12" s="113"/>
      <c r="M12" s="113"/>
      <c r="N12" s="113"/>
    </row>
    <row r="13" spans="1:14" ht="30" customHeight="1" x14ac:dyDescent="0.25">
      <c r="A13" s="112" t="s">
        <v>95</v>
      </c>
      <c r="B13" s="112"/>
      <c r="C13" s="112"/>
      <c r="D13" s="112"/>
      <c r="E13" s="112"/>
      <c r="F13" s="112"/>
      <c r="G13" s="112"/>
      <c r="H13" s="112"/>
      <c r="I13" s="112"/>
      <c r="J13" s="112"/>
      <c r="K13" s="112"/>
      <c r="L13" s="112"/>
      <c r="M13" s="112"/>
      <c r="N13" s="112"/>
    </row>
    <row r="14" spans="1:14" ht="90.6" customHeight="1" x14ac:dyDescent="0.25">
      <c r="A14" s="112" t="s">
        <v>135</v>
      </c>
      <c r="B14" s="112"/>
      <c r="C14" s="112"/>
      <c r="D14" s="112"/>
      <c r="E14" s="112"/>
      <c r="F14" s="112"/>
      <c r="G14" s="112"/>
      <c r="H14" s="112"/>
      <c r="I14" s="112"/>
      <c r="J14" s="112"/>
      <c r="K14" s="112"/>
      <c r="L14" s="112"/>
      <c r="M14" s="112"/>
      <c r="N14" s="112"/>
    </row>
    <row r="15" spans="1:14" x14ac:dyDescent="0.25">
      <c r="A15" t="s">
        <v>104</v>
      </c>
    </row>
  </sheetData>
  <sheetProtection algorithmName="SHA-512" hashValue="VD7YvqUVyztN/bffhcuSNfQCwYsaG4GPOhNHSIdqBnMjP7l31bMqFafZJFf5TKjys5nFJ0sQdgHF4XbLflwpfA==" saltValue="Xib0R6xOCEzyn+8D8HqGVg==" spinCount="100000" sheet="1" objects="1" scenarios="1"/>
  <mergeCells count="6">
    <mergeCell ref="B3:J3"/>
    <mergeCell ref="K3:N3"/>
    <mergeCell ref="A3:A4"/>
    <mergeCell ref="A14:N14"/>
    <mergeCell ref="A12:N12"/>
    <mergeCell ref="A13:N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RowHeight="15" x14ac:dyDescent="0.25"/>
  <cols>
    <col min="2" max="2" width="11.42578125" customWidth="1"/>
    <col min="3" max="3" width="17.42578125" customWidth="1"/>
    <col min="4" max="4" width="30.42578125" customWidth="1"/>
    <col min="5" max="5" width="15.140625" customWidth="1"/>
  </cols>
  <sheetData>
    <row r="1" spans="1:14" x14ac:dyDescent="0.25">
      <c r="A1" s="1" t="s">
        <v>67</v>
      </c>
    </row>
    <row r="2" spans="1:14" ht="15.75" thickBot="1" x14ac:dyDescent="0.3"/>
    <row r="3" spans="1:14" ht="60.75" thickBot="1" x14ac:dyDescent="0.3">
      <c r="A3" s="71" t="s">
        <v>39</v>
      </c>
      <c r="B3" s="72" t="s">
        <v>44</v>
      </c>
      <c r="C3" s="72" t="s">
        <v>72</v>
      </c>
      <c r="D3" s="72" t="s">
        <v>74</v>
      </c>
      <c r="E3" s="73" t="s">
        <v>73</v>
      </c>
    </row>
    <row r="4" spans="1:14" ht="51" customHeight="1" x14ac:dyDescent="0.25">
      <c r="A4" s="70" t="s">
        <v>40</v>
      </c>
      <c r="B4" s="59" t="s">
        <v>37</v>
      </c>
      <c r="C4" s="114" t="s">
        <v>70</v>
      </c>
      <c r="D4" s="59" t="s">
        <v>70</v>
      </c>
      <c r="E4" s="116" t="s">
        <v>70</v>
      </c>
    </row>
    <row r="5" spans="1:14" ht="42" customHeight="1" x14ac:dyDescent="0.25">
      <c r="A5" s="67" t="s">
        <v>41</v>
      </c>
      <c r="B5" s="20" t="s">
        <v>45</v>
      </c>
      <c r="C5" s="114"/>
      <c r="D5" s="118" t="s">
        <v>48</v>
      </c>
      <c r="E5" s="116"/>
    </row>
    <row r="6" spans="1:14" ht="42" customHeight="1" x14ac:dyDescent="0.25">
      <c r="A6" s="67" t="s">
        <v>42</v>
      </c>
      <c r="B6" s="20" t="s">
        <v>46</v>
      </c>
      <c r="C6" s="114"/>
      <c r="D6" s="114"/>
      <c r="E6" s="116"/>
    </row>
    <row r="7" spans="1:14" ht="42" customHeight="1" thickBot="1" x14ac:dyDescent="0.3">
      <c r="A7" s="68" t="s">
        <v>43</v>
      </c>
      <c r="B7" s="69" t="s">
        <v>47</v>
      </c>
      <c r="C7" s="115"/>
      <c r="D7" s="115"/>
      <c r="E7" s="117"/>
    </row>
    <row r="9" spans="1:14" x14ac:dyDescent="0.25">
      <c r="A9" s="44" t="s">
        <v>66</v>
      </c>
    </row>
    <row r="10" spans="1:14" ht="72.95" customHeight="1" x14ac:dyDescent="0.25">
      <c r="A10" s="112" t="s">
        <v>71</v>
      </c>
      <c r="B10" s="112"/>
      <c r="C10" s="112"/>
      <c r="D10" s="112"/>
      <c r="E10" s="112"/>
      <c r="F10" s="18"/>
      <c r="G10" s="18"/>
      <c r="H10" s="18"/>
      <c r="I10" s="18"/>
      <c r="J10" s="18"/>
      <c r="K10" s="18"/>
      <c r="L10" s="18"/>
      <c r="M10" s="18"/>
      <c r="N10" s="18"/>
    </row>
    <row r="11" spans="1:14" ht="72.95" customHeight="1" x14ac:dyDescent="0.25">
      <c r="A11" s="112" t="s">
        <v>75</v>
      </c>
      <c r="B11" s="112"/>
      <c r="C11" s="112"/>
      <c r="D11" s="112"/>
      <c r="E11" s="112"/>
      <c r="F11" s="18"/>
      <c r="G11" s="18"/>
      <c r="H11" s="18"/>
      <c r="I11" s="18"/>
      <c r="J11" s="18"/>
      <c r="K11" s="18"/>
      <c r="L11" s="18"/>
      <c r="M11" s="18"/>
      <c r="N11" s="18"/>
    </row>
    <row r="12" spans="1:14" ht="59.1" customHeight="1" x14ac:dyDescent="0.25">
      <c r="A12" s="112" t="s">
        <v>107</v>
      </c>
      <c r="B12" s="112"/>
      <c r="C12" s="112"/>
      <c r="D12" s="112"/>
      <c r="E12" s="112"/>
    </row>
  </sheetData>
  <sheetProtection algorithmName="SHA-512" hashValue="b/fg/Kktn6+OmbL8wHthf55wRBhaUj0d1za8EdJPHM/hpjol87Jz5RU3t2N9aGYLsSzWS8OWKF/r3wpcXmwOFA==" saltValue="Dj4Lzs0FCq5NTgwEjY78nQ==" spinCount="100000" sheet="1" objects="1" scenarios="1"/>
  <mergeCells count="6">
    <mergeCell ref="A12:E12"/>
    <mergeCell ref="A11:E11"/>
    <mergeCell ref="C4:C7"/>
    <mergeCell ref="E4:E7"/>
    <mergeCell ref="D5:D7"/>
    <mergeCell ref="A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heetViews>
  <sheetFormatPr defaultRowHeight="15" x14ac:dyDescent="0.25"/>
  <cols>
    <col min="1" max="1" width="7.85546875" customWidth="1"/>
    <col min="2" max="2" width="35.140625" customWidth="1"/>
    <col min="3" max="4" width="9.140625" customWidth="1"/>
    <col min="5" max="5" width="10.85546875" customWidth="1"/>
    <col min="6" max="6" width="13.140625" customWidth="1"/>
    <col min="7" max="7" width="15.140625" customWidth="1"/>
    <col min="8" max="8" width="15.5703125" customWidth="1"/>
  </cols>
  <sheetData>
    <row r="1" spans="1:8" x14ac:dyDescent="0.25">
      <c r="A1" s="1" t="s">
        <v>108</v>
      </c>
    </row>
    <row r="2" spans="1:8" ht="15.75" thickBot="1" x14ac:dyDescent="0.3"/>
    <row r="3" spans="1:8" ht="92.1" customHeight="1" thickBot="1" x14ac:dyDescent="0.3">
      <c r="A3" s="87" t="s">
        <v>19</v>
      </c>
      <c r="B3" s="88" t="s">
        <v>142</v>
      </c>
      <c r="C3" s="88" t="s">
        <v>147</v>
      </c>
      <c r="D3" s="88" t="s">
        <v>148</v>
      </c>
      <c r="E3" s="88" t="s">
        <v>144</v>
      </c>
      <c r="F3" s="88" t="s">
        <v>145</v>
      </c>
      <c r="G3" s="88" t="s">
        <v>146</v>
      </c>
      <c r="H3" s="89" t="s">
        <v>143</v>
      </c>
    </row>
    <row r="4" spans="1:8" x14ac:dyDescent="0.25">
      <c r="A4" s="120">
        <v>2020</v>
      </c>
      <c r="B4" s="25" t="s">
        <v>52</v>
      </c>
      <c r="C4" s="123">
        <f>'5. Calculations - Scenario A'!C17</f>
        <v>650</v>
      </c>
      <c r="D4" s="26">
        <f>'5. Calculations - Scenario A'!C18</f>
        <v>350</v>
      </c>
      <c r="E4" s="123">
        <f>'5. Calculations - Scenario A'!C23</f>
        <v>464</v>
      </c>
      <c r="F4" s="27">
        <f>'5. Calculations - Scenario A'!C6</f>
        <v>0.62906724511930534</v>
      </c>
      <c r="G4" s="27" t="s">
        <v>37</v>
      </c>
      <c r="H4" s="28" t="s">
        <v>37</v>
      </c>
    </row>
    <row r="5" spans="1:8" x14ac:dyDescent="0.25">
      <c r="A5" s="121"/>
      <c r="B5" s="29" t="s">
        <v>31</v>
      </c>
      <c r="C5" s="124"/>
      <c r="D5" s="30">
        <f>'6. Calculations - Scenario B'!C20</f>
        <v>314.39999999999998</v>
      </c>
      <c r="E5" s="124"/>
      <c r="F5" s="31">
        <f>'6. Calculations - Scenario B'!C7</f>
        <v>-0.26672451193058677</v>
      </c>
      <c r="G5" s="31">
        <f>'6. Calculations - Scenario B'!D7</f>
        <v>-3.8163412870571216</v>
      </c>
      <c r="H5" s="32">
        <f>'6. Calculations - Scenario B'!E7</f>
        <v>3.5496167751265366</v>
      </c>
    </row>
    <row r="6" spans="1:8" x14ac:dyDescent="0.25">
      <c r="A6" s="121"/>
      <c r="B6" s="29" t="s">
        <v>32</v>
      </c>
      <c r="C6" s="124"/>
      <c r="D6" s="30">
        <f>'7. Calculations - Scenario C'!C20</f>
        <v>361.67272727272729</v>
      </c>
      <c r="E6" s="124"/>
      <c r="F6" s="31">
        <f>'7. Calculations - Scenario C'!C7</f>
        <v>0.92278446065864905</v>
      </c>
      <c r="G6" s="31">
        <f>'7. Calculations - Scenario C'!D7</f>
        <v>-2.2303293236048116</v>
      </c>
      <c r="H6" s="32">
        <f>'7. Calculations - Scenario C'!E7</f>
        <v>3.1531137842634593</v>
      </c>
    </row>
    <row r="7" spans="1:8" ht="15.75" thickBot="1" x14ac:dyDescent="0.3">
      <c r="A7" s="122"/>
      <c r="B7" s="33" t="s">
        <v>33</v>
      </c>
      <c r="C7" s="125"/>
      <c r="D7" s="34">
        <f>'8. Calculations - Scenario D'!C20</f>
        <v>428.15</v>
      </c>
      <c r="E7" s="125"/>
      <c r="F7" s="35">
        <f>'8. Calculations - Scenario D'!C7</f>
        <v>2.5955314533622555</v>
      </c>
      <c r="G7" s="35">
        <f>'8. Calculations - Scenario D'!D10</f>
        <v>0</v>
      </c>
      <c r="H7" s="36">
        <f>'8. Calculations - Scenario D'!E10</f>
        <v>1.0539586645468999</v>
      </c>
    </row>
    <row r="8" spans="1:8" x14ac:dyDescent="0.25">
      <c r="A8" s="126">
        <v>2021</v>
      </c>
      <c r="B8" s="25" t="s">
        <v>52</v>
      </c>
      <c r="C8" s="128">
        <f>'5. Calculations - Scenario A'!D17</f>
        <v>750</v>
      </c>
      <c r="D8" s="37">
        <f>'5. Calculations - Scenario A'!D18</f>
        <v>425</v>
      </c>
      <c r="E8" s="128">
        <f>'5. Calculations - Scenario A'!D23</f>
        <v>411</v>
      </c>
      <c r="F8" s="38">
        <f>'5. Calculations - Scenario A'!C7</f>
        <v>1.1063257065948857</v>
      </c>
      <c r="G8" s="38" t="s">
        <v>37</v>
      </c>
      <c r="H8" s="39" t="s">
        <v>37</v>
      </c>
    </row>
    <row r="9" spans="1:8" x14ac:dyDescent="0.25">
      <c r="A9" s="121"/>
      <c r="B9" s="29" t="s">
        <v>31</v>
      </c>
      <c r="C9" s="124"/>
      <c r="D9" s="30">
        <f>'6. Calculations - Scenario B'!D20</f>
        <v>335.75</v>
      </c>
      <c r="E9" s="124"/>
      <c r="F9" s="31">
        <f>'6. Calculations - Scenario B'!C8</f>
        <v>-0.86846567967698451</v>
      </c>
      <c r="G9" s="31">
        <f>'6. Calculations - Scenario B'!D8</f>
        <v>-3.8721399730820991</v>
      </c>
      <c r="H9" s="32">
        <f>'6. Calculations - Scenario B'!E8</f>
        <v>3.0036742934051146</v>
      </c>
    </row>
    <row r="10" spans="1:8" x14ac:dyDescent="0.25">
      <c r="A10" s="121"/>
      <c r="B10" s="29" t="s">
        <v>32</v>
      </c>
      <c r="C10" s="124"/>
      <c r="D10" s="30">
        <f>'7. Calculations - Scenario C'!D20</f>
        <v>390.29545454545456</v>
      </c>
      <c r="E10" s="124"/>
      <c r="F10" s="31">
        <f>'7. Calculations - Scenario C'!C8</f>
        <v>0.33843509115379966</v>
      </c>
      <c r="G10" s="31">
        <f>'7. Calculations - Scenario C'!D8</f>
        <v>-2.2629389453077202</v>
      </c>
      <c r="H10" s="32">
        <f>'7. Calculations - Scenario C'!E8</f>
        <v>2.601374036461519</v>
      </c>
    </row>
    <row r="11" spans="1:8" ht="15.75" thickBot="1" x14ac:dyDescent="0.3">
      <c r="A11" s="127"/>
      <c r="B11" s="33" t="s">
        <v>33</v>
      </c>
      <c r="C11" s="129"/>
      <c r="D11" s="40">
        <f>'8. Calculations - Scenario D'!D20</f>
        <v>467</v>
      </c>
      <c r="E11" s="129"/>
      <c r="F11" s="41">
        <f>'8. Calculations - Scenario D'!C8</f>
        <v>2.0356393001345907</v>
      </c>
      <c r="G11" s="41">
        <f>'8. Calculations - Scenario D'!D8</f>
        <v>0</v>
      </c>
      <c r="H11" s="42">
        <f>'8. Calculations - Scenario D'!E8</f>
        <v>2.0356393001345898</v>
      </c>
    </row>
    <row r="12" spans="1:8" x14ac:dyDescent="0.25">
      <c r="A12" s="120">
        <v>2022</v>
      </c>
      <c r="B12" s="25" t="s">
        <v>52</v>
      </c>
      <c r="C12" s="123">
        <f>'5. Calculations - Scenario A'!E17</f>
        <v>850</v>
      </c>
      <c r="D12" s="26">
        <f>'5. Calculations - Scenario A'!E18</f>
        <v>500</v>
      </c>
      <c r="E12" s="123">
        <f>'5. Calculations - Scenario A'!E23</f>
        <v>368</v>
      </c>
      <c r="F12" s="27">
        <f>'5. Calculations - Scenario A'!C8</f>
        <v>1.4751469802244763</v>
      </c>
      <c r="G12" s="27" t="s">
        <v>37</v>
      </c>
      <c r="H12" s="28" t="s">
        <v>37</v>
      </c>
    </row>
    <row r="13" spans="1:8" x14ac:dyDescent="0.25">
      <c r="A13" s="121"/>
      <c r="B13" s="29" t="s">
        <v>31</v>
      </c>
      <c r="C13" s="124"/>
      <c r="D13" s="30">
        <f>'6. Calculations - Scenario B'!E20</f>
        <v>357.1</v>
      </c>
      <c r="E13" s="124"/>
      <c r="F13" s="31">
        <f>'6. Calculations - Scenario B'!C9</f>
        <v>-1.3354997327632274</v>
      </c>
      <c r="G13" s="31">
        <f>'6. Calculations - Scenario B'!D9</f>
        <v>-3.900944236593622</v>
      </c>
      <c r="H13" s="32">
        <f>'6. Calculations - Scenario B'!E9</f>
        <v>2.5654445038303937</v>
      </c>
    </row>
    <row r="14" spans="1:8" x14ac:dyDescent="0.25">
      <c r="A14" s="121"/>
      <c r="B14" s="29" t="s">
        <v>32</v>
      </c>
      <c r="C14" s="124"/>
      <c r="D14" s="30">
        <f>'7. Calculations - Scenario C'!E20</f>
        <v>418.91818181818178</v>
      </c>
      <c r="E14" s="124"/>
      <c r="F14" s="31">
        <f>'7. Calculations - Scenario C'!C9</f>
        <v>-0.11962100966911393</v>
      </c>
      <c r="G14" s="31">
        <f>'7. Calculations - Scenario C'!D9</f>
        <v>-2.2797726058014671</v>
      </c>
      <c r="H14" s="32">
        <f>'7. Calculations - Scenario C'!E9</f>
        <v>2.1601515961323554</v>
      </c>
    </row>
    <row r="15" spans="1:8" ht="15.75" thickBot="1" x14ac:dyDescent="0.3">
      <c r="A15" s="122"/>
      <c r="B15" s="33" t="s">
        <v>33</v>
      </c>
      <c r="C15" s="125"/>
      <c r="D15" s="34">
        <f>'8. Calculations - Scenario D'!E20</f>
        <v>505.85</v>
      </c>
      <c r="E15" s="125"/>
      <c r="F15" s="35">
        <f>'8. Calculations - Scenario D'!C9</f>
        <v>1.5902084446819895</v>
      </c>
      <c r="G15" s="35">
        <f>'8. Calculations - Scenario D'!D9</f>
        <v>0</v>
      </c>
      <c r="H15" s="36">
        <f>'8. Calculations - Scenario D'!E9</f>
        <v>1.5902084446819882</v>
      </c>
    </row>
    <row r="16" spans="1:8" x14ac:dyDescent="0.25">
      <c r="A16" s="126">
        <v>2023</v>
      </c>
      <c r="B16" s="25" t="s">
        <v>52</v>
      </c>
      <c r="C16" s="128">
        <f>'5. Calculations - Scenario A'!F17</f>
        <v>900</v>
      </c>
      <c r="D16" s="37">
        <f>'5. Calculations - Scenario A'!F18</f>
        <v>500</v>
      </c>
      <c r="E16" s="128">
        <f>'5. Calculations - Scenario A'!F23</f>
        <v>261</v>
      </c>
      <c r="F16" s="38">
        <f>'5. Calculations - Scenario A'!C9</f>
        <v>0.69157392686804453</v>
      </c>
      <c r="G16" s="38" t="s">
        <v>37</v>
      </c>
      <c r="H16" s="39" t="s">
        <v>37</v>
      </c>
    </row>
    <row r="17" spans="1:10" x14ac:dyDescent="0.25">
      <c r="A17" s="121"/>
      <c r="B17" s="29" t="s">
        <v>31</v>
      </c>
      <c r="C17" s="124"/>
      <c r="D17" s="30">
        <f>'6. Calculations - Scenario B'!F20</f>
        <v>368.7</v>
      </c>
      <c r="E17" s="124"/>
      <c r="F17" s="31">
        <f>'6. Calculations - Scenario B'!C10</f>
        <v>-1.1244992050874405</v>
      </c>
      <c r="G17" s="31">
        <f>'6. Calculations - Scenario B'!D10</f>
        <v>-2.9046104928457872</v>
      </c>
      <c r="H17" s="32">
        <f>'6. Calculations - Scenario B'!E10</f>
        <v>1.7801112877583465</v>
      </c>
    </row>
    <row r="18" spans="1:10" x14ac:dyDescent="0.25">
      <c r="A18" s="121"/>
      <c r="B18" s="29" t="s">
        <v>32</v>
      </c>
      <c r="C18" s="124"/>
      <c r="D18" s="30">
        <f>'7. Calculations - Scenario C'!F20</f>
        <v>434.15454545454543</v>
      </c>
      <c r="E18" s="124"/>
      <c r="F18" s="31">
        <f>'7. Calculations - Scenario C'!C10</f>
        <v>-0.2191660644601825</v>
      </c>
      <c r="G18" s="31">
        <f>'7. Calculations - Scenario C'!D10</f>
        <v>-1.6974996386761099</v>
      </c>
      <c r="H18" s="32">
        <f>'7. Calculations - Scenario C'!E10</f>
        <v>1.4783335742159274</v>
      </c>
    </row>
    <row r="19" spans="1:10" ht="15.75" thickBot="1" x14ac:dyDescent="0.3">
      <c r="A19" s="122"/>
      <c r="B19" s="33" t="s">
        <v>33</v>
      </c>
      <c r="C19" s="125"/>
      <c r="D19" s="34">
        <f>'8. Calculations - Scenario D'!F20</f>
        <v>526.20000000000005</v>
      </c>
      <c r="E19" s="125"/>
      <c r="F19" s="35">
        <f>'8. Calculations - Scenario D'!C10</f>
        <v>1.0539586645469008</v>
      </c>
      <c r="G19" s="35">
        <f>'8. Calculations - Scenario D'!D10</f>
        <v>0</v>
      </c>
      <c r="H19" s="36">
        <f>'8. Calculations - Scenario D'!E10</f>
        <v>1.0539586645468999</v>
      </c>
    </row>
    <row r="21" spans="1:10" x14ac:dyDescent="0.25">
      <c r="A21" s="44" t="s">
        <v>78</v>
      </c>
    </row>
    <row r="22" spans="1:10" ht="120.6" customHeight="1" x14ac:dyDescent="0.25">
      <c r="A22" s="130" t="s">
        <v>76</v>
      </c>
      <c r="B22" s="130"/>
      <c r="C22" s="130"/>
      <c r="D22" s="130"/>
      <c r="E22" s="130"/>
      <c r="F22" s="130"/>
      <c r="G22" s="130"/>
      <c r="H22" s="130"/>
      <c r="I22" s="43"/>
      <c r="J22" s="43"/>
    </row>
    <row r="23" spans="1:10" x14ac:dyDescent="0.25">
      <c r="A23" t="s">
        <v>51</v>
      </c>
    </row>
    <row r="24" spans="1:10" x14ac:dyDescent="0.25">
      <c r="A24" t="s">
        <v>77</v>
      </c>
    </row>
    <row r="25" spans="1:10" x14ac:dyDescent="0.25">
      <c r="A25" t="s">
        <v>83</v>
      </c>
    </row>
    <row r="26" spans="1:10" x14ac:dyDescent="0.25">
      <c r="A26" t="s">
        <v>109</v>
      </c>
    </row>
    <row r="27" spans="1:10" x14ac:dyDescent="0.25">
      <c r="A27" t="s">
        <v>112</v>
      </c>
    </row>
    <row r="28" spans="1:10" x14ac:dyDescent="0.25">
      <c r="A28" t="s">
        <v>110</v>
      </c>
    </row>
    <row r="29" spans="1:10" x14ac:dyDescent="0.25">
      <c r="A29" t="s">
        <v>111</v>
      </c>
    </row>
    <row r="32" spans="1:10" x14ac:dyDescent="0.25">
      <c r="A32" s="44" t="s">
        <v>79</v>
      </c>
    </row>
    <row r="33" spans="1:8" s="21" customFormat="1" ht="244.5" customHeight="1" x14ac:dyDescent="0.25">
      <c r="A33" s="119" t="s">
        <v>151</v>
      </c>
      <c r="B33" s="119"/>
      <c r="C33" s="119"/>
      <c r="D33" s="119"/>
      <c r="E33" s="119"/>
      <c r="F33" s="119"/>
      <c r="G33" s="119"/>
      <c r="H33" s="119"/>
    </row>
  </sheetData>
  <sheetProtection algorithmName="SHA-512" hashValue="F+vZsciivfGXqPad2M4MCDy8+kRS1U8xVuQX/LKyNv4jUpuzTU9hLgH9TkZvL8NiJrNBBrFjayxVO8+Cki9D9Q==" saltValue="NgOrTxz+iCLxgZlnZp92sg==" spinCount="100000" sheet="1" objects="1" scenarios="1"/>
  <mergeCells count="14">
    <mergeCell ref="A33:H33"/>
    <mergeCell ref="A4:A7"/>
    <mergeCell ref="C4:C7"/>
    <mergeCell ref="E4:E7"/>
    <mergeCell ref="A16:A19"/>
    <mergeCell ref="A12:A15"/>
    <mergeCell ref="A8:A11"/>
    <mergeCell ref="C8:C11"/>
    <mergeCell ref="E8:E11"/>
    <mergeCell ref="C12:C15"/>
    <mergeCell ref="E12:E15"/>
    <mergeCell ref="C16:C19"/>
    <mergeCell ref="E16:E19"/>
    <mergeCell ref="A22: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6:Q28"/>
  <sheetViews>
    <sheetView workbookViewId="0"/>
  </sheetViews>
  <sheetFormatPr defaultRowHeight="15" x14ac:dyDescent="0.25"/>
  <sheetData>
    <row r="26" spans="1:17" ht="18.600000000000001" customHeight="1" x14ac:dyDescent="0.25">
      <c r="A26" s="44" t="s">
        <v>80</v>
      </c>
    </row>
    <row r="27" spans="1:17" ht="156" customHeight="1" x14ac:dyDescent="0.25">
      <c r="A27" s="112" t="s">
        <v>139</v>
      </c>
      <c r="B27" s="112"/>
      <c r="C27" s="112"/>
      <c r="D27" s="112"/>
      <c r="E27" s="112"/>
      <c r="F27" s="112"/>
      <c r="G27" s="112"/>
      <c r="H27" s="112"/>
      <c r="I27" s="112"/>
      <c r="J27" s="112"/>
      <c r="K27" s="112"/>
      <c r="L27" s="112"/>
      <c r="M27" s="112"/>
      <c r="N27" s="112"/>
      <c r="O27" s="112"/>
      <c r="P27" s="112"/>
      <c r="Q27" s="112"/>
    </row>
    <row r="28" spans="1:17" s="21" customFormat="1" ht="150" customHeight="1" x14ac:dyDescent="0.25">
      <c r="A28" s="112" t="s">
        <v>81</v>
      </c>
      <c r="B28" s="112"/>
      <c r="C28" s="112"/>
      <c r="D28" s="112"/>
      <c r="E28" s="112"/>
      <c r="F28" s="112"/>
      <c r="G28" s="112"/>
      <c r="H28" s="112"/>
      <c r="I28" s="112"/>
      <c r="J28" s="112"/>
      <c r="K28" s="112"/>
      <c r="L28" s="112"/>
      <c r="M28" s="112"/>
      <c r="N28" s="112"/>
      <c r="O28" s="112"/>
      <c r="P28" s="112"/>
      <c r="Q28" s="112"/>
    </row>
  </sheetData>
  <sheetProtection algorithmName="SHA-512" hashValue="T5yeGExTHQqjiY0xVGxIZmKvicDDRMVFLm8+ZoGc3Oqgt9ZKYc/Zt+WvTDq7BpufApxJOdMxgITO4qEb621+RQ==" saltValue="s0WYplX5ysdIuIsy8/bFCg==" spinCount="100000" sheet="1" objects="1" scenarios="1"/>
  <mergeCells count="2">
    <mergeCell ref="A27:Q27"/>
    <mergeCell ref="A28:Q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G5" sqref="G5"/>
    </sheetView>
  </sheetViews>
  <sheetFormatPr defaultRowHeight="15" x14ac:dyDescent="0.25"/>
  <cols>
    <col min="1" max="1" width="5.42578125" customWidth="1"/>
    <col min="2" max="2" width="35.85546875" customWidth="1"/>
    <col min="3" max="3" width="13.140625" customWidth="1"/>
    <col min="4" max="4" width="13.85546875" customWidth="1"/>
    <col min="5" max="5" width="16.140625" customWidth="1"/>
    <col min="6" max="6" width="14.140625" customWidth="1"/>
    <col min="9" max="9" width="12.42578125" customWidth="1"/>
    <col min="10" max="11" width="9.85546875" customWidth="1"/>
  </cols>
  <sheetData>
    <row r="1" spans="1:6" ht="15.75" customHeight="1" x14ac:dyDescent="0.25">
      <c r="B1" s="8" t="s">
        <v>82</v>
      </c>
      <c r="C1" s="18"/>
      <c r="D1" s="18"/>
      <c r="E1" s="18"/>
      <c r="F1" s="18"/>
    </row>
    <row r="2" spans="1:6" x14ac:dyDescent="0.25">
      <c r="B2" s="17" t="s">
        <v>53</v>
      </c>
      <c r="C2" s="18"/>
      <c r="D2" s="18"/>
      <c r="E2" s="18"/>
      <c r="F2" s="18"/>
    </row>
    <row r="3" spans="1:6" x14ac:dyDescent="0.25">
      <c r="B3" s="1"/>
    </row>
    <row r="4" spans="1:6" ht="15.75" thickBot="1" x14ac:dyDescent="0.3">
      <c r="B4" s="1" t="s">
        <v>126</v>
      </c>
    </row>
    <row r="5" spans="1:6" ht="78" thickBot="1" x14ac:dyDescent="0.3">
      <c r="B5" s="71" t="s">
        <v>19</v>
      </c>
      <c r="C5" s="72" t="s">
        <v>113</v>
      </c>
      <c r="D5" s="72" t="s">
        <v>140</v>
      </c>
      <c r="E5" s="73" t="s">
        <v>141</v>
      </c>
    </row>
    <row r="6" spans="1:6" x14ac:dyDescent="0.25">
      <c r="B6" s="61">
        <v>2020</v>
      </c>
      <c r="C6" s="85">
        <f>C32</f>
        <v>0.62906724511930534</v>
      </c>
      <c r="D6" s="85" t="str">
        <f>C30</f>
        <v>-</v>
      </c>
      <c r="E6" s="86" t="str">
        <f>C27</f>
        <v>-</v>
      </c>
    </row>
    <row r="7" spans="1:6" x14ac:dyDescent="0.25">
      <c r="B7" s="48">
        <v>2021</v>
      </c>
      <c r="C7" s="4">
        <f>D32</f>
        <v>1.1063257065948857</v>
      </c>
      <c r="D7" s="4" t="str">
        <f>D30</f>
        <v>-</v>
      </c>
      <c r="E7" s="81" t="str">
        <f>D27</f>
        <v>-</v>
      </c>
    </row>
    <row r="8" spans="1:6" x14ac:dyDescent="0.25">
      <c r="B8" s="48">
        <v>2022</v>
      </c>
      <c r="C8" s="4">
        <f>E32</f>
        <v>1.4751469802244763</v>
      </c>
      <c r="D8" s="4" t="str">
        <f>E30</f>
        <v>-</v>
      </c>
      <c r="E8" s="81" t="str">
        <f>E27</f>
        <v>-</v>
      </c>
    </row>
    <row r="9" spans="1:6" ht="15.75" thickBot="1" x14ac:dyDescent="0.3">
      <c r="B9" s="82">
        <v>2023</v>
      </c>
      <c r="C9" s="83">
        <f>F32</f>
        <v>0.69157392686804453</v>
      </c>
      <c r="D9" s="83" t="str">
        <f>F30</f>
        <v>-</v>
      </c>
      <c r="E9" s="84" t="str">
        <f>F27</f>
        <v>-</v>
      </c>
    </row>
    <row r="10" spans="1:6" x14ac:dyDescent="0.25">
      <c r="B10" s="45"/>
      <c r="C10" s="46"/>
      <c r="D10" s="46"/>
      <c r="E10" s="46"/>
    </row>
    <row r="11" spans="1:6" x14ac:dyDescent="0.25">
      <c r="B11" s="24" t="s">
        <v>78</v>
      </c>
    </row>
    <row r="12" spans="1:6" ht="42" customHeight="1" x14ac:dyDescent="0.25">
      <c r="B12" s="130" t="s">
        <v>114</v>
      </c>
      <c r="C12" s="130"/>
      <c r="D12" s="130"/>
      <c r="E12" s="130"/>
      <c r="F12" s="130"/>
    </row>
    <row r="13" spans="1:6" x14ac:dyDescent="0.25">
      <c r="C13" s="2"/>
    </row>
    <row r="14" spans="1:6" x14ac:dyDescent="0.25">
      <c r="B14" s="1" t="s">
        <v>20</v>
      </c>
    </row>
    <row r="15" spans="1:6" x14ac:dyDescent="0.25">
      <c r="A15" s="12" t="s">
        <v>4</v>
      </c>
      <c r="B15" s="8" t="s">
        <v>19</v>
      </c>
      <c r="C15" s="12">
        <v>2020</v>
      </c>
      <c r="D15" s="12">
        <v>2021</v>
      </c>
      <c r="E15" s="12">
        <v>2022</v>
      </c>
      <c r="F15" s="12">
        <v>2023</v>
      </c>
    </row>
    <row r="16" spans="1:6" x14ac:dyDescent="0.25">
      <c r="A16" s="5">
        <v>1</v>
      </c>
      <c r="B16" s="14" t="s">
        <v>7</v>
      </c>
      <c r="C16" s="5" t="s">
        <v>38</v>
      </c>
      <c r="D16" s="5" t="s">
        <v>38</v>
      </c>
      <c r="E16" s="5" t="s">
        <v>38</v>
      </c>
      <c r="F16" s="5" t="s">
        <v>38</v>
      </c>
    </row>
    <row r="17" spans="1:7" x14ac:dyDescent="0.25">
      <c r="A17" s="5">
        <v>2</v>
      </c>
      <c r="B17" s="9" t="s">
        <v>11</v>
      </c>
      <c r="C17" s="6">
        <f>'1. Historical &amp; Future Volumes'!K6</f>
        <v>650</v>
      </c>
      <c r="D17" s="6">
        <f>'1. Historical &amp; Future Volumes'!L6</f>
        <v>750</v>
      </c>
      <c r="E17" s="6">
        <f>'1. Historical &amp; Future Volumes'!M6</f>
        <v>850</v>
      </c>
      <c r="F17" s="6">
        <f>'1. Historical &amp; Future Volumes'!N6</f>
        <v>900</v>
      </c>
    </row>
    <row r="18" spans="1:7" x14ac:dyDescent="0.25">
      <c r="A18" s="5">
        <v>3</v>
      </c>
      <c r="B18" s="14" t="s">
        <v>12</v>
      </c>
      <c r="C18" s="6">
        <f>'1. Historical &amp; Future Volumes'!K5</f>
        <v>350</v>
      </c>
      <c r="D18" s="6">
        <f>'1. Historical &amp; Future Volumes'!L5</f>
        <v>425</v>
      </c>
      <c r="E18" s="6">
        <f>'1. Historical &amp; Future Volumes'!M5</f>
        <v>500</v>
      </c>
      <c r="F18" s="6">
        <f>'1. Historical &amp; Future Volumes'!N5</f>
        <v>500</v>
      </c>
    </row>
    <row r="19" spans="1:7" x14ac:dyDescent="0.25">
      <c r="A19" s="5">
        <v>4</v>
      </c>
      <c r="B19" s="14" t="s">
        <v>103</v>
      </c>
      <c r="C19" s="6">
        <f>'1. Historical &amp; Future Volumes'!K8</f>
        <v>2688</v>
      </c>
      <c r="D19" s="6">
        <f>'1. Historical &amp; Future Volumes'!L8</f>
        <v>2540</v>
      </c>
      <c r="E19" s="6">
        <f>'1. Historical &amp; Future Volumes'!M8</f>
        <v>2392</v>
      </c>
      <c r="F19" s="6">
        <f>'1. Historical &amp; Future Volumes'!N8</f>
        <v>2374</v>
      </c>
    </row>
    <row r="20" spans="1:7" x14ac:dyDescent="0.25">
      <c r="A20" s="5">
        <v>5</v>
      </c>
      <c r="B20" s="14" t="s">
        <v>1</v>
      </c>
      <c r="C20" s="6">
        <f>SUM(C17:C19)</f>
        <v>3688</v>
      </c>
      <c r="D20" s="6">
        <f t="shared" ref="D20:F20" si="0">SUM(D17:D19)</f>
        <v>3715</v>
      </c>
      <c r="E20" s="6">
        <f t="shared" si="0"/>
        <v>3742</v>
      </c>
      <c r="F20" s="6">
        <f t="shared" si="0"/>
        <v>3774</v>
      </c>
    </row>
    <row r="21" spans="1:7" x14ac:dyDescent="0.25">
      <c r="A21" s="5">
        <v>6</v>
      </c>
      <c r="B21" s="9" t="s">
        <v>5</v>
      </c>
      <c r="C21" s="6" t="s">
        <v>38</v>
      </c>
      <c r="D21" s="6" t="s">
        <v>38</v>
      </c>
      <c r="E21" s="6" t="s">
        <v>38</v>
      </c>
      <c r="F21" s="6" t="s">
        <v>38</v>
      </c>
      <c r="G21" s="13"/>
    </row>
    <row r="22" spans="1:7" x14ac:dyDescent="0.25">
      <c r="A22" s="5">
        <v>7</v>
      </c>
      <c r="B22" s="9" t="s">
        <v>6</v>
      </c>
      <c r="C22" s="6" t="s">
        <v>38</v>
      </c>
      <c r="D22" s="6" t="s">
        <v>38</v>
      </c>
      <c r="E22" s="6" t="s">
        <v>38</v>
      </c>
      <c r="F22" s="6" t="s">
        <v>38</v>
      </c>
      <c r="G22" s="6"/>
    </row>
    <row r="23" spans="1:7" x14ac:dyDescent="0.25">
      <c r="A23" s="5">
        <v>8</v>
      </c>
      <c r="B23" s="14" t="s">
        <v>0</v>
      </c>
      <c r="C23" s="6">
        <v>464</v>
      </c>
      <c r="D23" s="6">
        <v>411</v>
      </c>
      <c r="E23" s="6">
        <v>368</v>
      </c>
      <c r="F23" s="6">
        <v>261</v>
      </c>
    </row>
    <row r="24" spans="1:7" x14ac:dyDescent="0.25">
      <c r="A24" s="5">
        <v>9</v>
      </c>
      <c r="B24" t="s">
        <v>24</v>
      </c>
      <c r="C24" s="11">
        <v>0.2</v>
      </c>
      <c r="D24" s="11">
        <v>0.2</v>
      </c>
      <c r="E24" s="11">
        <v>0.2</v>
      </c>
      <c r="F24" s="11">
        <v>0.2</v>
      </c>
    </row>
    <row r="25" spans="1:7" x14ac:dyDescent="0.25">
      <c r="A25" s="5">
        <v>10</v>
      </c>
      <c r="B25" t="s">
        <v>25</v>
      </c>
      <c r="C25" s="11">
        <v>0.1</v>
      </c>
      <c r="D25" s="11">
        <v>0.1</v>
      </c>
      <c r="E25" s="11">
        <v>0.1</v>
      </c>
      <c r="F25" s="11">
        <v>0.1</v>
      </c>
    </row>
    <row r="26" spans="1:7" x14ac:dyDescent="0.25">
      <c r="A26" s="5">
        <v>11</v>
      </c>
      <c r="B26" s="9" t="s">
        <v>2</v>
      </c>
      <c r="C26" s="7">
        <f>C18/C20*C24*C23</f>
        <v>8.8069414316702819</v>
      </c>
      <c r="D26" s="7">
        <f>D18/D20*D24*D23</f>
        <v>9.4037685060565277</v>
      </c>
      <c r="E26" s="7">
        <f>E18/E20*E24*E23</f>
        <v>9.8343132014965242</v>
      </c>
      <c r="F26" s="7">
        <f>F18/F20*F24*F23</f>
        <v>6.9157392686804453</v>
      </c>
    </row>
    <row r="27" spans="1:7" x14ac:dyDescent="0.25">
      <c r="A27" s="5">
        <v>12</v>
      </c>
      <c r="B27" s="9" t="s">
        <v>9</v>
      </c>
      <c r="C27" s="7" t="s">
        <v>38</v>
      </c>
      <c r="D27" s="7" t="s">
        <v>38</v>
      </c>
      <c r="E27" s="7" t="s">
        <v>38</v>
      </c>
      <c r="F27" s="7" t="s">
        <v>38</v>
      </c>
    </row>
    <row r="28" spans="1:7" x14ac:dyDescent="0.25">
      <c r="A28" s="5">
        <v>13</v>
      </c>
      <c r="B28" s="9" t="s">
        <v>10</v>
      </c>
      <c r="C28" s="7" t="s">
        <v>38</v>
      </c>
      <c r="D28" s="7" t="s">
        <v>38</v>
      </c>
      <c r="E28" s="7" t="s">
        <v>38</v>
      </c>
      <c r="F28" s="7" t="s">
        <v>38</v>
      </c>
    </row>
    <row r="29" spans="1:7" x14ac:dyDescent="0.25">
      <c r="A29" s="5">
        <v>14</v>
      </c>
      <c r="B29" s="9" t="s">
        <v>21</v>
      </c>
      <c r="C29" s="7">
        <f>C17/C20*-C25*C23</f>
        <v>-8.1778741865509765</v>
      </c>
      <c r="D29" s="7">
        <f>D17/D20*-D25*D23</f>
        <v>-8.297442799461642</v>
      </c>
      <c r="E29" s="7">
        <f>E17/E20*-E25*E23</f>
        <v>-8.3591662212720479</v>
      </c>
      <c r="F29" s="7">
        <f>F17/F20*-F25*F23</f>
        <v>-6.2241653418124008</v>
      </c>
      <c r="G29" s="7"/>
    </row>
    <row r="30" spans="1:7" x14ac:dyDescent="0.25">
      <c r="A30" s="5">
        <v>15</v>
      </c>
      <c r="B30" s="9" t="s">
        <v>3</v>
      </c>
      <c r="C30" s="7" t="s">
        <v>38</v>
      </c>
      <c r="D30" s="7" t="s">
        <v>38</v>
      </c>
      <c r="E30" s="7" t="s">
        <v>38</v>
      </c>
      <c r="F30" s="7" t="s">
        <v>38</v>
      </c>
    </row>
    <row r="31" spans="1:7" x14ac:dyDescent="0.25">
      <c r="A31" s="5">
        <v>16</v>
      </c>
      <c r="B31" s="14" t="s">
        <v>22</v>
      </c>
      <c r="C31" s="7" t="s">
        <v>38</v>
      </c>
      <c r="D31" s="7" t="s">
        <v>38</v>
      </c>
      <c r="E31" s="7" t="s">
        <v>38</v>
      </c>
      <c r="F31" s="7" t="s">
        <v>38</v>
      </c>
    </row>
    <row r="32" spans="1:7" x14ac:dyDescent="0.25">
      <c r="A32" s="5">
        <v>17</v>
      </c>
      <c r="B32" s="9" t="s">
        <v>13</v>
      </c>
      <c r="C32" s="7">
        <f>SUM(C26,C29)</f>
        <v>0.62906724511930534</v>
      </c>
      <c r="D32" s="7">
        <f t="shared" ref="D32:F32" si="1">SUM(D26,D29)</f>
        <v>1.1063257065948857</v>
      </c>
      <c r="E32" s="7">
        <f t="shared" si="1"/>
        <v>1.4751469802244763</v>
      </c>
      <c r="F32" s="7">
        <f t="shared" si="1"/>
        <v>0.69157392686804453</v>
      </c>
    </row>
    <row r="34" spans="1:11" x14ac:dyDescent="0.25">
      <c r="A34" s="1" t="s">
        <v>4</v>
      </c>
      <c r="B34" s="8" t="s">
        <v>36</v>
      </c>
    </row>
    <row r="35" spans="1:11" x14ac:dyDescent="0.25">
      <c r="A35" s="16">
        <v>1</v>
      </c>
      <c r="B35" s="131" t="s">
        <v>17</v>
      </c>
      <c r="C35" s="131"/>
      <c r="D35" s="131"/>
      <c r="E35" s="131"/>
      <c r="F35" s="131"/>
      <c r="G35" s="131"/>
      <c r="H35" s="131"/>
      <c r="I35" s="131"/>
      <c r="J35" s="131"/>
      <c r="K35" s="131"/>
    </row>
    <row r="36" spans="1:11" ht="32.1" customHeight="1" x14ac:dyDescent="0.25">
      <c r="A36" s="10">
        <v>2</v>
      </c>
      <c r="B36" s="131" t="s">
        <v>91</v>
      </c>
      <c r="C36" s="131"/>
      <c r="D36" s="131"/>
      <c r="E36" s="131"/>
      <c r="F36" s="131"/>
      <c r="G36" s="131"/>
      <c r="H36" s="131"/>
      <c r="I36" s="131"/>
      <c r="J36" s="131"/>
      <c r="K36" s="131"/>
    </row>
    <row r="37" spans="1:11" ht="32.1" customHeight="1" x14ac:dyDescent="0.25">
      <c r="A37" s="10">
        <v>3</v>
      </c>
      <c r="B37" s="131" t="s">
        <v>92</v>
      </c>
      <c r="C37" s="131"/>
      <c r="D37" s="131"/>
      <c r="E37" s="131"/>
      <c r="F37" s="131"/>
      <c r="G37" s="131"/>
      <c r="H37" s="131"/>
      <c r="I37" s="131"/>
      <c r="J37" s="131"/>
      <c r="K37" s="131"/>
    </row>
    <row r="38" spans="1:11" ht="35.25" customHeight="1" x14ac:dyDescent="0.25">
      <c r="A38" s="10">
        <v>4</v>
      </c>
      <c r="B38" s="131" t="s">
        <v>115</v>
      </c>
      <c r="C38" s="131"/>
      <c r="D38" s="131"/>
      <c r="E38" s="131"/>
      <c r="F38" s="131"/>
      <c r="G38" s="131"/>
      <c r="H38" s="131"/>
      <c r="I38" s="131"/>
      <c r="J38" s="131"/>
      <c r="K38" s="131"/>
    </row>
    <row r="39" spans="1:11" ht="20.45" customHeight="1" x14ac:dyDescent="0.25">
      <c r="A39" s="10">
        <v>5</v>
      </c>
      <c r="B39" s="131" t="s">
        <v>116</v>
      </c>
      <c r="C39" s="131"/>
      <c r="D39" s="131"/>
      <c r="E39" s="131"/>
      <c r="F39" s="131"/>
      <c r="G39" s="131"/>
      <c r="H39" s="131"/>
      <c r="I39" s="131"/>
      <c r="J39" s="131"/>
      <c r="K39" s="131"/>
    </row>
    <row r="40" spans="1:11" ht="30" customHeight="1" x14ac:dyDescent="0.25">
      <c r="A40" s="10">
        <v>6</v>
      </c>
      <c r="B40" s="119" t="s">
        <v>18</v>
      </c>
      <c r="C40" s="119"/>
      <c r="D40" s="119"/>
      <c r="E40" s="119"/>
      <c r="F40" s="119"/>
      <c r="G40" s="119"/>
      <c r="H40" s="119"/>
      <c r="I40" s="119"/>
      <c r="J40" s="119"/>
      <c r="K40" s="119"/>
    </row>
    <row r="41" spans="1:11" ht="30" customHeight="1" x14ac:dyDescent="0.25">
      <c r="A41" s="10">
        <v>7</v>
      </c>
      <c r="B41" s="119" t="s">
        <v>117</v>
      </c>
      <c r="C41" s="119"/>
      <c r="D41" s="119"/>
      <c r="E41" s="119"/>
      <c r="F41" s="119"/>
      <c r="G41" s="119"/>
      <c r="H41" s="119"/>
      <c r="I41" s="119"/>
      <c r="J41" s="119"/>
      <c r="K41" s="119"/>
    </row>
    <row r="42" spans="1:11" ht="42.95" customHeight="1" x14ac:dyDescent="0.25">
      <c r="A42" s="10">
        <v>8</v>
      </c>
      <c r="B42" s="119" t="s">
        <v>97</v>
      </c>
      <c r="C42" s="119"/>
      <c r="D42" s="119"/>
      <c r="E42" s="119"/>
      <c r="F42" s="119"/>
      <c r="G42" s="119"/>
      <c r="H42" s="119"/>
      <c r="I42" s="119"/>
      <c r="J42" s="119"/>
      <c r="K42" s="119"/>
    </row>
    <row r="43" spans="1:11" x14ac:dyDescent="0.25">
      <c r="A43" s="10">
        <v>9</v>
      </c>
      <c r="B43" s="113" t="s">
        <v>26</v>
      </c>
      <c r="C43" s="113"/>
      <c r="D43" s="113"/>
      <c r="E43" s="113"/>
      <c r="F43" s="113"/>
      <c r="G43" s="113"/>
      <c r="H43" s="113"/>
      <c r="I43" s="113"/>
      <c r="J43" s="113"/>
      <c r="K43" s="113"/>
    </row>
    <row r="44" spans="1:11" x14ac:dyDescent="0.25">
      <c r="A44" s="10">
        <v>10</v>
      </c>
      <c r="B44" s="113" t="s">
        <v>27</v>
      </c>
      <c r="C44" s="113"/>
      <c r="D44" s="113"/>
      <c r="E44" s="113"/>
      <c r="F44" s="113"/>
      <c r="G44" s="113"/>
      <c r="H44" s="113"/>
      <c r="I44" s="113"/>
      <c r="J44" s="113"/>
      <c r="K44" s="113"/>
    </row>
    <row r="45" spans="1:11" ht="49.7" customHeight="1" x14ac:dyDescent="0.25">
      <c r="A45" s="10">
        <v>11</v>
      </c>
      <c r="B45" s="119" t="s">
        <v>118</v>
      </c>
      <c r="C45" s="119"/>
      <c r="D45" s="119"/>
      <c r="E45" s="119"/>
      <c r="F45" s="119"/>
      <c r="G45" s="119"/>
      <c r="H45" s="119"/>
      <c r="I45" s="119"/>
      <c r="J45" s="119"/>
      <c r="K45" s="119"/>
    </row>
    <row r="46" spans="1:11" ht="47.45" customHeight="1" x14ac:dyDescent="0.25">
      <c r="A46" s="10">
        <v>12</v>
      </c>
      <c r="B46" s="119" t="s">
        <v>119</v>
      </c>
      <c r="C46" s="119"/>
      <c r="D46" s="119"/>
      <c r="E46" s="119"/>
      <c r="F46" s="119"/>
      <c r="G46" s="119"/>
      <c r="H46" s="119"/>
      <c r="I46" s="119"/>
      <c r="J46" s="119"/>
      <c r="K46" s="119"/>
    </row>
    <row r="47" spans="1:11" ht="46.5" customHeight="1" x14ac:dyDescent="0.25">
      <c r="A47" s="10">
        <v>13</v>
      </c>
      <c r="B47" s="119" t="s">
        <v>120</v>
      </c>
      <c r="C47" s="119"/>
      <c r="D47" s="119"/>
      <c r="E47" s="119"/>
      <c r="F47" s="119"/>
      <c r="G47" s="119"/>
      <c r="H47" s="119"/>
      <c r="I47" s="119"/>
      <c r="J47" s="119"/>
      <c r="K47" s="119"/>
    </row>
    <row r="48" spans="1:11" ht="45.6" customHeight="1" x14ac:dyDescent="0.25">
      <c r="A48" s="10">
        <v>14</v>
      </c>
      <c r="B48" s="119" t="s">
        <v>121</v>
      </c>
      <c r="C48" s="119"/>
      <c r="D48" s="119"/>
      <c r="E48" s="119"/>
      <c r="F48" s="119"/>
      <c r="G48" s="119"/>
      <c r="H48" s="119"/>
      <c r="I48" s="119"/>
      <c r="J48" s="119"/>
      <c r="K48" s="119"/>
    </row>
    <row r="49" spans="1:11" ht="33.75" customHeight="1" x14ac:dyDescent="0.25">
      <c r="A49" s="10">
        <v>15</v>
      </c>
      <c r="B49" s="119" t="s">
        <v>122</v>
      </c>
      <c r="C49" s="119"/>
      <c r="D49" s="119"/>
      <c r="E49" s="119"/>
      <c r="F49" s="119"/>
      <c r="G49" s="119"/>
      <c r="H49" s="119"/>
      <c r="I49" s="119"/>
      <c r="J49" s="119"/>
      <c r="K49" s="119"/>
    </row>
    <row r="50" spans="1:11" ht="32.85" customHeight="1" x14ac:dyDescent="0.25">
      <c r="A50" s="10">
        <v>16</v>
      </c>
      <c r="B50" s="119" t="s">
        <v>123</v>
      </c>
      <c r="C50" s="119"/>
      <c r="D50" s="119"/>
      <c r="E50" s="119"/>
      <c r="F50" s="119"/>
      <c r="G50" s="119"/>
      <c r="H50" s="119"/>
      <c r="I50" s="119"/>
      <c r="J50" s="119"/>
      <c r="K50" s="119"/>
    </row>
    <row r="51" spans="1:11" x14ac:dyDescent="0.25">
      <c r="A51" s="10">
        <v>17</v>
      </c>
      <c r="B51" s="132" t="s">
        <v>124</v>
      </c>
      <c r="C51" s="132"/>
      <c r="D51" s="132"/>
      <c r="E51" s="132"/>
      <c r="F51" s="132"/>
      <c r="G51" s="132"/>
      <c r="H51" s="132"/>
      <c r="I51" s="132"/>
      <c r="J51" s="132"/>
      <c r="K51" s="132"/>
    </row>
    <row r="53" spans="1:11" x14ac:dyDescent="0.25">
      <c r="A53" s="1" t="s">
        <v>84</v>
      </c>
    </row>
    <row r="54" spans="1:11" ht="57" customHeight="1" x14ac:dyDescent="0.25">
      <c r="A54" s="10" t="s">
        <v>15</v>
      </c>
      <c r="B54" s="112" t="s">
        <v>125</v>
      </c>
      <c r="C54" s="112"/>
      <c r="D54" s="112"/>
      <c r="E54" s="112"/>
      <c r="F54" s="112"/>
      <c r="G54" s="112"/>
      <c r="H54" s="112"/>
      <c r="I54" s="112"/>
      <c r="J54" s="112"/>
      <c r="K54" s="112"/>
    </row>
    <row r="55" spans="1:11" x14ac:dyDescent="0.25">
      <c r="A55" s="10"/>
    </row>
  </sheetData>
  <sheetProtection algorithmName="SHA-512" hashValue="vpP1qs4//yr/ndHiDujUbFORmSPntFn2/3qihTecE4ZJqI6nwuWIx9+tMb8ZUH7gd+pNOD3XZbw7AEtxNK7Zow==" saltValue="I5zgLuP1XgjrCD8ZTn2ZRQ==" spinCount="100000" sheet="1" objects="1" scenarios="1"/>
  <mergeCells count="19">
    <mergeCell ref="B49:K49"/>
    <mergeCell ref="B51:K51"/>
    <mergeCell ref="B54:K54"/>
    <mergeCell ref="B41:K41"/>
    <mergeCell ref="B45:K45"/>
    <mergeCell ref="B46:K46"/>
    <mergeCell ref="B47:K47"/>
    <mergeCell ref="B48:K48"/>
    <mergeCell ref="B42:K42"/>
    <mergeCell ref="B43:K43"/>
    <mergeCell ref="B44:K44"/>
    <mergeCell ref="B50:K50"/>
    <mergeCell ref="B12:F12"/>
    <mergeCell ref="B36:K36"/>
    <mergeCell ref="B40:K40"/>
    <mergeCell ref="B37:K37"/>
    <mergeCell ref="B39:K39"/>
    <mergeCell ref="B35:K35"/>
    <mergeCell ref="B38:K38"/>
  </mergeCells>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J6" sqref="J6"/>
    </sheetView>
  </sheetViews>
  <sheetFormatPr defaultRowHeight="15" x14ac:dyDescent="0.25"/>
  <cols>
    <col min="1" max="1" width="5.42578125" customWidth="1"/>
    <col min="2" max="2" width="35.85546875" customWidth="1"/>
    <col min="3" max="3" width="14.42578125" customWidth="1"/>
    <col min="4" max="4" width="17.140625" customWidth="1"/>
    <col min="5" max="5" width="16.140625" customWidth="1"/>
    <col min="6" max="6" width="14.140625" customWidth="1"/>
    <col min="9" max="9" width="12.42578125" customWidth="1"/>
    <col min="10" max="11" width="9.85546875" customWidth="1"/>
  </cols>
  <sheetData>
    <row r="1" spans="1:6" x14ac:dyDescent="0.25">
      <c r="B1" s="1" t="s">
        <v>85</v>
      </c>
    </row>
    <row r="2" spans="1:6" x14ac:dyDescent="0.25">
      <c r="B2" s="1" t="s">
        <v>54</v>
      </c>
    </row>
    <row r="3" spans="1:6" x14ac:dyDescent="0.25">
      <c r="B3" s="1" t="s">
        <v>88</v>
      </c>
    </row>
    <row r="4" spans="1:6" x14ac:dyDescent="0.25">
      <c r="B4" s="1"/>
    </row>
    <row r="5" spans="1:6" ht="15.75" thickBot="1" x14ac:dyDescent="0.3">
      <c r="B5" s="1" t="s">
        <v>127</v>
      </c>
    </row>
    <row r="6" spans="1:6" ht="90.75" thickBot="1" x14ac:dyDescent="0.3">
      <c r="B6" s="71" t="s">
        <v>19</v>
      </c>
      <c r="C6" s="72" t="s">
        <v>149</v>
      </c>
      <c r="D6" s="72" t="s">
        <v>132</v>
      </c>
      <c r="E6" s="73" t="s">
        <v>150</v>
      </c>
    </row>
    <row r="7" spans="1:6" x14ac:dyDescent="0.25">
      <c r="B7" s="61">
        <v>2020</v>
      </c>
      <c r="C7" s="85">
        <f>C30</f>
        <v>-0.26672451193058677</v>
      </c>
      <c r="D7" s="85">
        <f>C28</f>
        <v>-3.8163412870571216</v>
      </c>
      <c r="E7" s="86">
        <f>C25</f>
        <v>3.5496167751265366</v>
      </c>
    </row>
    <row r="8" spans="1:6" x14ac:dyDescent="0.25">
      <c r="B8" s="48">
        <v>2021</v>
      </c>
      <c r="C8" s="4">
        <f>D30</f>
        <v>-0.86846567967698451</v>
      </c>
      <c r="D8" s="4">
        <f>D28</f>
        <v>-3.8721399730820991</v>
      </c>
      <c r="E8" s="81">
        <f>D25</f>
        <v>3.0036742934051146</v>
      </c>
    </row>
    <row r="9" spans="1:6" x14ac:dyDescent="0.25">
      <c r="B9" s="48">
        <v>2022</v>
      </c>
      <c r="C9" s="4">
        <f>E30</f>
        <v>-1.3354997327632274</v>
      </c>
      <c r="D9" s="4">
        <f>E28</f>
        <v>-3.900944236593622</v>
      </c>
      <c r="E9" s="81">
        <f>E25</f>
        <v>2.5654445038303937</v>
      </c>
    </row>
    <row r="10" spans="1:6" ht="15.75" thickBot="1" x14ac:dyDescent="0.3">
      <c r="B10" s="82">
        <v>2023</v>
      </c>
      <c r="C10" s="83">
        <f>F30</f>
        <v>-1.1244992050874405</v>
      </c>
      <c r="D10" s="83">
        <f>F28</f>
        <v>-2.9046104928457872</v>
      </c>
      <c r="E10" s="84">
        <f>F25</f>
        <v>1.7801112877583465</v>
      </c>
    </row>
    <row r="12" spans="1:6" x14ac:dyDescent="0.25">
      <c r="C12" s="2"/>
    </row>
    <row r="13" spans="1:6" x14ac:dyDescent="0.25">
      <c r="B13" s="1" t="s">
        <v>23</v>
      </c>
    </row>
    <row r="14" spans="1:6" x14ac:dyDescent="0.25">
      <c r="A14" s="12" t="s">
        <v>4</v>
      </c>
      <c r="B14" s="8" t="s">
        <v>19</v>
      </c>
      <c r="C14" s="12">
        <v>2020</v>
      </c>
      <c r="D14" s="12">
        <v>2021</v>
      </c>
      <c r="E14" s="12">
        <v>2022</v>
      </c>
      <c r="F14" s="12">
        <v>2023</v>
      </c>
    </row>
    <row r="15" spans="1:6" x14ac:dyDescent="0.25">
      <c r="A15" s="5">
        <v>1</v>
      </c>
      <c r="B15" s="14" t="s">
        <v>7</v>
      </c>
      <c r="C15" s="5">
        <v>3.75</v>
      </c>
      <c r="D15" s="5">
        <v>3.75</v>
      </c>
      <c r="E15" s="5">
        <v>3.75</v>
      </c>
      <c r="F15" s="5">
        <v>3.75</v>
      </c>
    </row>
    <row r="16" spans="1:6" x14ac:dyDescent="0.25">
      <c r="A16" s="5">
        <v>2</v>
      </c>
      <c r="B16" s="14" t="s">
        <v>11</v>
      </c>
      <c r="C16" s="6">
        <f>'1. Historical &amp; Future Volumes'!K6</f>
        <v>650</v>
      </c>
      <c r="D16" s="6">
        <f>'1. Historical &amp; Future Volumes'!L6</f>
        <v>750</v>
      </c>
      <c r="E16" s="6">
        <f>'1. Historical &amp; Future Volumes'!M6</f>
        <v>850</v>
      </c>
      <c r="F16" s="6">
        <f>'1. Historical &amp; Future Volumes'!N6</f>
        <v>900</v>
      </c>
    </row>
    <row r="17" spans="1:11" x14ac:dyDescent="0.25">
      <c r="A17" s="5">
        <v>3</v>
      </c>
      <c r="B17" s="14" t="s">
        <v>1</v>
      </c>
      <c r="C17" s="6">
        <f>'1. Historical &amp; Future Volumes'!K9</f>
        <v>3688</v>
      </c>
      <c r="D17" s="6">
        <f>'1. Historical &amp; Future Volumes'!L9</f>
        <v>3715</v>
      </c>
      <c r="E17" s="6">
        <f>'1. Historical &amp; Future Volumes'!M9</f>
        <v>3742</v>
      </c>
      <c r="F17" s="6">
        <f>'1. Historical &amp; Future Volumes'!N9</f>
        <v>3774</v>
      </c>
    </row>
    <row r="18" spans="1:11" x14ac:dyDescent="0.25">
      <c r="A18" s="5">
        <v>4</v>
      </c>
      <c r="B18" s="14" t="s">
        <v>5</v>
      </c>
      <c r="C18" s="6">
        <f>IF(C16/C15*5&gt;C17,C17/5,C16/C15)</f>
        <v>173.33333333333334</v>
      </c>
      <c r="D18" s="6">
        <f>IF(D16/D15*5&gt;D17,D17/5,D16/D15)</f>
        <v>200</v>
      </c>
      <c r="E18" s="6">
        <f>IF(E16/E15*5&gt;E17,E17/5,E16/E15)</f>
        <v>226.66666666666666</v>
      </c>
      <c r="F18" s="6">
        <f>IF(F16/F15*5&gt;F17,F17/5,F16/F15)</f>
        <v>240</v>
      </c>
      <c r="H18" s="6"/>
      <c r="I18" s="6"/>
      <c r="J18" s="6"/>
      <c r="K18" s="6"/>
    </row>
    <row r="19" spans="1:11" x14ac:dyDescent="0.25">
      <c r="A19" s="5">
        <v>5</v>
      </c>
      <c r="B19" s="14" t="s">
        <v>6</v>
      </c>
      <c r="C19" s="6">
        <f>(C17-(C18*5))/20</f>
        <v>141.06666666666666</v>
      </c>
      <c r="D19" s="6">
        <f>(D17-(D18*5))/20</f>
        <v>135.75</v>
      </c>
      <c r="E19" s="6">
        <f>(E17-(E18*5))/20</f>
        <v>130.43333333333334</v>
      </c>
      <c r="F19" s="6">
        <f>(F17-(F18*5))/20</f>
        <v>128.69999999999999</v>
      </c>
      <c r="H19" s="6"/>
      <c r="I19" s="6"/>
      <c r="J19" s="6"/>
      <c r="K19" s="6"/>
    </row>
    <row r="20" spans="1:11" x14ac:dyDescent="0.25">
      <c r="A20" s="5">
        <v>6</v>
      </c>
      <c r="B20" s="14" t="s">
        <v>12</v>
      </c>
      <c r="C20" s="6">
        <f>C18+C19</f>
        <v>314.39999999999998</v>
      </c>
      <c r="D20" s="6">
        <f t="shared" ref="D20:F20" si="0">D18+D19</f>
        <v>335.75</v>
      </c>
      <c r="E20" s="6">
        <f t="shared" si="0"/>
        <v>357.1</v>
      </c>
      <c r="F20" s="6">
        <f t="shared" si="0"/>
        <v>368.7</v>
      </c>
      <c r="H20" s="15"/>
      <c r="I20" s="15"/>
      <c r="J20" s="15"/>
      <c r="K20" s="15"/>
    </row>
    <row r="21" spans="1:11" x14ac:dyDescent="0.25">
      <c r="A21" s="5">
        <v>7</v>
      </c>
      <c r="B21" s="14" t="s">
        <v>0</v>
      </c>
      <c r="C21" s="6">
        <v>464</v>
      </c>
      <c r="D21" s="6">
        <v>411</v>
      </c>
      <c r="E21" s="6">
        <v>368</v>
      </c>
      <c r="F21" s="6">
        <v>261</v>
      </c>
      <c r="H21" s="15"/>
    </row>
    <row r="22" spans="1:11" x14ac:dyDescent="0.25">
      <c r="A22" s="5">
        <v>8</v>
      </c>
      <c r="B22" t="s">
        <v>24</v>
      </c>
      <c r="C22" s="11">
        <v>0.2</v>
      </c>
      <c r="D22" s="11">
        <v>0.2</v>
      </c>
      <c r="E22" s="11">
        <v>0.2</v>
      </c>
      <c r="F22" s="11">
        <v>0.2</v>
      </c>
    </row>
    <row r="23" spans="1:11" x14ac:dyDescent="0.25">
      <c r="A23" s="5">
        <v>9</v>
      </c>
      <c r="B23" t="s">
        <v>25</v>
      </c>
      <c r="C23" s="11">
        <v>0.1</v>
      </c>
      <c r="D23" s="11">
        <v>0.1</v>
      </c>
      <c r="E23" s="11">
        <v>0.1</v>
      </c>
      <c r="F23" s="11">
        <v>0.1</v>
      </c>
    </row>
    <row r="24" spans="1:11" x14ac:dyDescent="0.25">
      <c r="A24" s="5">
        <v>10</v>
      </c>
      <c r="B24" s="14" t="s">
        <v>2</v>
      </c>
      <c r="C24" s="7">
        <f>C20/C17*C22*C21</f>
        <v>7.9111496746203898</v>
      </c>
      <c r="D24" s="7">
        <f>D20/D17*D22*D21</f>
        <v>7.4289771197846575</v>
      </c>
      <c r="E24" s="7">
        <f>E20/E17*E22*E21</f>
        <v>7.0236664885088205</v>
      </c>
      <c r="F24" s="7">
        <f>F20/F17*F22*F21</f>
        <v>5.0996661367249603</v>
      </c>
    </row>
    <row r="25" spans="1:11" x14ac:dyDescent="0.25">
      <c r="A25" s="5">
        <v>11</v>
      </c>
      <c r="B25" s="14" t="s">
        <v>9</v>
      </c>
      <c r="C25" s="7">
        <f>C19/C17*C22*C21</f>
        <v>3.5496167751265366</v>
      </c>
      <c r="D25" s="7">
        <f t="shared" ref="D25:F25" si="1">D19/D17*D22*D21</f>
        <v>3.0036742934051146</v>
      </c>
      <c r="E25" s="7">
        <f t="shared" si="1"/>
        <v>2.5654445038303937</v>
      </c>
      <c r="F25" s="7">
        <f t="shared" si="1"/>
        <v>1.7801112877583465</v>
      </c>
    </row>
    <row r="26" spans="1:11" x14ac:dyDescent="0.25">
      <c r="A26" s="5">
        <v>12</v>
      </c>
      <c r="B26" s="14" t="s">
        <v>10</v>
      </c>
      <c r="C26" s="7">
        <f>C18/C17*C22*C21</f>
        <v>4.3615328994938549</v>
      </c>
      <c r="D26" s="7">
        <f t="shared" ref="D26:F26" si="2">D18/D17*D22*D21</f>
        <v>4.4253028263795429</v>
      </c>
      <c r="E26" s="7">
        <f t="shared" si="2"/>
        <v>4.4582219846784259</v>
      </c>
      <c r="F26" s="7">
        <f t="shared" si="2"/>
        <v>3.3195548489666136</v>
      </c>
    </row>
    <row r="27" spans="1:11" x14ac:dyDescent="0.25">
      <c r="A27" s="5">
        <v>13</v>
      </c>
      <c r="B27" s="14" t="s">
        <v>21</v>
      </c>
      <c r="C27" s="7">
        <f>C16/C17*-C23*C21</f>
        <v>-8.1778741865509765</v>
      </c>
      <c r="D27" s="7">
        <f t="shared" ref="D27:F27" si="3">D16/D17*-D23*D21</f>
        <v>-8.297442799461642</v>
      </c>
      <c r="E27" s="7">
        <f t="shared" si="3"/>
        <v>-8.3591662212720479</v>
      </c>
      <c r="F27" s="7">
        <f t="shared" si="3"/>
        <v>-6.2241653418124008</v>
      </c>
      <c r="G27" s="7"/>
    </row>
    <row r="28" spans="1:11" x14ac:dyDescent="0.25">
      <c r="A28" s="5">
        <v>14</v>
      </c>
      <c r="B28" s="14" t="s">
        <v>3</v>
      </c>
      <c r="C28" s="7">
        <f>C26+C18*C15/C17*-C23*C21</f>
        <v>-3.8163412870571216</v>
      </c>
      <c r="D28" s="7">
        <f t="shared" ref="D28:F28" si="4">D26+D18*D15/D17*-D23*D21</f>
        <v>-3.8721399730820991</v>
      </c>
      <c r="E28" s="7">
        <f t="shared" si="4"/>
        <v>-3.900944236593622</v>
      </c>
      <c r="F28" s="7">
        <f t="shared" si="4"/>
        <v>-2.9046104928457872</v>
      </c>
    </row>
    <row r="29" spans="1:11" x14ac:dyDescent="0.25">
      <c r="A29" s="5">
        <v>15</v>
      </c>
      <c r="B29" s="14" t="s">
        <v>22</v>
      </c>
      <c r="C29" s="7">
        <f>(C16-C18*C15)/C17*-C23*C21</f>
        <v>0</v>
      </c>
      <c r="D29" s="7">
        <f t="shared" ref="D29:F29" si="5">(D16-D18*D15)/D17*-D23*D21</f>
        <v>0</v>
      </c>
      <c r="E29" s="7">
        <f t="shared" si="5"/>
        <v>0</v>
      </c>
      <c r="F29" s="7">
        <f t="shared" si="5"/>
        <v>0</v>
      </c>
    </row>
    <row r="30" spans="1:11" x14ac:dyDescent="0.25">
      <c r="A30" s="5">
        <v>16</v>
      </c>
      <c r="B30" s="14" t="s">
        <v>13</v>
      </c>
      <c r="C30" s="7">
        <f>SUM(C24,C27)</f>
        <v>-0.26672451193058677</v>
      </c>
      <c r="D30" s="7">
        <f t="shared" ref="D30:F30" si="6">SUM(D24,D27)</f>
        <v>-0.86846567967698451</v>
      </c>
      <c r="E30" s="7">
        <f t="shared" si="6"/>
        <v>-1.3354997327632274</v>
      </c>
      <c r="F30" s="7">
        <f t="shared" si="6"/>
        <v>-1.1244992050874405</v>
      </c>
    </row>
    <row r="32" spans="1:11" x14ac:dyDescent="0.25">
      <c r="A32" s="1" t="s">
        <v>4</v>
      </c>
      <c r="B32" s="8" t="s">
        <v>28</v>
      </c>
    </row>
    <row r="33" spans="1:11" ht="32.450000000000003" customHeight="1" x14ac:dyDescent="0.25">
      <c r="A33" s="16">
        <v>1</v>
      </c>
      <c r="B33" s="131" t="s">
        <v>17</v>
      </c>
      <c r="C33" s="131"/>
      <c r="D33" s="131"/>
      <c r="E33" s="131"/>
      <c r="F33" s="131"/>
      <c r="G33" s="131"/>
      <c r="H33" s="131"/>
      <c r="I33" s="131"/>
      <c r="J33" s="131"/>
      <c r="K33" s="131"/>
    </row>
    <row r="34" spans="1:11" ht="32.1" customHeight="1" x14ac:dyDescent="0.25">
      <c r="A34" s="10">
        <v>2</v>
      </c>
      <c r="B34" s="131" t="s">
        <v>91</v>
      </c>
      <c r="C34" s="131"/>
      <c r="D34" s="131"/>
      <c r="E34" s="131"/>
      <c r="F34" s="131"/>
      <c r="G34" s="131"/>
      <c r="H34" s="131"/>
      <c r="I34" s="131"/>
      <c r="J34" s="131"/>
      <c r="K34" s="131"/>
    </row>
    <row r="35" spans="1:11" ht="32.1" customHeight="1" x14ac:dyDescent="0.25">
      <c r="A35" s="10">
        <v>3</v>
      </c>
      <c r="B35" s="131" t="s">
        <v>128</v>
      </c>
      <c r="C35" s="131"/>
      <c r="D35" s="131"/>
      <c r="E35" s="131"/>
      <c r="F35" s="131"/>
      <c r="G35" s="131"/>
      <c r="H35" s="131"/>
      <c r="I35" s="131"/>
      <c r="J35" s="131"/>
      <c r="K35" s="131"/>
    </row>
    <row r="36" spans="1:11" ht="44.25" customHeight="1" x14ac:dyDescent="0.25">
      <c r="A36" s="10">
        <v>4</v>
      </c>
      <c r="B36" s="119" t="s">
        <v>16</v>
      </c>
      <c r="C36" s="119"/>
      <c r="D36" s="119"/>
      <c r="E36" s="119"/>
      <c r="F36" s="119"/>
      <c r="G36" s="119"/>
      <c r="H36" s="119"/>
      <c r="I36" s="119"/>
      <c r="J36" s="119"/>
      <c r="K36" s="119"/>
    </row>
    <row r="37" spans="1:11" ht="32.1" customHeight="1" x14ac:dyDescent="0.25">
      <c r="A37" s="10">
        <v>5</v>
      </c>
      <c r="B37" s="119" t="s">
        <v>129</v>
      </c>
      <c r="C37" s="119"/>
      <c r="D37" s="119"/>
      <c r="E37" s="119"/>
      <c r="F37" s="119"/>
      <c r="G37" s="119"/>
      <c r="H37" s="119"/>
      <c r="I37" s="119"/>
      <c r="J37" s="119"/>
      <c r="K37" s="119"/>
    </row>
    <row r="38" spans="1:11" ht="24.75" customHeight="1" x14ac:dyDescent="0.25">
      <c r="A38" s="10">
        <v>6</v>
      </c>
      <c r="B38" s="132" t="s">
        <v>8</v>
      </c>
      <c r="C38" s="132"/>
      <c r="D38" s="132"/>
      <c r="E38" s="132"/>
      <c r="F38" s="132"/>
      <c r="G38" s="132"/>
      <c r="H38" s="132"/>
      <c r="I38" s="132"/>
      <c r="J38" s="132"/>
      <c r="K38" s="132"/>
    </row>
    <row r="39" spans="1:11" ht="45.6" customHeight="1" x14ac:dyDescent="0.25">
      <c r="A39" s="10">
        <v>7</v>
      </c>
      <c r="B39" s="119" t="s">
        <v>97</v>
      </c>
      <c r="C39" s="119"/>
      <c r="D39" s="119"/>
      <c r="E39" s="119"/>
      <c r="F39" s="119"/>
      <c r="G39" s="119"/>
      <c r="H39" s="119"/>
      <c r="I39" s="119"/>
      <c r="J39" s="119"/>
      <c r="K39" s="119"/>
    </row>
    <row r="40" spans="1:11" ht="21" customHeight="1" x14ac:dyDescent="0.25">
      <c r="A40" s="10">
        <v>8</v>
      </c>
      <c r="B40" s="132" t="s">
        <v>26</v>
      </c>
      <c r="C40" s="132"/>
      <c r="D40" s="132"/>
      <c r="E40" s="132"/>
      <c r="F40" s="132"/>
      <c r="G40" s="132"/>
      <c r="H40" s="132"/>
      <c r="I40" s="132"/>
      <c r="J40" s="132"/>
      <c r="K40" s="132"/>
    </row>
    <row r="41" spans="1:11" ht="19.5" customHeight="1" x14ac:dyDescent="0.25">
      <c r="A41" s="10">
        <v>9</v>
      </c>
      <c r="B41" s="132" t="s">
        <v>27</v>
      </c>
      <c r="C41" s="132"/>
      <c r="D41" s="132"/>
      <c r="E41" s="132"/>
      <c r="F41" s="132"/>
      <c r="G41" s="132"/>
      <c r="H41" s="132"/>
      <c r="I41" s="132"/>
      <c r="J41" s="132"/>
      <c r="K41" s="132"/>
    </row>
    <row r="42" spans="1:11" ht="45" customHeight="1" x14ac:dyDescent="0.25">
      <c r="A42" s="10">
        <v>10</v>
      </c>
      <c r="B42" s="119" t="s">
        <v>118</v>
      </c>
      <c r="C42" s="119"/>
      <c r="D42" s="119"/>
      <c r="E42" s="119"/>
      <c r="F42" s="119"/>
      <c r="G42" s="119"/>
      <c r="H42" s="119"/>
      <c r="I42" s="119"/>
      <c r="J42" s="119"/>
      <c r="K42" s="119"/>
    </row>
    <row r="43" spans="1:11" ht="44.1" customHeight="1" x14ac:dyDescent="0.25">
      <c r="A43" s="10">
        <v>11</v>
      </c>
      <c r="B43" s="119" t="s">
        <v>119</v>
      </c>
      <c r="C43" s="119"/>
      <c r="D43" s="119"/>
      <c r="E43" s="119"/>
      <c r="F43" s="119"/>
      <c r="G43" s="119"/>
      <c r="H43" s="119"/>
      <c r="I43" s="119"/>
      <c r="J43" s="119"/>
      <c r="K43" s="119"/>
    </row>
    <row r="44" spans="1:11" ht="48.6" customHeight="1" x14ac:dyDescent="0.25">
      <c r="A44" s="10">
        <v>12</v>
      </c>
      <c r="B44" s="119" t="s">
        <v>120</v>
      </c>
      <c r="C44" s="119"/>
      <c r="D44" s="119"/>
      <c r="E44" s="119"/>
      <c r="F44" s="119"/>
      <c r="G44" s="119"/>
      <c r="H44" s="119"/>
      <c r="I44" s="119"/>
      <c r="J44" s="119"/>
      <c r="K44" s="119"/>
    </row>
    <row r="45" spans="1:11" ht="47.45" customHeight="1" x14ac:dyDescent="0.25">
      <c r="A45" s="10">
        <v>13</v>
      </c>
      <c r="B45" s="119" t="s">
        <v>130</v>
      </c>
      <c r="C45" s="119"/>
      <c r="D45" s="119"/>
      <c r="E45" s="119"/>
      <c r="F45" s="119"/>
      <c r="G45" s="119"/>
      <c r="H45" s="119"/>
      <c r="I45" s="119"/>
      <c r="J45" s="119"/>
      <c r="K45" s="119"/>
    </row>
    <row r="46" spans="1:11" ht="30" customHeight="1" x14ac:dyDescent="0.25">
      <c r="A46" s="10">
        <v>14</v>
      </c>
      <c r="B46" s="119" t="s">
        <v>122</v>
      </c>
      <c r="C46" s="119"/>
      <c r="D46" s="119"/>
      <c r="E46" s="119"/>
      <c r="F46" s="119"/>
      <c r="G46" s="119"/>
      <c r="H46" s="119"/>
      <c r="I46" s="119"/>
      <c r="J46" s="119"/>
      <c r="K46" s="119"/>
    </row>
    <row r="47" spans="1:11" ht="30.95" customHeight="1" x14ac:dyDescent="0.25">
      <c r="A47" s="10">
        <v>15</v>
      </c>
      <c r="B47" s="119" t="s">
        <v>123</v>
      </c>
      <c r="C47" s="119"/>
      <c r="D47" s="119"/>
      <c r="E47" s="119"/>
      <c r="F47" s="119"/>
      <c r="G47" s="119"/>
      <c r="H47" s="119"/>
      <c r="I47" s="119"/>
      <c r="J47" s="119"/>
      <c r="K47" s="119"/>
    </row>
    <row r="48" spans="1:11" x14ac:dyDescent="0.25">
      <c r="A48" s="10">
        <v>16</v>
      </c>
      <c r="B48" s="132" t="s">
        <v>124</v>
      </c>
      <c r="C48" s="132"/>
      <c r="D48" s="132"/>
      <c r="E48" s="132"/>
      <c r="F48" s="132"/>
      <c r="G48" s="132"/>
      <c r="H48" s="132"/>
      <c r="I48" s="132"/>
      <c r="J48" s="132"/>
      <c r="K48" s="132"/>
    </row>
    <row r="50" spans="1:11" x14ac:dyDescent="0.25">
      <c r="A50" s="1" t="s">
        <v>14</v>
      </c>
    </row>
    <row r="51" spans="1:11" ht="57" customHeight="1" x14ac:dyDescent="0.25">
      <c r="A51" s="10" t="s">
        <v>15</v>
      </c>
      <c r="B51" s="112" t="s">
        <v>125</v>
      </c>
      <c r="C51" s="112"/>
      <c r="D51" s="112"/>
      <c r="E51" s="112"/>
      <c r="F51" s="112"/>
      <c r="G51" s="112"/>
      <c r="H51" s="112"/>
      <c r="I51" s="112"/>
      <c r="J51" s="112"/>
      <c r="K51" s="112"/>
    </row>
    <row r="52" spans="1:11" x14ac:dyDescent="0.25">
      <c r="A52" s="10"/>
    </row>
  </sheetData>
  <sheetProtection algorithmName="SHA-512" hashValue="lFUkMDfIZlE+riyG33HjQOyCP5MUvgi6I35RM3UuWZLBNUC+J87S8/Ns+pMVcOMt+SOhMcwrCZX5ILt39wN05g==" saltValue="TUEsbZAStjf6dRJm/RZ3zQ==" spinCount="100000" sheet="1" objects="1" scenarios="1"/>
  <mergeCells count="17">
    <mergeCell ref="B33:K33"/>
    <mergeCell ref="B34:K34"/>
    <mergeCell ref="B37:K37"/>
    <mergeCell ref="B35:K35"/>
    <mergeCell ref="B40:K40"/>
    <mergeCell ref="B36:K36"/>
    <mergeCell ref="B38:K38"/>
    <mergeCell ref="B51:K51"/>
    <mergeCell ref="B41:K41"/>
    <mergeCell ref="B39:K39"/>
    <mergeCell ref="B42:K42"/>
    <mergeCell ref="B43:K43"/>
    <mergeCell ref="B44:K44"/>
    <mergeCell ref="B45:K45"/>
    <mergeCell ref="B46:K46"/>
    <mergeCell ref="B47:K47"/>
    <mergeCell ref="B48:K48"/>
  </mergeCells>
  <pageMargins left="0.7" right="0.7" top="0.75" bottom="0.75" header="0.3" footer="0.3"/>
  <pageSetup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H10" sqref="H10"/>
    </sheetView>
  </sheetViews>
  <sheetFormatPr defaultRowHeight="15" x14ac:dyDescent="0.25"/>
  <cols>
    <col min="1" max="1" width="5.42578125" customWidth="1"/>
    <col min="2" max="2" width="35.85546875" customWidth="1"/>
    <col min="3" max="3" width="13.140625" customWidth="1"/>
    <col min="4" max="4" width="13.85546875" customWidth="1"/>
    <col min="5" max="5" width="16.140625" customWidth="1"/>
    <col min="6" max="6" width="14.140625" customWidth="1"/>
    <col min="9" max="9" width="12.42578125" customWidth="1"/>
    <col min="10" max="11" width="9.85546875" customWidth="1"/>
  </cols>
  <sheetData>
    <row r="1" spans="1:6" x14ac:dyDescent="0.25">
      <c r="B1" s="1" t="s">
        <v>86</v>
      </c>
    </row>
    <row r="2" spans="1:6" x14ac:dyDescent="0.25">
      <c r="B2" s="1" t="s">
        <v>54</v>
      </c>
    </row>
    <row r="3" spans="1:6" x14ac:dyDescent="0.25">
      <c r="B3" s="1" t="s">
        <v>89</v>
      </c>
    </row>
    <row r="4" spans="1:6" x14ac:dyDescent="0.25">
      <c r="B4" s="1"/>
    </row>
    <row r="5" spans="1:6" ht="15.75" thickBot="1" x14ac:dyDescent="0.3">
      <c r="B5" s="1" t="s">
        <v>131</v>
      </c>
    </row>
    <row r="6" spans="1:6" ht="75.75" thickBot="1" x14ac:dyDescent="0.3">
      <c r="B6" s="71" t="s">
        <v>19</v>
      </c>
      <c r="C6" s="72" t="s">
        <v>113</v>
      </c>
      <c r="D6" s="72" t="s">
        <v>132</v>
      </c>
      <c r="E6" s="73" t="s">
        <v>133</v>
      </c>
    </row>
    <row r="7" spans="1:6" x14ac:dyDescent="0.25">
      <c r="B7" s="61">
        <v>2020</v>
      </c>
      <c r="C7" s="85">
        <f>C30</f>
        <v>0.92278446065864905</v>
      </c>
      <c r="D7" s="85">
        <f>C28</f>
        <v>-2.2303293236048116</v>
      </c>
      <c r="E7" s="86">
        <f>C25</f>
        <v>3.1531137842634593</v>
      </c>
    </row>
    <row r="8" spans="1:6" x14ac:dyDescent="0.25">
      <c r="B8" s="48">
        <v>2021</v>
      </c>
      <c r="C8" s="4">
        <f>D30</f>
        <v>0.33843509115379966</v>
      </c>
      <c r="D8" s="4">
        <f>D28</f>
        <v>-2.2629389453077202</v>
      </c>
      <c r="E8" s="81">
        <f>D25</f>
        <v>2.601374036461519</v>
      </c>
    </row>
    <row r="9" spans="1:6" x14ac:dyDescent="0.25">
      <c r="B9" s="48">
        <v>2022</v>
      </c>
      <c r="C9" s="4">
        <f>E30</f>
        <v>-0.11962100966911393</v>
      </c>
      <c r="D9" s="4">
        <f>E28</f>
        <v>-2.2797726058014671</v>
      </c>
      <c r="E9" s="81">
        <f>E25</f>
        <v>2.1601515961323554</v>
      </c>
    </row>
    <row r="10" spans="1:6" ht="15.75" thickBot="1" x14ac:dyDescent="0.3">
      <c r="B10" s="82">
        <v>2023</v>
      </c>
      <c r="C10" s="83">
        <f>F30</f>
        <v>-0.2191660644601825</v>
      </c>
      <c r="D10" s="83">
        <f>F28</f>
        <v>-1.6974996386761099</v>
      </c>
      <c r="E10" s="84">
        <f>F25</f>
        <v>1.4783335742159274</v>
      </c>
    </row>
    <row r="12" spans="1:6" x14ac:dyDescent="0.25">
      <c r="C12" s="2"/>
    </row>
    <row r="13" spans="1:6" x14ac:dyDescent="0.25">
      <c r="B13" s="1" t="s">
        <v>29</v>
      </c>
    </row>
    <row r="14" spans="1:6" x14ac:dyDescent="0.25">
      <c r="A14" s="12" t="s">
        <v>4</v>
      </c>
      <c r="B14" s="8" t="s">
        <v>19</v>
      </c>
      <c r="C14" s="12">
        <v>2020</v>
      </c>
      <c r="D14" s="12">
        <v>2021</v>
      </c>
      <c r="E14" s="12">
        <v>2022</v>
      </c>
      <c r="F14" s="12">
        <v>2023</v>
      </c>
    </row>
    <row r="15" spans="1:6" x14ac:dyDescent="0.25">
      <c r="A15" s="5">
        <v>1</v>
      </c>
      <c r="B15" s="14" t="s">
        <v>7</v>
      </c>
      <c r="C15" s="5">
        <v>2.75</v>
      </c>
      <c r="D15" s="5">
        <v>2.75</v>
      </c>
      <c r="E15" s="5">
        <v>2.75</v>
      </c>
      <c r="F15" s="5">
        <v>2.75</v>
      </c>
    </row>
    <row r="16" spans="1:6" x14ac:dyDescent="0.25">
      <c r="A16" s="5">
        <v>2</v>
      </c>
      <c r="B16" s="14" t="s">
        <v>11</v>
      </c>
      <c r="C16" s="6">
        <f>'1. Historical &amp; Future Volumes'!K6</f>
        <v>650</v>
      </c>
      <c r="D16" s="6">
        <f>'1. Historical &amp; Future Volumes'!L6</f>
        <v>750</v>
      </c>
      <c r="E16" s="6">
        <f>'1. Historical &amp; Future Volumes'!M6</f>
        <v>850</v>
      </c>
      <c r="F16" s="6">
        <f>'1. Historical &amp; Future Volumes'!N6</f>
        <v>900</v>
      </c>
    </row>
    <row r="17" spans="1:7" x14ac:dyDescent="0.25">
      <c r="A17" s="5">
        <v>3</v>
      </c>
      <c r="B17" s="14" t="s">
        <v>1</v>
      </c>
      <c r="C17" s="6">
        <f>'1. Historical &amp; Future Volumes'!K9</f>
        <v>3688</v>
      </c>
      <c r="D17" s="6">
        <f>'1. Historical &amp; Future Volumes'!L9</f>
        <v>3715</v>
      </c>
      <c r="E17" s="6">
        <f>'1. Historical &amp; Future Volumes'!M9</f>
        <v>3742</v>
      </c>
      <c r="F17" s="6">
        <f>'1. Historical &amp; Future Volumes'!N9</f>
        <v>3774</v>
      </c>
    </row>
    <row r="18" spans="1:7" x14ac:dyDescent="0.25">
      <c r="A18" s="5">
        <v>4</v>
      </c>
      <c r="B18" s="14" t="s">
        <v>5</v>
      </c>
      <c r="C18" s="6">
        <f>IF(C16/C15*5&gt;C17,C17/5,C16/C15)</f>
        <v>236.36363636363637</v>
      </c>
      <c r="D18" s="6">
        <f>IF(D16/D15*5&gt;D17,D17/5,D16/D15)</f>
        <v>272.72727272727275</v>
      </c>
      <c r="E18" s="6">
        <f>IF(E16/E15*5&gt;E17,E17/5,E16/E15)</f>
        <v>309.09090909090907</v>
      </c>
      <c r="F18" s="6">
        <f>IF(F16/F15*5&gt;F17,F17/5,F16/F15)</f>
        <v>327.27272727272725</v>
      </c>
    </row>
    <row r="19" spans="1:7" x14ac:dyDescent="0.25">
      <c r="A19" s="5">
        <v>5</v>
      </c>
      <c r="B19" s="14" t="s">
        <v>6</v>
      </c>
      <c r="C19" s="6">
        <f>(C17-(C18*5))/20</f>
        <v>125.3090909090909</v>
      </c>
      <c r="D19" s="6">
        <f>(D17-(D18*5))/20</f>
        <v>117.5681818181818</v>
      </c>
      <c r="E19" s="6">
        <f>(E17-(E18*5))/20</f>
        <v>109.82727272727274</v>
      </c>
      <c r="F19" s="6">
        <f>(F17-(F18*5))/20</f>
        <v>106.8818181818182</v>
      </c>
    </row>
    <row r="20" spans="1:7" x14ac:dyDescent="0.25">
      <c r="A20" s="5">
        <v>6</v>
      </c>
      <c r="B20" s="14" t="s">
        <v>12</v>
      </c>
      <c r="C20" s="6">
        <f>C18+C19</f>
        <v>361.67272727272729</v>
      </c>
      <c r="D20" s="6">
        <f t="shared" ref="D20:F20" si="0">D18+D19</f>
        <v>390.29545454545456</v>
      </c>
      <c r="E20" s="6">
        <f t="shared" si="0"/>
        <v>418.91818181818178</v>
      </c>
      <c r="F20" s="6">
        <f t="shared" si="0"/>
        <v>434.15454545454543</v>
      </c>
    </row>
    <row r="21" spans="1:7" x14ac:dyDescent="0.25">
      <c r="A21" s="5">
        <v>7</v>
      </c>
      <c r="B21" s="14" t="s">
        <v>0</v>
      </c>
      <c r="C21" s="6">
        <v>464</v>
      </c>
      <c r="D21" s="6">
        <v>411</v>
      </c>
      <c r="E21" s="6">
        <v>368</v>
      </c>
      <c r="F21" s="6">
        <v>261</v>
      </c>
    </row>
    <row r="22" spans="1:7" x14ac:dyDescent="0.25">
      <c r="A22" s="5">
        <v>8</v>
      </c>
      <c r="B22" t="s">
        <v>24</v>
      </c>
      <c r="C22" s="11">
        <v>0.2</v>
      </c>
      <c r="D22" s="11">
        <v>0.2</v>
      </c>
      <c r="E22" s="11">
        <v>0.2</v>
      </c>
      <c r="F22" s="11">
        <v>0.2</v>
      </c>
    </row>
    <row r="23" spans="1:7" x14ac:dyDescent="0.25">
      <c r="A23" s="5">
        <v>9</v>
      </c>
      <c r="B23" t="s">
        <v>25</v>
      </c>
      <c r="C23" s="11">
        <v>0.1</v>
      </c>
      <c r="D23" s="11">
        <v>0.1</v>
      </c>
      <c r="E23" s="11">
        <v>0.1</v>
      </c>
      <c r="F23" s="11">
        <v>0.1</v>
      </c>
    </row>
    <row r="24" spans="1:7" x14ac:dyDescent="0.25">
      <c r="A24" s="5">
        <v>10</v>
      </c>
      <c r="B24" s="14" t="s">
        <v>2</v>
      </c>
      <c r="C24" s="7">
        <f>C20/C17*C22*C21</f>
        <v>9.1006586472096256</v>
      </c>
      <c r="D24" s="7">
        <f>D20/D17*D22*D21</f>
        <v>8.6358778906154416</v>
      </c>
      <c r="E24" s="7">
        <f>E20/E17*E22*E21</f>
        <v>8.239545211602934</v>
      </c>
      <c r="F24" s="7">
        <f>F20/F17*F22*F21</f>
        <v>6.0049992773522183</v>
      </c>
    </row>
    <row r="25" spans="1:7" x14ac:dyDescent="0.25">
      <c r="A25" s="5">
        <v>11</v>
      </c>
      <c r="B25" s="14" t="s">
        <v>9</v>
      </c>
      <c r="C25" s="7">
        <f>C19/C17*C22*C21</f>
        <v>3.1531137842634593</v>
      </c>
      <c r="D25" s="7">
        <f t="shared" ref="D25:F25" si="1">D19/D17*D22*D21</f>
        <v>2.601374036461519</v>
      </c>
      <c r="E25" s="7">
        <f t="shared" si="1"/>
        <v>2.1601515961323554</v>
      </c>
      <c r="F25" s="7">
        <f t="shared" si="1"/>
        <v>1.4783335742159274</v>
      </c>
    </row>
    <row r="26" spans="1:7" x14ac:dyDescent="0.25">
      <c r="A26" s="5">
        <v>12</v>
      </c>
      <c r="B26" s="14" t="s">
        <v>10</v>
      </c>
      <c r="C26" s="7">
        <f>C18/C17*C22*C21</f>
        <v>5.9475448629461649</v>
      </c>
      <c r="D26" s="7">
        <f t="shared" ref="D26:F26" si="2">D18/D17*D22*D21</f>
        <v>6.0345038541539218</v>
      </c>
      <c r="E26" s="7">
        <f t="shared" si="2"/>
        <v>6.079393615470579</v>
      </c>
      <c r="F26" s="7">
        <f t="shared" si="2"/>
        <v>4.5266657031362909</v>
      </c>
    </row>
    <row r="27" spans="1:7" x14ac:dyDescent="0.25">
      <c r="A27" s="5">
        <v>13</v>
      </c>
      <c r="B27" s="14" t="s">
        <v>21</v>
      </c>
      <c r="C27" s="7">
        <f>C16/C17*-C23*C21</f>
        <v>-8.1778741865509765</v>
      </c>
      <c r="D27" s="7">
        <f t="shared" ref="D27:F27" si="3">D16/D17*-D23*D21</f>
        <v>-8.297442799461642</v>
      </c>
      <c r="E27" s="7">
        <f t="shared" si="3"/>
        <v>-8.3591662212720479</v>
      </c>
      <c r="F27" s="7">
        <f t="shared" si="3"/>
        <v>-6.2241653418124008</v>
      </c>
      <c r="G27" s="7"/>
    </row>
    <row r="28" spans="1:7" x14ac:dyDescent="0.25">
      <c r="A28" s="5">
        <v>14</v>
      </c>
      <c r="B28" s="14" t="s">
        <v>3</v>
      </c>
      <c r="C28" s="7">
        <f>C26+C18*C15/C17*-C23*C21</f>
        <v>-2.2303293236048116</v>
      </c>
      <c r="D28" s="7">
        <f t="shared" ref="D28:F28" si="4">D26+D18*D15/D17*-D23*D21</f>
        <v>-2.2629389453077202</v>
      </c>
      <c r="E28" s="7">
        <f t="shared" si="4"/>
        <v>-2.2797726058014671</v>
      </c>
      <c r="F28" s="7">
        <f t="shared" si="4"/>
        <v>-1.6974996386761099</v>
      </c>
    </row>
    <row r="29" spans="1:7" x14ac:dyDescent="0.25">
      <c r="A29" s="5">
        <v>15</v>
      </c>
      <c r="B29" s="14" t="s">
        <v>22</v>
      </c>
      <c r="C29" s="7">
        <f>(C16-C18*C15)/C17*-C23*C21</f>
        <v>0</v>
      </c>
      <c r="D29" s="7">
        <f t="shared" ref="D29:F29" si="5">(D16-D18*D15)/D17*-D23*D21</f>
        <v>0</v>
      </c>
      <c r="E29" s="7">
        <f t="shared" si="5"/>
        <v>-1.1180319690420817E-15</v>
      </c>
      <c r="F29" s="7">
        <f t="shared" si="5"/>
        <v>0</v>
      </c>
    </row>
    <row r="30" spans="1:7" x14ac:dyDescent="0.25">
      <c r="A30" s="5">
        <v>16</v>
      </c>
      <c r="B30" s="14" t="s">
        <v>13</v>
      </c>
      <c r="C30" s="7">
        <f>SUM(C24,C27)</f>
        <v>0.92278446065864905</v>
      </c>
      <c r="D30" s="7">
        <f t="shared" ref="D30:F30" si="6">SUM(D24,D27)</f>
        <v>0.33843509115379966</v>
      </c>
      <c r="E30" s="7">
        <f t="shared" si="6"/>
        <v>-0.11962100966911393</v>
      </c>
      <c r="F30" s="7">
        <f t="shared" si="6"/>
        <v>-0.2191660644601825</v>
      </c>
    </row>
    <row r="32" spans="1:7" x14ac:dyDescent="0.25">
      <c r="A32" s="1" t="s">
        <v>4</v>
      </c>
      <c r="B32" s="8" t="s">
        <v>30</v>
      </c>
    </row>
    <row r="33" spans="1:11" ht="14.85" customHeight="1" x14ac:dyDescent="0.25">
      <c r="A33" s="16">
        <v>1</v>
      </c>
      <c r="B33" s="131" t="s">
        <v>17</v>
      </c>
      <c r="C33" s="131"/>
      <c r="D33" s="131"/>
      <c r="E33" s="131"/>
      <c r="F33" s="131"/>
      <c r="G33" s="131"/>
      <c r="H33" s="131"/>
      <c r="I33" s="131"/>
      <c r="J33" s="131"/>
      <c r="K33" s="131"/>
    </row>
    <row r="34" spans="1:11" ht="32.1" customHeight="1" x14ac:dyDescent="0.25">
      <c r="A34" s="10">
        <v>2</v>
      </c>
      <c r="B34" s="131" t="s">
        <v>91</v>
      </c>
      <c r="C34" s="131"/>
      <c r="D34" s="131"/>
      <c r="E34" s="131"/>
      <c r="F34" s="131"/>
      <c r="G34" s="131"/>
      <c r="H34" s="131"/>
      <c r="I34" s="131"/>
      <c r="J34" s="131"/>
      <c r="K34" s="131"/>
    </row>
    <row r="35" spans="1:11" ht="32.1" customHeight="1" x14ac:dyDescent="0.25">
      <c r="A35" s="10">
        <v>3</v>
      </c>
      <c r="B35" s="131" t="s">
        <v>128</v>
      </c>
      <c r="C35" s="131"/>
      <c r="D35" s="131"/>
      <c r="E35" s="131"/>
      <c r="F35" s="131"/>
      <c r="G35" s="131"/>
      <c r="H35" s="131"/>
      <c r="I35" s="131"/>
      <c r="J35" s="131"/>
      <c r="K35" s="131"/>
    </row>
    <row r="36" spans="1:11" ht="43.5" customHeight="1" x14ac:dyDescent="0.25">
      <c r="A36" s="10">
        <v>4</v>
      </c>
      <c r="B36" s="119" t="s">
        <v>16</v>
      </c>
      <c r="C36" s="119"/>
      <c r="D36" s="119"/>
      <c r="E36" s="119"/>
      <c r="F36" s="119"/>
      <c r="G36" s="119"/>
      <c r="H36" s="119"/>
      <c r="I36" s="119"/>
      <c r="J36" s="119"/>
      <c r="K36" s="119"/>
    </row>
    <row r="37" spans="1:11" ht="33.950000000000003" customHeight="1" x14ac:dyDescent="0.25">
      <c r="A37" s="10">
        <v>5</v>
      </c>
      <c r="B37" s="119" t="s">
        <v>129</v>
      </c>
      <c r="C37" s="119"/>
      <c r="D37" s="119"/>
      <c r="E37" s="119"/>
      <c r="F37" s="119"/>
      <c r="G37" s="119"/>
      <c r="H37" s="119"/>
      <c r="I37" s="119"/>
      <c r="J37" s="119"/>
      <c r="K37" s="119"/>
    </row>
    <row r="38" spans="1:11" ht="19.5" customHeight="1" x14ac:dyDescent="0.25">
      <c r="A38" s="10">
        <v>6</v>
      </c>
      <c r="B38" s="132" t="s">
        <v>8</v>
      </c>
      <c r="C38" s="132"/>
      <c r="D38" s="132"/>
      <c r="E38" s="132"/>
      <c r="F38" s="132"/>
      <c r="G38" s="132"/>
      <c r="H38" s="132"/>
      <c r="I38" s="132"/>
      <c r="J38" s="132"/>
      <c r="K38" s="132"/>
    </row>
    <row r="39" spans="1:11" ht="45.6" customHeight="1" x14ac:dyDescent="0.25">
      <c r="A39" s="10">
        <v>7</v>
      </c>
      <c r="B39" s="119" t="s">
        <v>97</v>
      </c>
      <c r="C39" s="119"/>
      <c r="D39" s="119"/>
      <c r="E39" s="119"/>
      <c r="F39" s="119"/>
      <c r="G39" s="119"/>
      <c r="H39" s="119"/>
      <c r="I39" s="119"/>
      <c r="J39" s="119"/>
      <c r="K39" s="119"/>
    </row>
    <row r="40" spans="1:11" ht="14.85" customHeight="1" x14ac:dyDescent="0.25">
      <c r="A40" s="10">
        <v>8</v>
      </c>
      <c r="B40" s="132" t="s">
        <v>26</v>
      </c>
      <c r="C40" s="132"/>
      <c r="D40" s="132"/>
      <c r="E40" s="132"/>
      <c r="F40" s="132"/>
      <c r="G40" s="132"/>
      <c r="H40" s="132"/>
      <c r="I40" s="132"/>
      <c r="J40" s="132"/>
      <c r="K40" s="132"/>
    </row>
    <row r="41" spans="1:11" x14ac:dyDescent="0.25">
      <c r="A41" s="10">
        <v>9</v>
      </c>
      <c r="B41" s="132" t="s">
        <v>27</v>
      </c>
      <c r="C41" s="132"/>
      <c r="D41" s="132"/>
      <c r="E41" s="132"/>
      <c r="F41" s="132"/>
      <c r="G41" s="132"/>
      <c r="H41" s="132"/>
      <c r="I41" s="132"/>
      <c r="J41" s="132"/>
      <c r="K41" s="132"/>
    </row>
    <row r="42" spans="1:11" ht="45.6" customHeight="1" x14ac:dyDescent="0.25">
      <c r="A42" s="10">
        <v>10</v>
      </c>
      <c r="B42" s="119" t="s">
        <v>118</v>
      </c>
      <c r="C42" s="119"/>
      <c r="D42" s="119"/>
      <c r="E42" s="119"/>
      <c r="F42" s="119"/>
      <c r="G42" s="119"/>
      <c r="H42" s="119"/>
      <c r="I42" s="119"/>
      <c r="J42" s="119"/>
      <c r="K42" s="119"/>
    </row>
    <row r="43" spans="1:11" ht="45.6" customHeight="1" x14ac:dyDescent="0.25">
      <c r="A43" s="10">
        <v>11</v>
      </c>
      <c r="B43" s="119" t="s">
        <v>119</v>
      </c>
      <c r="C43" s="119"/>
      <c r="D43" s="119"/>
      <c r="E43" s="119"/>
      <c r="F43" s="119"/>
      <c r="G43" s="119"/>
      <c r="H43" s="119"/>
      <c r="I43" s="119"/>
      <c r="J43" s="119"/>
      <c r="K43" s="119"/>
    </row>
    <row r="44" spans="1:11" ht="45.6" customHeight="1" x14ac:dyDescent="0.25">
      <c r="A44" s="10">
        <v>12</v>
      </c>
      <c r="B44" s="119" t="s">
        <v>120</v>
      </c>
      <c r="C44" s="119"/>
      <c r="D44" s="119"/>
      <c r="E44" s="119"/>
      <c r="F44" s="119"/>
      <c r="G44" s="119"/>
      <c r="H44" s="119"/>
      <c r="I44" s="119"/>
      <c r="J44" s="119"/>
      <c r="K44" s="119"/>
    </row>
    <row r="45" spans="1:11" ht="45.6" customHeight="1" x14ac:dyDescent="0.25">
      <c r="A45" s="10">
        <v>13</v>
      </c>
      <c r="B45" s="119" t="s">
        <v>130</v>
      </c>
      <c r="C45" s="119"/>
      <c r="D45" s="119"/>
      <c r="E45" s="119"/>
      <c r="F45" s="119"/>
      <c r="G45" s="119"/>
      <c r="H45" s="119"/>
      <c r="I45" s="119"/>
      <c r="J45" s="119"/>
      <c r="K45" s="119"/>
    </row>
    <row r="46" spans="1:11" ht="31.7" customHeight="1" x14ac:dyDescent="0.25">
      <c r="A46" s="10">
        <v>14</v>
      </c>
      <c r="B46" s="119" t="s">
        <v>122</v>
      </c>
      <c r="C46" s="119"/>
      <c r="D46" s="119"/>
      <c r="E46" s="119"/>
      <c r="F46" s="119"/>
      <c r="G46" s="119"/>
      <c r="H46" s="119"/>
      <c r="I46" s="119"/>
      <c r="J46" s="119"/>
      <c r="K46" s="119"/>
    </row>
    <row r="47" spans="1:11" ht="30" customHeight="1" x14ac:dyDescent="0.25">
      <c r="A47" s="10">
        <v>15</v>
      </c>
      <c r="B47" s="119" t="s">
        <v>123</v>
      </c>
      <c r="C47" s="119"/>
      <c r="D47" s="119"/>
      <c r="E47" s="119"/>
      <c r="F47" s="119"/>
      <c r="G47" s="119"/>
      <c r="H47" s="119"/>
      <c r="I47" s="119"/>
      <c r="J47" s="119"/>
      <c r="K47" s="119"/>
    </row>
    <row r="48" spans="1:11" ht="23.85" customHeight="1" x14ac:dyDescent="0.25">
      <c r="A48" s="10">
        <v>16</v>
      </c>
      <c r="B48" s="132" t="s">
        <v>124</v>
      </c>
      <c r="C48" s="132"/>
      <c r="D48" s="132"/>
      <c r="E48" s="132"/>
      <c r="F48" s="132"/>
      <c r="G48" s="132"/>
      <c r="H48" s="132"/>
      <c r="I48" s="132"/>
      <c r="J48" s="132"/>
      <c r="K48" s="132"/>
    </row>
    <row r="50" spans="1:11" x14ac:dyDescent="0.25">
      <c r="A50" s="1" t="s">
        <v>96</v>
      </c>
    </row>
    <row r="51" spans="1:11" ht="57" customHeight="1" x14ac:dyDescent="0.25">
      <c r="A51" s="10" t="s">
        <v>15</v>
      </c>
      <c r="B51" s="112" t="s">
        <v>125</v>
      </c>
      <c r="C51" s="112"/>
      <c r="D51" s="112"/>
      <c r="E51" s="112"/>
      <c r="F51" s="112"/>
      <c r="G51" s="112"/>
      <c r="H51" s="112"/>
      <c r="I51" s="112"/>
      <c r="J51" s="112"/>
      <c r="K51" s="112"/>
    </row>
    <row r="52" spans="1:11" x14ac:dyDescent="0.25">
      <c r="A52" s="10"/>
    </row>
  </sheetData>
  <sheetProtection algorithmName="SHA-512" hashValue="sJzVCV+lnxlGkn2SwVjk/i4SHz02tD1PS2YEr/WLINn6LWDR4PSGUPKsDhMCI9RyxlQui5o2ochOQF0gFsqVPA==" saltValue="OpEAExTB54y1ZGeVqnOEVQ==" spinCount="100000" sheet="1" objects="1" scenarios="1"/>
  <mergeCells count="17">
    <mergeCell ref="B44:K44"/>
    <mergeCell ref="B33:K33"/>
    <mergeCell ref="B34:K34"/>
    <mergeCell ref="B35:K35"/>
    <mergeCell ref="B36:K36"/>
    <mergeCell ref="B37:K37"/>
    <mergeCell ref="B38:K38"/>
    <mergeCell ref="B39:K39"/>
    <mergeCell ref="B40:K40"/>
    <mergeCell ref="B41:K41"/>
    <mergeCell ref="B42:K42"/>
    <mergeCell ref="B43:K43"/>
    <mergeCell ref="B45:K45"/>
    <mergeCell ref="B46:K46"/>
    <mergeCell ref="B47:K47"/>
    <mergeCell ref="B48:K48"/>
    <mergeCell ref="B51:K51"/>
  </mergeCells>
  <pageMargins left="0.7" right="0.7" top="0.75" bottom="0.75" header="0.3" footer="0.3"/>
  <pageSetup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H9" sqref="H9"/>
    </sheetView>
  </sheetViews>
  <sheetFormatPr defaultRowHeight="15" x14ac:dyDescent="0.25"/>
  <cols>
    <col min="1" max="1" width="5.42578125" customWidth="1"/>
    <col min="2" max="2" width="35.85546875" customWidth="1"/>
    <col min="3" max="3" width="13.140625" customWidth="1"/>
    <col min="4" max="4" width="13.85546875" customWidth="1"/>
    <col min="5" max="5" width="16.140625" customWidth="1"/>
    <col min="6" max="6" width="14.140625" customWidth="1"/>
    <col min="9" max="9" width="12.42578125" customWidth="1"/>
    <col min="10" max="11" width="9.85546875" customWidth="1"/>
  </cols>
  <sheetData>
    <row r="1" spans="1:6" x14ac:dyDescent="0.25">
      <c r="B1" s="1" t="s">
        <v>87</v>
      </c>
    </row>
    <row r="2" spans="1:6" x14ac:dyDescent="0.25">
      <c r="B2" s="1" t="s">
        <v>54</v>
      </c>
    </row>
    <row r="3" spans="1:6" x14ac:dyDescent="0.25">
      <c r="B3" s="1" t="s">
        <v>90</v>
      </c>
    </row>
    <row r="4" spans="1:6" x14ac:dyDescent="0.25">
      <c r="B4" s="1"/>
    </row>
    <row r="5" spans="1:6" ht="15.75" thickBot="1" x14ac:dyDescent="0.3">
      <c r="B5" s="1" t="s">
        <v>134</v>
      </c>
    </row>
    <row r="6" spans="1:6" ht="75.75" thickBot="1" x14ac:dyDescent="0.3">
      <c r="B6" s="71" t="s">
        <v>19</v>
      </c>
      <c r="C6" s="72" t="s">
        <v>113</v>
      </c>
      <c r="D6" s="72" t="s">
        <v>132</v>
      </c>
      <c r="E6" s="73" t="s">
        <v>133</v>
      </c>
    </row>
    <row r="7" spans="1:6" x14ac:dyDescent="0.25">
      <c r="B7" s="61">
        <v>2020</v>
      </c>
      <c r="C7" s="85">
        <f>C30</f>
        <v>2.5955314533622555</v>
      </c>
      <c r="D7" s="85">
        <f>C28</f>
        <v>0</v>
      </c>
      <c r="E7" s="86">
        <f>C25</f>
        <v>2.595531453362256</v>
      </c>
    </row>
    <row r="8" spans="1:6" x14ac:dyDescent="0.25">
      <c r="B8" s="48">
        <v>2021</v>
      </c>
      <c r="C8" s="4">
        <f>D30</f>
        <v>2.0356393001345907</v>
      </c>
      <c r="D8" s="4">
        <f>D28</f>
        <v>0</v>
      </c>
      <c r="E8" s="81">
        <f>D25</f>
        <v>2.0356393001345898</v>
      </c>
    </row>
    <row r="9" spans="1:6" x14ac:dyDescent="0.25">
      <c r="B9" s="48">
        <v>2022</v>
      </c>
      <c r="C9" s="4">
        <f>E30</f>
        <v>1.5902084446819895</v>
      </c>
      <c r="D9" s="4">
        <f>E28</f>
        <v>0</v>
      </c>
      <c r="E9" s="81">
        <f>E25</f>
        <v>1.5902084446819882</v>
      </c>
    </row>
    <row r="10" spans="1:6" ht="15.75" thickBot="1" x14ac:dyDescent="0.3">
      <c r="B10" s="82">
        <v>2023</v>
      </c>
      <c r="C10" s="83">
        <f>F30</f>
        <v>1.0539586645469008</v>
      </c>
      <c r="D10" s="83">
        <f>F28</f>
        <v>0</v>
      </c>
      <c r="E10" s="84">
        <f>F25</f>
        <v>1.0539586645468999</v>
      </c>
    </row>
    <row r="12" spans="1:6" x14ac:dyDescent="0.25">
      <c r="C12" s="2"/>
    </row>
    <row r="13" spans="1:6" x14ac:dyDescent="0.25">
      <c r="B13" s="1" t="s">
        <v>34</v>
      </c>
    </row>
    <row r="14" spans="1:6" x14ac:dyDescent="0.25">
      <c r="A14" s="12" t="s">
        <v>4</v>
      </c>
      <c r="B14" s="8" t="s">
        <v>19</v>
      </c>
      <c r="C14" s="12">
        <v>2020</v>
      </c>
      <c r="D14" s="12">
        <v>2021</v>
      </c>
      <c r="E14" s="12">
        <v>2022</v>
      </c>
      <c r="F14" s="12">
        <v>2023</v>
      </c>
    </row>
    <row r="15" spans="1:6" x14ac:dyDescent="0.25">
      <c r="A15" s="5">
        <v>1</v>
      </c>
      <c r="B15" s="19" t="s">
        <v>7</v>
      </c>
      <c r="C15" s="7">
        <v>2</v>
      </c>
      <c r="D15" s="7">
        <v>2</v>
      </c>
      <c r="E15" s="7">
        <v>2</v>
      </c>
      <c r="F15" s="7">
        <v>2</v>
      </c>
    </row>
    <row r="16" spans="1:6" x14ac:dyDescent="0.25">
      <c r="A16" s="5">
        <v>2</v>
      </c>
      <c r="B16" s="19" t="s">
        <v>11</v>
      </c>
      <c r="C16" s="6">
        <f>'1. Historical &amp; Future Volumes'!K6</f>
        <v>650</v>
      </c>
      <c r="D16" s="6">
        <f>'1. Historical &amp; Future Volumes'!L6</f>
        <v>750</v>
      </c>
      <c r="E16" s="6">
        <f>'1. Historical &amp; Future Volumes'!M6</f>
        <v>850</v>
      </c>
      <c r="F16" s="6">
        <f>'1. Historical &amp; Future Volumes'!N6</f>
        <v>900</v>
      </c>
    </row>
    <row r="17" spans="1:7" x14ac:dyDescent="0.25">
      <c r="A17" s="5">
        <v>3</v>
      </c>
      <c r="B17" s="19" t="s">
        <v>1</v>
      </c>
      <c r="C17" s="6">
        <f>'1. Historical &amp; Future Volumes'!K9</f>
        <v>3688</v>
      </c>
      <c r="D17" s="6">
        <f>'1. Historical &amp; Future Volumes'!L9</f>
        <v>3715</v>
      </c>
      <c r="E17" s="6">
        <f>'1. Historical &amp; Future Volumes'!M9</f>
        <v>3742</v>
      </c>
      <c r="F17" s="6">
        <f>'1. Historical &amp; Future Volumes'!N9</f>
        <v>3774</v>
      </c>
    </row>
    <row r="18" spans="1:7" x14ac:dyDescent="0.25">
      <c r="A18" s="5">
        <v>4</v>
      </c>
      <c r="B18" s="19" t="s">
        <v>5</v>
      </c>
      <c r="C18" s="6">
        <f>IF(C16/C15*5&gt;C17,C17/5,C16/C15)</f>
        <v>325</v>
      </c>
      <c r="D18" s="6">
        <f>IF(D16/D15*5&gt;D17,D17/5,D16/D15)</f>
        <v>375</v>
      </c>
      <c r="E18" s="6">
        <f>IF(E16/E15*5&gt;E17,E17/5,E16/E15)</f>
        <v>425</v>
      </c>
      <c r="F18" s="6">
        <f>IF(F16/F15*5&gt;F17,F17/5,F16/F15)</f>
        <v>450</v>
      </c>
    </row>
    <row r="19" spans="1:7" x14ac:dyDescent="0.25">
      <c r="A19" s="5">
        <v>5</v>
      </c>
      <c r="B19" s="19" t="s">
        <v>6</v>
      </c>
      <c r="C19" s="6">
        <f>(C17-(C18*5))/20</f>
        <v>103.15</v>
      </c>
      <c r="D19" s="6">
        <f>(D17-(D18*5))/20</f>
        <v>92</v>
      </c>
      <c r="E19" s="6">
        <f>(E17-(E18*5))/20</f>
        <v>80.849999999999994</v>
      </c>
      <c r="F19" s="6">
        <f>(F17-(F18*5))/20</f>
        <v>76.2</v>
      </c>
    </row>
    <row r="20" spans="1:7" x14ac:dyDescent="0.25">
      <c r="A20" s="5">
        <v>6</v>
      </c>
      <c r="B20" s="19" t="s">
        <v>12</v>
      </c>
      <c r="C20" s="6">
        <f>C18+C19</f>
        <v>428.15</v>
      </c>
      <c r="D20" s="6">
        <f t="shared" ref="D20:F20" si="0">D18+D19</f>
        <v>467</v>
      </c>
      <c r="E20" s="6">
        <f t="shared" si="0"/>
        <v>505.85</v>
      </c>
      <c r="F20" s="6">
        <f t="shared" si="0"/>
        <v>526.20000000000005</v>
      </c>
    </row>
    <row r="21" spans="1:7" x14ac:dyDescent="0.25">
      <c r="A21" s="5">
        <v>7</v>
      </c>
      <c r="B21" s="19" t="s">
        <v>0</v>
      </c>
      <c r="C21" s="6">
        <v>464</v>
      </c>
      <c r="D21" s="6">
        <v>411</v>
      </c>
      <c r="E21" s="6">
        <v>368</v>
      </c>
      <c r="F21" s="6">
        <v>261</v>
      </c>
    </row>
    <row r="22" spans="1:7" x14ac:dyDescent="0.25">
      <c r="A22" s="5">
        <v>8</v>
      </c>
      <c r="B22" t="s">
        <v>24</v>
      </c>
      <c r="C22" s="11">
        <v>0.2</v>
      </c>
      <c r="D22" s="11">
        <v>0.2</v>
      </c>
      <c r="E22" s="11">
        <v>0.2</v>
      </c>
      <c r="F22" s="11">
        <v>0.2</v>
      </c>
    </row>
    <row r="23" spans="1:7" x14ac:dyDescent="0.25">
      <c r="A23" s="5">
        <v>9</v>
      </c>
      <c r="B23" t="s">
        <v>25</v>
      </c>
      <c r="C23" s="11">
        <v>0.1</v>
      </c>
      <c r="D23" s="11">
        <v>0.1</v>
      </c>
      <c r="E23" s="11">
        <v>0.1</v>
      </c>
      <c r="F23" s="11">
        <v>0.1</v>
      </c>
    </row>
    <row r="24" spans="1:7" x14ac:dyDescent="0.25">
      <c r="A24" s="5">
        <v>10</v>
      </c>
      <c r="B24" s="19" t="s">
        <v>2</v>
      </c>
      <c r="C24" s="7">
        <f>C20/C17*C22*C21</f>
        <v>10.773405639913232</v>
      </c>
      <c r="D24" s="7">
        <f>D20/D17*D22*D21</f>
        <v>10.333082099596233</v>
      </c>
      <c r="E24" s="7">
        <f>E20/E17*E22*E21</f>
        <v>9.9493746659540374</v>
      </c>
      <c r="F24" s="7">
        <f>F20/F17*F22*F21</f>
        <v>7.2781240063593016</v>
      </c>
    </row>
    <row r="25" spans="1:7" x14ac:dyDescent="0.25">
      <c r="A25" s="5">
        <v>11</v>
      </c>
      <c r="B25" s="19" t="s">
        <v>9</v>
      </c>
      <c r="C25" s="7">
        <f>C19/C17*C22*C21</f>
        <v>2.595531453362256</v>
      </c>
      <c r="D25" s="7">
        <f t="shared" ref="D25:F25" si="1">D19/D17*D22*D21</f>
        <v>2.0356393001345898</v>
      </c>
      <c r="E25" s="7">
        <f t="shared" si="1"/>
        <v>1.5902084446819882</v>
      </c>
      <c r="F25" s="7">
        <f t="shared" si="1"/>
        <v>1.0539586645468999</v>
      </c>
    </row>
    <row r="26" spans="1:7" x14ac:dyDescent="0.25">
      <c r="A26" s="5">
        <v>12</v>
      </c>
      <c r="B26" s="19" t="s">
        <v>10</v>
      </c>
      <c r="C26" s="7">
        <f>C18/C17*C22*C21</f>
        <v>8.1778741865509765</v>
      </c>
      <c r="D26" s="7">
        <f t="shared" ref="D26:F26" si="2">D18/D17*D22*D21</f>
        <v>8.297442799461642</v>
      </c>
      <c r="E26" s="7">
        <f t="shared" si="2"/>
        <v>8.3591662212720479</v>
      </c>
      <c r="F26" s="7">
        <f t="shared" si="2"/>
        <v>6.2241653418124008</v>
      </c>
    </row>
    <row r="27" spans="1:7" x14ac:dyDescent="0.25">
      <c r="A27" s="5">
        <v>13</v>
      </c>
      <c r="B27" s="19" t="s">
        <v>21</v>
      </c>
      <c r="C27" s="7">
        <f>C16/C17*-C23*C21</f>
        <v>-8.1778741865509765</v>
      </c>
      <c r="D27" s="7">
        <f t="shared" ref="D27:F27" si="3">D16/D17*-D23*D21</f>
        <v>-8.297442799461642</v>
      </c>
      <c r="E27" s="7">
        <f t="shared" si="3"/>
        <v>-8.3591662212720479</v>
      </c>
      <c r="F27" s="7">
        <f t="shared" si="3"/>
        <v>-6.2241653418124008</v>
      </c>
      <c r="G27" s="7"/>
    </row>
    <row r="28" spans="1:7" x14ac:dyDescent="0.25">
      <c r="A28" s="5">
        <v>14</v>
      </c>
      <c r="B28" s="19" t="s">
        <v>3</v>
      </c>
      <c r="C28" s="7">
        <f>C26+C18*C15/C17*-C23*C21</f>
        <v>0</v>
      </c>
      <c r="D28" s="7">
        <f t="shared" ref="D28:F28" si="4">D26+D18*D15/D17*-D23*D21</f>
        <v>0</v>
      </c>
      <c r="E28" s="7">
        <f t="shared" si="4"/>
        <v>0</v>
      </c>
      <c r="F28" s="7">
        <f t="shared" si="4"/>
        <v>0</v>
      </c>
    </row>
    <row r="29" spans="1:7" x14ac:dyDescent="0.25">
      <c r="A29" s="5">
        <v>15</v>
      </c>
      <c r="B29" s="19" t="s">
        <v>22</v>
      </c>
      <c r="C29" s="7">
        <f>(C16-C18*C15)/C17*-C23*C21</f>
        <v>0</v>
      </c>
      <c r="D29" s="7">
        <f t="shared" ref="D29:F29" si="5">(D16-D18*D15)/D17*-D23*D21</f>
        <v>0</v>
      </c>
      <c r="E29" s="7">
        <f t="shared" si="5"/>
        <v>0</v>
      </c>
      <c r="F29" s="7">
        <f t="shared" si="5"/>
        <v>0</v>
      </c>
    </row>
    <row r="30" spans="1:7" x14ac:dyDescent="0.25">
      <c r="A30" s="5">
        <v>16</v>
      </c>
      <c r="B30" s="19" t="s">
        <v>13</v>
      </c>
      <c r="C30" s="7">
        <f>SUM(C24,C27)</f>
        <v>2.5955314533622555</v>
      </c>
      <c r="D30" s="7">
        <f t="shared" ref="D30:F30" si="6">SUM(D24,D27)</f>
        <v>2.0356393001345907</v>
      </c>
      <c r="E30" s="7">
        <f t="shared" si="6"/>
        <v>1.5902084446819895</v>
      </c>
      <c r="F30" s="7">
        <f t="shared" si="6"/>
        <v>1.0539586645469008</v>
      </c>
    </row>
    <row r="32" spans="1:7" x14ac:dyDescent="0.25">
      <c r="A32" s="1" t="s">
        <v>4</v>
      </c>
      <c r="B32" s="8" t="s">
        <v>35</v>
      </c>
    </row>
    <row r="33" spans="1:11" ht="14.85" customHeight="1" x14ac:dyDescent="0.25">
      <c r="A33" s="16">
        <v>1</v>
      </c>
      <c r="B33" s="131" t="s">
        <v>17</v>
      </c>
      <c r="C33" s="131"/>
      <c r="D33" s="131"/>
      <c r="E33" s="131"/>
      <c r="F33" s="131"/>
      <c r="G33" s="131"/>
      <c r="H33" s="131"/>
      <c r="I33" s="131"/>
      <c r="J33" s="131"/>
      <c r="K33" s="131"/>
    </row>
    <row r="34" spans="1:11" ht="32.1" customHeight="1" x14ac:dyDescent="0.25">
      <c r="A34" s="10">
        <v>2</v>
      </c>
      <c r="B34" s="131" t="s">
        <v>91</v>
      </c>
      <c r="C34" s="131"/>
      <c r="D34" s="131"/>
      <c r="E34" s="131"/>
      <c r="F34" s="131"/>
      <c r="G34" s="131"/>
      <c r="H34" s="131"/>
      <c r="I34" s="131"/>
      <c r="J34" s="131"/>
      <c r="K34" s="131"/>
    </row>
    <row r="35" spans="1:11" ht="32.1" customHeight="1" x14ac:dyDescent="0.25">
      <c r="A35" s="10">
        <v>3</v>
      </c>
      <c r="B35" s="131" t="s">
        <v>128</v>
      </c>
      <c r="C35" s="131"/>
      <c r="D35" s="131"/>
      <c r="E35" s="131"/>
      <c r="F35" s="131"/>
      <c r="G35" s="131"/>
      <c r="H35" s="131"/>
      <c r="I35" s="131"/>
      <c r="J35" s="131"/>
      <c r="K35" s="131"/>
    </row>
    <row r="36" spans="1:11" ht="43.5" customHeight="1" x14ac:dyDescent="0.25">
      <c r="A36" s="10">
        <v>4</v>
      </c>
      <c r="B36" s="119" t="s">
        <v>16</v>
      </c>
      <c r="C36" s="119"/>
      <c r="D36" s="119"/>
      <c r="E36" s="119"/>
      <c r="F36" s="119"/>
      <c r="G36" s="119"/>
      <c r="H36" s="119"/>
      <c r="I36" s="119"/>
      <c r="J36" s="119"/>
      <c r="K36" s="119"/>
    </row>
    <row r="37" spans="1:11" ht="33.950000000000003" customHeight="1" x14ac:dyDescent="0.25">
      <c r="A37" s="10">
        <v>5</v>
      </c>
      <c r="B37" s="119" t="s">
        <v>129</v>
      </c>
      <c r="C37" s="119"/>
      <c r="D37" s="119"/>
      <c r="E37" s="119"/>
      <c r="F37" s="119"/>
      <c r="G37" s="119"/>
      <c r="H37" s="119"/>
      <c r="I37" s="119"/>
      <c r="J37" s="119"/>
      <c r="K37" s="119"/>
    </row>
    <row r="38" spans="1:11" ht="19.5" customHeight="1" x14ac:dyDescent="0.25">
      <c r="A38" s="10">
        <v>6</v>
      </c>
      <c r="B38" s="132" t="s">
        <v>8</v>
      </c>
      <c r="C38" s="132"/>
      <c r="D38" s="132"/>
      <c r="E38" s="132"/>
      <c r="F38" s="132"/>
      <c r="G38" s="132"/>
      <c r="H38" s="132"/>
      <c r="I38" s="132"/>
      <c r="J38" s="132"/>
      <c r="K38" s="132"/>
    </row>
    <row r="39" spans="1:11" ht="48.6" customHeight="1" x14ac:dyDescent="0.25">
      <c r="A39" s="10">
        <v>7</v>
      </c>
      <c r="B39" s="119" t="s">
        <v>97</v>
      </c>
      <c r="C39" s="119"/>
      <c r="D39" s="119"/>
      <c r="E39" s="119"/>
      <c r="F39" s="119"/>
      <c r="G39" s="119"/>
      <c r="H39" s="119"/>
      <c r="I39" s="119"/>
      <c r="J39" s="119"/>
      <c r="K39" s="119"/>
    </row>
    <row r="40" spans="1:11" ht="14.85" customHeight="1" x14ac:dyDescent="0.25">
      <c r="A40" s="10">
        <v>8</v>
      </c>
      <c r="B40" s="132" t="s">
        <v>26</v>
      </c>
      <c r="C40" s="132"/>
      <c r="D40" s="132"/>
      <c r="E40" s="132"/>
      <c r="F40" s="132"/>
      <c r="G40" s="132"/>
      <c r="H40" s="132"/>
      <c r="I40" s="132"/>
      <c r="J40" s="132"/>
      <c r="K40" s="132"/>
    </row>
    <row r="41" spans="1:11" x14ac:dyDescent="0.25">
      <c r="A41" s="10">
        <v>9</v>
      </c>
      <c r="B41" s="132" t="s">
        <v>27</v>
      </c>
      <c r="C41" s="132"/>
      <c r="D41" s="132"/>
      <c r="E41" s="132"/>
      <c r="F41" s="132"/>
      <c r="G41" s="132"/>
      <c r="H41" s="132"/>
      <c r="I41" s="132"/>
      <c r="J41" s="132"/>
      <c r="K41" s="132"/>
    </row>
    <row r="42" spans="1:11" ht="45.6" customHeight="1" x14ac:dyDescent="0.25">
      <c r="A42" s="10">
        <v>10</v>
      </c>
      <c r="B42" s="119" t="s">
        <v>118</v>
      </c>
      <c r="C42" s="119"/>
      <c r="D42" s="119"/>
      <c r="E42" s="119"/>
      <c r="F42" s="119"/>
      <c r="G42" s="119"/>
      <c r="H42" s="119"/>
      <c r="I42" s="119"/>
      <c r="J42" s="119"/>
      <c r="K42" s="119"/>
    </row>
    <row r="43" spans="1:11" ht="45.6" customHeight="1" x14ac:dyDescent="0.25">
      <c r="A43" s="10">
        <v>11</v>
      </c>
      <c r="B43" s="119" t="s">
        <v>119</v>
      </c>
      <c r="C43" s="119"/>
      <c r="D43" s="119"/>
      <c r="E43" s="119"/>
      <c r="F43" s="119"/>
      <c r="G43" s="119"/>
      <c r="H43" s="119"/>
      <c r="I43" s="119"/>
      <c r="J43" s="119"/>
      <c r="K43" s="119"/>
    </row>
    <row r="44" spans="1:11" ht="45.6" customHeight="1" x14ac:dyDescent="0.25">
      <c r="A44" s="10">
        <v>12</v>
      </c>
      <c r="B44" s="119" t="s">
        <v>120</v>
      </c>
      <c r="C44" s="119"/>
      <c r="D44" s="119"/>
      <c r="E44" s="119"/>
      <c r="F44" s="119"/>
      <c r="G44" s="119"/>
      <c r="H44" s="119"/>
      <c r="I44" s="119"/>
      <c r="J44" s="119"/>
      <c r="K44" s="119"/>
    </row>
    <row r="45" spans="1:11" ht="45.6" customHeight="1" x14ac:dyDescent="0.25">
      <c r="A45" s="10">
        <v>13</v>
      </c>
      <c r="B45" s="119" t="s">
        <v>130</v>
      </c>
      <c r="C45" s="119"/>
      <c r="D45" s="119"/>
      <c r="E45" s="119"/>
      <c r="F45" s="119"/>
      <c r="G45" s="119"/>
      <c r="H45" s="119"/>
      <c r="I45" s="119"/>
      <c r="J45" s="119"/>
      <c r="K45" s="119"/>
    </row>
    <row r="46" spans="1:11" ht="31.7" customHeight="1" x14ac:dyDescent="0.25">
      <c r="A46" s="10">
        <v>14</v>
      </c>
      <c r="B46" s="119" t="s">
        <v>122</v>
      </c>
      <c r="C46" s="119"/>
      <c r="D46" s="119"/>
      <c r="E46" s="119"/>
      <c r="F46" s="119"/>
      <c r="G46" s="119"/>
      <c r="H46" s="119"/>
      <c r="I46" s="119"/>
      <c r="J46" s="119"/>
      <c r="K46" s="119"/>
    </row>
    <row r="47" spans="1:11" ht="30" customHeight="1" x14ac:dyDescent="0.25">
      <c r="A47" s="10">
        <v>15</v>
      </c>
      <c r="B47" s="119" t="s">
        <v>123</v>
      </c>
      <c r="C47" s="119"/>
      <c r="D47" s="119"/>
      <c r="E47" s="119"/>
      <c r="F47" s="119"/>
      <c r="G47" s="119"/>
      <c r="H47" s="119"/>
      <c r="I47" s="119"/>
      <c r="J47" s="119"/>
      <c r="K47" s="119"/>
    </row>
    <row r="48" spans="1:11" ht="23.85" customHeight="1" x14ac:dyDescent="0.25">
      <c r="A48" s="10">
        <v>16</v>
      </c>
      <c r="B48" s="132" t="s">
        <v>124</v>
      </c>
      <c r="C48" s="132"/>
      <c r="D48" s="132"/>
      <c r="E48" s="132"/>
      <c r="F48" s="132"/>
      <c r="G48" s="132"/>
      <c r="H48" s="132"/>
      <c r="I48" s="132"/>
      <c r="J48" s="132"/>
      <c r="K48" s="132"/>
    </row>
    <row r="50" spans="1:11" x14ac:dyDescent="0.25">
      <c r="A50" s="1" t="s">
        <v>84</v>
      </c>
    </row>
    <row r="51" spans="1:11" ht="57" customHeight="1" x14ac:dyDescent="0.25">
      <c r="A51" s="10" t="s">
        <v>15</v>
      </c>
      <c r="B51" s="112" t="s">
        <v>125</v>
      </c>
      <c r="C51" s="112"/>
      <c r="D51" s="112"/>
      <c r="E51" s="112"/>
      <c r="F51" s="112"/>
      <c r="G51" s="112"/>
      <c r="H51" s="112"/>
      <c r="I51" s="112"/>
      <c r="J51" s="112"/>
      <c r="K51" s="112"/>
    </row>
    <row r="52" spans="1:11" x14ac:dyDescent="0.25">
      <c r="A52" s="10"/>
    </row>
  </sheetData>
  <sheetProtection algorithmName="SHA-512" hashValue="kauNAa+y3Y4/4Qbf8bWzz30n8HQDhd8XmqANTdngf22HaYMS2d5yGCWoXxUs6MWUkUQflw44e9/p2vh6EKYUKw==" saltValue="ZcAdHNQ6AOpc1jiwI8pDVw==" spinCount="100000" sheet="1" objects="1" scenarios="1"/>
  <mergeCells count="17">
    <mergeCell ref="B44:K44"/>
    <mergeCell ref="B33:K33"/>
    <mergeCell ref="B34:K34"/>
    <mergeCell ref="B35:K35"/>
    <mergeCell ref="B36:K36"/>
    <mergeCell ref="B37:K37"/>
    <mergeCell ref="B38:K38"/>
    <mergeCell ref="B39:K39"/>
    <mergeCell ref="B40:K40"/>
    <mergeCell ref="B41:K41"/>
    <mergeCell ref="B42:K42"/>
    <mergeCell ref="B43:K43"/>
    <mergeCell ref="B45:K45"/>
    <mergeCell ref="B46:K46"/>
    <mergeCell ref="B47:K47"/>
    <mergeCell ref="B48:K48"/>
    <mergeCell ref="B51:K51"/>
  </mergeCell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1. Historical &amp; Future Volumes</vt:lpstr>
      <vt:lpstr>2. Summary of Scenarios</vt:lpstr>
      <vt:lpstr>3. Quantitative Results</vt:lpstr>
      <vt:lpstr>4. Qualitative Analysis</vt:lpstr>
      <vt:lpstr>5. Calculations - Scenario A</vt:lpstr>
      <vt:lpstr>6. Calculations - Scenario B</vt:lpstr>
      <vt:lpstr>7. Calculations - Scenario C</vt:lpstr>
      <vt:lpstr>8. Calculations - Scenario D</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Alexander (Lex)@ARB</dc:creator>
  <cp:lastModifiedBy>Penfield, Sarah@ARB</cp:lastModifiedBy>
  <dcterms:created xsi:type="dcterms:W3CDTF">2020-04-28T22:21:20Z</dcterms:created>
  <dcterms:modified xsi:type="dcterms:W3CDTF">2020-06-04T15:58:36Z</dcterms:modified>
</cp:coreProperties>
</file>