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hand\Desktop\Final E3 Deliverables\"/>
    </mc:Choice>
  </mc:AlternateContent>
  <bookViews>
    <workbookView xWindow="0" yWindow="0" windowWidth="12585" windowHeight="3960" tabRatio="853"/>
  </bookViews>
  <sheets>
    <sheet name="Cover" sheetId="16" r:id="rId1"/>
    <sheet name="Summary" sheetId="1" r:id="rId2"/>
    <sheet name="Electricity Decarbonization" sheetId="15" r:id="rId3"/>
    <sheet name="Industry Elec. - Boilers" sheetId="13" r:id="rId4"/>
    <sheet name="Industry Elec. - Process Heat" sheetId="6" r:id="rId5"/>
    <sheet name="Industry CCS - Process Heat" sheetId="14" r:id="rId6"/>
    <sheet name="Industry Hydrogen &amp; SNG" sheetId="5" r:id="rId7"/>
    <sheet name="MDV &amp; HDV Decarbonization" sheetId="3" r:id="rId8"/>
    <sheet name="DAC &amp; BECCS" sheetId="10" r:id="rId9"/>
    <sheet name="Fuel Costs - PATHWAYS" sheetId="7" r:id="rId10"/>
    <sheet name="Emission Factors - PATHWAYS" sheetId="8" r:id="rId11"/>
    <sheet name="Constants" sheetId="4" r:id="rId12"/>
  </sheets>
  <externalReferences>
    <externalReference r:id="rId13"/>
    <externalReference r:id="rId14"/>
  </externalReferences>
  <definedNames>
    <definedName name="Avoided_costs">[1]CC_Energy_Calc!$F$99:$F$113</definedName>
    <definedName name="Capture_point_sources">[1]CC_Energy_Calc!$C$78:$C$92</definedName>
    <definedName name="CH4_kg_to_MMBtu">Constants!$D$8</definedName>
    <definedName name="CRF">'[2]General Inputs'!$C$2</definedName>
    <definedName name="Cst_CAPEX_per_OPEX">[1]Admin!$E$70</definedName>
    <definedName name="Cst_ct_per_dollar">[1]Admin!$F$33</definedName>
    <definedName name="Cst_kWh_per_MMBtu">[1]Admin!$F$44</definedName>
    <definedName name="Cst_kWh_per_MWh">[1]Admin!$F$42</definedName>
    <definedName name="Cst_lbs_per_kg">[1]Admin!$F$34</definedName>
    <definedName name="Cst_ton_to_tonne">[1]Admin!$F$28</definedName>
    <definedName name="diesel_emissions_intensity">Constants!$D$16</definedName>
    <definedName name="dollar_conversion18to20">Constants!#REF!</definedName>
    <definedName name="Emis_Sources_Data">[1]Merge_Emis_Sources!$G$15:$S$88</definedName>
    <definedName name="Emis_Sources_Labels">[1]Merge_Emis_Sources!$G$13:$S$13</definedName>
    <definedName name="Feedstock_Use">[1]Enthal_Calc!$J$70:$J$79</definedName>
    <definedName name="gas_CI_tCO2_MWh">'[2]NAS Report'!$E$16</definedName>
    <definedName name="gasoline_emissions_intensity">Constants!$D$15</definedName>
    <definedName name="H2_kg_to_MMBtu">Constants!$D$7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Wh_to_Btu">Constants!$D$4</definedName>
    <definedName name="kWh_to_GGE">Constants!$D$10</definedName>
    <definedName name="MWhperGJ">'[2]DAC Cost and Energy Requirement'!$D$2</definedName>
    <definedName name="natural_gas_emissions_intensity">Constants!$D$17</definedName>
    <definedName name="Reactant_Type">[1]Enthal_Calc!$C$70:$C$79</definedName>
    <definedName name="SupCalc_Data">[1]Sup_Calc!$A:$R</definedName>
    <definedName name="SupCalc_Product">[1]Sup_Calc!$A:$A</definedName>
    <definedName name="SupCalc_Type">[1]Sup_Calc!$A$1:$R$1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5" l="1"/>
  <c r="D7" i="15"/>
  <c r="I13" i="3"/>
  <c r="D9" i="15"/>
  <c r="E17" i="1"/>
  <c r="D17" i="1"/>
  <c r="E14" i="1"/>
  <c r="D14" i="1"/>
  <c r="H75" i="3" l="1"/>
  <c r="Y36" i="3"/>
  <c r="Y34" i="3"/>
  <c r="Z58" i="3"/>
  <c r="Y58" i="3"/>
  <c r="X58" i="3"/>
  <c r="T58" i="3"/>
  <c r="S58" i="3"/>
  <c r="O58" i="3"/>
  <c r="N58" i="3"/>
  <c r="J58" i="3"/>
  <c r="I58" i="3"/>
  <c r="E58" i="3"/>
  <c r="D58" i="3"/>
  <c r="Z56" i="3"/>
  <c r="Y56" i="3"/>
  <c r="X56" i="3"/>
  <c r="T56" i="3"/>
  <c r="S56" i="3"/>
  <c r="O56" i="3"/>
  <c r="N56" i="3"/>
  <c r="J56" i="3"/>
  <c r="I56" i="3"/>
  <c r="E56" i="3"/>
  <c r="D56" i="3"/>
  <c r="Z36" i="3"/>
  <c r="X36" i="3"/>
  <c r="T36" i="3"/>
  <c r="S36" i="3"/>
  <c r="O36" i="3"/>
  <c r="N36" i="3"/>
  <c r="J36" i="3"/>
  <c r="I36" i="3"/>
  <c r="E36" i="3"/>
  <c r="D36" i="3"/>
  <c r="Z34" i="3"/>
  <c r="X34" i="3"/>
  <c r="T34" i="3"/>
  <c r="S34" i="3"/>
  <c r="O34" i="3"/>
  <c r="N34" i="3"/>
  <c r="J34" i="3"/>
  <c r="I34" i="3"/>
  <c r="E34" i="3"/>
  <c r="D34" i="3"/>
  <c r="Z47" i="3"/>
  <c r="Z45" i="3"/>
  <c r="X47" i="3"/>
  <c r="X45" i="3"/>
  <c r="T47" i="3"/>
  <c r="T45" i="3"/>
  <c r="S47" i="3"/>
  <c r="S45" i="3"/>
  <c r="O47" i="3"/>
  <c r="O45" i="3"/>
  <c r="N47" i="3"/>
  <c r="N45" i="3"/>
  <c r="J47" i="3"/>
  <c r="J45" i="3"/>
  <c r="I47" i="3"/>
  <c r="I45" i="3"/>
  <c r="E47" i="3"/>
  <c r="E45" i="3"/>
  <c r="D47" i="3"/>
  <c r="D45" i="3"/>
  <c r="H56" i="6"/>
  <c r="D56" i="6"/>
  <c r="H32" i="6"/>
  <c r="D32" i="6"/>
  <c r="H44" i="6"/>
  <c r="D44" i="6"/>
  <c r="O28" i="13"/>
  <c r="N28" i="13"/>
  <c r="J28" i="13"/>
  <c r="I28" i="13"/>
  <c r="E28" i="13"/>
  <c r="D28" i="13"/>
  <c r="D10" i="15" l="1"/>
  <c r="D17" i="15"/>
  <c r="E17" i="15"/>
  <c r="E18" i="15" s="1"/>
  <c r="E6" i="1" l="1"/>
  <c r="D18" i="15"/>
  <c r="D6" i="1" s="1"/>
  <c r="D33" i="10"/>
  <c r="C47" i="10"/>
  <c r="I8" i="3" l="1"/>
  <c r="D10" i="3" s="1"/>
  <c r="E28" i="5" l="1"/>
  <c r="D9" i="5" l="1"/>
  <c r="D19" i="5"/>
  <c r="D28" i="5" s="1"/>
  <c r="D9" i="13"/>
  <c r="E39" i="5" l="1"/>
  <c r="D11" i="1" s="1"/>
  <c r="D39" i="5"/>
  <c r="E11" i="1" s="1"/>
  <c r="D10" i="14"/>
  <c r="C10" i="14" l="1"/>
  <c r="C16" i="14" s="1"/>
  <c r="C11" i="14"/>
  <c r="C17" i="14" s="1"/>
  <c r="D9" i="14"/>
  <c r="D15" i="14" s="1"/>
  <c r="C9" i="14"/>
  <c r="C15" i="14" s="1"/>
  <c r="D16" i="14"/>
  <c r="Y35" i="3"/>
  <c r="Y37" i="3" s="1"/>
  <c r="I14" i="3"/>
  <c r="Y57" i="3" s="1"/>
  <c r="Y59" i="3" s="1"/>
  <c r="I9" i="3"/>
  <c r="I8" i="13"/>
  <c r="I7" i="13" s="1"/>
  <c r="H8" i="6"/>
  <c r="I7" i="3"/>
  <c r="D10" i="6"/>
  <c r="D11" i="13"/>
  <c r="D12" i="6"/>
  <c r="E19" i="13"/>
  <c r="D19" i="13"/>
  <c r="D10" i="13"/>
  <c r="D23" i="5"/>
  <c r="D29" i="5" s="1"/>
  <c r="C27" i="10"/>
  <c r="C33" i="10" s="1"/>
  <c r="C46" i="10" s="1"/>
  <c r="C24" i="10"/>
  <c r="C23" i="10"/>
  <c r="C21" i="10"/>
  <c r="F7" i="10"/>
  <c r="D20" i="5"/>
  <c r="E23" i="5"/>
  <c r="E29" i="5" s="1"/>
  <c r="D11" i="3"/>
  <c r="D14" i="3"/>
  <c r="D6" i="4"/>
  <c r="D13" i="3"/>
  <c r="D11" i="6"/>
  <c r="D19" i="6"/>
  <c r="H19" i="6"/>
  <c r="G70" i="3"/>
  <c r="F70" i="3"/>
  <c r="E70" i="3"/>
  <c r="D70" i="3"/>
  <c r="C70" i="3"/>
  <c r="Y21" i="3"/>
  <c r="X21" i="3"/>
  <c r="S20" i="3"/>
  <c r="N20" i="3"/>
  <c r="I20" i="3"/>
  <c r="D20" i="3"/>
  <c r="D57" i="3" l="1"/>
  <c r="D59" i="3" s="1"/>
  <c r="I57" i="3"/>
  <c r="I59" i="3" s="1"/>
  <c r="S57" i="3"/>
  <c r="S59" i="3" s="1"/>
  <c r="N57" i="3"/>
  <c r="N59" i="3" s="1"/>
  <c r="X57" i="3"/>
  <c r="X59" i="3" s="1"/>
  <c r="T60" i="3"/>
  <c r="J60" i="3"/>
  <c r="Z60" i="3"/>
  <c r="E60" i="3"/>
  <c r="T57" i="3"/>
  <c r="T59" i="3" s="1"/>
  <c r="E57" i="3"/>
  <c r="E59" i="3" s="1"/>
  <c r="O60" i="3"/>
  <c r="O57" i="3"/>
  <c r="O59" i="3" s="1"/>
  <c r="J57" i="3"/>
  <c r="J59" i="3" s="1"/>
  <c r="Z57" i="3"/>
  <c r="Z59" i="3" s="1"/>
  <c r="S60" i="3"/>
  <c r="N60" i="3"/>
  <c r="X60" i="3"/>
  <c r="D60" i="3"/>
  <c r="I60" i="3"/>
  <c r="O35" i="3"/>
  <c r="O37" i="3" s="1"/>
  <c r="J35" i="3"/>
  <c r="J37" i="3" s="1"/>
  <c r="T35" i="3"/>
  <c r="T37" i="3" s="1"/>
  <c r="E35" i="3"/>
  <c r="E37" i="3" s="1"/>
  <c r="Z35" i="3"/>
  <c r="Z37" i="3" s="1"/>
  <c r="D46" i="3"/>
  <c r="D35" i="3"/>
  <c r="D37" i="3" s="1"/>
  <c r="I46" i="3"/>
  <c r="I48" i="3" s="1"/>
  <c r="I35" i="3"/>
  <c r="I37" i="3" s="1"/>
  <c r="S35" i="3"/>
  <c r="S37" i="3" s="1"/>
  <c r="S46" i="3"/>
  <c r="S48" i="3" s="1"/>
  <c r="D12" i="3"/>
  <c r="X35" i="3"/>
  <c r="X37" i="3" s="1"/>
  <c r="X46" i="3"/>
  <c r="N46" i="3"/>
  <c r="N35" i="3"/>
  <c r="N37" i="3" s="1"/>
  <c r="O38" i="3"/>
  <c r="E46" i="3"/>
  <c r="E48" i="3" s="1"/>
  <c r="O49" i="3"/>
  <c r="T46" i="3"/>
  <c r="T48" i="3" s="1"/>
  <c r="O46" i="3"/>
  <c r="O48" i="3" s="1"/>
  <c r="Z46" i="3"/>
  <c r="Z48" i="3" s="1"/>
  <c r="J46" i="3"/>
  <c r="J48" i="3" s="1"/>
  <c r="T38" i="3"/>
  <c r="J49" i="3"/>
  <c r="J38" i="3"/>
  <c r="Z49" i="3"/>
  <c r="Z38" i="3"/>
  <c r="E38" i="3"/>
  <c r="T49" i="3"/>
  <c r="E49" i="3"/>
  <c r="S38" i="3"/>
  <c r="I49" i="3"/>
  <c r="N38" i="3"/>
  <c r="I38" i="3"/>
  <c r="X49" i="3"/>
  <c r="D49" i="3"/>
  <c r="S49" i="3"/>
  <c r="N49" i="3"/>
  <c r="X38" i="3"/>
  <c r="D38" i="3"/>
  <c r="L57" i="6"/>
  <c r="H58" i="6"/>
  <c r="D58" i="6"/>
  <c r="P57" i="6"/>
  <c r="H60" i="6"/>
  <c r="D60" i="6"/>
  <c r="P59" i="6"/>
  <c r="L59" i="6"/>
  <c r="D59" i="6"/>
  <c r="P58" i="6"/>
  <c r="L58" i="6"/>
  <c r="H59" i="6"/>
  <c r="D47" i="6"/>
  <c r="P46" i="6"/>
  <c r="L46" i="6"/>
  <c r="P34" i="6"/>
  <c r="L34" i="6"/>
  <c r="H35" i="6"/>
  <c r="H47" i="6"/>
  <c r="D35" i="6"/>
  <c r="D46" i="6"/>
  <c r="H34" i="6"/>
  <c r="D34" i="6"/>
  <c r="P33" i="6"/>
  <c r="P45" i="6"/>
  <c r="L45" i="6"/>
  <c r="H46" i="6"/>
  <c r="L33" i="6"/>
  <c r="D45" i="6"/>
  <c r="L44" i="6"/>
  <c r="H45" i="6"/>
  <c r="P44" i="6"/>
  <c r="H36" i="6"/>
  <c r="D36" i="6"/>
  <c r="D48" i="6"/>
  <c r="P35" i="6"/>
  <c r="P47" i="6"/>
  <c r="L47" i="6"/>
  <c r="L35" i="6"/>
  <c r="H48" i="6"/>
  <c r="H9" i="6"/>
  <c r="D57" i="6" s="1"/>
  <c r="D30" i="13"/>
  <c r="I29" i="13"/>
  <c r="I30" i="13"/>
  <c r="D29" i="13"/>
  <c r="N30" i="13"/>
  <c r="O29" i="13"/>
  <c r="E30" i="13"/>
  <c r="E29" i="13"/>
  <c r="J30" i="13"/>
  <c r="J29" i="13"/>
  <c r="O30" i="13"/>
  <c r="C40" i="10"/>
  <c r="D16" i="1" s="1"/>
  <c r="C41" i="10"/>
  <c r="E16" i="1" s="1"/>
  <c r="D9" i="6"/>
  <c r="I9" i="13"/>
  <c r="H7" i="6"/>
  <c r="E31" i="5"/>
  <c r="D31" i="5"/>
  <c r="E30" i="5"/>
  <c r="D30" i="5"/>
  <c r="I7" i="14" a="1"/>
  <c r="I7" i="14" s="1"/>
  <c r="D11" i="14"/>
  <c r="D17" i="14" s="1"/>
  <c r="D36" i="5" l="1"/>
  <c r="E36" i="5"/>
  <c r="E32" i="5"/>
  <c r="D7" i="1" s="1"/>
  <c r="D32" i="5"/>
  <c r="E7" i="1" s="1"/>
  <c r="Y39" i="3"/>
  <c r="H71" i="3" s="1"/>
  <c r="H74" i="3" s="1"/>
  <c r="D15" i="1" s="1"/>
  <c r="N61" i="3"/>
  <c r="E73" i="3" s="1"/>
  <c r="N48" i="3"/>
  <c r="D61" i="3"/>
  <c r="C73" i="3" s="1"/>
  <c r="D48" i="3"/>
  <c r="D50" i="3" s="1"/>
  <c r="C72" i="3" s="1"/>
  <c r="X61" i="3"/>
  <c r="G73" i="3" s="1"/>
  <c r="X48" i="3"/>
  <c r="I61" i="3"/>
  <c r="D73" i="3" s="1"/>
  <c r="Y61" i="3"/>
  <c r="H73" i="3" s="1"/>
  <c r="H76" i="3" s="1"/>
  <c r="E15" i="1" s="1"/>
  <c r="S61" i="3"/>
  <c r="F73" i="3" s="1"/>
  <c r="N39" i="3"/>
  <c r="E71" i="3" s="1"/>
  <c r="I39" i="3"/>
  <c r="D71" i="3" s="1"/>
  <c r="I50" i="3"/>
  <c r="D72" i="3" s="1"/>
  <c r="S39" i="3"/>
  <c r="F71" i="3" s="1"/>
  <c r="D61" i="6"/>
  <c r="P32" i="6"/>
  <c r="P36" i="6" s="1"/>
  <c r="L32" i="6"/>
  <c r="L36" i="6" s="1"/>
  <c r="F70" i="6" s="1"/>
  <c r="P56" i="6"/>
  <c r="P60" i="6" s="1"/>
  <c r="L56" i="6"/>
  <c r="L60" i="6" s="1"/>
  <c r="J70" i="6" s="1"/>
  <c r="D33" i="6"/>
  <c r="D37" i="6" s="1"/>
  <c r="H57" i="6"/>
  <c r="H61" i="6" s="1"/>
  <c r="H33" i="6"/>
  <c r="H37" i="6" s="1"/>
  <c r="D49" i="6"/>
  <c r="L48" i="6"/>
  <c r="H70" i="6" s="1"/>
  <c r="H49" i="6"/>
  <c r="P48" i="6"/>
  <c r="D31" i="13"/>
  <c r="C38" i="13" s="1"/>
  <c r="D9" i="1" s="1"/>
  <c r="N29" i="13"/>
  <c r="N31" i="13" s="1"/>
  <c r="C40" i="13" s="1"/>
  <c r="E9" i="1" s="1"/>
  <c r="I31" i="13"/>
  <c r="C39" i="13" s="1"/>
  <c r="J7" i="14" a="1"/>
  <c r="J7" i="14" s="1"/>
  <c r="C76" i="3" l="1"/>
  <c r="E13" i="1" s="1"/>
  <c r="J69" i="6"/>
  <c r="F76" i="3"/>
  <c r="E12" i="1" s="1"/>
  <c r="S50" i="3"/>
  <c r="F72" i="3" s="1"/>
  <c r="N50" i="3"/>
  <c r="E72" i="3" s="1"/>
  <c r="C75" i="3" s="1"/>
  <c r="X50" i="3"/>
  <c r="G72" i="3" s="1"/>
  <c r="F75" i="3" s="1"/>
  <c r="X39" i="3"/>
  <c r="G71" i="3" s="1"/>
  <c r="F74" i="3" s="1"/>
  <c r="D12" i="1" s="1"/>
  <c r="D39" i="3"/>
  <c r="C71" i="3" s="1"/>
  <c r="C74" i="3" s="1"/>
  <c r="D13" i="1" s="1"/>
  <c r="J72" i="6"/>
  <c r="J71" i="6"/>
  <c r="H71" i="6"/>
  <c r="H72" i="6"/>
  <c r="H69" i="6"/>
  <c r="H68" i="6"/>
  <c r="F69" i="6"/>
  <c r="F68" i="6"/>
  <c r="J68" i="6"/>
  <c r="F72" i="6"/>
  <c r="F71" i="6"/>
  <c r="E8" i="1"/>
  <c r="D8" i="1"/>
  <c r="I68" i="6" l="1" a="1"/>
  <c r="I68" i="6" s="1"/>
  <c r="K68" i="6" a="1"/>
  <c r="K68" i="6" s="1"/>
  <c r="E10" i="1" s="1"/>
  <c r="G68" i="6" a="1"/>
  <c r="G68" i="6" s="1"/>
  <c r="D10" i="1" s="1"/>
</calcChain>
</file>

<file path=xl/comments1.xml><?xml version="1.0" encoding="utf-8"?>
<comments xmlns="http://schemas.openxmlformats.org/spreadsheetml/2006/main">
  <authors>
    <author>Rawley Loken</author>
  </authors>
  <commentList>
    <comment ref="D11" authorId="0" shapeId="0">
      <text>
        <r>
          <rPr>
            <b/>
            <sz val="9"/>
            <color rgb="FF000000"/>
            <rFont val="Tahoma"/>
            <family val="2"/>
          </rPr>
          <t>Rawley Loken: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High cost estimated by using same cost decline seen for Primary Metal and Cement CCS</t>
        </r>
      </text>
    </comment>
  </commentList>
</comments>
</file>

<file path=xl/comments2.xml><?xml version="1.0" encoding="utf-8"?>
<comments xmlns="http://schemas.openxmlformats.org/spreadsheetml/2006/main">
  <authors>
    <author>Gabe Mantegna</author>
  </authors>
  <commentList>
    <comment ref="D19" authorId="0" shapeId="0">
      <text>
        <r>
          <rPr>
            <b/>
            <sz val="10"/>
            <color rgb="FF000000"/>
            <rFont val="Tahoma"/>
            <family val="2"/>
          </rPr>
          <t>Gabe Mantegna: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Hydrogen boilers estimated to cost 1.5x the cost of building a natural gas boiler by mid-century when manufacturing capacity has scaled 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<sst xmlns="http://schemas.openxmlformats.org/spreadsheetml/2006/main" count="1222" uniqueCount="349">
  <si>
    <t>Achieving Carbon Neutrality in California (Revised Report): 2045 Abatement Cost Estimates</t>
  </si>
  <si>
    <t>October, 2020</t>
  </si>
  <si>
    <t>Sheet Name</t>
  </si>
  <si>
    <t>Contents</t>
  </si>
  <si>
    <t>Summary</t>
  </si>
  <si>
    <t>Summary of 2045 abatement cost estimates (2018 $/metric ton CO2e)</t>
  </si>
  <si>
    <t>Electricity Decarbonization</t>
  </si>
  <si>
    <t>Abatement cost estimates for electricity decarbonization</t>
  </si>
  <si>
    <t>Industry Elec. - Boilers</t>
  </si>
  <si>
    <t>Abatement cost estimates for electrification of industrial boilers</t>
  </si>
  <si>
    <t>Industry Elec. - Process Heat</t>
  </si>
  <si>
    <t>Abatement cost estimates for electrification of industrial process heating</t>
  </si>
  <si>
    <t>Industry CCS - Process Heat</t>
  </si>
  <si>
    <t>Abatement cost estimates for CCS applied to industrial process heating</t>
  </si>
  <si>
    <t>Industry Hydrogen &amp; SNG</t>
  </si>
  <si>
    <t>Abatement cost estimates for substituting Hydrogen and SNG in industrial processes</t>
  </si>
  <si>
    <t>MDV &amp; HDV Decarbonization</t>
  </si>
  <si>
    <t>Abatement cost estimates for MDV and HDV ZEV measures</t>
  </si>
  <si>
    <t>DAC &amp; BECCS</t>
  </si>
  <si>
    <t>Abatement cost estimates for negative emissions technologies</t>
  </si>
  <si>
    <t>Fuel Costs - PATHWAYS</t>
  </si>
  <si>
    <t>Fuel prices used in analysis, from CA PATHWAYS model</t>
  </si>
  <si>
    <t>Emission Factors - PATHWAYS</t>
  </si>
  <si>
    <t>Emission factors, from CA PATHWAYS model</t>
  </si>
  <si>
    <t>Constants</t>
  </si>
  <si>
    <t>Unit conversions and other constants</t>
  </si>
  <si>
    <t>2045 Abatement Cost Summary</t>
  </si>
  <si>
    <t>Marginal Abatement Cost Range (2018$/tCO2e avoided)</t>
  </si>
  <si>
    <t>Measure</t>
  </si>
  <si>
    <t>Low</t>
  </si>
  <si>
    <t>High</t>
  </si>
  <si>
    <t>Electricity Cost to 100% Clean</t>
  </si>
  <si>
    <t xml:space="preserve">Industry Hydrogen - Boilers </t>
  </si>
  <si>
    <t>Industry Hydrogen - Process Heat</t>
  </si>
  <si>
    <t>Industry Electrification - Boilers</t>
  </si>
  <si>
    <t>Industry Electrification - Process Heat</t>
  </si>
  <si>
    <t>Synthetic Natural Gas</t>
  </si>
  <si>
    <t>HDV Electrification</t>
  </si>
  <si>
    <t>MDV Electrification</t>
  </si>
  <si>
    <t>HDV Hydrogen</t>
  </si>
  <si>
    <t>Direct Air Capture</t>
  </si>
  <si>
    <t>Bioenergy with CCS</t>
  </si>
  <si>
    <t>Note: Costs have been updated since draft report to align renewable costs (and corresponding hydrogen and DAC costs) with NREL 2020 ATB</t>
  </si>
  <si>
    <t>Marginal Abatement Cost - Electricity Decarbonization</t>
  </si>
  <si>
    <t>Inputs</t>
  </si>
  <si>
    <t>General Inputs</t>
  </si>
  <si>
    <t>Input Name</t>
  </si>
  <si>
    <t>Units</t>
  </si>
  <si>
    <t>Value</t>
  </si>
  <si>
    <t>Source</t>
  </si>
  <si>
    <t>H2 Price-- Optimistic</t>
  </si>
  <si>
    <t>$/MMBTU</t>
  </si>
  <si>
    <t>E3 modeling with UCI electrolyzer cost assumptions</t>
  </si>
  <si>
    <t>H2 Price-- Conservative</t>
  </si>
  <si>
    <t>Natural Gas Price</t>
  </si>
  <si>
    <t>2019$/MMBtu</t>
  </si>
  <si>
    <t>PATHWAYS NG price in 2045</t>
  </si>
  <si>
    <t>Natural Gas Emissions Intensity</t>
  </si>
  <si>
    <t>kg CO2e/MMBtu</t>
  </si>
  <si>
    <t>Calcuations</t>
  </si>
  <si>
    <t>Electricity Decarbonization: Marginal Abatement Cost</t>
  </si>
  <si>
    <t>Category</t>
  </si>
  <si>
    <t>Optimistic H2 Cost</t>
  </si>
  <si>
    <t>Conservative H2 Cost</t>
  </si>
  <si>
    <t>Cost per MMBTU</t>
  </si>
  <si>
    <t>$</t>
  </si>
  <si>
    <t>Marginal Abatement Cost</t>
  </si>
  <si>
    <t>$/tCO2e</t>
  </si>
  <si>
    <t>Marginal Abatement Cost - Industry Electrification</t>
  </si>
  <si>
    <t>Sensitivity Inputs</t>
  </si>
  <si>
    <t>Electricity Price</t>
  </si>
  <si>
    <t>Equipment Lifetime</t>
  </si>
  <si>
    <t>yr</t>
  </si>
  <si>
    <t>$/kWh</t>
  </si>
  <si>
    <t>Discount Rate</t>
  </si>
  <si>
    <t>%</t>
  </si>
  <si>
    <t>Mid</t>
  </si>
  <si>
    <t>$/MMBtu</t>
  </si>
  <si>
    <t>Electricity Emissions Intensity</t>
  </si>
  <si>
    <t>kg CO2e/kWh</t>
  </si>
  <si>
    <t>Industrial Boiler Inputs</t>
  </si>
  <si>
    <t>Electric Boiler</t>
  </si>
  <si>
    <t>Natural Gas Boiler</t>
  </si>
  <si>
    <t>Boiler Purchase Price</t>
  </si>
  <si>
    <t>Boiler Efficiency</t>
  </si>
  <si>
    <t>Hourly Service Demand</t>
  </si>
  <si>
    <t>MMBtu/hr</t>
  </si>
  <si>
    <t>Annual Operating Hours</t>
  </si>
  <si>
    <t>hr/yr</t>
  </si>
  <si>
    <t>Annual Service Demand</t>
  </si>
  <si>
    <t>MMBtu/yr</t>
  </si>
  <si>
    <t>Industrial Boiler</t>
  </si>
  <si>
    <t>Annualized Capital Cost</t>
  </si>
  <si>
    <t>$/yr</t>
  </si>
  <si>
    <t>Annual Fuel Costs</t>
  </si>
  <si>
    <t>Annual Emissions</t>
  </si>
  <si>
    <t>tCO2e/yr</t>
  </si>
  <si>
    <t>Results</t>
  </si>
  <si>
    <t>Range (Electricity Price)</t>
  </si>
  <si>
    <t>MAC ($/tCO2e)</t>
  </si>
  <si>
    <t>Sources</t>
  </si>
  <si>
    <t>Data Source</t>
  </si>
  <si>
    <t>https://www.nrel.gov/docs/fy18osti/70485.pdf</t>
  </si>
  <si>
    <t>Industrial Heat Pump</t>
  </si>
  <si>
    <t>Electric Resistance</t>
  </si>
  <si>
    <t>Example: Direct Sanitation Heat</t>
  </si>
  <si>
    <t>Example: Dairy Pasteurization</t>
  </si>
  <si>
    <t>Example: Glass Melting</t>
  </si>
  <si>
    <t>Example: General Replacement of Gas Combustion</t>
  </si>
  <si>
    <t>Instantaneous Heat Delivered</t>
  </si>
  <si>
    <t>kBtu/h</t>
  </si>
  <si>
    <t>kBtu-h</t>
  </si>
  <si>
    <t>Glass Plant Capacity</t>
  </si>
  <si>
    <t>tons output/day</t>
  </si>
  <si>
    <t>Electric Resistance Heating Efficiency</t>
  </si>
  <si>
    <t>h/yr</t>
  </si>
  <si>
    <t>Average Specific Service Demand</t>
  </si>
  <si>
    <t>MMBtu/ton output</t>
  </si>
  <si>
    <t>Gas Combustion Heating Efficiency</t>
  </si>
  <si>
    <t>Annual Heat Demand</t>
  </si>
  <si>
    <t>All-Electric Melter Efficiency</t>
  </si>
  <si>
    <t>Heat Pump System COP</t>
  </si>
  <si>
    <t>Direct Natural Gas Melter Efficiency</t>
  </si>
  <si>
    <t>Gas Boiler System COP</t>
  </si>
  <si>
    <t>Heat Pump Installed Capital Cost</t>
  </si>
  <si>
    <t>Annualized Capital Costs</t>
  </si>
  <si>
    <t>Annual Electricity Costs</t>
  </si>
  <si>
    <t>Annual Avoided Gas Costs</t>
  </si>
  <si>
    <t>Annual Electricity Emissions</t>
  </si>
  <si>
    <t>Annual Avoided Gas Emissions</t>
  </si>
  <si>
    <t>Selected Industry Subsectors</t>
  </si>
  <si>
    <t>Inputs from CA PATHWAYS Model</t>
  </si>
  <si>
    <t>Industrial Subsector</t>
  </si>
  <si>
    <t>2015 Process Heat Pipeline Gas Demand (GJ)</t>
  </si>
  <si>
    <t>2015 Process Heat Pipeline Gas GHG (tCO2e)</t>
  </si>
  <si>
    <t>Representative Electrotechnology</t>
  </si>
  <si>
    <t>Electrotechnology MAC</t>
  </si>
  <si>
    <t>Weighted Avg. MAC</t>
  </si>
  <si>
    <t>Food &amp; Beverage</t>
  </si>
  <si>
    <t>Food Processing</t>
  </si>
  <si>
    <t>Glass</t>
  </si>
  <si>
    <t>Fabricated Metal</t>
  </si>
  <si>
    <t>Miscellaneous</t>
  </si>
  <si>
    <t>Direct Sanitation Heat</t>
  </si>
  <si>
    <t>https://climate.emerson.com/documents/vilter-heat-pump-white-paper-en-us-5411194.pdf</t>
  </si>
  <si>
    <t>Dairy Pasteurization</t>
  </si>
  <si>
    <t>Glass Melting</t>
  </si>
  <si>
    <t>https://www.energy.gov/sites/prod/files/2013/11/f4/glass2002profile.pdf</t>
  </si>
  <si>
    <t>Steam Methane Reforming</t>
  </si>
  <si>
    <t>https://www.praxair.com/-/media/corporate/praxairus/documents/reports-papers-case-studies-and-presentations/our-company/sustainability/praxair-co2-emissions-reduction-capture-white-paper.pdf?la=en&amp;rev=dc79ff3c7b4c4974a1328c7660164765</t>
  </si>
  <si>
    <t>Marginal Abatement Cost - Industry CCS</t>
  </si>
  <si>
    <t>Weighted Average MAC</t>
  </si>
  <si>
    <t>Industry Subsector</t>
  </si>
  <si>
    <t>$/tCO2 avoided</t>
  </si>
  <si>
    <t>2015 Emissions (energy + process) (tCO2e)</t>
  </si>
  <si>
    <t>Low MAC ($/tCO2e)</t>
  </si>
  <si>
    <t>High MAC ($/tCO2e)</t>
  </si>
  <si>
    <t>Primary Metal</t>
  </si>
  <si>
    <t>Capture Cost</t>
  </si>
  <si>
    <t>Cement</t>
  </si>
  <si>
    <t>Transport &amp; Storage Cost</t>
  </si>
  <si>
    <t>All</t>
  </si>
  <si>
    <t>Total</t>
  </si>
  <si>
    <t>https://www.globalccsinstitute.com/archive/hub/publications/201688/global-ccs-cost-updatev4.pdf</t>
  </si>
  <si>
    <t>https://users.wpi.edu/~jlwilcox/documents/pete_industry.pdf</t>
  </si>
  <si>
    <t>Marginal Abatement Cost - Industry H2 &amp; SNG</t>
  </si>
  <si>
    <t>Synthetic Natural Gas Price (Conservative)</t>
  </si>
  <si>
    <t>Synthetic Natural Gas Price (Optimistic)</t>
  </si>
  <si>
    <t>Hydrogen Price (Conservative)</t>
  </si>
  <si>
    <t>Hydrogen Price (Optimistic)</t>
  </si>
  <si>
    <t>Hydrogen Storage and Delivery Cost</t>
  </si>
  <si>
    <t>Hydrogen Boiler Conservative</t>
  </si>
  <si>
    <t>Hydrogen Boiler Optimistic</t>
  </si>
  <si>
    <t>Natural Gas Boiler Pice</t>
  </si>
  <si>
    <t>H2 Boiler Price</t>
  </si>
  <si>
    <t>H2 Boiler Efficiency</t>
  </si>
  <si>
    <t>Calculations</t>
  </si>
  <si>
    <t>Industrial Boiler Results</t>
  </si>
  <si>
    <t>Conservative</t>
  </si>
  <si>
    <t>Optimistic</t>
  </si>
  <si>
    <t>Annualized Incremental Capital Costs</t>
  </si>
  <si>
    <t>$/year</t>
  </si>
  <si>
    <t>Annual H2 Fuel Cost</t>
  </si>
  <si>
    <t>Avoided Natural Gas Costs</t>
  </si>
  <si>
    <t>Annual Avoided Combustion Emissions</t>
  </si>
  <si>
    <t>H2 for Process Heat (assume no incremental capital costs, only incremental fuel costs)</t>
  </si>
  <si>
    <t>SNG for Process Heat</t>
  </si>
  <si>
    <t>Hydrogen Boiler Cost Differential</t>
  </si>
  <si>
    <t>https://assets.publishing.service.gov.uk/government/uploads/system/uploads/attachment_data/file/537594/30686_Final_Report_DECC_Hydrogen_appliances_08.07.16.pdf</t>
  </si>
  <si>
    <t>Marginal Abatement Cost - MDV/HDV Electrification</t>
  </si>
  <si>
    <t>Cost Inputs</t>
  </si>
  <si>
    <t>Vehicle Lifetime</t>
  </si>
  <si>
    <t>Charger Lifetime</t>
  </si>
  <si>
    <t>Diesel Price</t>
  </si>
  <si>
    <t>$/gal</t>
  </si>
  <si>
    <t>H2 Price</t>
  </si>
  <si>
    <t>$/kg</t>
  </si>
  <si>
    <t>Diesel Emissions Intensity</t>
  </si>
  <si>
    <t>kg CO2e/gal</t>
  </si>
  <si>
    <t>MDV (Class 2b-3)</t>
  </si>
  <si>
    <t>MDV (Class 4-5)</t>
  </si>
  <si>
    <t>MDV (Class 6-7)</t>
  </si>
  <si>
    <t>HDV (Class 8)</t>
  </si>
  <si>
    <t>HDV (Class 7-8 Tractor)</t>
  </si>
  <si>
    <t>BEV</t>
  </si>
  <si>
    <t>Diesel ICEV</t>
  </si>
  <si>
    <t>FCV</t>
  </si>
  <si>
    <t>Vehicle Cost</t>
  </si>
  <si>
    <t>$/vehicle</t>
  </si>
  <si>
    <t>Vehicle Efficiency</t>
  </si>
  <si>
    <t>mi/kWh</t>
  </si>
  <si>
    <t>MPGe</t>
  </si>
  <si>
    <t>mi/kg</t>
  </si>
  <si>
    <t>Maintenance Costs</t>
  </si>
  <si>
    <t>$/mi</t>
  </si>
  <si>
    <t>Annual Mileage</t>
  </si>
  <si>
    <t>mi/yr</t>
  </si>
  <si>
    <t>EVSE Cost (19 kW Charger)</t>
  </si>
  <si>
    <t>EVSE Cost (40 kW Charger)</t>
  </si>
  <si>
    <t>EVSE Cost (80 kW Charger)</t>
  </si>
  <si>
    <t>Infrastructure Upgrade Cost</t>
  </si>
  <si>
    <t>Vehicles per Charger</t>
  </si>
  <si>
    <t>Cost Calculations by Vehicle Class</t>
  </si>
  <si>
    <t>Annual Maintenance Costs</t>
  </si>
  <si>
    <t>Total Annual Costs</t>
  </si>
  <si>
    <t xml:space="preserve"> </t>
  </si>
  <si>
    <t>Vehicle Type</t>
  </si>
  <si>
    <t>MDV - BEV</t>
  </si>
  <si>
    <t>HDV - BEV</t>
  </si>
  <si>
    <t>Vehicle Class</t>
  </si>
  <si>
    <t>Estimated 2030 Sales (CARB ACT analysis)</t>
  </si>
  <si>
    <t>2030 Sales Share</t>
  </si>
  <si>
    <t>Vehicle Class MAC (Low)</t>
  </si>
  <si>
    <t>Vehicle Class MAC (Mid)</t>
  </si>
  <si>
    <t>N/A</t>
  </si>
  <si>
    <t>Vehicle Class MAC (High)</t>
  </si>
  <si>
    <t>Weighted Average MAC (Low)</t>
  </si>
  <si>
    <t>Weighted Average MAC (Mid)</t>
  </si>
  <si>
    <t>Weighted Average MAC (High)</t>
  </si>
  <si>
    <t>Marginal Abatement Cost - DAC &amp; BECCS</t>
  </si>
  <si>
    <t>DAC General Inputs</t>
  </si>
  <si>
    <t>Technology</t>
  </si>
  <si>
    <t xml:space="preserve">Cost ($/MWh) </t>
  </si>
  <si>
    <t xml:space="preserve">Capacity Factor </t>
  </si>
  <si>
    <t>Adjusted Capacity Factor for DAC</t>
  </si>
  <si>
    <t>Net to Gross Ratio</t>
  </si>
  <si>
    <t>Notes</t>
  </si>
  <si>
    <t>CCGT + CCS</t>
  </si>
  <si>
    <t>Natural Gas power plant with CCS at 90% capture rate</t>
  </si>
  <si>
    <t>Solar PV Off Grid - SW Solar - NREL ATB 2020 Low 2045</t>
  </si>
  <si>
    <t>Cap factor adjustment accounts for in-process energy balancing/storage</t>
  </si>
  <si>
    <t>Solar PV Off Grid - SW Solar - NREL ATB 2020 Base 2045</t>
  </si>
  <si>
    <t xml:space="preserve">Grid Electricity </t>
  </si>
  <si>
    <t>E3 Conservative assumption</t>
  </si>
  <si>
    <t>DAC Liquid Solvent Cost and Energy Inputs</t>
  </si>
  <si>
    <t>Unit</t>
  </si>
  <si>
    <t xml:space="preserve">Reference &amp; Assumption </t>
  </si>
  <si>
    <t>Thermal input - Low</t>
  </si>
  <si>
    <t>MWh/tCO2 captured</t>
  </si>
  <si>
    <t>NAS Report 2018 lower bound - 7.7 GJ/tCO2</t>
  </si>
  <si>
    <r>
      <t xml:space="preserve">Consists of 2 major components: </t>
    </r>
    <r>
      <rPr>
        <b/>
        <sz val="11"/>
        <color theme="1"/>
        <rFont val="Calibri"/>
        <family val="2"/>
        <scheme val="minor"/>
      </rPr>
      <t>a contactor</t>
    </r>
    <r>
      <rPr>
        <sz val="11"/>
        <color theme="1"/>
        <rFont val="Calibri"/>
        <family val="2"/>
        <scheme val="minor"/>
      </rPr>
      <t xml:space="preserve"> where CO2 reacts with a KOH solvent to produce K2CO3 and fed into a causticizer where it reacts with calcium hydroxide to form CaCO3. The second part of the process involves a calciner and regeneration where CaCO3 is heated to very high temperatures ~ 900 C to produce high purity CO2 and CaO. </t>
    </r>
  </si>
  <si>
    <t>Electrical input - Low</t>
  </si>
  <si>
    <t>NAS Report 2018 lower bound - 0.74 GJ/tCO2</t>
  </si>
  <si>
    <t xml:space="preserve">Thermal input - High </t>
  </si>
  <si>
    <t>NAS Report 2018 upper bound - 10.7 GJ/tCO2</t>
  </si>
  <si>
    <t>Electrical input - High</t>
  </si>
  <si>
    <t>NAS Report 2018 upper bound - 1.7 GJ/tCO2</t>
  </si>
  <si>
    <t xml:space="preserve">Maximum Temperature Achieved </t>
  </si>
  <si>
    <t xml:space="preserve">C </t>
  </si>
  <si>
    <t>NAS Report 2018</t>
  </si>
  <si>
    <t>Fraction of thermal input met with Nuclear Heat</t>
  </si>
  <si>
    <t>fraction of thermal</t>
  </si>
  <si>
    <t>Heating potential</t>
  </si>
  <si>
    <t xml:space="preserve">Low - Capital Cost of DAC System </t>
  </si>
  <si>
    <t xml:space="preserve">2018$ </t>
  </si>
  <si>
    <t>NAS Report - Lower bound CAPEX</t>
  </si>
  <si>
    <t xml:space="preserve">High - Capital Cost of DAC System </t>
  </si>
  <si>
    <t>NAS Report - Higher bound CAPEX</t>
  </si>
  <si>
    <t>Low VOM (maintenance, labor, makeup and waste removal)</t>
  </si>
  <si>
    <t>$M/year</t>
  </si>
  <si>
    <t xml:space="preserve">NAS Report </t>
  </si>
  <si>
    <t>High VOM (maintenance, labor, makeup and waste removal)</t>
  </si>
  <si>
    <t>Annualized Low Fixed Cost (w/o energy requirements)</t>
  </si>
  <si>
    <t xml:space="preserve">$/tCO2 </t>
  </si>
  <si>
    <t xml:space="preserve">Calculation </t>
  </si>
  <si>
    <t>Annualized High Fixed Cost (w/o energy requirements)</t>
  </si>
  <si>
    <t>CO2 transportation and storage cost</t>
  </si>
  <si>
    <t>E3 Assumption</t>
  </si>
  <si>
    <t>BECCS General Inputs</t>
  </si>
  <si>
    <t>Reference</t>
  </si>
  <si>
    <t>Biomass Combustion</t>
  </si>
  <si>
    <t>$/tCO2  avoided</t>
  </si>
  <si>
    <t>https://www.globalccsinstitute.com/wp-content/uploads/2019/03/BECCS-Perspective_FINAL_18-March.pdf</t>
  </si>
  <si>
    <t>DAC</t>
  </si>
  <si>
    <t>BECCS</t>
  </si>
  <si>
    <t>Combustion - Low</t>
  </si>
  <si>
    <t>Combustion - High</t>
  </si>
  <si>
    <t>2045 statewide delivered final energy costs, 2012$/GJ</t>
  </si>
  <si>
    <t>Fuel</t>
  </si>
  <si>
    <t>Residential</t>
  </si>
  <si>
    <t>Commercial</t>
  </si>
  <si>
    <t>Transportation</t>
  </si>
  <si>
    <t>Industrial</t>
  </si>
  <si>
    <t>Oil &amp; Gas Extraction</t>
  </si>
  <si>
    <t>Petroleum Refining</t>
  </si>
  <si>
    <t>Agriculture</t>
  </si>
  <si>
    <t>TCU</t>
  </si>
  <si>
    <t>Unspecified</t>
  </si>
  <si>
    <t>Coke</t>
  </si>
  <si>
    <t>Compressed Pipeline Gas (CNG)</t>
  </si>
  <si>
    <t>Diesel</t>
  </si>
  <si>
    <t>Electricity</t>
  </si>
  <si>
    <t>Fuel Oil</t>
  </si>
  <si>
    <t>Gasoline</t>
  </si>
  <si>
    <t>Hydrogen</t>
  </si>
  <si>
    <t>Kerosene</t>
  </si>
  <si>
    <t>Kerosene-Jet Fuel</t>
  </si>
  <si>
    <t>Liquified Pipeline Gas (LNG)</t>
  </si>
  <si>
    <t>LPG</t>
  </si>
  <si>
    <t>Pipeline Gas</t>
  </si>
  <si>
    <t>Refinery and Process Gas</t>
  </si>
  <si>
    <t>Waste Heat</t>
  </si>
  <si>
    <t>Wood</t>
  </si>
  <si>
    <t>Fossil Natural Gas</t>
  </si>
  <si>
    <t>Fossil Diesel</t>
  </si>
  <si>
    <t>2045 Delivered Energy Emissions Rates, kg CO2/GJ</t>
  </si>
  <si>
    <t>Unit Conversions</t>
  </si>
  <si>
    <t>From</t>
  </si>
  <si>
    <t>To</t>
  </si>
  <si>
    <t>Multiply By</t>
  </si>
  <si>
    <t>kWh</t>
  </si>
  <si>
    <t>Btu</t>
  </si>
  <si>
    <t>Joule</t>
  </si>
  <si>
    <t>kg H2</t>
  </si>
  <si>
    <t>MMBtu</t>
  </si>
  <si>
    <t>kg CH4</t>
  </si>
  <si>
    <t>GGE</t>
  </si>
  <si>
    <t>Gallon (diesel)</t>
  </si>
  <si>
    <t>Emissions Intensity</t>
  </si>
  <si>
    <t>kg CO2e per Unit</t>
  </si>
  <si>
    <t>gallon</t>
  </si>
  <si>
    <t>Natural Gas</t>
  </si>
  <si>
    <t>AR5 GWP</t>
  </si>
  <si>
    <t>20-yr</t>
  </si>
  <si>
    <t>100-yr</t>
  </si>
  <si>
    <t>$year conversions</t>
  </si>
  <si>
    <t>https://www.bls.gov/cpi/tables/supplemental-files/historical-cpi-u-202005.pdf</t>
  </si>
  <si>
    <t>Year</t>
  </si>
  <si>
    <t>Annual Avg. CPI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</si>
</sst>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.0"/>
    <numFmt numFmtId="167" formatCode="#,##0.0"/>
    <numFmt numFmtId="168" formatCode="0.000"/>
    <numFmt numFmtId="169" formatCode="_(* #,##0_);_(* \(#,##0\);_(* &quot;-&quot;??_);_(@_)"/>
    <numFmt numFmtId="170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6"/>
      <name val="Calibri"/>
      <family val="2"/>
    </font>
    <font>
      <b/>
      <sz val="11"/>
      <name val="Calibri"/>
      <family val="2"/>
    </font>
    <font>
      <b/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theme="3"/>
      </top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0" fontId="4" fillId="3" borderId="9" applyNumberFormat="0" applyAlignment="0" applyProtection="0"/>
    <xf numFmtId="0" fontId="3" fillId="4" borderId="10" applyNumberFormat="0" applyFont="0" applyAlignment="0" applyProtection="0"/>
    <xf numFmtId="43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131">
    <xf numFmtId="0" fontId="0" fillId="0" borderId="0" xfId="0"/>
    <xf numFmtId="0" fontId="6" fillId="0" borderId="0" xfId="0" applyFont="1"/>
    <xf numFmtId="0" fontId="7" fillId="0" borderId="11" xfId="0" applyFont="1" applyBorder="1"/>
    <xf numFmtId="0" fontId="0" fillId="0" borderId="11" xfId="0" applyBorder="1"/>
    <xf numFmtId="0" fontId="1" fillId="0" borderId="0" xfId="0" applyFont="1"/>
    <xf numFmtId="0" fontId="1" fillId="4" borderId="10" xfId="3" applyFont="1"/>
    <xf numFmtId="0" fontId="0" fillId="4" borderId="10" xfId="3" applyFont="1"/>
    <xf numFmtId="9" fontId="0" fillId="4" borderId="10" xfId="3" applyNumberFormat="1" applyFont="1"/>
    <xf numFmtId="164" fontId="0" fillId="4" borderId="10" xfId="3" applyNumberFormat="1" applyFont="1"/>
    <xf numFmtId="2" fontId="0" fillId="4" borderId="10" xfId="3" applyNumberFormat="1" applyFont="1"/>
    <xf numFmtId="165" fontId="0" fillId="4" borderId="10" xfId="3" applyNumberFormat="1" applyFont="1"/>
    <xf numFmtId="166" fontId="0" fillId="4" borderId="10" xfId="3" applyNumberFormat="1" applyFont="1"/>
    <xf numFmtId="166" fontId="0" fillId="5" borderId="10" xfId="3" applyNumberFormat="1" applyFont="1" applyFill="1"/>
    <xf numFmtId="3" fontId="0" fillId="4" borderId="10" xfId="3" applyNumberFormat="1" applyFont="1"/>
    <xf numFmtId="0" fontId="5" fillId="2" borderId="0" xfId="0" applyFont="1" applyFill="1"/>
    <xf numFmtId="165" fontId="0" fillId="0" borderId="0" xfId="0" applyNumberFormat="1"/>
    <xf numFmtId="0" fontId="0" fillId="0" borderId="14" xfId="0" applyBorder="1"/>
    <xf numFmtId="166" fontId="0" fillId="0" borderId="14" xfId="0" applyNumberFormat="1" applyBorder="1"/>
    <xf numFmtId="0" fontId="1" fillId="6" borderId="0" xfId="0" applyFont="1" applyFill="1"/>
    <xf numFmtId="165" fontId="1" fillId="6" borderId="0" xfId="0" applyNumberFormat="1" applyFont="1" applyFill="1"/>
    <xf numFmtId="0" fontId="8" fillId="0" borderId="0" xfId="0" applyFont="1"/>
    <xf numFmtId="3" fontId="8" fillId="0" borderId="0" xfId="0" applyNumberFormat="1" applyFont="1"/>
    <xf numFmtId="165" fontId="8" fillId="0" borderId="0" xfId="1" applyNumberFormat="1" applyFont="1"/>
    <xf numFmtId="0" fontId="9" fillId="3" borderId="9" xfId="2" applyFont="1"/>
    <xf numFmtId="0" fontId="4" fillId="3" borderId="9" xfId="2"/>
    <xf numFmtId="0" fontId="4" fillId="3" borderId="9" xfId="2" applyAlignment="1">
      <alignment horizontal="right"/>
    </xf>
    <xf numFmtId="165" fontId="8" fillId="0" borderId="0" xfId="1" applyNumberFormat="1" applyFont="1" applyAlignment="1"/>
    <xf numFmtId="9" fontId="0" fillId="0" borderId="0" xfId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9" fontId="0" fillId="0" borderId="4" xfId="1" applyFont="1" applyBorder="1" applyAlignment="1">
      <alignment horizontal="center"/>
    </xf>
    <xf numFmtId="9" fontId="0" fillId="0" borderId="5" xfId="1" applyFont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0" fontId="0" fillId="0" borderId="20" xfId="0" applyFont="1" applyBorder="1"/>
    <xf numFmtId="0" fontId="7" fillId="0" borderId="0" xfId="0" applyFont="1" applyBorder="1"/>
    <xf numFmtId="0" fontId="0" fillId="0" borderId="0" xfId="0" applyBorder="1"/>
    <xf numFmtId="9" fontId="0" fillId="4" borderId="10" xfId="1" applyFont="1" applyFill="1" applyBorder="1"/>
    <xf numFmtId="164" fontId="0" fillId="0" borderId="0" xfId="0" applyNumberFormat="1"/>
    <xf numFmtId="2" fontId="0" fillId="0" borderId="0" xfId="0" applyNumberFormat="1"/>
    <xf numFmtId="0" fontId="1" fillId="6" borderId="2" xfId="0" applyFont="1" applyFill="1" applyBorder="1"/>
    <xf numFmtId="165" fontId="1" fillId="6" borderId="2" xfId="0" applyNumberFormat="1" applyFont="1" applyFill="1" applyBorder="1"/>
    <xf numFmtId="167" fontId="0" fillId="4" borderId="10" xfId="3" applyNumberFormat="1" applyFont="1"/>
    <xf numFmtId="4" fontId="0" fillId="4" borderId="10" xfId="3" applyNumberFormat="1" applyFont="1"/>
    <xf numFmtId="3" fontId="0" fillId="0" borderId="0" xfId="0" applyNumberFormat="1"/>
    <xf numFmtId="3" fontId="0" fillId="0" borderId="0" xfId="4" applyNumberFormat="1" applyFont="1"/>
    <xf numFmtId="168" fontId="4" fillId="3" borderId="9" xfId="2" applyNumberFormat="1"/>
    <xf numFmtId="3" fontId="4" fillId="3" borderId="9" xfId="2" applyNumberFormat="1"/>
    <xf numFmtId="0" fontId="10" fillId="0" borderId="0" xfId="5"/>
    <xf numFmtId="9" fontId="0" fillId="0" borderId="0" xfId="0" applyNumberFormat="1"/>
    <xf numFmtId="169" fontId="0" fillId="0" borderId="0" xfId="0" applyNumberFormat="1"/>
    <xf numFmtId="0" fontId="0" fillId="0" borderId="0" xfId="0" applyAlignment="1">
      <alignment horizontal="left" vertical="top" wrapText="1"/>
    </xf>
    <xf numFmtId="1" fontId="0" fillId="0" borderId="0" xfId="0" applyNumberFormat="1"/>
    <xf numFmtId="0" fontId="0" fillId="5" borderId="0" xfId="0" applyFill="1"/>
    <xf numFmtId="0" fontId="1" fillId="0" borderId="2" xfId="0" applyFont="1" applyBorder="1"/>
    <xf numFmtId="0" fontId="0" fillId="0" borderId="2" xfId="0" applyBorder="1"/>
    <xf numFmtId="1" fontId="2" fillId="0" borderId="0" xfId="0" applyNumberFormat="1" applyFont="1" applyBorder="1"/>
    <xf numFmtId="0" fontId="2" fillId="0" borderId="0" xfId="0" applyFont="1" applyBorder="1"/>
    <xf numFmtId="1" fontId="2" fillId="0" borderId="0" xfId="0" applyNumberFormat="1" applyFont="1"/>
    <xf numFmtId="0" fontId="11" fillId="0" borderId="0" xfId="0" applyFont="1"/>
    <xf numFmtId="170" fontId="0" fillId="0" borderId="0" xfId="6" applyNumberFormat="1" applyFont="1"/>
    <xf numFmtId="37" fontId="0" fillId="0" borderId="0" xfId="4" applyNumberFormat="1" applyFont="1"/>
    <xf numFmtId="0" fontId="5" fillId="2" borderId="0" xfId="0" applyFont="1" applyFill="1" applyAlignment="1">
      <alignment wrapText="1"/>
    </xf>
    <xf numFmtId="0" fontId="5" fillId="2" borderId="16" xfId="0" applyFont="1" applyFill="1" applyBorder="1" applyAlignment="1">
      <alignment wrapText="1"/>
    </xf>
    <xf numFmtId="0" fontId="5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left" vertical="center"/>
    </xf>
    <xf numFmtId="0" fontId="5" fillId="2" borderId="0" xfId="0" applyFont="1" applyFill="1" applyAlignment="1"/>
    <xf numFmtId="165" fontId="0" fillId="7" borderId="0" xfId="0" applyNumberFormat="1" applyFill="1"/>
    <xf numFmtId="6" fontId="0" fillId="7" borderId="0" xfId="0" applyNumberFormat="1" applyFill="1"/>
    <xf numFmtId="168" fontId="0" fillId="7" borderId="0" xfId="0" applyNumberFormat="1" applyFill="1" applyAlignment="1">
      <alignment horizontal="center"/>
    </xf>
    <xf numFmtId="3" fontId="0" fillId="7" borderId="0" xfId="0" applyNumberFormat="1" applyFill="1"/>
    <xf numFmtId="165" fontId="0" fillId="6" borderId="0" xfId="0" applyNumberForma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1" fillId="6" borderId="21" xfId="0" applyFont="1" applyFill="1" applyBorder="1"/>
    <xf numFmtId="0" fontId="0" fillId="7" borderId="0" xfId="0" applyFill="1"/>
    <xf numFmtId="0" fontId="3" fillId="4" borderId="10" xfId="3" applyFont="1"/>
    <xf numFmtId="165" fontId="3" fillId="4" borderId="10" xfId="3" applyNumberFormat="1" applyFont="1"/>
    <xf numFmtId="2" fontId="3" fillId="4" borderId="10" xfId="3" applyNumberFormat="1" applyFont="1"/>
    <xf numFmtId="0" fontId="0" fillId="0" borderId="0" xfId="0" applyFont="1"/>
    <xf numFmtId="0" fontId="1" fillId="8" borderId="0" xfId="0" applyFont="1" applyFill="1"/>
    <xf numFmtId="0" fontId="1" fillId="8" borderId="0" xfId="0" applyFont="1" applyFill="1" applyAlignment="1">
      <alignment horizontal="center"/>
    </xf>
    <xf numFmtId="0" fontId="0" fillId="0" borderId="28" xfId="0" applyFont="1" applyBorder="1"/>
    <xf numFmtId="0" fontId="1" fillId="6" borderId="20" xfId="0" applyFont="1" applyFill="1" applyBorder="1"/>
    <xf numFmtId="3" fontId="0" fillId="0" borderId="1" xfId="0" applyNumberFormat="1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/>
    </xf>
    <xf numFmtId="9" fontId="0" fillId="0" borderId="20" xfId="1" applyFont="1" applyBorder="1" applyAlignment="1">
      <alignment horizontal="center"/>
    </xf>
    <xf numFmtId="165" fontId="0" fillId="0" borderId="20" xfId="1" applyNumberFormat="1" applyFont="1" applyBorder="1" applyAlignment="1">
      <alignment horizontal="center"/>
    </xf>
    <xf numFmtId="165" fontId="1" fillId="6" borderId="20" xfId="1" applyNumberFormat="1" applyFont="1" applyFill="1" applyBorder="1" applyAlignment="1">
      <alignment horizontal="center"/>
    </xf>
    <xf numFmtId="165" fontId="1" fillId="6" borderId="21" xfId="1" applyNumberFormat="1" applyFont="1" applyFill="1" applyBorder="1" applyAlignment="1">
      <alignment horizontal="center"/>
    </xf>
    <xf numFmtId="0" fontId="5" fillId="9" borderId="0" xfId="0" applyFont="1" applyFill="1"/>
    <xf numFmtId="0" fontId="0" fillId="10" borderId="0" xfId="0" applyFill="1"/>
    <xf numFmtId="0" fontId="18" fillId="10" borderId="16" xfId="0" applyFont="1" applyFill="1" applyBorder="1" applyAlignment="1">
      <alignment horizontal="center" vertical="top"/>
    </xf>
    <xf numFmtId="0" fontId="0" fillId="10" borderId="0" xfId="0" applyFill="1"/>
    <xf numFmtId="0" fontId="5" fillId="9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9" xfId="0" applyFont="1" applyFill="1" applyBorder="1" applyAlignment="1">
      <alignment horizontal="center" wrapText="1"/>
    </xf>
    <xf numFmtId="0" fontId="1" fillId="0" borderId="0" xfId="0" applyFont="1" applyAlignment="1">
      <alignment horizontal="center" textRotation="90"/>
    </xf>
    <xf numFmtId="165" fontId="0" fillId="10" borderId="0" xfId="0" applyNumberFormat="1" applyFill="1"/>
    <xf numFmtId="0" fontId="17" fillId="10" borderId="0" xfId="0" applyFont="1" applyFill="1" applyAlignment="1">
      <alignment horizontal="center"/>
    </xf>
    <xf numFmtId="0" fontId="0" fillId="10" borderId="0" xfId="0" applyFill="1" applyAlignment="1"/>
    <xf numFmtId="0" fontId="19" fillId="10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165" fontId="1" fillId="6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3" fontId="0" fillId="4" borderId="12" xfId="3" applyNumberFormat="1" applyFont="1" applyBorder="1" applyAlignment="1">
      <alignment horizontal="center"/>
    </xf>
    <xf numFmtId="3" fontId="0" fillId="4" borderId="13" xfId="3" applyNumberFormat="1" applyFont="1" applyBorder="1" applyAlignment="1">
      <alignment horizontal="center"/>
    </xf>
    <xf numFmtId="3" fontId="0" fillId="4" borderId="15" xfId="3" applyNumberFormat="1" applyFont="1" applyBorder="1" applyAlignment="1">
      <alignment horizontal="center"/>
    </xf>
    <xf numFmtId="165" fontId="1" fillId="6" borderId="4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/>
    </xf>
    <xf numFmtId="165" fontId="1" fillId="6" borderId="5" xfId="1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165" fontId="1" fillId="6" borderId="6" xfId="1" applyNumberFormat="1" applyFont="1" applyFill="1" applyBorder="1" applyAlignment="1">
      <alignment horizontal="center"/>
    </xf>
    <xf numFmtId="165" fontId="1" fillId="6" borderId="7" xfId="1" applyNumberFormat="1" applyFont="1" applyFill="1" applyBorder="1" applyAlignment="1">
      <alignment horizontal="center"/>
    </xf>
    <xf numFmtId="165" fontId="1" fillId="6" borderId="8" xfId="1" applyNumberFormat="1" applyFont="1" applyFill="1" applyBorder="1" applyAlignment="1">
      <alignment horizontal="center"/>
    </xf>
    <xf numFmtId="0" fontId="1" fillId="4" borderId="12" xfId="3" applyFont="1" applyBorder="1" applyAlignment="1">
      <alignment horizontal="left"/>
    </xf>
    <xf numFmtId="0" fontId="1" fillId="4" borderId="13" xfId="3" applyFont="1" applyBorder="1" applyAlignment="1">
      <alignment horizontal="left"/>
    </xf>
    <xf numFmtId="0" fontId="3" fillId="4" borderId="22" xfId="3" applyFont="1" applyBorder="1" applyAlignment="1">
      <alignment horizontal="left" vertical="top" wrapText="1"/>
    </xf>
    <xf numFmtId="0" fontId="3" fillId="4" borderId="23" xfId="3" applyFont="1" applyBorder="1" applyAlignment="1">
      <alignment horizontal="left" vertical="top" wrapText="1"/>
    </xf>
    <xf numFmtId="0" fontId="3" fillId="4" borderId="24" xfId="3" applyFont="1" applyBorder="1" applyAlignment="1">
      <alignment horizontal="left" vertical="top" wrapText="1"/>
    </xf>
    <xf numFmtId="0" fontId="3" fillId="4" borderId="25" xfId="3" applyFont="1" applyBorder="1" applyAlignment="1">
      <alignment horizontal="left" vertical="top" wrapText="1"/>
    </xf>
    <xf numFmtId="0" fontId="3" fillId="4" borderId="26" xfId="3" applyFont="1" applyBorder="1" applyAlignment="1">
      <alignment horizontal="left" vertical="top" wrapText="1"/>
    </xf>
    <xf numFmtId="0" fontId="3" fillId="4" borderId="27" xfId="3" applyFont="1" applyBorder="1" applyAlignment="1">
      <alignment horizontal="left" vertical="top" wrapText="1"/>
    </xf>
    <xf numFmtId="0" fontId="1" fillId="0" borderId="0" xfId="0" applyFont="1" applyAlignment="1">
      <alignment horizontal="center" textRotation="90"/>
    </xf>
  </cellXfs>
  <cellStyles count="7">
    <cellStyle name="Comma" xfId="4" builtinId="3"/>
    <cellStyle name="Currency" xfId="6" builtinId="4"/>
    <cellStyle name="Hyperlink" xfId="5" builtinId="8"/>
    <cellStyle name="Input" xfId="2" builtinId="20"/>
    <cellStyle name="Normal" xfId="0" builtinId="0"/>
    <cellStyle name="Note" xfId="3" builtinId="10"/>
    <cellStyle name="Percent" xfId="1" builtinId="5"/>
  </cellStyles>
  <dxfs count="0"/>
  <tableStyles count="0" defaultTableStyle="TableStyleMedium2" defaultPivotStyle="PivotStyleLight16"/>
  <colors>
    <mruColors>
      <color rgb="FFB3DF37"/>
      <color rgb="FFFFFFCC"/>
      <color rgb="FF9AC431"/>
      <color rgb="FFD0FF3E"/>
      <color rgb="FFFED26A"/>
      <color rgb="FFFED274"/>
      <color rgb="FFFFD47D"/>
      <color rgb="FFFFE689"/>
      <color rgb="FFFBC453"/>
      <color rgb="FFFBCC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114300</xdr:colOff>
      <xdr:row>0</xdr:row>
      <xdr:rowOff>12700</xdr:rowOff>
    </xdr:from>
    <xdr:ext cx="8096250" cy="222885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128CFD6E-B851-7B4E-B6F1-BB1DCC0BF10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52900" y="12700"/>
          <a:ext cx="8096250" cy="22288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fys.sharepoint.com/sites/S052/208798/WorkEnvironment/NYSERDA%20NYS%20datase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hreesf.sharepoint.com/sites/ExelonCarbonNeutral/Shared%20Documents/General/Analysis/DACCS%20Process%20Energy%20and%20Co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al requests"/>
      <sheetName val="Tool"/>
      <sheetName val="Tool_Calc"/>
      <sheetName val="Proc_Emis_Sources"/>
      <sheetName val="Energy_Cost_&amp;_EF"/>
      <sheetName val="CCUS_Data"/>
      <sheetName val="CCUS_Input_Data---&gt;"/>
      <sheetName val="CC_Energy_Calc"/>
      <sheetName val="Enthal_Calc"/>
      <sheetName val="Sup_Calc"/>
      <sheetName val="Emis_Datasets---&gt;"/>
      <sheetName val="Merge_Emis_Sources"/>
      <sheetName val="NYS_Emis_Inventory"/>
      <sheetName val="EPA_Emis_Database"/>
      <sheetName val="Admin"/>
      <sheetName val="Old data emission mapping"/>
      <sheetName val="Admin_SIC"/>
      <sheetName val="Capture cost"/>
      <sheetName val="Emissions split 2015"/>
      <sheetName val="CO2 Storage Re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8">
          <cell r="C78" t="str">
            <v>Natural gas power plant</v>
          </cell>
        </row>
        <row r="79">
          <cell r="C79" t="str">
            <v>Wood based power plant</v>
          </cell>
        </row>
        <row r="80">
          <cell r="C80" t="str">
            <v>Solid waste power plant</v>
          </cell>
        </row>
        <row r="81">
          <cell r="C81" t="str">
            <v>Coal power plant</v>
          </cell>
        </row>
        <row r="82">
          <cell r="C82" t="str">
            <v>Natural gas combustion</v>
          </cell>
        </row>
        <row r="83">
          <cell r="C83" t="str">
            <v>Cement production part A</v>
          </cell>
        </row>
        <row r="84">
          <cell r="C84" t="str">
            <v>Cement production part B</v>
          </cell>
        </row>
        <row r="85">
          <cell r="C85" t="str">
            <v>Cement production</v>
          </cell>
        </row>
        <row r="86">
          <cell r="C86" t="str">
            <v>Aluminum smelter</v>
          </cell>
        </row>
        <row r="87">
          <cell r="C87" t="str">
            <v>Paper/pulp/paperboard mill</v>
          </cell>
        </row>
        <row r="88">
          <cell r="C88" t="str">
            <v>Scrap-based steel mill</v>
          </cell>
        </row>
        <row r="89">
          <cell r="C89" t="str">
            <v>Glass production</v>
          </cell>
        </row>
        <row r="90">
          <cell r="C90" t="str">
            <v>Ethanol production</v>
          </cell>
        </row>
        <row r="91">
          <cell r="C91" t="str">
            <v>Hydrogen production</v>
          </cell>
        </row>
        <row r="92">
          <cell r="C92" t="str">
            <v>KOH</v>
          </cell>
        </row>
        <row r="99">
          <cell r="F99">
            <v>92.698093039658474</v>
          </cell>
        </row>
        <row r="100">
          <cell r="F100">
            <v>55.266245094218483</v>
          </cell>
        </row>
        <row r="101">
          <cell r="F101">
            <v>55.266245094218483</v>
          </cell>
        </row>
        <row r="102">
          <cell r="F102">
            <v>49.090377821213067</v>
          </cell>
        </row>
        <row r="103">
          <cell r="F103">
            <v>92.698093039658474</v>
          </cell>
        </row>
        <row r="106">
          <cell r="F106">
            <v>36.108852874796526</v>
          </cell>
        </row>
        <row r="107">
          <cell r="F107">
            <v>77.473941391394305</v>
          </cell>
        </row>
        <row r="108">
          <cell r="F108">
            <v>75.364663380738435</v>
          </cell>
        </row>
        <row r="109">
          <cell r="F109">
            <v>24.113327946631138</v>
          </cell>
        </row>
        <row r="110">
          <cell r="F110">
            <v>48.001624023038175</v>
          </cell>
        </row>
        <row r="111">
          <cell r="F111">
            <v>14.770827527723304</v>
          </cell>
        </row>
        <row r="112">
          <cell r="F112">
            <v>26.94870049326558</v>
          </cell>
        </row>
        <row r="113">
          <cell r="F113">
            <v>163</v>
          </cell>
        </row>
      </sheetData>
      <sheetData sheetId="8">
        <row r="70">
          <cell r="C70" t="str">
            <v>Formaldehyde</v>
          </cell>
          <cell r="J70">
            <v>0.10068995371449503</v>
          </cell>
        </row>
        <row r="71">
          <cell r="C71" t="str">
            <v>Ethylene oxide</v>
          </cell>
          <cell r="J71">
            <v>0.63677639046538026</v>
          </cell>
        </row>
        <row r="72">
          <cell r="C72" t="str">
            <v>Carbon monoxide</v>
          </cell>
          <cell r="J72">
            <v>0.21591003213138166</v>
          </cell>
        </row>
        <row r="73">
          <cell r="C73" t="str">
            <v>Synthetic methane as fuel</v>
          </cell>
          <cell r="J73">
            <v>0.37703491271820455</v>
          </cell>
        </row>
        <row r="74">
          <cell r="C74" t="str">
            <v>Methanol to olefins (total)</v>
          </cell>
          <cell r="J74">
            <v>0.17246941394552975</v>
          </cell>
        </row>
        <row r="75">
          <cell r="C75" t="str">
            <v>Carbonate mineralization - natural minerals</v>
          </cell>
          <cell r="J75">
            <v>0.5</v>
          </cell>
        </row>
        <row r="76">
          <cell r="C76" t="str">
            <v>Refrigerant gas</v>
          </cell>
          <cell r="J76" t="e">
            <v>#N/A</v>
          </cell>
        </row>
        <row r="77">
          <cell r="C77" t="str">
            <v>Acetic acid</v>
          </cell>
          <cell r="J77">
            <v>0.10070672084193699</v>
          </cell>
        </row>
        <row r="78">
          <cell r="C78" t="str">
            <v>Formic Acid</v>
          </cell>
          <cell r="J78">
            <v>0.13138474907668912</v>
          </cell>
        </row>
        <row r="79">
          <cell r="C79" t="str">
            <v>Ethylene glycol</v>
          </cell>
          <cell r="J79">
            <v>9.7432576123731282E-2</v>
          </cell>
        </row>
      </sheetData>
      <sheetData sheetId="9">
        <row r="1">
          <cell r="A1" t="str">
            <v>SupCalc_Product</v>
          </cell>
          <cell r="B1" t="str">
            <v>SupCalc_Type</v>
          </cell>
          <cell r="E1" t="str">
            <v>SupCalc_Data</v>
          </cell>
          <cell r="F1" t="str">
            <v>Electricity demand</v>
          </cell>
          <cell r="G1" t="str">
            <v>Thermal demand</v>
          </cell>
          <cell r="H1" t="str">
            <v>Plant size</v>
          </cell>
          <cell r="I1" t="str">
            <v>CO2 utilization factor</v>
          </cell>
          <cell r="J1" t="str">
            <v>CAPEX</v>
          </cell>
          <cell r="K1" t="str">
            <v>Other OPEX</v>
          </cell>
        </row>
        <row r="3">
          <cell r="C3" t="str">
            <v>The purpose of this sheet is to provide a central location for calculations which are used in other sheets, such as the energy and cost datasheet. In this sheet there will also be additional explanation and references where necessary.</v>
          </cell>
        </row>
        <row r="5">
          <cell r="C5" t="str">
            <v>Supporting calculations</v>
          </cell>
        </row>
        <row r="6">
          <cell r="C6" t="str">
            <v xml:space="preserve">Provides all the supporting calculations for the quantification of attributes </v>
          </cell>
        </row>
        <row r="8">
          <cell r="D8" t="str">
            <v>Emission Factors</v>
          </cell>
        </row>
        <row r="10">
          <cell r="F10" t="str">
            <v>Fuel</v>
          </cell>
          <cell r="G10" t="str">
            <v>Factor</v>
          </cell>
          <cell r="H10" t="str">
            <v>Unit</v>
          </cell>
          <cell r="I10" t="str">
            <v>Reference</v>
          </cell>
        </row>
        <row r="11">
          <cell r="F11" t="str">
            <v>Natural gas</v>
          </cell>
          <cell r="G11">
            <v>56100</v>
          </cell>
          <cell r="H11" t="str">
            <v>kg GHG/TJ</v>
          </cell>
          <cell r="I11" t="str">
            <v xml:space="preserve">https://www.ipcc-nggip.iges.or.jp/public/2006gl/pdf/2_Volume2/V2_2_Ch2_Stationary_Combustion.pdf </v>
          </cell>
        </row>
        <row r="12">
          <cell r="F12" t="str">
            <v>Natural gas</v>
          </cell>
          <cell r="G12">
            <v>15583333333.333334</v>
          </cell>
          <cell r="H12" t="str">
            <v>kg CO2 /kWh</v>
          </cell>
        </row>
        <row r="13">
          <cell r="F13" t="str">
            <v>Electricity North Carolina 2016</v>
          </cell>
          <cell r="G13">
            <v>805.3</v>
          </cell>
          <cell r="H13" t="str">
            <v>lbs CO2/kWh</v>
          </cell>
          <cell r="I13" t="str">
            <v>https://www.epa.gov/energy/power-profiler</v>
          </cell>
        </row>
        <row r="14">
          <cell r="F14" t="str">
            <v>Electricity North Carolina 2016</v>
          </cell>
          <cell r="G14">
            <v>0.36527793556099997</v>
          </cell>
          <cell r="H14" t="str">
            <v>tonne CO2/kWh</v>
          </cell>
        </row>
        <row r="17">
          <cell r="D17" t="str">
            <v>Fuel properties</v>
          </cell>
        </row>
        <row r="19">
          <cell r="F19" t="str">
            <v>Conversion</v>
          </cell>
          <cell r="G19" t="str">
            <v>Factor</v>
          </cell>
          <cell r="H19" t="str">
            <v>Reference</v>
          </cell>
          <cell r="K19" t="str">
            <v>Fuel</v>
          </cell>
          <cell r="L19" t="str">
            <v>LHV</v>
          </cell>
          <cell r="N19" t="str">
            <v>Reference</v>
          </cell>
        </row>
        <row r="20">
          <cell r="F20" t="str">
            <v>Metric tonnes/barrel diesel</v>
          </cell>
          <cell r="G20">
            <v>0.13333333</v>
          </cell>
          <cell r="H20" t="str">
            <v>https://www.cmegroup.com/tools-information/calc_refined.html</v>
          </cell>
          <cell r="I20" t="str">
            <v/>
          </cell>
          <cell r="L20" t="str">
            <v>MJ/kg</v>
          </cell>
          <cell r="M20" t="str">
            <v>MJ/l</v>
          </cell>
        </row>
        <row r="21">
          <cell r="F21" t="str">
            <v>Metric tonnes/barrel kerosene</v>
          </cell>
          <cell r="G21">
            <v>0.12820513</v>
          </cell>
          <cell r="H21" t="str">
            <v>https://www.cmegroup.com/tools-information/calc_refined.html</v>
          </cell>
          <cell r="I21" t="str">
            <v/>
          </cell>
          <cell r="K21" t="str">
            <v>Diesel</v>
          </cell>
          <cell r="L21">
            <v>42.6</v>
          </cell>
          <cell r="M21">
            <v>36</v>
          </cell>
          <cell r="N21" t="str">
            <v>https://www.engineeringtoolbox.com/fuels-higher-calorific-values-d_169.html</v>
          </cell>
          <cell r="O21" t="str">
            <v/>
          </cell>
        </row>
        <row r="22">
          <cell r="F22" t="str">
            <v>Metric tonnes/barrel RFO</v>
          </cell>
          <cell r="G22">
            <v>0.14925373</v>
          </cell>
          <cell r="H22" t="str">
            <v>https://www.cmegroup.com/tools-information/calc_refined.html</v>
          </cell>
          <cell r="I22" t="str">
            <v/>
          </cell>
          <cell r="K22" t="str">
            <v>Ethanol</v>
          </cell>
          <cell r="L22">
            <v>26.7</v>
          </cell>
          <cell r="M22">
            <v>21.1</v>
          </cell>
          <cell r="N22" t="str">
            <v>https://www.engineeringtoolbox.com/fuels-higher-calorific-values-d_169.html</v>
          </cell>
          <cell r="O22" t="str">
            <v/>
          </cell>
        </row>
        <row r="23">
          <cell r="F23" t="str">
            <v>Metric tonnes/barrel gasoline</v>
          </cell>
          <cell r="G23">
            <v>0.1183432</v>
          </cell>
          <cell r="H23" t="str">
            <v>https://www.cmegroup.com/tools-information/calc_refined.html</v>
          </cell>
          <cell r="I23" t="str">
            <v/>
          </cell>
          <cell r="K23" t="str">
            <v>Methane</v>
          </cell>
          <cell r="L23">
            <v>50</v>
          </cell>
          <cell r="M23">
            <v>35.799999999999997</v>
          </cell>
          <cell r="N23" t="str">
            <v>https://www.engineeringtoolbox.com/fuels-higher-calorific-values-d_169.html</v>
          </cell>
          <cell r="O23" t="str">
            <v>MJ/m3 instead of MJ/l</v>
          </cell>
        </row>
        <row r="24">
          <cell r="F24" t="str">
            <v>Metric tonnes/barrel distillate fuel</v>
          </cell>
          <cell r="G24">
            <v>0.13</v>
          </cell>
          <cell r="H24" t="str">
            <v>https://www.cmegroup.com/tools-information/calc_refined.html</v>
          </cell>
          <cell r="I24" t="str">
            <v/>
          </cell>
          <cell r="K24" t="str">
            <v>Hydrogen</v>
          </cell>
          <cell r="L24">
            <v>120</v>
          </cell>
          <cell r="M24">
            <v>10.8</v>
          </cell>
          <cell r="N24" t="str">
            <v>https://www.engineeringtoolbox.com/fuels-higher-calorific-values-d_169.html</v>
          </cell>
          <cell r="O24" t="str">
            <v/>
          </cell>
        </row>
        <row r="25">
          <cell r="F25" t="str">
            <v>Metric tonnes/barrel ethanol</v>
          </cell>
          <cell r="G25">
            <v>0.12486142322097379</v>
          </cell>
          <cell r="H25" t="str">
            <v>https://www.aqua-calc.com/calculate/volume-to-weight</v>
          </cell>
          <cell r="I25" t="str">
            <v/>
          </cell>
        </row>
        <row r="26">
          <cell r="F26" t="str">
            <v>Cubic meter/barrel oil</v>
          </cell>
          <cell r="G26">
            <v>0.158</v>
          </cell>
          <cell r="H26" t="str">
            <v>https://www.cmegroup.com/tools-information/calc_refined.html</v>
          </cell>
          <cell r="I26" t="str">
            <v/>
          </cell>
        </row>
        <row r="27">
          <cell r="F27" t="str">
            <v>kg/metric tonne</v>
          </cell>
          <cell r="G27">
            <v>1000</v>
          </cell>
        </row>
        <row r="28">
          <cell r="F28" t="str">
            <v>g/kg</v>
          </cell>
          <cell r="G28">
            <v>1000</v>
          </cell>
        </row>
        <row r="29">
          <cell r="F29" t="str">
            <v>lbs/tonne</v>
          </cell>
          <cell r="G29">
            <v>4.5359236999999999E-4</v>
          </cell>
          <cell r="H29" t="str">
            <v>https://www.rapidtables.com/convert/weight/pound-to-ton.html</v>
          </cell>
        </row>
        <row r="31">
          <cell r="D31" t="str">
            <v>Chemical conversion</v>
          </cell>
        </row>
        <row r="33">
          <cell r="F33" t="str">
            <v>Conversion</v>
          </cell>
          <cell r="G33" t="str">
            <v>Factor</v>
          </cell>
          <cell r="H33" t="str">
            <v>Reference</v>
          </cell>
        </row>
        <row r="34">
          <cell r="E34" t="str">
            <v>Cst_g/mol_to_tonne/mol</v>
          </cell>
          <cell r="F34" t="str">
            <v>g/mol in tonne/mol</v>
          </cell>
          <cell r="G34">
            <v>1000000</v>
          </cell>
        </row>
        <row r="35">
          <cell r="F35" t="str">
            <v>KJ/ GJ</v>
          </cell>
          <cell r="G35">
            <v>1000000</v>
          </cell>
        </row>
        <row r="38">
          <cell r="D38" t="str">
            <v>Chemicals</v>
          </cell>
        </row>
        <row r="41">
          <cell r="F41" t="str">
            <v>Technology</v>
          </cell>
          <cell r="I41" t="str">
            <v xml:space="preserve">CO2 required                     </v>
          </cell>
          <cell r="J41" t="str">
            <v>Global product demand</v>
          </cell>
          <cell r="K41" t="str">
            <v>Global Demand</v>
          </cell>
          <cell r="M41" t="str">
            <v>USA Production demand</v>
          </cell>
        </row>
        <row r="42">
          <cell r="F42" t="str">
            <v>Application types</v>
          </cell>
          <cell r="G42" t="str">
            <v>Carbon Utilization Family</v>
          </cell>
          <cell r="H42" t="str">
            <v>Carbon Utilization technologies</v>
          </cell>
          <cell r="I42" t="str">
            <v>t CO2/ t product</v>
          </cell>
          <cell r="J42" t="str">
            <v>Mtpa</v>
          </cell>
          <cell r="K42" t="str">
            <v>MtCO2/yr</v>
          </cell>
          <cell r="L42" t="str">
            <v>References</v>
          </cell>
          <cell r="M42" t="str">
            <v>Tonnes product per year</v>
          </cell>
          <cell r="N42" t="str">
            <v>URL</v>
          </cell>
          <cell r="O42" t="str">
            <v>Year</v>
          </cell>
          <cell r="P42" t="str">
            <v>Title</v>
          </cell>
          <cell r="Q42" t="str">
            <v xml:space="preserve">Author or Publication entity </v>
          </cell>
          <cell r="R42" t="str">
            <v>Comment</v>
          </cell>
        </row>
        <row r="43">
          <cell r="F43" t="str">
            <v>Chemicals</v>
          </cell>
          <cell r="G43" t="str">
            <v>Methanol as a feedstock</v>
          </cell>
          <cell r="H43" t="str">
            <v>Methanol to BTX-Benzene</v>
          </cell>
          <cell r="I43">
            <v>3.38</v>
          </cell>
          <cell r="J43">
            <v>48.564874560828429</v>
          </cell>
          <cell r="K43">
            <v>164.14927601560009</v>
          </cell>
          <cell r="L43" t="str">
            <v>1,24,25</v>
          </cell>
          <cell r="M43">
            <v>6735000</v>
          </cell>
          <cell r="N43" t="str">
            <v xml:space="preserve">https://www.argusmedia.com/-/media/Files/sample-reports/argus-benzene-annual-2017-brochure-full-toc.ashx?la=ja&amp;hash=548780C5AD0154DECAA2C29130BCFB8AFE8CA675 </v>
          </cell>
          <cell r="O43">
            <v>2015</v>
          </cell>
          <cell r="P43" t="str">
            <v>Argus Benzene Annual 2017</v>
          </cell>
          <cell r="Q43" t="str">
            <v>Published by Argus</v>
          </cell>
          <cell r="R43" t="str">
            <v>Not USA only data (North America data)</v>
          </cell>
        </row>
        <row r="44">
          <cell r="H44" t="str">
            <v>Methanol to BTX-Toluene</v>
          </cell>
          <cell r="I44">
            <v>3.35</v>
          </cell>
          <cell r="J44">
            <v>29.41495954749999</v>
          </cell>
          <cell r="K44">
            <v>98.54011448412497</v>
          </cell>
          <cell r="L44" t="str">
            <v>1,24,26</v>
          </cell>
          <cell r="M44">
            <v>3550000</v>
          </cell>
          <cell r="N44" t="str">
            <v>https://www.icis.com/explore/resources/news/2018/12/20/10298237/chemical-profile-us-toluene/</v>
          </cell>
          <cell r="O44">
            <v>2018</v>
          </cell>
          <cell r="P44" t="str">
            <v>Chemical profile: US toluene</v>
          </cell>
          <cell r="Q44" t="str">
            <v>Published by ICIS</v>
          </cell>
          <cell r="R44" t="str">
            <v>plant capacity data</v>
          </cell>
        </row>
        <row r="45">
          <cell r="H45" t="str">
            <v>Methanol to BTX-Xylene</v>
          </cell>
          <cell r="I45">
            <v>3.32</v>
          </cell>
          <cell r="J45">
            <v>48.276617048299997</v>
          </cell>
          <cell r="K45">
            <v>160.27836860035598</v>
          </cell>
          <cell r="L45" t="str">
            <v>1,24,27</v>
          </cell>
          <cell r="M45">
            <v>4105000</v>
          </cell>
          <cell r="N45" t="str">
            <v>https://www.icis.com/explore/resources/news/2018/07/19/10243167/chemical-profile-us-paraxylene/</v>
          </cell>
          <cell r="O45">
            <v>2018</v>
          </cell>
          <cell r="P45" t="str">
            <v>Chemical profile: US paraxylene</v>
          </cell>
          <cell r="Q45" t="str">
            <v>Published by ICIS</v>
          </cell>
          <cell r="R45" t="str">
            <v>plant capacity data</v>
          </cell>
        </row>
        <row r="46">
          <cell r="H46" t="str">
            <v>Methanol to Olefins-Ethylene</v>
          </cell>
          <cell r="I46">
            <v>3.14</v>
          </cell>
          <cell r="J46">
            <v>150</v>
          </cell>
          <cell r="K46">
            <v>471</v>
          </cell>
          <cell r="L46" t="str">
            <v>1,24,28</v>
          </cell>
          <cell r="M46">
            <v>33072299.903999999</v>
          </cell>
          <cell r="N46" t="str">
            <v>https://www.icis.com/explore/resources/news/2018/08/29/10255170/interactive-us-august-propylene-contracts-settle-up-2-cents-lb-amid-recent-outages/</v>
          </cell>
          <cell r="O46">
            <v>2018</v>
          </cell>
          <cell r="P46" t="str">
            <v>US August propylene contracts settle up 2 cents/lb amid recent outages</v>
          </cell>
          <cell r="Q46" t="str">
            <v>Published by ICIS</v>
          </cell>
        </row>
        <row r="47">
          <cell r="H47" t="str">
            <v>Methanol to Olefins-Propylene</v>
          </cell>
          <cell r="I47">
            <v>3.14</v>
          </cell>
          <cell r="J47">
            <v>100</v>
          </cell>
          <cell r="K47">
            <v>314</v>
          </cell>
          <cell r="L47" t="str">
            <v>1,24,29</v>
          </cell>
          <cell r="M47">
            <v>4814879.08</v>
          </cell>
          <cell r="N47" t="str">
            <v>https://www.icis.com/explore/resources/news/2018/08/29/10255170/interactive-us-august-propylene-contracts-settle-up-2-cents-lb-amid-recent-outages/</v>
          </cell>
          <cell r="O47">
            <v>2018</v>
          </cell>
          <cell r="P47" t="str">
            <v>US August propylene contracts settle up 2 cents/lb amid recent outages</v>
          </cell>
          <cell r="Q47" t="str">
            <v>Published by ICIS</v>
          </cell>
        </row>
        <row r="49">
          <cell r="I49" t="str">
            <v>Data used in longlist</v>
          </cell>
          <cell r="J49" t="str">
            <v>Named range</v>
          </cell>
          <cell r="K49" t="str">
            <v>Value</v>
          </cell>
        </row>
        <row r="50">
          <cell r="I50" t="str">
            <v>Methanol to BTX global product demand</v>
          </cell>
          <cell r="J50" t="str">
            <v>Prod_Glob_Meth_BTX</v>
          </cell>
          <cell r="K50">
            <v>126.25645115662842</v>
          </cell>
        </row>
        <row r="51">
          <cell r="I51" t="str">
            <v>Methanol to Olefins global product demand</v>
          </cell>
          <cell r="J51" t="str">
            <v>Prod_Glob_Meth_Olef</v>
          </cell>
          <cell r="K51">
            <v>250</v>
          </cell>
        </row>
        <row r="57">
          <cell r="E57" t="str">
            <v>Formaldehyde</v>
          </cell>
        </row>
        <row r="59">
          <cell r="F59" t="str">
            <v>Electricity demand</v>
          </cell>
          <cell r="G59" t="str">
            <v>Thermal demand</v>
          </cell>
          <cell r="H59" t="str">
            <v>Plant size</v>
          </cell>
          <cell r="I59" t="str">
            <v>CO2 utilization factor</v>
          </cell>
          <cell r="J59" t="str">
            <v>CAPEX</v>
          </cell>
          <cell r="K59" t="str">
            <v>Other OPEX</v>
          </cell>
        </row>
        <row r="60">
          <cell r="F60" t="str">
            <v>kWhe/t product</v>
          </cell>
          <cell r="G60" t="str">
            <v>kWhth/t product</v>
          </cell>
          <cell r="H60" t="str">
            <v>tonne/y</v>
          </cell>
          <cell r="I60" t="str">
            <v>tCO2/t product</v>
          </cell>
          <cell r="J60" t="str">
            <v>$/tonne</v>
          </cell>
          <cell r="K60" t="str">
            <v>$/tonne</v>
          </cell>
        </row>
        <row r="61">
          <cell r="A61" t="str">
            <v>Formaldehyde</v>
          </cell>
          <cell r="F61" t="str">
            <v/>
          </cell>
          <cell r="G61" t="str">
            <v/>
          </cell>
          <cell r="H61">
            <v>250000</v>
          </cell>
          <cell r="I61">
            <v>1.47</v>
          </cell>
          <cell r="J61" t="str">
            <v>Not identified</v>
          </cell>
          <cell r="K61">
            <v>0</v>
          </cell>
        </row>
        <row r="63">
          <cell r="F63" t="str">
            <v>Factor</v>
          </cell>
          <cell r="G63" t="str">
            <v>Value</v>
          </cell>
          <cell r="H63" t="str">
            <v>Unit</v>
          </cell>
          <cell r="I63" t="str">
            <v>Reference</v>
          </cell>
        </row>
        <row r="64">
          <cell r="F64" t="str">
            <v>Technology provider</v>
          </cell>
        </row>
        <row r="65">
          <cell r="F65" t="str">
            <v>Plant size</v>
          </cell>
          <cell r="G65">
            <v>250000</v>
          </cell>
          <cell r="H65" t="str">
            <v>tonne/yr</v>
          </cell>
          <cell r="I65" t="str">
            <v>https://www.hydrocarbonprocessing.com/news/2018/05/dynea-announces-successful-commissioning-start-up-of-new-formaldehyde-plant</v>
          </cell>
        </row>
        <row r="66">
          <cell r="F66" t="str">
            <v>CO2 use factor</v>
          </cell>
          <cell r="G66">
            <v>1.47</v>
          </cell>
          <cell r="H66" t="str">
            <v>tCO2/t product</v>
          </cell>
          <cell r="I66" t="str">
            <v>http://carbonnext.eu/Deliverables/_/D2.1%20Value%20Chains%2031%2010%202017.pdf</v>
          </cell>
        </row>
        <row r="67">
          <cell r="F67" t="str">
            <v xml:space="preserve">Energy demand </v>
          </cell>
          <cell r="G67" t="str">
            <v>Not identified</v>
          </cell>
          <cell r="H67" t="str">
            <v>kWhe/t product</v>
          </cell>
        </row>
        <row r="68">
          <cell r="F68" t="str">
            <v xml:space="preserve">Energy demand </v>
          </cell>
          <cell r="G68" t="str">
            <v>Not identified</v>
          </cell>
          <cell r="H68" t="str">
            <v>kWhth/t product</v>
          </cell>
        </row>
        <row r="69">
          <cell r="F69" t="str">
            <v>CAPEX</v>
          </cell>
          <cell r="G69" t="str">
            <v>Not identified</v>
          </cell>
          <cell r="H69" t="str">
            <v>$/tonne</v>
          </cell>
        </row>
        <row r="70">
          <cell r="F70" t="str">
            <v>Other OPEX</v>
          </cell>
          <cell r="H70" t="str">
            <v>$/tonne</v>
          </cell>
        </row>
        <row r="76">
          <cell r="E76" t="str">
            <v>Acetic acid</v>
          </cell>
        </row>
        <row r="78">
          <cell r="F78" t="str">
            <v>Electricity demand</v>
          </cell>
          <cell r="G78" t="str">
            <v>Thermal demand</v>
          </cell>
          <cell r="H78" t="str">
            <v>Plant size</v>
          </cell>
          <cell r="I78" t="str">
            <v>CO2 utilization factor</v>
          </cell>
          <cell r="J78" t="str">
            <v>CAPEX</v>
          </cell>
          <cell r="K78" t="str">
            <v>Other OPEX</v>
          </cell>
        </row>
        <row r="79">
          <cell r="F79" t="str">
            <v>kWhe/t product</v>
          </cell>
          <cell r="G79" t="str">
            <v>kWhth/t product</v>
          </cell>
          <cell r="H79" t="str">
            <v>tonne/y</v>
          </cell>
          <cell r="I79" t="str">
            <v>tCO2/t product</v>
          </cell>
          <cell r="J79" t="str">
            <v>$/tonne</v>
          </cell>
          <cell r="K79" t="str">
            <v>$/tonne</v>
          </cell>
        </row>
        <row r="80">
          <cell r="A80" t="str">
            <v>Acetic acid</v>
          </cell>
          <cell r="F80" t="str">
            <v/>
          </cell>
          <cell r="G80" t="str">
            <v/>
          </cell>
          <cell r="H80">
            <v>1500000</v>
          </cell>
          <cell r="I80">
            <v>1.47</v>
          </cell>
          <cell r="J80" t="str">
            <v>Not identified</v>
          </cell>
          <cell r="K80">
            <v>0</v>
          </cell>
        </row>
        <row r="82">
          <cell r="F82" t="str">
            <v>Factor</v>
          </cell>
          <cell r="G82" t="str">
            <v>Value</v>
          </cell>
          <cell r="H82" t="str">
            <v>Unit</v>
          </cell>
          <cell r="I82" t="str">
            <v>Reference</v>
          </cell>
        </row>
        <row r="83">
          <cell r="F83" t="str">
            <v>Technology provider</v>
          </cell>
        </row>
        <row r="84">
          <cell r="F84" t="str">
            <v>Plant size</v>
          </cell>
          <cell r="G84">
            <v>1500000</v>
          </cell>
          <cell r="H84" t="str">
            <v>tonne/yr</v>
          </cell>
          <cell r="I84" t="str">
            <v>https://www.icis.com/explore/resources/news/2019/01/08/10301264/outlook-19-us-acetic-acid-headed-toward-record-new-year/</v>
          </cell>
        </row>
        <row r="85">
          <cell r="F85" t="str">
            <v>CO2 use factor</v>
          </cell>
          <cell r="G85">
            <v>1.47</v>
          </cell>
          <cell r="H85" t="str">
            <v>tCO2/t product</v>
          </cell>
          <cell r="I85" t="str">
            <v>http://carbonnext.eu/Deliverables/_/D2.1%20Value%20Chains%2031%2010%202017.pdf</v>
          </cell>
        </row>
        <row r="86">
          <cell r="F86" t="str">
            <v xml:space="preserve">Energy demand </v>
          </cell>
          <cell r="G86" t="str">
            <v>Not identified</v>
          </cell>
          <cell r="H86" t="str">
            <v>kWhe/t product</v>
          </cell>
        </row>
        <row r="87">
          <cell r="F87" t="str">
            <v xml:space="preserve">Energy demand </v>
          </cell>
          <cell r="G87" t="str">
            <v>Not identified</v>
          </cell>
          <cell r="H87" t="str">
            <v>kWhth/t product</v>
          </cell>
        </row>
        <row r="88">
          <cell r="F88" t="str">
            <v>CAPEX</v>
          </cell>
          <cell r="G88" t="str">
            <v>Not identified</v>
          </cell>
          <cell r="H88" t="str">
            <v>$/tonne</v>
          </cell>
        </row>
        <row r="89">
          <cell r="F89" t="str">
            <v>Other OPEX</v>
          </cell>
          <cell r="H89" t="str">
            <v>$/tonne</v>
          </cell>
        </row>
        <row r="92">
          <cell r="E92" t="str">
            <v>Ethylene glycol</v>
          </cell>
        </row>
        <row r="94">
          <cell r="F94" t="str">
            <v>Electricity demand</v>
          </cell>
          <cell r="G94" t="str">
            <v>Thermal demand</v>
          </cell>
          <cell r="H94" t="str">
            <v>Plant size</v>
          </cell>
          <cell r="I94" t="str">
            <v>CO2 utilization factor</v>
          </cell>
          <cell r="J94" t="str">
            <v>CAPEX</v>
          </cell>
          <cell r="K94" t="str">
            <v>Other OPEX</v>
          </cell>
        </row>
        <row r="95">
          <cell r="F95" t="str">
            <v>kWhe/t product</v>
          </cell>
          <cell r="G95" t="str">
            <v>kWhth/t product</v>
          </cell>
          <cell r="H95" t="str">
            <v>tonne/y</v>
          </cell>
          <cell r="I95" t="str">
            <v>tCO2/t product</v>
          </cell>
          <cell r="J95" t="str">
            <v>$/tonne</v>
          </cell>
          <cell r="K95" t="str">
            <v>$/tonne</v>
          </cell>
        </row>
        <row r="96">
          <cell r="A96" t="str">
            <v>Ethylene glycol</v>
          </cell>
          <cell r="F96" t="str">
            <v/>
          </cell>
          <cell r="G96" t="str">
            <v/>
          </cell>
          <cell r="H96">
            <v>250000</v>
          </cell>
          <cell r="I96">
            <v>1</v>
          </cell>
          <cell r="J96" t="str">
            <v>Not identified</v>
          </cell>
          <cell r="K96">
            <v>0</v>
          </cell>
        </row>
        <row r="98">
          <cell r="F98" t="str">
            <v>Factor</v>
          </cell>
          <cell r="G98" t="str">
            <v>Value</v>
          </cell>
          <cell r="H98" t="str">
            <v>Unit</v>
          </cell>
          <cell r="I98" t="str">
            <v>Reference</v>
          </cell>
        </row>
        <row r="99">
          <cell r="F99" t="str">
            <v>Technology provider</v>
          </cell>
        </row>
        <row r="100">
          <cell r="F100" t="str">
            <v>Plant size</v>
          </cell>
          <cell r="G100">
            <v>250000</v>
          </cell>
          <cell r="H100" t="str">
            <v>tonne/yr</v>
          </cell>
          <cell r="I100" t="str">
            <v>https://www.plasticsinsight.com/resin-intelligence/resin-prices/mono-ethylene-glycol-meg/</v>
          </cell>
        </row>
        <row r="101">
          <cell r="F101" t="str">
            <v>CO2 use factor</v>
          </cell>
          <cell r="G101">
            <v>1</v>
          </cell>
          <cell r="H101" t="str">
            <v>tCO2/t product</v>
          </cell>
          <cell r="I101" t="str">
            <v>http://carbonnext.eu/Deliverables/_/D2.1%20Value%20Chains%2031%2010%202017.pdf</v>
          </cell>
        </row>
        <row r="102">
          <cell r="F102" t="str">
            <v>Energy demand- electricity</v>
          </cell>
        </row>
        <row r="103">
          <cell r="F103" t="str">
            <v>Energy demand- natural gas</v>
          </cell>
        </row>
        <row r="104">
          <cell r="F104" t="str">
            <v xml:space="preserve">Energy demand </v>
          </cell>
          <cell r="G104" t="str">
            <v>Not identified</v>
          </cell>
          <cell r="H104" t="str">
            <v>kWhe/t product</v>
          </cell>
        </row>
        <row r="105">
          <cell r="F105" t="str">
            <v xml:space="preserve">Energy demand </v>
          </cell>
          <cell r="G105" t="str">
            <v>Not identified</v>
          </cell>
          <cell r="H105" t="str">
            <v>kWhth/t product</v>
          </cell>
        </row>
        <row r="106">
          <cell r="F106" t="str">
            <v>CAPEX</v>
          </cell>
          <cell r="G106" t="str">
            <v>Not identified</v>
          </cell>
          <cell r="H106" t="str">
            <v>$/tonne</v>
          </cell>
        </row>
        <row r="107">
          <cell r="F107" t="str">
            <v>Other OPEX</v>
          </cell>
          <cell r="H107" t="str">
            <v>$/tonne</v>
          </cell>
        </row>
        <row r="109">
          <cell r="E109" t="str">
            <v>Ethylene oxide</v>
          </cell>
        </row>
        <row r="111">
          <cell r="F111" t="str">
            <v>Electricity demand</v>
          </cell>
          <cell r="G111" t="str">
            <v>Thermal demand</v>
          </cell>
          <cell r="H111" t="str">
            <v>Plant size</v>
          </cell>
          <cell r="I111" t="str">
            <v>CO2 utilization factor</v>
          </cell>
          <cell r="J111" t="str">
            <v>CAPEX</v>
          </cell>
          <cell r="K111" t="str">
            <v>Other OPEX</v>
          </cell>
        </row>
        <row r="112">
          <cell r="F112" t="str">
            <v>kWhe/t product</v>
          </cell>
          <cell r="G112" t="str">
            <v>kWhth/t product</v>
          </cell>
          <cell r="H112" t="str">
            <v>tonne/y</v>
          </cell>
          <cell r="I112" t="str">
            <v>tCO2/t product</v>
          </cell>
          <cell r="J112" t="str">
            <v>$/tonne</v>
          </cell>
          <cell r="K112" t="str">
            <v>$/tonne</v>
          </cell>
        </row>
        <row r="113">
          <cell r="A113" t="str">
            <v>Ethylene oxide</v>
          </cell>
          <cell r="F113">
            <v>1.4783263576286343</v>
          </cell>
          <cell r="G113">
            <v>1.531764705882353E-7</v>
          </cell>
          <cell r="H113">
            <v>100000</v>
          </cell>
          <cell r="I113">
            <v>1</v>
          </cell>
          <cell r="J113" t="str">
            <v>Not identified</v>
          </cell>
          <cell r="K113" t="str">
            <v>Not identified</v>
          </cell>
        </row>
        <row r="115">
          <cell r="F115" t="str">
            <v>Factor</v>
          </cell>
          <cell r="G115" t="str">
            <v>Value</v>
          </cell>
          <cell r="H115" t="str">
            <v>Unit</v>
          </cell>
          <cell r="I115" t="str">
            <v>Reference</v>
          </cell>
        </row>
        <row r="116">
          <cell r="F116" t="str">
            <v>Technology provider</v>
          </cell>
          <cell r="G116" t="str">
            <v>RTI International</v>
          </cell>
        </row>
        <row r="117">
          <cell r="F117" t="str">
            <v>Plant size</v>
          </cell>
          <cell r="G117">
            <v>100000</v>
          </cell>
          <cell r="H117" t="str">
            <v>tonne/yr</v>
          </cell>
          <cell r="I117" t="str">
            <v>https://www.hydrocarbonprocessing.com/news/2018/05/dynea-announces-successful-commissioning-start-up-of-new-formaldehyde-plant</v>
          </cell>
        </row>
        <row r="118">
          <cell r="F118" t="str">
            <v>CO2 use factor</v>
          </cell>
          <cell r="G118">
            <v>1</v>
          </cell>
          <cell r="H118" t="str">
            <v>tCO2/t product</v>
          </cell>
          <cell r="I118" t="str">
            <v>http://carbonnext.eu/Deliverables/_/D2.1%20Value%20Chains%2031%2010%202017.pdf</v>
          </cell>
        </row>
        <row r="119">
          <cell r="F119" t="str">
            <v>Energy demand- electricity</v>
          </cell>
          <cell r="G119">
            <v>0.54</v>
          </cell>
          <cell r="H119" t="str">
            <v>tonne CO2/tonne ethylene oxide</v>
          </cell>
          <cell r="I119" t="str">
            <v>http://eralberta.ca/wp-content/uploads/2017/05/K130115-RTI-C3-PEO-Final-Report-Public.pdf</v>
          </cell>
        </row>
        <row r="120">
          <cell r="F120" t="str">
            <v>Energy demand- natural gas</v>
          </cell>
          <cell r="G120">
            <v>2.387</v>
          </cell>
          <cell r="H120" t="str">
            <v>tonne CO2/tonne ethylene oxide</v>
          </cell>
          <cell r="I120" t="str">
            <v>http://eralberta.ca/wp-content/uploads/2017/05/K130115-RTI-C3-PEO-Final-Report-Public.pdf</v>
          </cell>
        </row>
        <row r="121">
          <cell r="F121" t="str">
            <v xml:space="preserve">Energy demand </v>
          </cell>
          <cell r="G121">
            <v>1.4783263576286343</v>
          </cell>
          <cell r="H121" t="str">
            <v>kWhe/t product</v>
          </cell>
        </row>
        <row r="122">
          <cell r="F122" t="str">
            <v xml:space="preserve">Energy demand </v>
          </cell>
          <cell r="G122">
            <v>1.531764705882353E-7</v>
          </cell>
          <cell r="H122" t="str">
            <v>kWhth/t product</v>
          </cell>
        </row>
        <row r="124">
          <cell r="F124" t="str">
            <v>Price</v>
          </cell>
          <cell r="G124" t="str">
            <v>Ethylene oxide market 2018$</v>
          </cell>
          <cell r="H124" t="str">
            <v>Ethylene oxide market 2019$</v>
          </cell>
          <cell r="I124" t="str">
            <v>Global production capacity (tonne)</v>
          </cell>
          <cell r="J124" t="str">
            <v>Price formic acid ($/tonne)</v>
          </cell>
          <cell r="K124" t="str">
            <v>Reference 1</v>
          </cell>
          <cell r="L124" t="str">
            <v>Reference 2</v>
          </cell>
        </row>
        <row r="125">
          <cell r="G125">
            <v>44975756126.488647</v>
          </cell>
          <cell r="H125">
            <v>45875271249.018425</v>
          </cell>
          <cell r="I125">
            <v>34500000</v>
          </cell>
          <cell r="J125">
            <v>1329.7180072179253</v>
          </cell>
          <cell r="K125" t="str">
            <v>https://www.marketwatch.com/press-release/ethylene-oxide-market-to-witness-a-moderate-cagr-of-63-during-2018-2024-2019-05-07?mod=mw_quote_news</v>
          </cell>
          <cell r="L125" t="str">
            <v>https://www.prnewswire.com/news-releases/global-and-china-ethylene-oxide-eo-industry-report-2017---the-market-monopoly-is-gradually-broken-300501896.html</v>
          </cell>
        </row>
        <row r="126">
          <cell r="G126" t="str">
            <v>Back calculated the current worth of the ethylene oxide market based on its worth in 2024 and the CAGR (6.33%)</v>
          </cell>
          <cell r="H126">
            <v>1.02</v>
          </cell>
          <cell r="I126" t="str">
            <v>http://www.in2013dollars.com/us/inflation/2006?amount=1</v>
          </cell>
        </row>
        <row r="130">
          <cell r="E130" t="str">
            <v>Carbon monoxide</v>
          </cell>
        </row>
        <row r="132">
          <cell r="F132" t="str">
            <v>Electricity demand</v>
          </cell>
          <cell r="G132" t="str">
            <v>Thermal demand</v>
          </cell>
          <cell r="H132" t="str">
            <v>Plant size</v>
          </cell>
          <cell r="I132" t="str">
            <v>CO2 utilization factor</v>
          </cell>
          <cell r="J132" t="str">
            <v>CAPEX</v>
          </cell>
          <cell r="K132" t="str">
            <v>Other OPEX</v>
          </cell>
        </row>
        <row r="133">
          <cell r="F133" t="str">
            <v>kWhe/t product</v>
          </cell>
          <cell r="G133" t="str">
            <v>kWhth/t product</v>
          </cell>
          <cell r="H133" t="str">
            <v>tonne/y</v>
          </cell>
          <cell r="I133" t="str">
            <v>tCO2/t product</v>
          </cell>
          <cell r="J133" t="str">
            <v>$/tonne</v>
          </cell>
          <cell r="K133" t="str">
            <v>$/tonne</v>
          </cell>
        </row>
        <row r="134">
          <cell r="A134" t="str">
            <v>Carbon monoxide</v>
          </cell>
          <cell r="F134">
            <v>490.45138888888897</v>
          </cell>
          <cell r="G134">
            <v>0</v>
          </cell>
          <cell r="H134">
            <v>17753.069399161617</v>
          </cell>
          <cell r="I134">
            <v>1.5714285714285716</v>
          </cell>
          <cell r="J134">
            <v>400.11394606359767</v>
          </cell>
          <cell r="K134" t="str">
            <v>Not identified</v>
          </cell>
        </row>
        <row r="136">
          <cell r="F136" t="str">
            <v>Factor</v>
          </cell>
          <cell r="G136" t="str">
            <v>Value</v>
          </cell>
          <cell r="H136" t="str">
            <v>Unit</v>
          </cell>
          <cell r="I136" t="str">
            <v>Reference</v>
          </cell>
        </row>
        <row r="137">
          <cell r="F137" t="str">
            <v>Technology provider</v>
          </cell>
        </row>
        <row r="138">
          <cell r="F138" t="str">
            <v>Plant size</v>
          </cell>
          <cell r="H138" t="str">
            <v>tonne/yr</v>
          </cell>
        </row>
        <row r="139">
          <cell r="F139" t="str">
            <v>CO2 use factor</v>
          </cell>
          <cell r="G139">
            <v>1.5714285714285716</v>
          </cell>
          <cell r="H139" t="str">
            <v>tCO2/t product</v>
          </cell>
        </row>
        <row r="140">
          <cell r="F140" t="str">
            <v>Energy demand- electricity</v>
          </cell>
          <cell r="H140" t="str">
            <v>kWh/tonne CO</v>
          </cell>
        </row>
        <row r="141">
          <cell r="F141" t="str">
            <v>Energy demand- natural gas</v>
          </cell>
          <cell r="H141" t="str">
            <v>tonne CO2/tonne CO</v>
          </cell>
        </row>
        <row r="142">
          <cell r="F142" t="str">
            <v xml:space="preserve">Energy demand </v>
          </cell>
          <cell r="G142">
            <v>490.45138888888897</v>
          </cell>
          <cell r="H142" t="str">
            <v>kWhe/t product</v>
          </cell>
        </row>
        <row r="143">
          <cell r="F143" t="str">
            <v xml:space="preserve">Energy demand </v>
          </cell>
          <cell r="H143" t="str">
            <v>kWhth/t product</v>
          </cell>
        </row>
        <row r="146">
          <cell r="F146" t="str">
            <v>Factor</v>
          </cell>
          <cell r="G146" t="str">
            <v>Value</v>
          </cell>
          <cell r="H146" t="str">
            <v>Unit</v>
          </cell>
          <cell r="I146" t="str">
            <v>Reference</v>
          </cell>
        </row>
        <row r="147">
          <cell r="F147" t="str">
            <v>rWGS energy demand</v>
          </cell>
          <cell r="G147">
            <v>3.5</v>
          </cell>
          <cell r="H147" t="str">
            <v>GJ/t FT fuel</v>
          </cell>
          <cell r="I147" t="str">
            <v>DECHEMA</v>
          </cell>
        </row>
        <row r="148">
          <cell r="F148" t="str">
            <v>Mass of CO needed for FT fuel</v>
          </cell>
          <cell r="G148">
            <v>1.982300884955752</v>
          </cell>
          <cell r="H148" t="str">
            <v>t CO/t FT fuel</v>
          </cell>
          <cell r="I148" t="str">
            <v>GIE report / stochiometry</v>
          </cell>
        </row>
        <row r="149">
          <cell r="F149" t="str">
            <v>Energy demand for CO</v>
          </cell>
          <cell r="G149">
            <v>1.7656250000000002</v>
          </cell>
          <cell r="H149" t="str">
            <v>GJ/t CO</v>
          </cell>
        </row>
        <row r="150">
          <cell r="F150" t="str">
            <v>Mass of H2 needed for rWGS</v>
          </cell>
          <cell r="G150">
            <v>141.59292035398229</v>
          </cell>
          <cell r="H150" t="str">
            <v>kg H2/t FT fuel</v>
          </cell>
          <cell r="I150" t="str">
            <v>GIE report / stochiometry</v>
          </cell>
        </row>
        <row r="151">
          <cell r="F151" t="str">
            <v>Mass of H2 needed for rWGS</v>
          </cell>
          <cell r="G151">
            <v>7.1428571428571425E-2</v>
          </cell>
          <cell r="H151" t="str">
            <v>t H2/t FT fuel</v>
          </cell>
        </row>
        <row r="152">
          <cell r="F152" t="str">
            <v>CO2 needed for fuel</v>
          </cell>
          <cell r="G152">
            <v>3.1150442477876106</v>
          </cell>
          <cell r="H152" t="str">
            <v>tCO2/t FT fuel</v>
          </cell>
          <cell r="I152" t="str">
            <v>GIE report / stochiometry</v>
          </cell>
        </row>
        <row r="153">
          <cell r="F153" t="str">
            <v>CO2 needed for CO</v>
          </cell>
          <cell r="G153">
            <v>1.5714285714285716</v>
          </cell>
        </row>
        <row r="154">
          <cell r="F154" t="str">
            <v>Specific CAPEX rWGS plant</v>
          </cell>
          <cell r="G154">
            <v>3.6</v>
          </cell>
          <cell r="H154" t="str">
            <v>million €/(kgCO/s)</v>
          </cell>
          <cell r="I154" t="str">
            <v>https://kalavasta.com/assets/reports/Kalavasta_Carbon_Neutral_Aviation.pdf</v>
          </cell>
        </row>
        <row r="155">
          <cell r="F155" t="str">
            <v>CO2 to CO conversion</v>
          </cell>
          <cell r="G155">
            <v>0.95</v>
          </cell>
          <cell r="I155" t="str">
            <v>https://kalavasta.com/assets/reports/Kalavasta_Carbon_Neutral_Aviation.pdf</v>
          </cell>
        </row>
        <row r="156">
          <cell r="F156" t="str">
            <v>Capacity industrial scale plant</v>
          </cell>
          <cell r="G156">
            <v>10000000</v>
          </cell>
          <cell r="H156" t="str">
            <v>liters FT fuel</v>
          </cell>
          <cell r="I156" t="str">
            <v>https://bioenergyinternational.com/biofuels-oils/sunfire-build-8-000-tonne-per-annum-power-liquid-facility-norway</v>
          </cell>
        </row>
        <row r="157">
          <cell r="F157" t="str">
            <v>Conversion diesel volume to weight</v>
          </cell>
          <cell r="G157">
            <v>0.8508</v>
          </cell>
          <cell r="H157" t="str">
            <v>kg / l diesel</v>
          </cell>
        </row>
        <row r="158">
          <cell r="F158" t="str">
            <v>Capacity industrial scale plant</v>
          </cell>
          <cell r="G158">
            <v>8508</v>
          </cell>
          <cell r="H158" t="str">
            <v>t FT fuel</v>
          </cell>
        </row>
        <row r="159">
          <cell r="F159" t="str">
            <v>CO (rWGS) requirement industrial scale plant</v>
          </cell>
          <cell r="G159">
            <v>16865.415929203537</v>
          </cell>
          <cell r="H159" t="str">
            <v>t CO</v>
          </cell>
        </row>
        <row r="160">
          <cell r="F160" t="str">
            <v>CO (rWGS) requirement industrial scale plant - corrected for CO2 loss</v>
          </cell>
          <cell r="G160">
            <v>17753.069399161617</v>
          </cell>
          <cell r="H160" t="str">
            <v>t CO</v>
          </cell>
        </row>
        <row r="161">
          <cell r="F161" t="str">
            <v>Capacity factor</v>
          </cell>
          <cell r="G161">
            <v>0.85</v>
          </cell>
          <cell r="I161" t="str">
            <v>Assumption</v>
          </cell>
        </row>
        <row r="162">
          <cell r="F162" t="str">
            <v>Load hours</v>
          </cell>
          <cell r="G162">
            <v>7446</v>
          </cell>
        </row>
        <row r="163">
          <cell r="F163" t="str">
            <v>Flow rate CO</v>
          </cell>
          <cell r="G163">
            <v>2.3842424656408294</v>
          </cell>
          <cell r="H163" t="str">
            <v>t CO/hr</v>
          </cell>
        </row>
        <row r="164">
          <cell r="F164" t="str">
            <v>Flow rate CO</v>
          </cell>
          <cell r="G164">
            <v>8.5832728763069852</v>
          </cell>
          <cell r="H164" t="str">
            <v>kg CO/s</v>
          </cell>
        </row>
        <row r="167">
          <cell r="F167" t="str">
            <v>Factor</v>
          </cell>
          <cell r="G167" t="str">
            <v>Value</v>
          </cell>
          <cell r="H167" t="str">
            <v>Unit</v>
          </cell>
          <cell r="I167" t="str">
            <v>Reference</v>
          </cell>
        </row>
        <row r="168">
          <cell r="F168" t="str">
            <v>CAPEX rWGS plant</v>
          </cell>
          <cell r="G168">
            <v>30.899782354705149</v>
          </cell>
          <cell r="H168" t="str">
            <v>million €</v>
          </cell>
        </row>
        <row r="169">
          <cell r="F169" t="str">
            <v>OPEX rWGS plant</v>
          </cell>
          <cell r="G169">
            <v>0.03</v>
          </cell>
          <cell r="H169" t="str">
            <v>% of CAPEX</v>
          </cell>
          <cell r="I169" t="str">
            <v>https://kalavasta.com/assets/reports/Kalavasta_Carbon_Neutral_Aviation.pdf</v>
          </cell>
        </row>
        <row r="170">
          <cell r="F170" t="str">
            <v>OPEX rWGS plant</v>
          </cell>
          <cell r="G170">
            <v>0.92699347064115445</v>
          </cell>
          <cell r="H170" t="str">
            <v>million €/year</v>
          </cell>
        </row>
        <row r="171">
          <cell r="F171" t="str">
            <v>Capital recovery factor</v>
          </cell>
          <cell r="G171">
            <v>0.11016807219002084</v>
          </cell>
        </row>
        <row r="172">
          <cell r="F172" t="str">
            <v>Annualized CAPEX</v>
          </cell>
          <cell r="G172">
            <v>3.4041694531090889</v>
          </cell>
          <cell r="H172" t="str">
            <v>million €/year</v>
          </cell>
        </row>
        <row r="177">
          <cell r="F177" t="str">
            <v>Price</v>
          </cell>
          <cell r="G177" t="str">
            <v>Market value 2016 ($)</v>
          </cell>
          <cell r="H177" t="str">
            <v>Production 2016 (tonne)</v>
          </cell>
          <cell r="I177" t="str">
            <v>Price 2016 ($/tonne)</v>
          </cell>
          <cell r="J177" t="str">
            <v>Price 2019 ($/tonne)</v>
          </cell>
          <cell r="K177" t="str">
            <v>Reference</v>
          </cell>
        </row>
        <row r="178">
          <cell r="G178">
            <v>2789940000</v>
          </cell>
          <cell r="H178">
            <v>3757000</v>
          </cell>
          <cell r="I178">
            <v>742.597817407506</v>
          </cell>
          <cell r="J178">
            <v>787.15368645195645</v>
          </cell>
          <cell r="K178" t="str">
            <v>https://www.openpr.com/news/558500/Carbon-Monoxide-Market-Size-Worth-USD-3218-87-Million-by-2022.html</v>
          </cell>
        </row>
        <row r="179">
          <cell r="J179">
            <v>1.06</v>
          </cell>
          <cell r="K179" t="str">
            <v>http://www.in2013dollars.com/us/inflation/2006?amount=1</v>
          </cell>
        </row>
        <row r="183">
          <cell r="E183" t="str">
            <v>CO2 to Methanol to Olefins</v>
          </cell>
        </row>
        <row r="185">
          <cell r="F185" t="str">
            <v>Electricity demand</v>
          </cell>
          <cell r="G185" t="str">
            <v>Thermal demand</v>
          </cell>
          <cell r="H185" t="str">
            <v>Plant size</v>
          </cell>
          <cell r="I185" t="str">
            <v>CO2 utilization factor</v>
          </cell>
          <cell r="J185" t="str">
            <v>CAPEX</v>
          </cell>
          <cell r="K185" t="str">
            <v>Other OPEX</v>
          </cell>
        </row>
        <row r="186">
          <cell r="F186" t="str">
            <v>kWhe/t product</v>
          </cell>
          <cell r="G186" t="str">
            <v>kWhth/t product</v>
          </cell>
          <cell r="H186" t="str">
            <v>tonne/y</v>
          </cell>
          <cell r="I186" t="str">
            <v>tCO2/t product</v>
          </cell>
          <cell r="J186" t="str">
            <v>$/tonne</v>
          </cell>
          <cell r="K186" t="str">
            <v>$/tonne</v>
          </cell>
        </row>
        <row r="187">
          <cell r="A187" t="str">
            <v>Methanol to olefins (total)</v>
          </cell>
          <cell r="F187">
            <v>2404.4444444444443</v>
          </cell>
          <cell r="G187">
            <v>2404.4444444444443</v>
          </cell>
          <cell r="H187">
            <v>40000</v>
          </cell>
          <cell r="I187">
            <v>3.14</v>
          </cell>
          <cell r="J187">
            <v>125.04072786048951</v>
          </cell>
          <cell r="K187" t="str">
            <v>Not identified</v>
          </cell>
        </row>
        <row r="189">
          <cell r="F189" t="str">
            <v>Factor</v>
          </cell>
          <cell r="G189" t="str">
            <v>Value</v>
          </cell>
          <cell r="H189" t="str">
            <v>Unit</v>
          </cell>
          <cell r="I189" t="str">
            <v>Reference</v>
          </cell>
        </row>
        <row r="190">
          <cell r="F190" t="str">
            <v>CO2 use factor</v>
          </cell>
          <cell r="G190">
            <v>3.14</v>
          </cell>
          <cell r="H190" t="str">
            <v>tCO2/t olefins</v>
          </cell>
          <cell r="I190" t="str">
            <v>http://carbonnext.eu/Deliverables/_/D2.1%20Value%20Chains%2031%2010%202017.pdf</v>
          </cell>
        </row>
        <row r="191">
          <cell r="F191" t="str">
            <v>Energy demand MTO</v>
          </cell>
          <cell r="G191">
            <v>1388.8888888888889</v>
          </cell>
          <cell r="H191" t="str">
            <v>kWh/t olefins</v>
          </cell>
          <cell r="I191" t="str">
            <v>https://dechema.de/dechema_media/Downloads/Positionspapiere/Technology_study_Low_carbon_energy_and_feedstock_for_the_European_chemical_industry.pdf</v>
          </cell>
        </row>
        <row r="192">
          <cell r="F192" t="str">
            <v>Energy demand Methanol</v>
          </cell>
          <cell r="G192">
            <v>1500.0000000000002</v>
          </cell>
          <cell r="H192" t="str">
            <v>kWh/t methanol</v>
          </cell>
          <cell r="I192" t="str">
            <v>https://dechema.de/dechema_media/Downloads/Positionspapiere/Technology_study_Low_carbon_energy_and_feedstock_for_the_European_chemical_industry.pdf</v>
          </cell>
        </row>
        <row r="193">
          <cell r="F193" t="str">
            <v>Methanol/olefins MTO</v>
          </cell>
          <cell r="G193">
            <v>2.2799999999999998</v>
          </cell>
          <cell r="H193" t="str">
            <v>t methanol / t ethylene or propylene</v>
          </cell>
          <cell r="I193" t="str">
            <v>ibid, p69</v>
          </cell>
        </row>
        <row r="194">
          <cell r="F194" t="str">
            <v>Energy demand Methanol</v>
          </cell>
          <cell r="G194">
            <v>3420</v>
          </cell>
          <cell r="H194" t="str">
            <v>kWh/t olefins</v>
          </cell>
        </row>
        <row r="196">
          <cell r="F196" t="str">
            <v>Methanol production</v>
          </cell>
        </row>
        <row r="197">
          <cell r="F197" t="str">
            <v>CAPEX reference</v>
          </cell>
          <cell r="G197">
            <v>8000000</v>
          </cell>
          <cell r="H197" t="str">
            <v>$2009</v>
          </cell>
          <cell r="I197" t="str">
            <v>https://www.chemicals-technology.com/projects/george-olah-renewable-methanol-plant-iceland/</v>
          </cell>
        </row>
        <row r="198">
          <cell r="F198" t="str">
            <v>Capacity CAPEX reference</v>
          </cell>
          <cell r="G198">
            <v>4000</v>
          </cell>
          <cell r="H198" t="str">
            <v>tonne/yr</v>
          </cell>
          <cell r="I198" t="str">
            <v>https://www.chemicals-technology.com/projects/george-olah-renewable-methanol-plant-iceland/</v>
          </cell>
        </row>
        <row r="199">
          <cell r="F199" t="str">
            <v>Average "large" plant size_2</v>
          </cell>
          <cell r="G199">
            <v>40000</v>
          </cell>
          <cell r="H199" t="str">
            <v>tonne/yr</v>
          </cell>
          <cell r="I199" t="str">
            <v>https://dechema.de/dechema_media/Downloads/Positionspapiere/Technology_study_Low_carbon_energy_and_feedstock_for_the_European_chemical_industry.pdf</v>
          </cell>
          <cell r="J199" t="str">
            <v>The Iceland plant serves as a pilot for a plant about ten times this size, see box 2 on page 64. Producing methanol is likely the limiting factor in terms of capacity hence this is used to scale the full pathway.</v>
          </cell>
        </row>
        <row r="201">
          <cell r="F201" t="str">
            <v>CAPEX Average Large plant size 2</v>
          </cell>
          <cell r="G201">
            <v>37418811.302975871</v>
          </cell>
          <cell r="H201" t="str">
            <v>$2009</v>
          </cell>
          <cell r="I201" t="str">
            <v>https://evcvaluation.com/the-cost-to-capacity-method-and-scale-factors/</v>
          </cell>
          <cell r="J201" t="str">
            <v xml:space="preserve">Using cost to capacity method to estimate costs of average large plant size </v>
          </cell>
        </row>
        <row r="202">
          <cell r="F202" t="str">
            <v>Scaling factor</v>
          </cell>
          <cell r="G202">
            <v>0.67</v>
          </cell>
          <cell r="J202" t="str">
            <v xml:space="preserve">Typical scaling factor </v>
          </cell>
        </row>
        <row r="203">
          <cell r="F203" t="str">
            <v>Inflation</v>
          </cell>
          <cell r="G203">
            <v>0.19120000000000001</v>
          </cell>
          <cell r="H203" t="str">
            <v>2009 to 2019</v>
          </cell>
          <cell r="I203" t="str">
            <v>http://www.in2013dollars.com/us/inflation/2009?amount=1</v>
          </cell>
        </row>
        <row r="204">
          <cell r="F204" t="str">
            <v>CAPEX Average Large plant size 2</v>
          </cell>
          <cell r="G204">
            <v>44573288.024104856</v>
          </cell>
          <cell r="H204" t="str">
            <v>$2019</v>
          </cell>
        </row>
        <row r="206">
          <cell r="F206" t="str">
            <v>Olefins production</v>
          </cell>
        </row>
        <row r="207">
          <cell r="F207" t="str">
            <v>CAPEX reference</v>
          </cell>
          <cell r="G207">
            <v>320000000</v>
          </cell>
          <cell r="H207" t="str">
            <v>$2015</v>
          </cell>
          <cell r="I207" t="str">
            <v>https://www.mdpi.com/2227-9717/3/3/684/htm</v>
          </cell>
        </row>
        <row r="208">
          <cell r="F208" t="str">
            <v>Capacity CAPEX reference</v>
          </cell>
          <cell r="G208">
            <v>1560000</v>
          </cell>
          <cell r="H208" t="str">
            <v>tonne/yr</v>
          </cell>
          <cell r="I208" t="str">
            <v>https://www.mdpi.com/2227-9717/3/3/684/htm</v>
          </cell>
          <cell r="J208" t="str">
            <v>tonnes methanol input</v>
          </cell>
        </row>
        <row r="210">
          <cell r="F210" t="str">
            <v>CAPEX</v>
          </cell>
          <cell r="G210">
            <v>776389.56031436753</v>
          </cell>
          <cell r="H210" t="str">
            <v>$2015</v>
          </cell>
          <cell r="I210" t="str">
            <v>https://evcvaluation.com/the-cost-to-capacity-method-and-scale-factors/</v>
          </cell>
          <cell r="J210" t="str">
            <v>scaled to total methanol produced by methanol plant</v>
          </cell>
        </row>
        <row r="211">
          <cell r="F211" t="str">
            <v>Inflation</v>
          </cell>
          <cell r="G211">
            <v>6.4799999999999996E-2</v>
          </cell>
          <cell r="I211" t="str">
            <v>http://www.in2013dollars.com/us/inflation/2015?amount=1</v>
          </cell>
        </row>
        <row r="212">
          <cell r="F212" t="str">
            <v>CAPEX</v>
          </cell>
          <cell r="G212">
            <v>826699.60382273851</v>
          </cell>
          <cell r="H212" t="str">
            <v>$2019</v>
          </cell>
        </row>
        <row r="214">
          <cell r="F214" t="str">
            <v>Integrated pathway</v>
          </cell>
        </row>
        <row r="215">
          <cell r="F215" t="str">
            <v>Total CAPEX</v>
          </cell>
          <cell r="G215">
            <v>45399987.627927594</v>
          </cell>
          <cell r="H215" t="str">
            <v>$2019</v>
          </cell>
        </row>
        <row r="216">
          <cell r="F216" t="str">
            <v>Discounted Capex</v>
          </cell>
          <cell r="G216">
            <v>5001629.1144195804</v>
          </cell>
          <cell r="H216" t="str">
            <v>$2019/yr</v>
          </cell>
        </row>
        <row r="217">
          <cell r="F217" t="str">
            <v>CAPEX per tonne</v>
          </cell>
          <cell r="G217">
            <v>125.04072786048951</v>
          </cell>
          <cell r="H217" t="str">
            <v>$2019/tonne olefins</v>
          </cell>
        </row>
        <row r="221">
          <cell r="D221" t="str">
            <v>Fuels</v>
          </cell>
        </row>
        <row r="223">
          <cell r="E223" t="str">
            <v>Synthetic methane as fuel</v>
          </cell>
        </row>
        <row r="225">
          <cell r="F225" t="str">
            <v>Electricity demand</v>
          </cell>
          <cell r="G225" t="str">
            <v>Thermal demand</v>
          </cell>
          <cell r="H225" t="str">
            <v>Plant size</v>
          </cell>
          <cell r="I225" t="str">
            <v>CO2 utilization factor</v>
          </cell>
          <cell r="J225" t="str">
            <v>CAPEX</v>
          </cell>
          <cell r="K225" t="str">
            <v>Other OPEX</v>
          </cell>
        </row>
        <row r="226">
          <cell r="F226" t="str">
            <v>kWhe/t product</v>
          </cell>
          <cell r="G226" t="str">
            <v>kWhth/t product</v>
          </cell>
          <cell r="H226" t="str">
            <v>tonne/y</v>
          </cell>
          <cell r="I226" t="str">
            <v>tCO2/t product</v>
          </cell>
          <cell r="J226" t="str">
            <v>$/tonne</v>
          </cell>
          <cell r="K226" t="str">
            <v>$/tonne</v>
          </cell>
        </row>
        <row r="227">
          <cell r="A227" t="str">
            <v>Synthetic methane as fuel</v>
          </cell>
          <cell r="F227">
            <v>750</v>
          </cell>
          <cell r="G227">
            <v>750</v>
          </cell>
          <cell r="H227">
            <v>2730</v>
          </cell>
          <cell r="I227">
            <v>2.75</v>
          </cell>
          <cell r="J227">
            <v>355.02436971917433</v>
          </cell>
          <cell r="K227" t="str">
            <v>Not identified</v>
          </cell>
          <cell r="L227" t="str">
            <v>https://dechema.de/dechema_media/Downloads/Positionspapiere/Technology_study_Low_carbon_energy_and_feedstock_for_the_European_chemical_industry.pdf</v>
          </cell>
        </row>
        <row r="228">
          <cell r="G228" t="str">
            <v>26.9 MWh total energy demand of which 25.4 MWh I used for the lectricity demand associated with hydrogen production. This is accounted for separately here. 1.5 MWh is then assumed to be required across both electricity and thermal energy demand.</v>
          </cell>
          <cell r="H228" t="str">
            <v>Assumes replacement of local consumption of natural gas</v>
          </cell>
          <cell r="I228" t="str">
            <v xml:space="preserve">Multiple routes are possible: (i) Sabatier reaction (2.75), (ii) Electrochemical reduction (5.5) and (iii) Gas fermentation (2.75). We use CO2 use factor from the most advanced route. </v>
          </cell>
        </row>
        <row r="231">
          <cell r="H231" t="str">
            <v>Price ($/tonne)</v>
          </cell>
        </row>
        <row r="232">
          <cell r="H232">
            <v>223.27039459459459</v>
          </cell>
          <cell r="I232" t="str">
            <v>Based on natural gas price see Energy cost &amp; EF tab. Calculation includes conversion from Btu to tonne.</v>
          </cell>
        </row>
        <row r="235">
          <cell r="G235" t="str">
            <v xml:space="preserve">CAPEX SNG plant </v>
          </cell>
          <cell r="H235" t="str">
            <v>Capacity SNG plant</v>
          </cell>
          <cell r="I235" t="str">
            <v>Operating hours</v>
          </cell>
          <cell r="J235" t="str">
            <v xml:space="preserve">CAPEX SNG plant </v>
          </cell>
          <cell r="K235" t="str">
            <v>Reference</v>
          </cell>
        </row>
        <row r="236">
          <cell r="G236" t="str">
            <v>2016€/kW HHV-SNGout</v>
          </cell>
          <cell r="H236" t="str">
            <v>MW</v>
          </cell>
          <cell r="I236" t="str">
            <v xml:space="preserve">hours </v>
          </cell>
          <cell r="J236" t="str">
            <v>€/kWh HHV-SNGout</v>
          </cell>
        </row>
        <row r="237">
          <cell r="G237">
            <v>165.25210828503126</v>
          </cell>
          <cell r="H237">
            <v>5</v>
          </cell>
          <cell r="I237">
            <v>8000</v>
          </cell>
          <cell r="J237">
            <v>2.0656513535628907E-2</v>
          </cell>
          <cell r="K237" t="str">
            <v>http://www.enea-consulting.com/wp-content/uploads/2016/01/ENEA-Consulting-The-potential-of-power-to-gas.pdf</v>
          </cell>
        </row>
        <row r="238">
          <cell r="I238" t="str">
            <v>Assumed</v>
          </cell>
        </row>
        <row r="240">
          <cell r="G240" t="str">
            <v>Capacity SNG plant</v>
          </cell>
          <cell r="H240" t="str">
            <v>Efficiency factor plant</v>
          </cell>
          <cell r="I240" t="str">
            <v>Volume energy delivered</v>
          </cell>
        </row>
        <row r="241">
          <cell r="G241" t="str">
            <v>MWh</v>
          </cell>
          <cell r="H241" t="str">
            <v>%</v>
          </cell>
          <cell r="I241" t="str">
            <v>MWh/year</v>
          </cell>
        </row>
        <row r="242">
          <cell r="G242">
            <v>40000</v>
          </cell>
          <cell r="H242">
            <v>85</v>
          </cell>
          <cell r="I242">
            <v>34000</v>
          </cell>
        </row>
        <row r="243">
          <cell r="H243" t="str">
            <v>Assumed</v>
          </cell>
        </row>
        <row r="244">
          <cell r="G244" t="str">
            <v>Energy density methane</v>
          </cell>
          <cell r="H244" t="str">
            <v>Energy density methane</v>
          </cell>
          <cell r="I244" t="str">
            <v>Energy density methane</v>
          </cell>
          <cell r="J244" t="str">
            <v>CAPEX SNG plant</v>
          </cell>
          <cell r="K244" t="str">
            <v>Reference</v>
          </cell>
        </row>
        <row r="245">
          <cell r="G245" t="str">
            <v>MJ/kg</v>
          </cell>
          <cell r="H245" t="str">
            <v>kWh/kg</v>
          </cell>
          <cell r="I245" t="str">
            <v>kWh/tonne</v>
          </cell>
          <cell r="J245" t="str">
            <v>2016€/tonne</v>
          </cell>
        </row>
        <row r="246">
          <cell r="G246">
            <v>52.75</v>
          </cell>
          <cell r="H246">
            <v>14.652789500000001</v>
          </cell>
          <cell r="I246">
            <v>14652.789500000001</v>
          </cell>
          <cell r="J246">
            <v>302.67554464147116</v>
          </cell>
          <cell r="K246" t="str">
            <v>https://hypertextbook.com/facts/2004/BillyWan.shtml</v>
          </cell>
        </row>
        <row r="247">
          <cell r="G247" t="str">
            <v>Average of a range was used</v>
          </cell>
          <cell r="J247" t="str">
            <v>2016$/tonne</v>
          </cell>
        </row>
        <row r="248">
          <cell r="J248">
            <v>334.92865067846634</v>
          </cell>
          <cell r="K248" t="str">
            <v>https://www.ofx.com/en-gb/forex-news/historical-exchange-rates/</v>
          </cell>
        </row>
        <row r="249">
          <cell r="J249" t="str">
            <v>2016$/tonne</v>
          </cell>
        </row>
        <row r="250">
          <cell r="J250">
            <v>355.02436971917433</v>
          </cell>
          <cell r="K250" t="str">
            <v>http://www.in2013dollars.com/us/inflation/2016?amount=1</v>
          </cell>
        </row>
        <row r="252">
          <cell r="E252" t="str">
            <v>Formic acid</v>
          </cell>
        </row>
        <row r="254">
          <cell r="F254" t="str">
            <v>Electricity demand</v>
          </cell>
          <cell r="G254" t="str">
            <v>Thermal demand</v>
          </cell>
          <cell r="H254" t="str">
            <v>Plant size</v>
          </cell>
          <cell r="I254" t="str">
            <v>CO2 utilization factor</v>
          </cell>
          <cell r="J254" t="str">
            <v>CAPEX</v>
          </cell>
          <cell r="K254" t="str">
            <v>Other OPEX</v>
          </cell>
        </row>
        <row r="255">
          <cell r="F255" t="str">
            <v>kWhe/t product</v>
          </cell>
          <cell r="G255" t="str">
            <v>kWhth/t product</v>
          </cell>
          <cell r="H255" t="str">
            <v>tonne/y</v>
          </cell>
          <cell r="I255" t="str">
            <v>tCO2/t product</v>
          </cell>
          <cell r="J255" t="str">
            <v>$/tonne</v>
          </cell>
          <cell r="K255" t="str">
            <v>$/tonne</v>
          </cell>
        </row>
        <row r="256">
          <cell r="A256" t="str">
            <v>Formic acid</v>
          </cell>
          <cell r="F256">
            <v>2724.666666666667</v>
          </cell>
          <cell r="G256">
            <v>2783</v>
          </cell>
          <cell r="H256">
            <v>10800</v>
          </cell>
          <cell r="I256">
            <v>0.96</v>
          </cell>
          <cell r="J256">
            <v>184.73202680967071</v>
          </cell>
          <cell r="K256" t="str">
            <v>Not identified</v>
          </cell>
        </row>
        <row r="259">
          <cell r="F259" t="str">
            <v>Formic Acid</v>
          </cell>
          <cell r="G259" t="str">
            <v>(DNV Norway)</v>
          </cell>
        </row>
        <row r="261">
          <cell r="F261" t="str">
            <v>Parameter</v>
          </cell>
          <cell r="G261" t="str">
            <v>Factor</v>
          </cell>
          <cell r="H261" t="str">
            <v>Reference</v>
          </cell>
          <cell r="I261" t="str">
            <v>Comment</v>
          </cell>
        </row>
        <row r="262">
          <cell r="F262" t="str">
            <v>output (kg/year)</v>
          </cell>
          <cell r="G262">
            <v>365</v>
          </cell>
          <cell r="H262" t="str">
            <v>https://issuu.com/dnv.com/docs/dnv-position_paper_co2_utilization</v>
          </cell>
        </row>
        <row r="263">
          <cell r="F263" t="str">
            <v>Energy demand (MWh/t)</v>
          </cell>
          <cell r="G263">
            <v>7.5</v>
          </cell>
          <cell r="H263" t="str">
            <v>https://core.ac.uk/download/pdf/52098470.pdf</v>
          </cell>
        </row>
        <row r="264">
          <cell r="F264" t="str">
            <v>Electricity needs (MWh/t)</v>
          </cell>
          <cell r="G264">
            <v>4.0540000000000003</v>
          </cell>
          <cell r="H264" t="str">
            <v>https://www.sciencedirect.com/science/article/pii/S0360319915313835</v>
          </cell>
        </row>
        <row r="265">
          <cell r="F265" t="str">
            <v xml:space="preserve"> - without electrolyser (H2)</v>
          </cell>
          <cell r="G265">
            <v>0.29599999999999999</v>
          </cell>
          <cell r="H265" t="str">
            <v>https://www.sciencedirect.com/science/article/pii/S0360319915313835</v>
          </cell>
        </row>
        <row r="266">
          <cell r="F266" t="str">
            <v>Heating needs</v>
          </cell>
          <cell r="G266">
            <v>2.7829999999999999</v>
          </cell>
          <cell r="H266" t="str">
            <v>https://www.sciencedirect.com/science/article/pii/S0360319915313835</v>
          </cell>
        </row>
        <row r="267">
          <cell r="F267" t="str">
            <v>Cooling needs</v>
          </cell>
          <cell r="G267">
            <v>2.428666666666667</v>
          </cell>
          <cell r="H267" t="str">
            <v>https://www.sciencedirect.com/science/article/pii/S0360319915313835</v>
          </cell>
          <cell r="I267" t="str">
            <v>no integration of heating and cooling assumed in this case study. This is corrected for by taking 1,5t/hr output and 800kW savings poential as cited (but not applied) in the same study</v>
          </cell>
        </row>
        <row r="270">
          <cell r="F270" t="str">
            <v>CO2 utilised</v>
          </cell>
          <cell r="G270" t="str">
            <v>Comments</v>
          </cell>
          <cell r="H270" t="str">
            <v>Reference</v>
          </cell>
        </row>
        <row r="271">
          <cell r="F271">
            <v>0.96</v>
          </cell>
          <cell r="H271" t="str">
            <v>http://carbonnext.eu/Deliverables/_/D2.1%20Value%20Chains%2031%2010%202017.pdf</v>
          </cell>
        </row>
        <row r="274">
          <cell r="F274" t="str">
            <v>Factor</v>
          </cell>
          <cell r="G274" t="str">
            <v>Value</v>
          </cell>
          <cell r="H274" t="str">
            <v>Unit</v>
          </cell>
          <cell r="I274" t="str">
            <v>Reference</v>
          </cell>
        </row>
        <row r="275">
          <cell r="F275" t="str">
            <v>CAPEX</v>
          </cell>
          <cell r="G275">
            <v>16.2</v>
          </cell>
          <cell r="H275" t="str">
            <v xml:space="preserve">M€ </v>
          </cell>
          <cell r="I275" t="str">
            <v>https://www.sciencedirect.com/science/article/pii/S0360319915313835</v>
          </cell>
        </row>
        <row r="276">
          <cell r="F276" t="str">
            <v>Capacity</v>
          </cell>
          <cell r="G276">
            <v>12</v>
          </cell>
          <cell r="H276" t="str">
            <v>ktonne/yr</v>
          </cell>
          <cell r="I276" t="str">
            <v>https://www.sciencedirect.com/science/article/pii/S0360319915313835</v>
          </cell>
        </row>
        <row r="277">
          <cell r="F277" t="str">
            <v>Assumed load factor</v>
          </cell>
          <cell r="G277">
            <v>0.9</v>
          </cell>
          <cell r="I277" t="str">
            <v>https://www.sciencedirect.com/science/article/pii/S0360319915313835, revised downward from 91.3% to 90% to be conservative.</v>
          </cell>
        </row>
        <row r="278">
          <cell r="F278" t="str">
            <v>Exchange rate</v>
          </cell>
          <cell r="G278">
            <v>1.11788</v>
          </cell>
          <cell r="H278" t="str">
            <v>USD/EUR</v>
          </cell>
          <cell r="I278" t="str">
            <v>https://www.xe.com/currencyconverter/convert/?Amount=1&amp;From=EUR&amp;To=USD</v>
          </cell>
        </row>
        <row r="279">
          <cell r="F279" t="str">
            <v>CAPEX annuitised</v>
          </cell>
          <cell r="G279">
            <v>1.9951058895444438</v>
          </cell>
          <cell r="H279" t="str">
            <v>M$/yr</v>
          </cell>
          <cell r="I279" t="str">
            <v>Assumed CRF</v>
          </cell>
        </row>
        <row r="280">
          <cell r="F280" t="str">
            <v>CAPEX per tonne</v>
          </cell>
          <cell r="G280">
            <v>184.73202680967071</v>
          </cell>
          <cell r="H280" t="str">
            <v>$/tonne FA</v>
          </cell>
        </row>
        <row r="283">
          <cell r="F283" t="str">
            <v>Price</v>
          </cell>
          <cell r="G283" t="str">
            <v>Formic acid market 2016$</v>
          </cell>
          <cell r="H283" t="str">
            <v>Formic acid market 2019$</v>
          </cell>
          <cell r="I283" t="str">
            <v>Global production capacity (tonne)</v>
          </cell>
          <cell r="J283" t="str">
            <v>Price formic acid ($/tonne)</v>
          </cell>
          <cell r="K283" t="str">
            <v>Reference 1</v>
          </cell>
          <cell r="L283" t="str">
            <v>Reference 2</v>
          </cell>
        </row>
        <row r="284">
          <cell r="G284">
            <v>516900000</v>
          </cell>
          <cell r="H284">
            <v>547914000</v>
          </cell>
          <cell r="I284">
            <v>1137000</v>
          </cell>
          <cell r="J284">
            <v>481.89445910290237</v>
          </cell>
          <cell r="K284" t="str">
            <v>https://www.ktvn.com/story/40085223/formic-acid-market-price-trend-2019-size-estimation-latest-research-news-growth-opportunities-industry-outline-with-key-players-vendors-and-regions</v>
          </cell>
          <cell r="L284" t="str">
            <v>https://www.mordorintelligence.com/industry-reports/formic-acid-market</v>
          </cell>
        </row>
        <row r="285">
          <cell r="H285">
            <v>1.06</v>
          </cell>
          <cell r="I285" t="str">
            <v>http://www.in2013dollars.com/us/inflation/2006?amount=1</v>
          </cell>
        </row>
        <row r="289">
          <cell r="D289" t="str">
            <v xml:space="preserve">Mineralisation </v>
          </cell>
        </row>
        <row r="291">
          <cell r="F291" t="str">
            <v xml:space="preserve"> </v>
          </cell>
        </row>
        <row r="292">
          <cell r="E292" t="str">
            <v>Carbonate mineralization - natural minerals</v>
          </cell>
        </row>
        <row r="294">
          <cell r="F294" t="str">
            <v>Electricity demand</v>
          </cell>
          <cell r="G294" t="str">
            <v>Thermal demand</v>
          </cell>
          <cell r="H294" t="str">
            <v>Plant size</v>
          </cell>
          <cell r="I294" t="str">
            <v>CO2 utilization factor</v>
          </cell>
          <cell r="J294" t="str">
            <v>CAPEX</v>
          </cell>
          <cell r="K294" t="str">
            <v>Other OPEX</v>
          </cell>
        </row>
        <row r="295">
          <cell r="F295" t="str">
            <v>kWhe/t product</v>
          </cell>
          <cell r="G295" t="str">
            <v>kWhth/t product</v>
          </cell>
          <cell r="H295" t="str">
            <v>tonne/y</v>
          </cell>
          <cell r="I295" t="str">
            <v>tCO2/t product</v>
          </cell>
          <cell r="J295" t="str">
            <v>$/tonne</v>
          </cell>
          <cell r="K295" t="str">
            <v>$/tonne</v>
          </cell>
        </row>
        <row r="296">
          <cell r="A296" t="str">
            <v>Carbonate mineralization - natural minerals</v>
          </cell>
          <cell r="F296">
            <v>168.07692307692307</v>
          </cell>
          <cell r="G296">
            <v>1.816239316239316E-2</v>
          </cell>
          <cell r="H296">
            <v>26000.000000000004</v>
          </cell>
          <cell r="I296">
            <v>0.38461538461538458</v>
          </cell>
          <cell r="J296">
            <v>14.833274000237333</v>
          </cell>
          <cell r="K296">
            <v>19.050798258345431</v>
          </cell>
        </row>
        <row r="299">
          <cell r="F299" t="str">
            <v>Variable</v>
          </cell>
          <cell r="G299" t="str">
            <v>Value</v>
          </cell>
          <cell r="H299" t="str">
            <v>Unit</v>
          </cell>
          <cell r="I299" t="str">
            <v>Reference</v>
          </cell>
        </row>
        <row r="300">
          <cell r="F300" t="str">
            <v>Power requirement</v>
          </cell>
          <cell r="G300">
            <v>437</v>
          </cell>
          <cell r="H300" t="str">
            <v>kWhe/tCO2</v>
          </cell>
          <cell r="I300" t="str">
            <v>Based on Wollastonite, which NYS has quarries of. Source: https://www.ipcc.ch/site/assets/uploads/2018/03/srccs_wholereport-1.pdf; http://www.nysm.nysed.gov/common/nysm/files/nysmrecord-vol3_0.pdf; https://www.psi.ch/sites/default/files/import/eem/PublicationsTabelle/2014_Volkart_Article_LCA_mineral_carbonation.pdf</v>
          </cell>
        </row>
        <row r="301">
          <cell r="F301" t="str">
            <v>Power requirement</v>
          </cell>
          <cell r="G301">
            <v>168.07692307692307</v>
          </cell>
          <cell r="H301" t="str">
            <v>kWhe/tP</v>
          </cell>
        </row>
        <row r="302">
          <cell r="F302" t="str">
            <v>Energy requirements - grinding to 100 μm</v>
          </cell>
          <cell r="G302">
            <v>140</v>
          </cell>
          <cell r="H302" t="str">
            <v>kWh</v>
          </cell>
          <cell r="I302" t="str">
            <v>https://www.researchgate.net/publication/265987710</v>
          </cell>
        </row>
        <row r="303">
          <cell r="F303" t="str">
            <v>Heat requirement</v>
          </cell>
          <cell r="G303">
            <v>0.17</v>
          </cell>
          <cell r="H303" t="str">
            <v>MJ/tCO2</v>
          </cell>
          <cell r="I303" t="str">
            <v>https://www.psi.ch/sites/default/files/import/eem/PublicationsTabelle/2014_Volkart_Article_LCA_mineral_carbonation.pdf</v>
          </cell>
        </row>
        <row r="304">
          <cell r="F304" t="str">
            <v>Costs of activated wollastonite ore</v>
          </cell>
          <cell r="G304">
            <v>19</v>
          </cell>
          <cell r="H304" t="str">
            <v>$/t</v>
          </cell>
          <cell r="I304" t="str">
            <v>https://www.ipcc.ch/site/assets/uploads/2018/03/srccs_wholereport-1.pdf</v>
          </cell>
        </row>
        <row r="305">
          <cell r="F305" t="str">
            <v>CO2 utilised</v>
          </cell>
          <cell r="G305">
            <v>0.38461538461538458</v>
          </cell>
          <cell r="H305" t="str">
            <v>tCO2/t</v>
          </cell>
          <cell r="I305" t="str">
            <v>https://www.ipcc.ch/site/assets/uploads/2018/03/srccs_wholereport-1.pdf</v>
          </cell>
        </row>
        <row r="306">
          <cell r="F306" t="str">
            <v>CO2 utilised per plant</v>
          </cell>
          <cell r="G306">
            <v>10000</v>
          </cell>
          <cell r="H306" t="str">
            <v>t CO2 / y</v>
          </cell>
          <cell r="I306" t="str">
            <v>Based on demonstration phase plans of MCI: https://www.mineralcarbonation.com/</v>
          </cell>
        </row>
        <row r="307">
          <cell r="F307" t="str">
            <v>Plant capacity</v>
          </cell>
          <cell r="G307">
            <v>26000.000000000004</v>
          </cell>
          <cell r="H307" t="str">
            <v>t carbonated material /y</v>
          </cell>
        </row>
        <row r="308">
          <cell r="F308" t="str">
            <v xml:space="preserve">CO2 stored </v>
          </cell>
          <cell r="G308">
            <v>0.318</v>
          </cell>
          <cell r="H308" t="str">
            <v>tCO2/MWh</v>
          </cell>
          <cell r="I308" t="str">
            <v>Supporting calculations: https://www.sciencedirect.com/science/article/abs/pii/S175058361300426X?via%3Dihub</v>
          </cell>
        </row>
        <row r="309">
          <cell r="F309" t="str">
            <v>Levelised CAPEX of mineral carbonation plant</v>
          </cell>
          <cell r="G309">
            <v>1.5</v>
          </cell>
          <cell r="H309" t="str">
            <v>€/MWh</v>
          </cell>
          <cell r="I309" t="str">
            <v>Supporting calculations: https://www.sciencedirect.com/science/article/abs/pii/S175058361300426X?via%3Dihub</v>
          </cell>
        </row>
        <row r="310">
          <cell r="F310" t="str">
            <v>Levelised fixed O&amp;M of mineral carbonation plant</v>
          </cell>
          <cell r="G310">
            <v>0.9</v>
          </cell>
          <cell r="H310" t="str">
            <v>€/MWh</v>
          </cell>
          <cell r="I310" t="str">
            <v>Supporting calculations: https://www.sciencedirect.com/science/article/abs/pii/S175058361300426X?via%3Dihub</v>
          </cell>
        </row>
        <row r="311">
          <cell r="F311" t="str">
            <v>CAPEX mineral carbonation plant</v>
          </cell>
          <cell r="G311">
            <v>4.716981132075472</v>
          </cell>
          <cell r="H311" t="str">
            <v>€/tCO2</v>
          </cell>
        </row>
        <row r="312">
          <cell r="F312" t="str">
            <v>Fixed O&amp;M mineral carbonation plant</v>
          </cell>
          <cell r="G312">
            <v>2.8301886792452828</v>
          </cell>
          <cell r="H312" t="str">
            <v>€/tCO2</v>
          </cell>
        </row>
        <row r="315">
          <cell r="G315" t="str">
            <v>Price</v>
          </cell>
          <cell r="H315" t="str">
            <v>Market value 2018 ($)</v>
          </cell>
          <cell r="I315" t="str">
            <v>Production 2015 (tonne)</v>
          </cell>
          <cell r="J315" t="str">
            <v>Predicted production 2018 (tonne)</v>
          </cell>
          <cell r="K315" t="str">
            <v>Price 2018 ($/tonne)</v>
          </cell>
          <cell r="L315" t="str">
            <v>Price 2019 ($/tonne)</v>
          </cell>
          <cell r="M315" t="str">
            <v>Reference</v>
          </cell>
        </row>
        <row r="316">
          <cell r="H316">
            <v>360000000000</v>
          </cell>
          <cell r="I316">
            <v>1320000000</v>
          </cell>
          <cell r="J316">
            <v>1510667843.5200002</v>
          </cell>
          <cell r="K316">
            <v>238.30519828976148</v>
          </cell>
          <cell r="L316">
            <v>243.0713022555567</v>
          </cell>
          <cell r="M316" t="str">
            <v>https://www.globenewswire.com/news-release/2019/02/20/1738165/0/en/Global-Construction-Aggregates-Market-Will-Reach-USD-490-Billion-by-2025-Zion-Market-Research.html</v>
          </cell>
        </row>
        <row r="317">
          <cell r="H317" t="str">
            <v>Construction aggregates</v>
          </cell>
        </row>
        <row r="318">
          <cell r="J318" t="str">
            <v>CAGR(%)</v>
          </cell>
          <cell r="K318" t="str">
            <v>Number of years</v>
          </cell>
          <cell r="L318" t="str">
            <v>Reference</v>
          </cell>
        </row>
        <row r="319">
          <cell r="J319">
            <v>4.5999999999999996</v>
          </cell>
          <cell r="K319">
            <v>3</v>
          </cell>
          <cell r="L319" t="str">
            <v>https://www.globenewswire.com/news-release/2019/02/20/1738165/0/en/Global-Construction-Aggregates-Market-Will-Reach-USD-490-Billion-by-2025-Zion-Market-Research.html</v>
          </cell>
        </row>
        <row r="321">
          <cell r="J321" t="str">
            <v>2018$</v>
          </cell>
          <cell r="K321" t="str">
            <v>2019$</v>
          </cell>
          <cell r="L321" t="str">
            <v>Reference</v>
          </cell>
        </row>
        <row r="322">
          <cell r="J322">
            <v>1</v>
          </cell>
          <cell r="K322">
            <v>1.02</v>
          </cell>
          <cell r="L322" t="str">
            <v>http://www.in2013dollars.com/us/inflation/2006?amount=1</v>
          </cell>
        </row>
        <row r="325">
          <cell r="D325" t="str">
            <v>Other</v>
          </cell>
        </row>
        <row r="329">
          <cell r="E329" t="str">
            <v>Refrigerant gas - not assessed in model</v>
          </cell>
        </row>
        <row r="331">
          <cell r="F331" t="str">
            <v>Electricity demand</v>
          </cell>
          <cell r="G331" t="str">
            <v>Thermal demand</v>
          </cell>
          <cell r="H331" t="str">
            <v>Plant size</v>
          </cell>
          <cell r="I331" t="str">
            <v>CO2 utilization factor</v>
          </cell>
          <cell r="J331" t="str">
            <v>CAPEX</v>
          </cell>
          <cell r="K331" t="str">
            <v>Other OPEX</v>
          </cell>
        </row>
        <row r="332">
          <cell r="F332" t="str">
            <v>kWhe/t product</v>
          </cell>
          <cell r="G332" t="str">
            <v>kWhth/t product</v>
          </cell>
          <cell r="H332" t="str">
            <v>tonne/y</v>
          </cell>
          <cell r="I332" t="str">
            <v>tCO2/t product</v>
          </cell>
          <cell r="J332" t="str">
            <v>$/tonne</v>
          </cell>
          <cell r="K332" t="str">
            <v>$/tonne</v>
          </cell>
        </row>
        <row r="333">
          <cell r="A333" t="str">
            <v>Refrigerant gas</v>
          </cell>
          <cell r="I333">
            <v>1</v>
          </cell>
          <cell r="J333" t="str">
            <v>Not identified</v>
          </cell>
          <cell r="K333" t="str">
            <v>Not identified</v>
          </cell>
        </row>
        <row r="336">
          <cell r="F336" t="str">
            <v>Cost component</v>
          </cell>
          <cell r="G336" t="str">
            <v>Cost component</v>
          </cell>
          <cell r="H336" t="str">
            <v>Unit</v>
          </cell>
        </row>
        <row r="337">
          <cell r="F337" t="str">
            <v>Investment cost</v>
          </cell>
          <cell r="G337">
            <v>10000</v>
          </cell>
          <cell r="H337" t="str">
            <v>€</v>
          </cell>
        </row>
        <row r="338">
          <cell r="F338" t="str">
            <v>MT power cost - CO2 refrigerant</v>
          </cell>
          <cell r="G338">
            <v>65000</v>
          </cell>
          <cell r="H338" t="str">
            <v>€</v>
          </cell>
        </row>
        <row r="339">
          <cell r="F339" t="str">
            <v>LT power cost - CO2 refrigerant</v>
          </cell>
          <cell r="G339">
            <v>15000</v>
          </cell>
          <cell r="H339" t="str">
            <v>€</v>
          </cell>
        </row>
        <row r="340">
          <cell r="F340" t="str">
            <v>MT power cost - HFC refrigerant</v>
          </cell>
          <cell r="G340">
            <v>50000</v>
          </cell>
          <cell r="H340" t="str">
            <v>€</v>
          </cell>
        </row>
        <row r="341">
          <cell r="F341" t="str">
            <v>LT power cost - HFC refrigerant</v>
          </cell>
          <cell r="G341">
            <v>12000</v>
          </cell>
          <cell r="H341" t="str">
            <v>€</v>
          </cell>
        </row>
        <row r="342">
          <cell r="F342" t="str">
            <v>Assumption power cost study</v>
          </cell>
          <cell r="G342">
            <v>0.15</v>
          </cell>
          <cell r="H342" t="str">
            <v>€/kWh</v>
          </cell>
        </row>
        <row r="343">
          <cell r="F343" t="str">
            <v>MT power consumption</v>
          </cell>
          <cell r="G343">
            <v>433.33333333333337</v>
          </cell>
          <cell r="H343" t="str">
            <v>MWh</v>
          </cell>
        </row>
        <row r="344">
          <cell r="F344" t="str">
            <v>LT power consumption</v>
          </cell>
          <cell r="G344">
            <v>100</v>
          </cell>
          <cell r="H344" t="str">
            <v>MWh</v>
          </cell>
        </row>
        <row r="345">
          <cell r="F345" t="str">
            <v>MT power consumption</v>
          </cell>
          <cell r="G345">
            <v>333.33333333333337</v>
          </cell>
          <cell r="H345" t="str">
            <v>MWh</v>
          </cell>
        </row>
        <row r="346">
          <cell r="F346" t="str">
            <v>LT power consumption</v>
          </cell>
          <cell r="G346">
            <v>80</v>
          </cell>
          <cell r="H346" t="str">
            <v>MWh</v>
          </cell>
        </row>
        <row r="347">
          <cell r="F347" t="str">
            <v>Lifetime CO2e emissions CO2 refrigerant system</v>
          </cell>
          <cell r="G347">
            <v>2000</v>
          </cell>
          <cell r="H347" t="str">
            <v>tCO2e</v>
          </cell>
        </row>
        <row r="348">
          <cell r="F348" t="str">
            <v>Lifetime CO2e emissions HFC refrigerant system</v>
          </cell>
          <cell r="G348">
            <v>2850</v>
          </cell>
          <cell r="H348" t="str">
            <v>tCO2e</v>
          </cell>
        </row>
        <row r="353">
          <cell r="F353" t="str">
            <v>Price</v>
          </cell>
          <cell r="G353" t="str">
            <v>2019$/pound</v>
          </cell>
          <cell r="H353" t="str">
            <v>2019$/tonne</v>
          </cell>
          <cell r="I353" t="str">
            <v>Reference</v>
          </cell>
        </row>
        <row r="354">
          <cell r="G354">
            <v>1</v>
          </cell>
          <cell r="H354">
            <v>2204.6226218000002</v>
          </cell>
          <cell r="I354" t="str">
            <v>http://www.r744.com/files/Hillphoenix_CO2_ROI_WhitePaper_v10_Oct24_2014.pdf</v>
          </cell>
        </row>
        <row r="358">
          <cell r="D358" t="str">
            <v>CO2 storage</v>
          </cell>
        </row>
        <row r="360">
          <cell r="F360" t="str">
            <v>Location</v>
          </cell>
          <cell r="G360" t="str">
            <v>Formation</v>
          </cell>
          <cell r="H360" t="str">
            <v>Storage potential</v>
          </cell>
          <cell r="I360" t="str">
            <v>CAPEX</v>
          </cell>
          <cell r="J360" t="str">
            <v>OPEX</v>
          </cell>
          <cell r="K360" t="str">
            <v>Reference</v>
          </cell>
        </row>
        <row r="361">
          <cell r="F361" t="str">
            <v>-</v>
          </cell>
          <cell r="H361" t="str">
            <v>billion tonnes/year</v>
          </cell>
          <cell r="I361" t="str">
            <v>$/tonne</v>
          </cell>
          <cell r="J361" t="str">
            <v>$/tonne</v>
          </cell>
        </row>
        <row r="362">
          <cell r="F362" t="str">
            <v>Onshore</v>
          </cell>
          <cell r="G362" t="str">
            <v>Oil and natural gas reservoirs</v>
          </cell>
          <cell r="H362">
            <v>0.08</v>
          </cell>
          <cell r="I362">
            <v>18.64</v>
          </cell>
          <cell r="J362">
            <v>0.55920000000000003</v>
          </cell>
          <cell r="K362" t="str">
            <v>Average of 16.1 and 21.2. From: https://ieaghg.org/docs/overviews/2005-3.pdf</v>
          </cell>
        </row>
        <row r="363">
          <cell r="F363" t="str">
            <v>Onshore</v>
          </cell>
          <cell r="G363" t="str">
            <v>Saline formations</v>
          </cell>
          <cell r="H363">
            <v>4.37</v>
          </cell>
          <cell r="I363">
            <v>7</v>
          </cell>
          <cell r="J363">
            <v>0.21</v>
          </cell>
          <cell r="K363" t="str">
            <v>Assumed low-end estimates for onshore: NETL, 2014. Quality Guidelines for Energy System Studies: Carbon Dioxide Transport and Storage in NETL Studies.</v>
          </cell>
        </row>
        <row r="364">
          <cell r="F364" t="str">
            <v>Onshore</v>
          </cell>
          <cell r="G364" t="str">
            <v>Shale formations</v>
          </cell>
          <cell r="H364">
            <v>0.4</v>
          </cell>
          <cell r="I364">
            <v>12</v>
          </cell>
          <cell r="J364">
            <v>0.36</v>
          </cell>
          <cell r="K364" t="str">
            <v>Assumed equal to ECBM</v>
          </cell>
        </row>
        <row r="365">
          <cell r="F365" t="str">
            <v>Offshore</v>
          </cell>
          <cell r="G365" t="str">
            <v>Saline formations</v>
          </cell>
          <cell r="H365">
            <v>9.35</v>
          </cell>
          <cell r="I365">
            <v>16</v>
          </cell>
          <cell r="J365">
            <v>0.48</v>
          </cell>
          <cell r="K365" t="str">
            <v>Assumed high-end estimates for offshore: NETL, 2014. Quality Guidelines for Energy System Studies: Carbon Dioxide Transport and Storage in NETL Studies.</v>
          </cell>
        </row>
        <row r="369">
          <cell r="D369" t="str">
            <v>CO2 transport</v>
          </cell>
        </row>
        <row r="372">
          <cell r="F372" t="str">
            <v>Distance</v>
          </cell>
          <cell r="G372" t="str">
            <v>Cost</v>
          </cell>
          <cell r="H372" t="str">
            <v>Reference</v>
          </cell>
        </row>
        <row r="373">
          <cell r="F373" t="str">
            <v>miles</v>
          </cell>
          <cell r="G373" t="str">
            <v>2011$/tCO2</v>
          </cell>
          <cell r="H373" t="str">
            <v>2011$/tCO2</v>
          </cell>
        </row>
        <row r="374">
          <cell r="F374">
            <v>600</v>
          </cell>
          <cell r="G374">
            <v>18</v>
          </cell>
          <cell r="H374" t="str">
            <v>Assumed 5 MtCO2 capacity pipeline. Source: NETL, 2014. Quality Guidelines for Energy System Studies: Carbon Dioxide Transport and Storage in NETL Studies</v>
          </cell>
        </row>
        <row r="377">
          <cell r="F377" t="str">
            <v>Distance</v>
          </cell>
          <cell r="G377" t="str">
            <v>Cost</v>
          </cell>
        </row>
        <row r="378">
          <cell r="F378" t="str">
            <v>kilometers</v>
          </cell>
          <cell r="G378" t="str">
            <v>2019$/tCO2</v>
          </cell>
        </row>
        <row r="379">
          <cell r="F379">
            <v>965.60640000000012</v>
          </cell>
          <cell r="G379">
            <v>20.093400000000003</v>
          </cell>
        </row>
        <row r="381">
          <cell r="F381" t="str">
            <v>Conversion factors</v>
          </cell>
          <cell r="G381" t="str">
            <v>Conversion factors</v>
          </cell>
        </row>
        <row r="382">
          <cell r="F382" t="str">
            <v>Mi to km</v>
          </cell>
          <cell r="G382">
            <v>1.6093440000000001</v>
          </cell>
        </row>
        <row r="383">
          <cell r="F383" t="str">
            <v>2011$ to 2019$</v>
          </cell>
          <cell r="G383">
            <v>1.1163000000000001</v>
          </cell>
        </row>
        <row r="385">
          <cell r="F385" t="str">
            <v>Distance</v>
          </cell>
          <cell r="G385" t="str">
            <v>Cost</v>
          </cell>
        </row>
        <row r="386">
          <cell r="F386" t="str">
            <v>kilometers</v>
          </cell>
          <cell r="G386" t="str">
            <v>2019$/tCO2/km</v>
          </cell>
        </row>
        <row r="387">
          <cell r="F387">
            <v>1</v>
          </cell>
          <cell r="G387">
            <v>2.0809099856836079E-2</v>
          </cell>
        </row>
        <row r="408">
          <cell r="D408" t="str">
            <v>CO2 capture</v>
          </cell>
        </row>
        <row r="413">
          <cell r="F413" t="str">
            <v>Source</v>
          </cell>
          <cell r="G413" t="str">
            <v>Type</v>
          </cell>
          <cell r="H413" t="str">
            <v>CO2 capture costs</v>
          </cell>
          <cell r="I413" t="str">
            <v>Power purchase</v>
          </cell>
          <cell r="J413" t="str">
            <v>Power</v>
          </cell>
          <cell r="K413" t="str">
            <v>Plant emissions</v>
          </cell>
          <cell r="L413" t="str">
            <v>Indirect emissions</v>
          </cell>
          <cell r="M413" t="str">
            <v>Avoided vs capture factor</v>
          </cell>
          <cell r="N413" t="str">
            <v>CO2 avoided costs</v>
          </cell>
          <cell r="O413" t="str">
            <v>CO2 avoided costs</v>
          </cell>
          <cell r="P413" t="str">
            <v>Reference</v>
          </cell>
        </row>
        <row r="414">
          <cell r="F414" t="str">
            <v>-</v>
          </cell>
          <cell r="H414" t="str">
            <v>2011$/tCO2</v>
          </cell>
          <cell r="I414" t="str">
            <v>$</v>
          </cell>
          <cell r="J414" t="str">
            <v>MWh</v>
          </cell>
          <cell r="K414" t="str">
            <v>tonnes</v>
          </cell>
          <cell r="L414" t="str">
            <v>tCO2</v>
          </cell>
          <cell r="N414" t="str">
            <v>2011$/tCO2</v>
          </cell>
          <cell r="O414" t="str">
            <v>2019$/tCO2</v>
          </cell>
        </row>
        <row r="415">
          <cell r="F415" t="str">
            <v>Power plant</v>
          </cell>
          <cell r="G415" t="str">
            <v>Natural gas power plant</v>
          </cell>
          <cell r="H415">
            <v>94</v>
          </cell>
          <cell r="J415">
            <v>0</v>
          </cell>
          <cell r="M415" t="e">
            <v>#DIV/0!</v>
          </cell>
          <cell r="N415">
            <v>94</v>
          </cell>
          <cell r="O415">
            <v>104.93220000000001</v>
          </cell>
          <cell r="P415" t="str">
            <v>NETL, 2015. Cost and Performance Baseline for Fossil Energy Plants Volume 1a: Bituminous Coal (PC) and Natural Gas to Electricity Revision 3. DOE/NETL-2015/1723</v>
          </cell>
        </row>
        <row r="416">
          <cell r="F416" t="str">
            <v>Power plant</v>
          </cell>
          <cell r="G416" t="str">
            <v>Wood based power plant</v>
          </cell>
          <cell r="J416">
            <v>0</v>
          </cell>
          <cell r="M416" t="e">
            <v>#DIV/0!</v>
          </cell>
          <cell r="N416">
            <v>89.4</v>
          </cell>
          <cell r="O416">
            <v>99.79722000000001</v>
          </cell>
        </row>
        <row r="417">
          <cell r="F417" t="str">
            <v>Power plant</v>
          </cell>
          <cell r="G417" t="str">
            <v>Solid waste power plant</v>
          </cell>
          <cell r="J417">
            <v>0</v>
          </cell>
          <cell r="M417" t="e">
            <v>#DIV/0!</v>
          </cell>
          <cell r="N417">
            <v>89.4</v>
          </cell>
          <cell r="O417">
            <v>99.79722000000001</v>
          </cell>
        </row>
        <row r="418">
          <cell r="F418" t="str">
            <v>Power plant</v>
          </cell>
          <cell r="G418" t="str">
            <v>Coal power plant</v>
          </cell>
          <cell r="H418">
            <v>89.4</v>
          </cell>
          <cell r="J418">
            <v>0</v>
          </cell>
          <cell r="M418" t="e">
            <v>#DIV/0!</v>
          </cell>
          <cell r="N418">
            <v>89.4</v>
          </cell>
          <cell r="O418">
            <v>99.79722000000001</v>
          </cell>
          <cell r="P418" t="str">
            <v>NETL, 2015. Cost and Performance Baseline for Fossil Energy Plants Volume 1a: Bituminous Coal (PC) and Natural Gas to Electricity Revision 3. DOE/NETL-2015/1723</v>
          </cell>
        </row>
        <row r="419">
          <cell r="F419" t="str">
            <v>Various</v>
          </cell>
          <cell r="G419" t="str">
            <v>Natural gas combustion</v>
          </cell>
          <cell r="H419">
            <v>94</v>
          </cell>
          <cell r="J419">
            <v>0</v>
          </cell>
          <cell r="M419" t="e">
            <v>#DIV/0!</v>
          </cell>
          <cell r="N419">
            <v>94</v>
          </cell>
          <cell r="O419">
            <v>104.93220000000001</v>
          </cell>
        </row>
        <row r="420">
          <cell r="F420" t="str">
            <v>Industry</v>
          </cell>
          <cell r="G420" t="str">
            <v>Cement production</v>
          </cell>
          <cell r="H420">
            <v>65.400000000000006</v>
          </cell>
          <cell r="J420">
            <v>0</v>
          </cell>
          <cell r="M420" t="e">
            <v>#DIV/0!</v>
          </cell>
          <cell r="N420">
            <v>65.400000000000006</v>
          </cell>
          <cell r="O420">
            <v>73.006020000000007</v>
          </cell>
          <cell r="P420" t="str">
            <v>NETL, 2014. Cost of Capturing CO2 from Industrial Sources. DOE/NETL-2013/1602</v>
          </cell>
        </row>
        <row r="421">
          <cell r="F421" t="str">
            <v>Industry</v>
          </cell>
          <cell r="G421" t="str">
            <v>Aluminum smelter</v>
          </cell>
          <cell r="J421">
            <v>0</v>
          </cell>
          <cell r="M421" t="e">
            <v>#DIV/0!</v>
          </cell>
          <cell r="O421">
            <v>0</v>
          </cell>
        </row>
        <row r="422">
          <cell r="F422" t="str">
            <v>Industry</v>
          </cell>
          <cell r="G422" t="str">
            <v>Paper/pulp/paperboard mill</v>
          </cell>
          <cell r="J422">
            <v>0</v>
          </cell>
          <cell r="M422" t="e">
            <v>#DIV/0!</v>
          </cell>
          <cell r="O422">
            <v>0</v>
          </cell>
        </row>
        <row r="423">
          <cell r="F423" t="str">
            <v>Industry</v>
          </cell>
          <cell r="G423" t="str">
            <v>Scrap-based steel mill</v>
          </cell>
          <cell r="J423">
            <v>0</v>
          </cell>
          <cell r="M423" t="e">
            <v>#DIV/0!</v>
          </cell>
          <cell r="O423">
            <v>0</v>
          </cell>
        </row>
        <row r="424">
          <cell r="F424" t="str">
            <v>Industry</v>
          </cell>
          <cell r="G424" t="str">
            <v>Glass production</v>
          </cell>
          <cell r="J424">
            <v>0</v>
          </cell>
          <cell r="M424" t="e">
            <v>#DIV/0!</v>
          </cell>
          <cell r="O424">
            <v>0</v>
          </cell>
        </row>
        <row r="425">
          <cell r="F425" t="str">
            <v>Industry</v>
          </cell>
          <cell r="G425" t="str">
            <v>Ethanol production</v>
          </cell>
          <cell r="H425">
            <v>30</v>
          </cell>
          <cell r="I425">
            <v>829000</v>
          </cell>
          <cell r="J425">
            <v>14149.172213688342</v>
          </cell>
          <cell r="K425">
            <v>143045</v>
          </cell>
          <cell r="L425">
            <v>4004.2157364738005</v>
          </cell>
          <cell r="M425">
            <v>1.0279926997551385</v>
          </cell>
          <cell r="N425">
            <v>30.839780992654156</v>
          </cell>
          <cell r="O425">
            <v>34.426447522099835</v>
          </cell>
          <cell r="P425" t="str">
            <v>NETL, 2014. Cost of Capturing CO2 from Industrial Sources. DOE/NETL-2013/1602</v>
          </cell>
        </row>
        <row r="426">
          <cell r="F426" t="str">
            <v>Industry</v>
          </cell>
          <cell r="G426" t="str">
            <v>Hydrogen production</v>
          </cell>
          <cell r="J426">
            <v>0</v>
          </cell>
          <cell r="M426" t="e">
            <v>#DIV/0!</v>
          </cell>
          <cell r="N426">
            <v>44.5</v>
          </cell>
          <cell r="O426">
            <v>49.675350000000002</v>
          </cell>
          <cell r="P426" t="str">
            <v>NETL, 2014. Cost of Capturing CO2 from Industrial Sources. DOE/NETL-2013/1602</v>
          </cell>
        </row>
        <row r="427">
          <cell r="F427" t="str">
            <v>Direct Air Capture</v>
          </cell>
          <cell r="G427" t="str">
            <v>KOH</v>
          </cell>
          <cell r="J427">
            <v>0</v>
          </cell>
          <cell r="M427" t="e">
            <v>#DIV/0!</v>
          </cell>
          <cell r="O427">
            <v>0</v>
          </cell>
        </row>
        <row r="431">
          <cell r="F431" t="str">
            <v>Cost item</v>
          </cell>
          <cell r="G431" t="str">
            <v>Value</v>
          </cell>
          <cell r="H431" t="str">
            <v>Unit</v>
          </cell>
        </row>
        <row r="432">
          <cell r="F432" t="str">
            <v>-</v>
          </cell>
        </row>
        <row r="433">
          <cell r="F433" t="str">
            <v>Power price assumed</v>
          </cell>
          <cell r="G433">
            <v>58.59</v>
          </cell>
          <cell r="H433" t="str">
            <v>$/MWh</v>
          </cell>
        </row>
        <row r="434">
          <cell r="F434" t="str">
            <v>Emission factor NYS</v>
          </cell>
          <cell r="G434">
            <v>283</v>
          </cell>
          <cell r="H434" t="str">
            <v>kgCO2/MWh</v>
          </cell>
        </row>
        <row r="439">
          <cell r="D439" t="str">
            <v>Feedstock price</v>
          </cell>
        </row>
        <row r="441">
          <cell r="F441" t="str">
            <v>Hydrogen</v>
          </cell>
        </row>
        <row r="442">
          <cell r="F442" t="str">
            <v>Hydrogen cost projections. Based on LCoE projection as listed in Energy_Cost_&amp;_EF tab. This is a relatively simpe cost model based on a public source (SINTEF and NTNU), validated with internal  confidential hydrogen cost model.</v>
          </cell>
        </row>
        <row r="444">
          <cell r="G444" t="str">
            <v>Cost item / parameter</v>
          </cell>
          <cell r="H444" t="str">
            <v>Value</v>
          </cell>
          <cell r="I444" t="str">
            <v>Unit</v>
          </cell>
          <cell r="J444" t="str">
            <v>Reference</v>
          </cell>
        </row>
        <row r="445">
          <cell r="G445" t="str">
            <v>CAPEX</v>
          </cell>
          <cell r="H445">
            <v>582.79999999999995</v>
          </cell>
          <cell r="I445" t="str">
            <v>million €</v>
          </cell>
          <cell r="J445" t="str">
            <v>https://ntnuopen.ntnu.no/ntnu-xmlui/bitstream/handle/11250/2402554/15677_FULLTEXT.pdf?sequence=1</v>
          </cell>
        </row>
        <row r="446">
          <cell r="G446" t="str">
            <v>Fixed OPEX</v>
          </cell>
          <cell r="H446">
            <v>53.400000000000006</v>
          </cell>
          <cell r="I446" t="str">
            <v>million €</v>
          </cell>
          <cell r="J446" t="str">
            <v>https://ntnuopen.ntnu.no/ntnu-xmlui/bitstream/handle/11250/2402554/15677_FULLTEXT.pdf?sequence=1</v>
          </cell>
        </row>
        <row r="447">
          <cell r="G447" t="str">
            <v>Variable OPEX</v>
          </cell>
          <cell r="H447">
            <v>187.5</v>
          </cell>
          <cell r="I447" t="str">
            <v>million €</v>
          </cell>
          <cell r="J447" t="str">
            <v>https://ntnuopen.ntnu.no/ntnu-xmlui/bitstream/handle/11250/2402554/15677_FULLTEXT.pdf?sequence=1</v>
          </cell>
        </row>
        <row r="448">
          <cell r="G448" t="str">
            <v>Variable OPEX - levelized</v>
          </cell>
          <cell r="H448">
            <v>9.3609585621567639</v>
          </cell>
          <cell r="I448" t="str">
            <v>million € / MWh</v>
          </cell>
          <cell r="J448" t="str">
            <v>Based on PEMFC electrolyser efficiency of 60%</v>
          </cell>
        </row>
        <row r="449">
          <cell r="G449" t="str">
            <v>Production capacity</v>
          </cell>
          <cell r="H449">
            <v>500</v>
          </cell>
          <cell r="I449" t="str">
            <v>tonnes/day</v>
          </cell>
          <cell r="J449" t="str">
            <v>https://ntnuopen.ntnu.no/ntnu-xmlui/bitstream/handle/11250/2402554/15677_FULLTEXT.pdf?sequence=1</v>
          </cell>
        </row>
        <row r="450">
          <cell r="G450" t="str">
            <v>Price of electricity</v>
          </cell>
          <cell r="H450">
            <v>20.03</v>
          </cell>
          <cell r="I450" t="str">
            <v>€/MWh</v>
          </cell>
          <cell r="J450" t="str">
            <v>https://ntnuopen.ntnu.no/ntnu-xmlui/bitstream/handle/11250/2402554/15677_FULLTEXT.pdf?sequence=1</v>
          </cell>
        </row>
        <row r="451">
          <cell r="G451" t="str">
            <v>Annualized CAPEX</v>
          </cell>
          <cell r="H451">
            <v>64.205952472344137</v>
          </cell>
          <cell r="I451" t="str">
            <v>million €</v>
          </cell>
        </row>
        <row r="452">
          <cell r="G452" t="str">
            <v>Variable OPEX 2030</v>
          </cell>
          <cell r="H452">
            <v>43.685271999999998</v>
          </cell>
          <cell r="I452" t="str">
            <v>€/MWh</v>
          </cell>
        </row>
        <row r="453">
          <cell r="G453" t="str">
            <v>Variable OPEX 2030</v>
          </cell>
          <cell r="H453">
            <v>38.135094000000002</v>
          </cell>
          <cell r="I453" t="str">
            <v>€/MWh</v>
          </cell>
        </row>
        <row r="454">
          <cell r="G454" t="str">
            <v>Recalculated variable OPEX 2030</v>
          </cell>
          <cell r="H454">
            <v>408.9360209685471</v>
          </cell>
          <cell r="I454" t="str">
            <v>million €</v>
          </cell>
        </row>
        <row r="455">
          <cell r="G455" t="str">
            <v>Recalculated variable OPEX 2050</v>
          </cell>
          <cell r="H455">
            <v>356.98103469795308</v>
          </cell>
          <cell r="I455" t="str">
            <v>million €</v>
          </cell>
        </row>
        <row r="456">
          <cell r="G456" t="str">
            <v>Conversion factor USD to EUR</v>
          </cell>
          <cell r="H456">
            <v>0.89519000000000004</v>
          </cell>
          <cell r="J456" t="str">
            <v>https://www.xe.com/currencyconverter/convert/?Amount=1&amp;From=USD&amp;To=EUR</v>
          </cell>
        </row>
        <row r="458">
          <cell r="G458" t="str">
            <v>Total annual costs 2030</v>
          </cell>
          <cell r="H458">
            <v>526.5419734408913</v>
          </cell>
          <cell r="I458" t="str">
            <v>million €</v>
          </cell>
        </row>
        <row r="459">
          <cell r="G459" t="str">
            <v>Total annual costs 2050</v>
          </cell>
          <cell r="H459">
            <v>474.58698717029722</v>
          </cell>
          <cell r="I459" t="str">
            <v>million €</v>
          </cell>
        </row>
        <row r="460">
          <cell r="G460" t="str">
            <v>Total annual production</v>
          </cell>
          <cell r="H460">
            <v>182500</v>
          </cell>
          <cell r="I460" t="str">
            <v>tonnes</v>
          </cell>
        </row>
        <row r="461">
          <cell r="G461" t="str">
            <v>Levelized cost of hydrogen 2030</v>
          </cell>
          <cell r="H461">
            <v>2.8851614983062532</v>
          </cell>
          <cell r="I461" t="str">
            <v>€/kg</v>
          </cell>
        </row>
        <row r="462">
          <cell r="G462" t="str">
            <v>Levelized cost of hydrogen 2030</v>
          </cell>
          <cell r="H462">
            <v>2.600476642029026</v>
          </cell>
          <cell r="I462" t="str">
            <v>€/kg</v>
          </cell>
        </row>
        <row r="463">
          <cell r="G463" t="str">
            <v>Levelized cost of hydrogen 2030</v>
          </cell>
          <cell r="H463">
            <v>3.2229599284020747</v>
          </cell>
          <cell r="I463" t="str">
            <v>$/kg</v>
          </cell>
        </row>
        <row r="464">
          <cell r="G464" t="str">
            <v>Levelized cost of hydrogen 2050</v>
          </cell>
          <cell r="H464">
            <v>2.9049438019068865</v>
          </cell>
          <cell r="I464" t="str">
            <v>$/kg</v>
          </cell>
        </row>
      </sheetData>
      <sheetData sheetId="10"/>
      <sheetData sheetId="11">
        <row r="13">
          <cell r="G13" t="str">
            <v>County</v>
          </cell>
          <cell r="H13" t="str">
            <v>SIC code</v>
          </cell>
          <cell r="I13" t="str">
            <v>SIC name</v>
          </cell>
          <cell r="J13" t="str">
            <v>Emissions</v>
          </cell>
          <cell r="M13" t="str">
            <v>EPA ID</v>
          </cell>
          <cell r="N13" t="str">
            <v>EPA Name</v>
          </cell>
          <cell r="O13" t="str">
            <v>EPA county</v>
          </cell>
          <cell r="P13" t="str">
            <v>Latitude</v>
          </cell>
          <cell r="Q13" t="str">
            <v>Longitude</v>
          </cell>
          <cell r="R13" t="str">
            <v>Specific type</v>
          </cell>
          <cell r="S13" t="str">
            <v>Type</v>
          </cell>
        </row>
        <row r="15">
          <cell r="G15" t="str">
            <v>ONTARIO COUNTY</v>
          </cell>
          <cell r="J15">
            <v>139740.20000000001</v>
          </cell>
          <cell r="L15" t="str">
            <v>GUARDIAN INDUSTRIES LLC</v>
          </cell>
          <cell r="M15">
            <v>110004541434</v>
          </cell>
          <cell r="N15" t="str">
            <v>GUARDIAN INDUSTRIES LLC</v>
          </cell>
          <cell r="O15" t="str">
            <v>ONTARIO COUNTY</v>
          </cell>
          <cell r="P15">
            <v>42.88261</v>
          </cell>
          <cell r="Q15">
            <v>-76.972229999999996</v>
          </cell>
          <cell r="R15" t="str">
            <v>Energy efficient glass for buildings</v>
          </cell>
          <cell r="S15" t="str">
            <v>Glass production</v>
          </cell>
        </row>
        <row r="16">
          <cell r="G16" t="str">
            <v>MONROE</v>
          </cell>
          <cell r="J16">
            <v>134572.6</v>
          </cell>
          <cell r="L16" t="str">
            <v>University of Rochester</v>
          </cell>
          <cell r="M16">
            <v>110004326649</v>
          </cell>
          <cell r="N16" t="str">
            <v>University of Rochester</v>
          </cell>
          <cell r="O16" t="str">
            <v>MONROE</v>
          </cell>
          <cell r="P16">
            <v>43.123064999999997</v>
          </cell>
          <cell r="Q16">
            <v>-77.629543999999996</v>
          </cell>
          <cell r="R16" t="str">
            <v>University campus</v>
          </cell>
          <cell r="S16" t="str">
            <v>Natural gas combustion</v>
          </cell>
        </row>
        <row r="17">
          <cell r="G17" t="str">
            <v>OSWEGO COUNTY</v>
          </cell>
          <cell r="J17">
            <v>116201.9</v>
          </cell>
          <cell r="L17" t="str">
            <v>SUNOCO FULTON ETHANOL PLANT</v>
          </cell>
          <cell r="M17">
            <v>110056972307</v>
          </cell>
          <cell r="N17" t="str">
            <v>SUNOCO FULTON ETHANOL PLANT</v>
          </cell>
          <cell r="O17" t="str">
            <v>OSWEGO COUNTY</v>
          </cell>
          <cell r="P17">
            <v>43.298999999999999</v>
          </cell>
          <cell r="Q17">
            <v>-76.381</v>
          </cell>
          <cell r="R17" t="str">
            <v>Ethanol production</v>
          </cell>
          <cell r="S17" t="str">
            <v>Ethanol production</v>
          </cell>
        </row>
        <row r="18">
          <cell r="G18" t="str">
            <v>RICHMOND COUNTY</v>
          </cell>
          <cell r="J18">
            <v>102811.9</v>
          </cell>
          <cell r="L18" t="str">
            <v>PRATT PAPER (NY), INC.</v>
          </cell>
          <cell r="M18">
            <v>110001600786</v>
          </cell>
          <cell r="N18" t="str">
            <v>PRATT PAPER (NY), INC.</v>
          </cell>
          <cell r="O18" t="str">
            <v>RICHMOND COUNTY</v>
          </cell>
          <cell r="P18">
            <v>40.586289999999998</v>
          </cell>
          <cell r="Q18">
            <v>-74.200609999999998</v>
          </cell>
          <cell r="R18" t="str">
            <v>Paper mill</v>
          </cell>
          <cell r="S18" t="str">
            <v>Paper/pulp/paperboard mill</v>
          </cell>
        </row>
        <row r="19">
          <cell r="G19" t="str">
            <v>ORLEANS COUNTY</v>
          </cell>
          <cell r="J19">
            <v>78756.648000000001</v>
          </cell>
          <cell r="L19" t="str">
            <v>WESTERN NEW YORK ENERGY LLC</v>
          </cell>
          <cell r="M19">
            <v>110032965548</v>
          </cell>
          <cell r="N19" t="str">
            <v>WESTERN NEW YORK ENERGY LLC</v>
          </cell>
          <cell r="O19" t="str">
            <v>ORLEANS COUNTY</v>
          </cell>
          <cell r="P19">
            <v>43.210340000000002</v>
          </cell>
          <cell r="Q19">
            <v>-78.370040000000003</v>
          </cell>
          <cell r="R19" t="str">
            <v>Ethanol production</v>
          </cell>
          <cell r="S19" t="str">
            <v>Ethanol production</v>
          </cell>
        </row>
        <row r="20">
          <cell r="G20" t="str">
            <v>NIAGARA COUNTY</v>
          </cell>
          <cell r="J20">
            <v>30050</v>
          </cell>
          <cell r="L20" t="str">
            <v>Praxair Inc</v>
          </cell>
          <cell r="M20">
            <v>110000554374</v>
          </cell>
          <cell r="N20" t="str">
            <v>Praxair Inc</v>
          </cell>
          <cell r="O20" t="str">
            <v>NIAGARA COUNTY</v>
          </cell>
          <cell r="P20">
            <v>43.086950000000002</v>
          </cell>
          <cell r="Q20">
            <v>-79.011719999999997</v>
          </cell>
          <cell r="R20" t="str">
            <v>Hydrogen production</v>
          </cell>
          <cell r="S20" t="str">
            <v>Hydrogen production</v>
          </cell>
        </row>
        <row r="21">
          <cell r="G21" t="str">
            <v>QUEENS</v>
          </cell>
          <cell r="H21">
            <v>4911</v>
          </cell>
          <cell r="I21" t="str">
            <v>Electric Services</v>
          </cell>
          <cell r="J21">
            <v>2545012.4300000002</v>
          </cell>
          <cell r="L21" t="str">
            <v>ASTORIA ENERGY LLC &amp; ASTORIA ENERGY II LLC</v>
          </cell>
          <cell r="M21">
            <v>110043792401</v>
          </cell>
          <cell r="N21" t="str">
            <v>ASTORIA ENERGY LLC &amp; ASTORIA ENERGY II LLC</v>
          </cell>
          <cell r="O21" t="str">
            <v>QUEENS COUNTY</v>
          </cell>
          <cell r="P21">
            <v>40.782499999999999</v>
          </cell>
          <cell r="Q21">
            <v>-73.8964</v>
          </cell>
          <cell r="R21" t="str">
            <v>Natural gas combined cycle power plant</v>
          </cell>
          <cell r="S21" t="str">
            <v>Natural gas power plant</v>
          </cell>
        </row>
        <row r="22">
          <cell r="G22" t="str">
            <v>ALBANY</v>
          </cell>
          <cell r="H22">
            <v>4911</v>
          </cell>
          <cell r="I22" t="str">
            <v>Electric Services</v>
          </cell>
          <cell r="J22">
            <v>2180009.77</v>
          </cell>
          <cell r="L22" t="str">
            <v>BETHLEHEM ENERGY CENTER</v>
          </cell>
          <cell r="M22">
            <v>110000324177</v>
          </cell>
          <cell r="N22" t="str">
            <v>Bethlehem Energy Center (Albany)</v>
          </cell>
          <cell r="O22" t="str">
            <v>Albany</v>
          </cell>
          <cell r="P22">
            <v>42.590499999999999</v>
          </cell>
          <cell r="Q22">
            <v>-73.763599999999997</v>
          </cell>
          <cell r="R22" t="str">
            <v>Natural gas combined cycle power plant</v>
          </cell>
          <cell r="S22" t="str">
            <v>Natural gas power plant</v>
          </cell>
        </row>
        <row r="23">
          <cell r="G23" t="str">
            <v>NEW YORK</v>
          </cell>
          <cell r="H23">
            <v>4911</v>
          </cell>
          <cell r="I23" t="str">
            <v>Electric Services</v>
          </cell>
          <cell r="J23">
            <v>2097606.94</v>
          </cell>
          <cell r="L23" t="str">
            <v>CON ED-EAST RIVER GENERATING STATION</v>
          </cell>
          <cell r="M23">
            <v>110000322623</v>
          </cell>
          <cell r="N23" t="str">
            <v>East River</v>
          </cell>
          <cell r="O23" t="str">
            <v>New York</v>
          </cell>
          <cell r="P23">
            <v>40.728099999999998</v>
          </cell>
          <cell r="Q23">
            <v>-73.974199999999996</v>
          </cell>
          <cell r="R23" t="str">
            <v>Natural gas combined cycle power plant</v>
          </cell>
          <cell r="S23" t="str">
            <v>Natural gas power plant</v>
          </cell>
        </row>
        <row r="24">
          <cell r="G24" t="str">
            <v>OSWEGO</v>
          </cell>
          <cell r="H24">
            <v>4931</v>
          </cell>
          <cell r="I24" t="str">
            <v>Electric and Other Services Combined</v>
          </cell>
          <cell r="J24">
            <v>1841340.13</v>
          </cell>
          <cell r="L24" t="str">
            <v>INDEPENDENCE STATION</v>
          </cell>
          <cell r="M24">
            <v>110001600009</v>
          </cell>
          <cell r="N24" t="str">
            <v>Independence</v>
          </cell>
          <cell r="O24" t="str">
            <v>Oswego</v>
          </cell>
          <cell r="P24">
            <v>43.494999999999997</v>
          </cell>
          <cell r="Q24">
            <v>-76.450800000000001</v>
          </cell>
          <cell r="R24" t="str">
            <v>Natural gas cogeneration power plant</v>
          </cell>
          <cell r="S24" t="str">
            <v>Natural gas power plant</v>
          </cell>
        </row>
        <row r="25">
          <cell r="G25" t="str">
            <v>QUEENS</v>
          </cell>
          <cell r="H25">
            <v>4911</v>
          </cell>
          <cell r="I25" t="str">
            <v>Electric Services</v>
          </cell>
          <cell r="J25">
            <v>1715671.7</v>
          </cell>
          <cell r="L25" t="str">
            <v>RAVENSWOOD GENERATING STATION</v>
          </cell>
          <cell r="M25">
            <v>110033146165</v>
          </cell>
          <cell r="N25" t="str">
            <v>Ravenswood Generating Station</v>
          </cell>
          <cell r="O25" t="str">
            <v>Queens</v>
          </cell>
          <cell r="P25">
            <v>40.758499999999998</v>
          </cell>
          <cell r="Q25">
            <v>-73.945099999999996</v>
          </cell>
          <cell r="R25" t="str">
            <v>Combustion turbine, Jet engine, Combined cycle, Steam turbine</v>
          </cell>
          <cell r="S25" t="str">
            <v>Natural gas power plant</v>
          </cell>
        </row>
        <row r="26">
          <cell r="G26" t="str">
            <v>GREENE</v>
          </cell>
          <cell r="H26">
            <v>4911</v>
          </cell>
          <cell r="I26" t="str">
            <v>Electric Services</v>
          </cell>
          <cell r="J26">
            <v>1570671.69</v>
          </cell>
          <cell r="L26" t="str">
            <v>ATHENS GENERATING PLANT</v>
          </cell>
          <cell r="M26">
            <v>110019468057</v>
          </cell>
          <cell r="N26" t="str">
            <v>Athens Generating Company</v>
          </cell>
          <cell r="O26" t="str">
            <v>Greene</v>
          </cell>
          <cell r="P26">
            <v>42.272799999999997</v>
          </cell>
          <cell r="Q26">
            <v>-73.849199999999996</v>
          </cell>
          <cell r="R26" t="str">
            <v>Natural gas combined cycle power plant</v>
          </cell>
          <cell r="S26" t="str">
            <v>Natural gas power plant</v>
          </cell>
        </row>
        <row r="27">
          <cell r="G27" t="str">
            <v>KINGS</v>
          </cell>
          <cell r="H27">
            <v>4911</v>
          </cell>
          <cell r="I27" t="str">
            <v>Electric Services</v>
          </cell>
          <cell r="J27">
            <v>1094246.81</v>
          </cell>
          <cell r="L27" t="str">
            <v>BROOKLYN NAVY YARD COGENERATION PLANT</v>
          </cell>
          <cell r="M27">
            <v>110009461910</v>
          </cell>
          <cell r="N27" t="str">
            <v>Brooklyn Navy Yard Cogeneration Project</v>
          </cell>
          <cell r="O27" t="str">
            <v>KINGS COUNTY</v>
          </cell>
          <cell r="P27">
            <v>40.699399999999997</v>
          </cell>
          <cell r="Q27">
            <v>-73.975800000000007</v>
          </cell>
          <cell r="R27" t="str">
            <v>Natural gas combined cycle power plant</v>
          </cell>
          <cell r="S27" t="str">
            <v>Natural gas power plant</v>
          </cell>
        </row>
        <row r="28">
          <cell r="G28" t="str">
            <v>SUFFOLK</v>
          </cell>
          <cell r="H28">
            <v>4911</v>
          </cell>
          <cell r="I28" t="str">
            <v>Electric Services</v>
          </cell>
          <cell r="J28">
            <v>1093892.3400000001</v>
          </cell>
          <cell r="L28" t="str">
            <v>NORTHPORT POWER STATION</v>
          </cell>
          <cell r="M28">
            <v>110000582398</v>
          </cell>
          <cell r="N28" t="str">
            <v>Northport</v>
          </cell>
          <cell r="O28" t="str">
            <v>Suffolk</v>
          </cell>
          <cell r="P28">
            <v>40.923099999999998</v>
          </cell>
          <cell r="Q28">
            <v>-73.341700000000003</v>
          </cell>
          <cell r="R28" t="str">
            <v>Natural gas steam turbine</v>
          </cell>
          <cell r="S28" t="str">
            <v>Natural gas power plant</v>
          </cell>
        </row>
        <row r="29">
          <cell r="G29" t="str">
            <v>RENSSELAER</v>
          </cell>
          <cell r="H29">
            <v>4911</v>
          </cell>
          <cell r="I29" t="str">
            <v>Electric Services</v>
          </cell>
          <cell r="J29">
            <v>1036086.6</v>
          </cell>
          <cell r="L29" t="str">
            <v>EMPIRE POWER PLANT</v>
          </cell>
          <cell r="M29">
            <v>110020996083</v>
          </cell>
          <cell r="N29" t="str">
            <v>Empire Generating Co, LLC</v>
          </cell>
          <cell r="O29" t="str">
            <v>Rensselaer</v>
          </cell>
          <cell r="P29">
            <v>42.629600000000003</v>
          </cell>
          <cell r="Q29">
            <v>-73.748999999999995</v>
          </cell>
          <cell r="R29" t="str">
            <v>Natural gas combined cycle power plant</v>
          </cell>
          <cell r="S29" t="str">
            <v>Natural gas power plant</v>
          </cell>
        </row>
        <row r="30">
          <cell r="G30" t="str">
            <v>QUEENS</v>
          </cell>
          <cell r="H30">
            <v>4911</v>
          </cell>
          <cell r="I30" t="str">
            <v>Electric Services</v>
          </cell>
          <cell r="J30">
            <v>1006896.62</v>
          </cell>
          <cell r="L30" t="str">
            <v>POLETTI POWER PROJECT</v>
          </cell>
          <cell r="M30">
            <v>110069998643</v>
          </cell>
          <cell r="N30" t="str">
            <v>Poletti 500 MW CC</v>
          </cell>
          <cell r="O30" t="str">
            <v>Queens</v>
          </cell>
          <cell r="P30">
            <v>40.7881</v>
          </cell>
          <cell r="Q30">
            <v>-73.905600000000007</v>
          </cell>
          <cell r="R30" t="str">
            <v>Steam-electric power plant</v>
          </cell>
          <cell r="S30" t="str">
            <v>Natural gas power plant</v>
          </cell>
        </row>
        <row r="31">
          <cell r="G31" t="str">
            <v>SUFFOLK</v>
          </cell>
          <cell r="H31">
            <v>4911</v>
          </cell>
          <cell r="I31" t="str">
            <v>Electric Services</v>
          </cell>
          <cell r="J31">
            <v>914433.82</v>
          </cell>
          <cell r="L31" t="str">
            <v>CAITHNESS LONG ISLAND ENERGY CENTER</v>
          </cell>
          <cell r="M31">
            <v>110040566893</v>
          </cell>
          <cell r="N31" t="str">
            <v>Caithness Long Island Energy Center</v>
          </cell>
          <cell r="O31" t="str">
            <v>Suffolk</v>
          </cell>
          <cell r="P31">
            <v>40.8142</v>
          </cell>
          <cell r="Q31">
            <v>-72.940299999999993</v>
          </cell>
          <cell r="R31" t="str">
            <v>Natural gas combined cycle power plant</v>
          </cell>
          <cell r="S31" t="str">
            <v>Natural gas power plant</v>
          </cell>
        </row>
        <row r="32">
          <cell r="G32" t="str">
            <v>NASSAU</v>
          </cell>
          <cell r="H32">
            <v>4911</v>
          </cell>
          <cell r="I32" t="str">
            <v>Electric Services</v>
          </cell>
          <cell r="J32">
            <v>911528.78</v>
          </cell>
          <cell r="L32" t="str">
            <v>EF BARRETT POWER STATION</v>
          </cell>
          <cell r="M32">
            <v>110000582389</v>
          </cell>
          <cell r="N32" t="str">
            <v>E F Barrett</v>
          </cell>
          <cell r="O32" t="str">
            <v>Nassau</v>
          </cell>
          <cell r="P32">
            <v>40.616900000000001</v>
          </cell>
          <cell r="Q32">
            <v>-73.648600000000002</v>
          </cell>
          <cell r="R32" t="str">
            <v>Combustion turbine, Jet engine, Steam turbine</v>
          </cell>
          <cell r="S32" t="str">
            <v>Natural gas power plant</v>
          </cell>
        </row>
        <row r="33">
          <cell r="G33" t="str">
            <v>JEFFERSON</v>
          </cell>
          <cell r="H33">
            <v>4911</v>
          </cell>
          <cell r="I33" t="str">
            <v>Electric Services</v>
          </cell>
          <cell r="J33">
            <v>883995.34</v>
          </cell>
          <cell r="L33" t="str">
            <v>REENERGY BLACK RIVER</v>
          </cell>
          <cell r="M33">
            <v>110008035704</v>
          </cell>
          <cell r="N33" t="str">
            <v>ReEnergy Black River LLC</v>
          </cell>
          <cell r="O33" t="str">
            <v>JEFFERSON COUNTY</v>
          </cell>
          <cell r="P33">
            <v>44.036099999999998</v>
          </cell>
          <cell r="Q33">
            <v>-75.771199999999993</v>
          </cell>
          <cell r="R33" t="str">
            <v>Steam turbine</v>
          </cell>
          <cell r="S33" t="str">
            <v>Wood based power plant</v>
          </cell>
        </row>
        <row r="34">
          <cell r="G34" t="str">
            <v>ROCKLAND</v>
          </cell>
          <cell r="H34">
            <v>4911</v>
          </cell>
          <cell r="I34" t="str">
            <v>Electric Services</v>
          </cell>
          <cell r="J34">
            <v>778163.93</v>
          </cell>
          <cell r="L34" t="str">
            <v>BOWLINE GENERATING STATION</v>
          </cell>
          <cell r="M34">
            <v>110000582352</v>
          </cell>
          <cell r="N34" t="str">
            <v>Bowline Generating Station</v>
          </cell>
          <cell r="O34" t="str">
            <v>Rockland</v>
          </cell>
          <cell r="P34">
            <v>41.2044</v>
          </cell>
          <cell r="Q34">
            <v>-73.968900000000005</v>
          </cell>
          <cell r="R34" t="str">
            <v>Steam turbine</v>
          </cell>
          <cell r="S34" t="str">
            <v>Natural gas power plant</v>
          </cell>
        </row>
        <row r="35">
          <cell r="G35" t="str">
            <v>NIAGARA</v>
          </cell>
          <cell r="H35">
            <v>4953</v>
          </cell>
          <cell r="I35" t="str">
            <v>Refuse Systems</v>
          </cell>
          <cell r="J35">
            <v>774039.2</v>
          </cell>
          <cell r="L35" t="str">
            <v>COVANTA NIAGARA I, LLC</v>
          </cell>
          <cell r="M35">
            <v>110070081785</v>
          </cell>
          <cell r="N35" t="str">
            <v>Covanta Niagara</v>
          </cell>
          <cell r="O35" t="str">
            <v>Niagara</v>
          </cell>
          <cell r="P35">
            <v>43.0839</v>
          </cell>
          <cell r="Q35">
            <v>-79.005600000000001</v>
          </cell>
          <cell r="R35" t="str">
            <v>Steam turbine</v>
          </cell>
          <cell r="S35" t="str">
            <v>Solid waste power plant</v>
          </cell>
        </row>
        <row r="36">
          <cell r="G36" t="str">
            <v>ESSEX</v>
          </cell>
          <cell r="H36">
            <v>2621</v>
          </cell>
          <cell r="I36" t="str">
            <v>Paper Mills</v>
          </cell>
          <cell r="J36">
            <v>752562.23</v>
          </cell>
          <cell r="L36" t="str">
            <v>INTERNATIONAL PAPER TICONDEROGA MILL</v>
          </cell>
          <cell r="M36">
            <v>110000325005</v>
          </cell>
          <cell r="N36" t="str">
            <v>International Paper Ticonderoga Mill</v>
          </cell>
          <cell r="O36" t="str">
            <v>Essex</v>
          </cell>
          <cell r="P36">
            <v>43.891399999999997</v>
          </cell>
          <cell r="Q36">
            <v>-73.396100000000004</v>
          </cell>
          <cell r="R36" t="str">
            <v>Paper mill</v>
          </cell>
          <cell r="S36" t="str">
            <v>Paper/pulp/paperboard mill</v>
          </cell>
        </row>
        <row r="37">
          <cell r="G37" t="str">
            <v>MONROE</v>
          </cell>
          <cell r="H37">
            <v>4931</v>
          </cell>
          <cell r="I37" t="str">
            <v>Electric and Other Services Combined</v>
          </cell>
          <cell r="J37">
            <v>674885.4</v>
          </cell>
          <cell r="L37" t="str">
            <v>RED-ROCHESTER LLC AT EASTMAN BUSINESS PARK</v>
          </cell>
          <cell r="M37">
            <v>110058240292</v>
          </cell>
          <cell r="N37" t="str">
            <v>RED-Rochester, LLC-Eastman Business Park, NY</v>
          </cell>
          <cell r="O37" t="str">
            <v>MONROE</v>
          </cell>
          <cell r="P37">
            <v>43.196899999999999</v>
          </cell>
          <cell r="Q37">
            <v>-77.628900000000002</v>
          </cell>
          <cell r="R37" t="str">
            <v>Natural gas cogeneration power plant</v>
          </cell>
          <cell r="S37" t="str">
            <v>Natural gas power plant</v>
          </cell>
        </row>
        <row r="38">
          <cell r="G38" t="str">
            <v>QUEENS</v>
          </cell>
          <cell r="H38">
            <v>4911</v>
          </cell>
          <cell r="I38" t="str">
            <v>Electric Services</v>
          </cell>
          <cell r="J38">
            <v>555508.09</v>
          </cell>
          <cell r="L38" t="str">
            <v>ASTORIA GENERATING STATION</v>
          </cell>
          <cell r="M38">
            <v>110002093109</v>
          </cell>
          <cell r="N38" t="str">
            <v>Astoria Generating Station</v>
          </cell>
          <cell r="O38" t="str">
            <v>Queens</v>
          </cell>
          <cell r="P38">
            <v>40.786900000000003</v>
          </cell>
          <cell r="Q38">
            <v>-73.912199999999999</v>
          </cell>
          <cell r="R38" t="str">
            <v>Combustion turbine, Steam turbine</v>
          </cell>
          <cell r="S38" t="str">
            <v>Natural gas power plant</v>
          </cell>
        </row>
        <row r="39">
          <cell r="G39" t="str">
            <v>RICHMOND</v>
          </cell>
          <cell r="H39">
            <v>4911</v>
          </cell>
          <cell r="I39" t="str">
            <v>Electric Services</v>
          </cell>
          <cell r="J39">
            <v>545092.62</v>
          </cell>
          <cell r="L39" t="str">
            <v>ARTHUR KILL GENERATING STATION</v>
          </cell>
          <cell r="M39">
            <v>110000866386</v>
          </cell>
          <cell r="N39" t="str">
            <v>Arthur Kill</v>
          </cell>
          <cell r="O39" t="str">
            <v>Richmond</v>
          </cell>
          <cell r="P39">
            <v>40.591500000000003</v>
          </cell>
          <cell r="Q39">
            <v>-74.202699999999993</v>
          </cell>
          <cell r="R39" t="str">
            <v>Combustion turbine, Steam turbine</v>
          </cell>
          <cell r="S39" t="str">
            <v>Natural gas power plant</v>
          </cell>
        </row>
        <row r="40">
          <cell r="G40" t="str">
            <v>SUFFOLK</v>
          </cell>
          <cell r="H40">
            <v>4931</v>
          </cell>
          <cell r="I40" t="str">
            <v>Electric and Other Services Combined</v>
          </cell>
          <cell r="J40">
            <v>474668.37</v>
          </cell>
          <cell r="L40" t="str">
            <v>RICHARD M FLYNN POWER PLANT</v>
          </cell>
          <cell r="M40">
            <v>110000323953</v>
          </cell>
          <cell r="N40" t="str">
            <v>Richard M Flynn (Holtsville)</v>
          </cell>
          <cell r="O40" t="str">
            <v>Suffolk</v>
          </cell>
          <cell r="P40">
            <v>40.815300000000001</v>
          </cell>
          <cell r="Q40">
            <v>-73.064400000000006</v>
          </cell>
          <cell r="R40" t="str">
            <v>Natural gas combined cycle power plant</v>
          </cell>
          <cell r="S40" t="str">
            <v>Natural gas power plant</v>
          </cell>
        </row>
        <row r="41">
          <cell r="G41" t="str">
            <v>NIAGARA</v>
          </cell>
          <cell r="H41">
            <v>4911</v>
          </cell>
          <cell r="I41" t="str">
            <v>Electric Services</v>
          </cell>
          <cell r="J41">
            <v>385732.1</v>
          </cell>
          <cell r="L41" t="str">
            <v>SOMERSET OPERATING COMPANY LLC</v>
          </cell>
          <cell r="M41">
            <v>110000326371</v>
          </cell>
          <cell r="N41" t="str">
            <v>Somerset Operating Compnay, LLC</v>
          </cell>
          <cell r="O41" t="str">
            <v>Niagara</v>
          </cell>
          <cell r="P41">
            <v>43.356099999999998</v>
          </cell>
          <cell r="Q41">
            <v>-78.603899999999996</v>
          </cell>
          <cell r="R41" t="str">
            <v>Steam turbine</v>
          </cell>
          <cell r="S41" t="str">
            <v>Coal power plant</v>
          </cell>
        </row>
        <row r="42">
          <cell r="G42" t="str">
            <v>ONONDAGA</v>
          </cell>
          <cell r="H42">
            <v>4953</v>
          </cell>
          <cell r="I42" t="str">
            <v>Refuse Systems</v>
          </cell>
          <cell r="J42">
            <v>380309.61</v>
          </cell>
          <cell r="L42" t="str">
            <v>ONONDAGA CO RESOURCE RECOVERY FACILITY</v>
          </cell>
          <cell r="M42">
            <v>110000546124</v>
          </cell>
          <cell r="N42" t="str">
            <v>ONONDAGA CO RESOURCE RECOVERY FACILITY</v>
          </cell>
          <cell r="O42" t="str">
            <v>ONONDAGA COUNTY</v>
          </cell>
          <cell r="P42">
            <v>43.004784999999998</v>
          </cell>
          <cell r="Q42">
            <v>-76.114729999999994</v>
          </cell>
          <cell r="R42" t="str">
            <v>Steam turbine</v>
          </cell>
          <cell r="S42" t="str">
            <v>Solid waste power plant</v>
          </cell>
        </row>
        <row r="43">
          <cell r="G43" t="str">
            <v>NASSAU</v>
          </cell>
          <cell r="H43">
            <v>4939</v>
          </cell>
          <cell r="I43" t="str">
            <v>Combination Utilities, Not Elsewhere Classified</v>
          </cell>
          <cell r="J43">
            <v>353169.3</v>
          </cell>
          <cell r="L43" t="str">
            <v>HEMPSTEAD RESOURCE RECOVERY FACILITY</v>
          </cell>
          <cell r="M43">
            <v>110034162643</v>
          </cell>
          <cell r="N43" t="str">
            <v>COVANTA HEMPSTEAD</v>
          </cell>
          <cell r="O43" t="str">
            <v>NASSAU</v>
          </cell>
          <cell r="P43">
            <v>40.738356000000003</v>
          </cell>
          <cell r="Q43">
            <v>-73.593495000000004</v>
          </cell>
          <cell r="R43" t="str">
            <v>Steam turbine</v>
          </cell>
          <cell r="S43" t="str">
            <v>Solid waste power plant</v>
          </cell>
        </row>
        <row r="44">
          <cell r="G44" t="str">
            <v>WESTCHESTER</v>
          </cell>
          <cell r="H44">
            <v>4953</v>
          </cell>
          <cell r="I44" t="str">
            <v>Refuse Systems</v>
          </cell>
          <cell r="J44">
            <v>324949.33</v>
          </cell>
          <cell r="L44" t="str">
            <v>WHEELABRATOR WESTCHESTER LP</v>
          </cell>
          <cell r="M44">
            <v>110010710944</v>
          </cell>
          <cell r="N44" t="str">
            <v>WHEELABRATOR WESTCHESTER LP</v>
          </cell>
          <cell r="O44" t="str">
            <v>WESTCHESTER COUNTY</v>
          </cell>
          <cell r="P44">
            <v>41.277115000000002</v>
          </cell>
          <cell r="Q44">
            <v>-73.942428000000007</v>
          </cell>
          <cell r="R44" t="str">
            <v>Steam turbine</v>
          </cell>
          <cell r="S44" t="str">
            <v>Solid waste power plant</v>
          </cell>
        </row>
        <row r="45">
          <cell r="G45" t="str">
            <v>NASSAU</v>
          </cell>
          <cell r="H45">
            <v>4911</v>
          </cell>
          <cell r="I45" t="str">
            <v>Electric Services</v>
          </cell>
          <cell r="J45">
            <v>324361.88</v>
          </cell>
          <cell r="L45" t="str">
            <v>TBG COGEN FACILITY</v>
          </cell>
          <cell r="M45">
            <v>110001576376</v>
          </cell>
          <cell r="N45" t="str">
            <v>Bethpage Energy Center</v>
          </cell>
          <cell r="O45" t="str">
            <v>Nassau</v>
          </cell>
          <cell r="P45">
            <v>40.746899999999997</v>
          </cell>
          <cell r="Q45">
            <v>-73.499399999999994</v>
          </cell>
          <cell r="R45" t="str">
            <v>Natural gas combined cycle power plant, Combustion turbine</v>
          </cell>
          <cell r="S45" t="str">
            <v>Natural gas power plant</v>
          </cell>
        </row>
        <row r="46">
          <cell r="G46" t="str">
            <v>SARATOGA</v>
          </cell>
          <cell r="H46">
            <v>4911</v>
          </cell>
          <cell r="I46" t="str">
            <v>Electric Services</v>
          </cell>
          <cell r="J46">
            <v>324220.11</v>
          </cell>
          <cell r="L46" t="str">
            <v>INDECK-CORINTH ENERGY CENTER</v>
          </cell>
          <cell r="M46">
            <v>110000324934</v>
          </cell>
          <cell r="N46" t="str">
            <v>Indeck-Corinth Energy Center</v>
          </cell>
          <cell r="O46" t="str">
            <v>Saratoga</v>
          </cell>
          <cell r="P46">
            <v>43.25</v>
          </cell>
          <cell r="Q46">
            <v>-73.8125</v>
          </cell>
          <cell r="R46" t="str">
            <v>Natural gas combined cycle power plant</v>
          </cell>
          <cell r="S46" t="str">
            <v>Natural gas power plant</v>
          </cell>
        </row>
        <row r="47">
          <cell r="G47" t="str">
            <v>QUEENS</v>
          </cell>
          <cell r="H47">
            <v>4931</v>
          </cell>
          <cell r="I47" t="str">
            <v>Electric and Other Services Combined</v>
          </cell>
          <cell r="J47">
            <v>298220.61</v>
          </cell>
          <cell r="L47" t="str">
            <v>CALPINE JFK ENERGY CENTER</v>
          </cell>
          <cell r="M47">
            <v>110007990246</v>
          </cell>
          <cell r="N47" t="str">
            <v>KIAC Cogeneration</v>
          </cell>
          <cell r="O47" t="str">
            <v>Queens</v>
          </cell>
          <cell r="P47">
            <v>40.6417</v>
          </cell>
          <cell r="Q47">
            <v>-73.777799999999999</v>
          </cell>
          <cell r="R47" t="str">
            <v>Natural gas combined cycle power plant</v>
          </cell>
          <cell r="S47" t="str">
            <v>Natural gas power plant</v>
          </cell>
        </row>
        <row r="48">
          <cell r="G48" t="str">
            <v>TOMPKINS</v>
          </cell>
          <cell r="H48">
            <v>4911</v>
          </cell>
          <cell r="I48" t="str">
            <v>Electric Services</v>
          </cell>
          <cell r="J48">
            <v>295133.5</v>
          </cell>
          <cell r="L48" t="str">
            <v>CAYUGA OPERATING COMPANY, LLC</v>
          </cell>
          <cell r="M48">
            <v>110000328547</v>
          </cell>
          <cell r="N48" t="str">
            <v>Cayuga Operating Company, LLC</v>
          </cell>
          <cell r="O48" t="str">
            <v>Tompkins</v>
          </cell>
          <cell r="P48">
            <v>42.602800000000002</v>
          </cell>
          <cell r="Q48">
            <v>-76.633600000000001</v>
          </cell>
          <cell r="R48" t="str">
            <v>Steam turbine, Internal combustion</v>
          </cell>
          <cell r="S48" t="str">
            <v>Coal power plant</v>
          </cell>
        </row>
        <row r="49">
          <cell r="G49" t="str">
            <v>WARREN</v>
          </cell>
          <cell r="H49">
            <v>3241</v>
          </cell>
          <cell r="I49" t="str">
            <v>Cement, Hydraulic</v>
          </cell>
          <cell r="J49">
            <v>294172.90000000002</v>
          </cell>
          <cell r="L49" t="str">
            <v>LEHIGH NORTHEAST CEMENT COMPANY</v>
          </cell>
          <cell r="M49">
            <v>110002380049</v>
          </cell>
          <cell r="N49" t="str">
            <v>Lehigh Northeast Cement Company</v>
          </cell>
          <cell r="O49" t="str">
            <v>Warren</v>
          </cell>
          <cell r="P49">
            <v>43.306399999999996</v>
          </cell>
          <cell r="Q49">
            <v>-73.620800000000003</v>
          </cell>
          <cell r="R49" t="str">
            <v>Cement production</v>
          </cell>
          <cell r="S49" t="str">
            <v>Cement production</v>
          </cell>
        </row>
        <row r="50">
          <cell r="G50" t="str">
            <v>ALBANY</v>
          </cell>
          <cell r="H50">
            <v>3241</v>
          </cell>
          <cell r="I50" t="str">
            <v>Cement, Hydraulic</v>
          </cell>
          <cell r="J50">
            <v>249847.86</v>
          </cell>
          <cell r="L50" t="str">
            <v>LAFARGE RAVENA PLANT</v>
          </cell>
          <cell r="M50">
            <v>110056973182</v>
          </cell>
          <cell r="N50" t="str">
            <v>LAFARGE BUILDING MATERIALS INC</v>
          </cell>
          <cell r="O50" t="str">
            <v>ALBANY COUNTY</v>
          </cell>
          <cell r="P50">
            <v>42.49756</v>
          </cell>
          <cell r="Q50">
            <v>-73.813652000000005</v>
          </cell>
          <cell r="R50" t="str">
            <v>Dry kiln technology</v>
          </cell>
          <cell r="S50" t="str">
            <v>Cement production</v>
          </cell>
        </row>
        <row r="51">
          <cell r="G51" t="str">
            <v>ALBANY</v>
          </cell>
          <cell r="H51">
            <v>4911</v>
          </cell>
          <cell r="I51" t="str">
            <v>Electric Services</v>
          </cell>
          <cell r="J51">
            <v>240090.81</v>
          </cell>
          <cell r="L51" t="str">
            <v>SELKIRK COGENERATION PROJECT</v>
          </cell>
          <cell r="M51">
            <v>110006625633</v>
          </cell>
          <cell r="N51" t="str">
            <v>Selkirk Cogen Partners</v>
          </cell>
          <cell r="O51" t="str">
            <v>Albany</v>
          </cell>
          <cell r="P51">
            <v>42.574399999999997</v>
          </cell>
          <cell r="Q51">
            <v>-73.859200000000001</v>
          </cell>
          <cell r="R51" t="str">
            <v>Natural gas combined cycle power plant</v>
          </cell>
          <cell r="S51" t="str">
            <v>Natural gas power plant</v>
          </cell>
        </row>
        <row r="52">
          <cell r="G52" t="str">
            <v>ORANGE</v>
          </cell>
          <cell r="H52">
            <v>4911</v>
          </cell>
          <cell r="I52" t="str">
            <v>Electric Services</v>
          </cell>
          <cell r="J52">
            <v>236083.57</v>
          </cell>
          <cell r="L52" t="str">
            <v>ROSETON GENERATING STATION</v>
          </cell>
          <cell r="M52">
            <v>110000324747</v>
          </cell>
          <cell r="N52" t="str">
            <v>Roseton Generating Facility</v>
          </cell>
          <cell r="O52" t="str">
            <v>Orange</v>
          </cell>
          <cell r="P52">
            <v>41.571100000000001</v>
          </cell>
          <cell r="Q52">
            <v>-73.9739</v>
          </cell>
          <cell r="R52" t="str">
            <v>Steam turbine</v>
          </cell>
          <cell r="S52" t="str">
            <v>Natural gas power plant</v>
          </cell>
        </row>
        <row r="53">
          <cell r="G53" t="str">
            <v>NEW YORK</v>
          </cell>
          <cell r="H53">
            <v>4961</v>
          </cell>
          <cell r="I53" t="str">
            <v>Steam and Air-Conditioning Supply</v>
          </cell>
          <cell r="J53">
            <v>235064.65</v>
          </cell>
          <cell r="L53" t="str">
            <v>CON ED-59TH ST STATION</v>
          </cell>
          <cell r="M53">
            <v>110019296509</v>
          </cell>
          <cell r="N53" t="str">
            <v>59th Street</v>
          </cell>
          <cell r="O53" t="str">
            <v>New York</v>
          </cell>
          <cell r="P53">
            <v>40.771099999999997</v>
          </cell>
          <cell r="Q53">
            <v>-73.991100000000003</v>
          </cell>
          <cell r="R53" t="str">
            <v>Combustion turbine</v>
          </cell>
          <cell r="S53" t="str">
            <v>Natural gas combustion</v>
          </cell>
        </row>
        <row r="54">
          <cell r="G54" t="str">
            <v>ST LAWRENCE</v>
          </cell>
          <cell r="H54">
            <v>3334</v>
          </cell>
          <cell r="I54" t="str">
            <v>Primary Production of Aluminum</v>
          </cell>
          <cell r="J54">
            <v>233130.43</v>
          </cell>
          <cell r="L54" t="str">
            <v>ALCOA USA CORP</v>
          </cell>
          <cell r="M54">
            <v>110070069670</v>
          </cell>
          <cell r="N54" t="str">
            <v>Alcoa USA Corp.</v>
          </cell>
          <cell r="O54" t="str">
            <v>ST. LAWRENCE COUNTY</v>
          </cell>
          <cell r="P54">
            <v>44.965592000000001</v>
          </cell>
          <cell r="Q54">
            <v>-74.892555999999999</v>
          </cell>
          <cell r="R54" t="str">
            <v>Aluminum smelter</v>
          </cell>
          <cell r="S54" t="str">
            <v>Aluminum smelter</v>
          </cell>
        </row>
        <row r="55">
          <cell r="G55" t="str">
            <v>NEW YORK</v>
          </cell>
          <cell r="H55">
            <v>4961</v>
          </cell>
          <cell r="I55" t="str">
            <v>Steam and Air-Conditioning Supply</v>
          </cell>
          <cell r="J55">
            <v>215192.53</v>
          </cell>
          <cell r="L55" t="str">
            <v>CON ED-74TH STREET STA</v>
          </cell>
          <cell r="M55">
            <v>110019296527</v>
          </cell>
          <cell r="N55" t="str">
            <v>74th Street</v>
          </cell>
          <cell r="O55" t="str">
            <v>New York</v>
          </cell>
          <cell r="P55">
            <v>40.768000000000001</v>
          </cell>
          <cell r="Q55">
            <v>-73.951499999999996</v>
          </cell>
          <cell r="R55" t="str">
            <v>Combustion turbine</v>
          </cell>
          <cell r="S55" t="str">
            <v>Natural gas combustion</v>
          </cell>
        </row>
        <row r="56">
          <cell r="G56" t="str">
            <v>LEWIS</v>
          </cell>
          <cell r="H56">
            <v>4911</v>
          </cell>
          <cell r="I56" t="str">
            <v>Electric Services</v>
          </cell>
          <cell r="J56">
            <v>211797.84</v>
          </cell>
          <cell r="L56" t="str">
            <v>LYONSDALE BIOMASS LLC</v>
          </cell>
          <cell r="M56" t="str">
            <v>Manual1</v>
          </cell>
          <cell r="N56" t="str">
            <v>LYONSDALE BIOMASS LLC</v>
          </cell>
          <cell r="O56" t="str">
            <v>LEWIS</v>
          </cell>
          <cell r="P56">
            <v>43.617977000000003</v>
          </cell>
          <cell r="Q56">
            <v>-75.306668999999999</v>
          </cell>
          <cell r="R56" t="str">
            <v>Steam turbine</v>
          </cell>
          <cell r="S56" t="str">
            <v>Wood based power plant</v>
          </cell>
        </row>
        <row r="57">
          <cell r="G57" t="str">
            <v>NIAGARA</v>
          </cell>
          <cell r="H57">
            <v>3313</v>
          </cell>
          <cell r="I57" t="str">
            <v>Electrometallurgical Products, Except Steel</v>
          </cell>
          <cell r="J57">
            <v>201333.35</v>
          </cell>
          <cell r="L57" t="str">
            <v>GLOBE METALLURGICAL INC</v>
          </cell>
          <cell r="M57">
            <v>110001578221</v>
          </cell>
          <cell r="N57" t="str">
            <v>GLOBE METALLURGICAL INC</v>
          </cell>
          <cell r="O57" t="str">
            <v>NIAGARA COUNTY</v>
          </cell>
          <cell r="P57">
            <v>43.121949999999998</v>
          </cell>
          <cell r="Q57">
            <v>-79.044517999999997</v>
          </cell>
          <cell r="R57" t="str">
            <v>To be closed</v>
          </cell>
          <cell r="S57" t="str">
            <v>To be closed</v>
          </cell>
        </row>
        <row r="58">
          <cell r="G58" t="str">
            <v>NASSAU</v>
          </cell>
          <cell r="H58">
            <v>4911</v>
          </cell>
          <cell r="I58" t="str">
            <v>Electric Services</v>
          </cell>
          <cell r="J58">
            <v>199408.49</v>
          </cell>
          <cell r="L58" t="str">
            <v>NASSAU ENERGY LLC</v>
          </cell>
          <cell r="M58">
            <v>110001575787</v>
          </cell>
          <cell r="N58" t="str">
            <v>Nassau Energy LLC</v>
          </cell>
          <cell r="O58" t="str">
            <v>Nassau</v>
          </cell>
          <cell r="P58">
            <v>40.725900000000003</v>
          </cell>
          <cell r="Q58">
            <v>-73.588499999999996</v>
          </cell>
          <cell r="R58" t="str">
            <v>Natural gas combined cycle power plant</v>
          </cell>
          <cell r="S58" t="str">
            <v>Natural gas power plant</v>
          </cell>
        </row>
        <row r="59">
          <cell r="G59" t="str">
            <v>OSWEGO</v>
          </cell>
          <cell r="H59">
            <v>3353</v>
          </cell>
          <cell r="I59" t="str">
            <v>Aluminum Sheet, Plate, and Foil</v>
          </cell>
          <cell r="J59">
            <v>198299.21</v>
          </cell>
          <cell r="L59" t="str">
            <v>NOVELIS CORPORATION</v>
          </cell>
          <cell r="M59">
            <v>110000325407</v>
          </cell>
          <cell r="N59" t="str">
            <v>NOVELIS CORPORATION</v>
          </cell>
          <cell r="O59" t="str">
            <v>OSWEGO COUNTY</v>
          </cell>
          <cell r="P59">
            <v>43.493834</v>
          </cell>
          <cell r="Q59">
            <v>-76.456711999999996</v>
          </cell>
          <cell r="R59" t="str">
            <v>Auminium automotive finishing line</v>
          </cell>
          <cell r="S59" t="str">
            <v>Natural gas combustion</v>
          </cell>
        </row>
        <row r="60">
          <cell r="G60" t="str">
            <v>ONONDAGA</v>
          </cell>
          <cell r="H60">
            <v>2631</v>
          </cell>
          <cell r="I60" t="str">
            <v>Paperboard Mills</v>
          </cell>
          <cell r="J60">
            <v>191586</v>
          </cell>
          <cell r="L60" t="str">
            <v>WESTROCK-SOLVAY LLC</v>
          </cell>
          <cell r="M60">
            <v>110009824547</v>
          </cell>
          <cell r="N60" t="str">
            <v>WestRock - Solvay, LLC</v>
          </cell>
          <cell r="O60" t="str">
            <v>ONONDAGA COUNTY</v>
          </cell>
          <cell r="P60">
            <v>43.063850000000002</v>
          </cell>
          <cell r="Q60">
            <v>-76.204629999999995</v>
          </cell>
          <cell r="R60" t="str">
            <v>Paper recycling mill and paperboard and cardboard manufacturing</v>
          </cell>
          <cell r="S60" t="str">
            <v>Paper/pulp/paperboard mill</v>
          </cell>
        </row>
        <row r="61">
          <cell r="G61" t="str">
            <v>SUFFOLK</v>
          </cell>
          <cell r="H61">
            <v>4911</v>
          </cell>
          <cell r="I61" t="str">
            <v>Electric Services</v>
          </cell>
          <cell r="J61">
            <v>191349.3</v>
          </cell>
          <cell r="L61" t="str">
            <v>NISSEQUOGUE COGEN PARTNERS PLANT</v>
          </cell>
          <cell r="M61">
            <v>110019611375</v>
          </cell>
          <cell r="N61" t="str">
            <v>Nissequogue Cogen</v>
          </cell>
          <cell r="O61" t="str">
            <v>Suffolk</v>
          </cell>
          <cell r="P61">
            <v>40.916800000000002</v>
          </cell>
          <cell r="Q61">
            <v>-73.129199999999997</v>
          </cell>
          <cell r="R61" t="str">
            <v>Combustion turbine</v>
          </cell>
          <cell r="S61" t="str">
            <v>Natural gas power plant</v>
          </cell>
        </row>
        <row r="62">
          <cell r="G62" t="str">
            <v>TOMPKINS</v>
          </cell>
          <cell r="H62">
            <v>8221</v>
          </cell>
          <cell r="I62" t="str">
            <v>Colleges, Universities, and Professional Schools</v>
          </cell>
          <cell r="J62">
            <v>160710.94</v>
          </cell>
          <cell r="L62" t="str">
            <v>CORNELL UNIVERSITY CENTRAL ENERGY PLANT</v>
          </cell>
          <cell r="M62">
            <v>110028041330</v>
          </cell>
          <cell r="N62" t="str">
            <v>Cornell University Ithaca Campus</v>
          </cell>
          <cell r="O62" t="str">
            <v>Tompkins</v>
          </cell>
          <cell r="P62">
            <v>42.442799999999998</v>
          </cell>
          <cell r="Q62">
            <v>-76.476399999999998</v>
          </cell>
          <cell r="R62" t="str">
            <v>Combined heat and power</v>
          </cell>
          <cell r="S62" t="str">
            <v>Natural gas power plant</v>
          </cell>
        </row>
        <row r="63">
          <cell r="G63" t="str">
            <v>SUFFOLK</v>
          </cell>
          <cell r="H63">
            <v>4911</v>
          </cell>
          <cell r="I63" t="str">
            <v>Electric Services</v>
          </cell>
          <cell r="J63">
            <v>154996.98000000001</v>
          </cell>
          <cell r="L63" t="str">
            <v>PORT JEFFERSON POWER STATION</v>
          </cell>
          <cell r="M63">
            <v>110008025528</v>
          </cell>
          <cell r="N63" t="str">
            <v>Port Jefferson Energy Center</v>
          </cell>
          <cell r="O63" t="str">
            <v>Suffolk</v>
          </cell>
          <cell r="P63">
            <v>40.950299999999999</v>
          </cell>
          <cell r="Q63">
            <v>-73.078599999999994</v>
          </cell>
          <cell r="R63" t="str">
            <v>Combustion turbine, Steam turbine</v>
          </cell>
          <cell r="S63" t="str">
            <v>Natural gas power plant</v>
          </cell>
        </row>
        <row r="64">
          <cell r="G64" t="str">
            <v>WAYNE</v>
          </cell>
          <cell r="H64">
            <v>4953</v>
          </cell>
          <cell r="I64" t="str">
            <v>Refuse Systems</v>
          </cell>
          <cell r="J64">
            <v>149846.94</v>
          </cell>
          <cell r="L64" t="str">
            <v>HIGH ACRES LANDFILL &amp; RECYCLING CENTER</v>
          </cell>
          <cell r="M64">
            <v>110001575420</v>
          </cell>
          <cell r="N64" t="str">
            <v>HIGH ACRES LANDFILL &amp; RECYCLING CENTER</v>
          </cell>
          <cell r="O64" t="str">
            <v>MONROE COUNTY</v>
          </cell>
          <cell r="P64">
            <v>43.086919999999999</v>
          </cell>
          <cell r="Q64">
            <v>-77.387339999999995</v>
          </cell>
          <cell r="R64" t="str">
            <v>Internal combustion</v>
          </cell>
          <cell r="S64" t="str">
            <v>Solid waste power plant</v>
          </cell>
        </row>
        <row r="65">
          <cell r="G65" t="str">
            <v>NASSAU</v>
          </cell>
          <cell r="H65">
            <v>4952</v>
          </cell>
          <cell r="I65" t="str">
            <v>Sewerage Systems</v>
          </cell>
          <cell r="J65">
            <v>137531.98000000001</v>
          </cell>
          <cell r="L65" t="str">
            <v>BAY PARK SEWAGE TREATMENT PLANT</v>
          </cell>
          <cell r="M65" t="str">
            <v>Manual2</v>
          </cell>
          <cell r="N65" t="str">
            <v>BAY PARK SEWAGE TREATMENT PLANT</v>
          </cell>
          <cell r="O65" t="str">
            <v>NASSAU</v>
          </cell>
          <cell r="P65">
            <v>40.631776000000002</v>
          </cell>
          <cell r="Q65">
            <v>-73.663589999999999</v>
          </cell>
          <cell r="R65" t="str">
            <v>Sewage treatment</v>
          </cell>
          <cell r="S65" t="str">
            <v>Natural gas combustion</v>
          </cell>
        </row>
        <row r="66">
          <cell r="G66" t="str">
            <v>SARATOGA</v>
          </cell>
          <cell r="H66">
            <v>2821</v>
          </cell>
          <cell r="I66" t="str">
            <v>Plastics Materials, Synthetic Resins, and Nonvulcanizable Elastomers</v>
          </cell>
          <cell r="J66">
            <v>135893.03</v>
          </cell>
          <cell r="L66" t="str">
            <v>MOMENTIVE PERFORMANCE MATERIALS</v>
          </cell>
          <cell r="M66">
            <v>110000324435</v>
          </cell>
          <cell r="N66" t="str">
            <v>Momentive Performance Materials</v>
          </cell>
          <cell r="O66" t="str">
            <v>Saratoga</v>
          </cell>
          <cell r="P66">
            <v>42.815800000000003</v>
          </cell>
          <cell r="Q66">
            <v>-73.672799999999995</v>
          </cell>
          <cell r="R66" t="str">
            <v>Chemicals plant</v>
          </cell>
          <cell r="S66" t="str">
            <v>Natural gas combustion</v>
          </cell>
        </row>
        <row r="67">
          <cell r="G67" t="str">
            <v>WARREN</v>
          </cell>
          <cell r="H67">
            <v>2611</v>
          </cell>
          <cell r="I67" t="str">
            <v>Pulp Mills</v>
          </cell>
          <cell r="J67">
            <v>133446</v>
          </cell>
          <cell r="L67" t="str">
            <v>FINCH PAPER LLC</v>
          </cell>
          <cell r="M67">
            <v>110000324845</v>
          </cell>
          <cell r="N67" t="str">
            <v>FINCH PAPER LLC</v>
          </cell>
          <cell r="O67" t="str">
            <v>WARREN COUNTY</v>
          </cell>
          <cell r="P67">
            <v>43.308506999999999</v>
          </cell>
          <cell r="Q67">
            <v>-73.634808000000007</v>
          </cell>
          <cell r="R67" t="str">
            <v>Pulp mill</v>
          </cell>
          <cell r="S67" t="str">
            <v>Paper/pulp/paperboard mill</v>
          </cell>
        </row>
        <row r="68">
          <cell r="G68" t="str">
            <v>CAYUGA</v>
          </cell>
          <cell r="H68">
            <v>3312</v>
          </cell>
          <cell r="I68" t="str">
            <v>Steel Works, Blast Furnaces (Including Coke Ovens), and Rolling Mills</v>
          </cell>
          <cell r="J68">
            <v>122285.11</v>
          </cell>
          <cell r="L68" t="str">
            <v>NUCOR STEEL AUBURN INC</v>
          </cell>
          <cell r="M68">
            <v>110000325050</v>
          </cell>
          <cell r="N68" t="str">
            <v>NUCOR STEEL AUBURN INC</v>
          </cell>
          <cell r="O68" t="str">
            <v>CAYUGA COUNTY</v>
          </cell>
          <cell r="P68">
            <v>42.950710000000001</v>
          </cell>
          <cell r="Q68">
            <v>-76.570869999999999</v>
          </cell>
          <cell r="R68" t="str">
            <v>Scrap-based steel mill</v>
          </cell>
          <cell r="S68" t="str">
            <v>Scrap-based steel mill</v>
          </cell>
        </row>
        <row r="69">
          <cell r="G69" t="str">
            <v>PUTNAM</v>
          </cell>
          <cell r="H69">
            <v>4922</v>
          </cell>
          <cell r="I69" t="str">
            <v>Natural Gas Transmission</v>
          </cell>
          <cell r="J69">
            <v>121951.39</v>
          </cell>
          <cell r="L69" t="str">
            <v>ALGONQUIN GAS SOUTHEAST COMPRESSOR STATION</v>
          </cell>
          <cell r="M69">
            <v>110007982861</v>
          </cell>
          <cell r="N69" t="str">
            <v>Southeast</v>
          </cell>
          <cell r="O69" t="str">
            <v>PUTNAM COUNTY</v>
          </cell>
          <cell r="P69">
            <v>41.384399999999999</v>
          </cell>
          <cell r="Q69">
            <v>-73.544600000000003</v>
          </cell>
          <cell r="R69" t="str">
            <v>Natural gas fired turbine, emergy enerator, fuel gas heater, gas cooler</v>
          </cell>
          <cell r="S69" t="str">
            <v>Natural gas power plant</v>
          </cell>
        </row>
        <row r="70">
          <cell r="G70" t="str">
            <v>SUFFOLK</v>
          </cell>
          <cell r="H70">
            <v>4953</v>
          </cell>
          <cell r="I70" t="str">
            <v>Refuse Systems</v>
          </cell>
          <cell r="J70">
            <v>117223.7</v>
          </cell>
          <cell r="L70" t="str">
            <v>HUNTINGTON RESOURCE RECOVERY FACILITY</v>
          </cell>
          <cell r="M70">
            <v>110019785473</v>
          </cell>
          <cell r="N70" t="str">
            <v>COVANTA HUNTINGTON</v>
          </cell>
          <cell r="O70" t="str">
            <v>SUFFOLK COUNTY</v>
          </cell>
          <cell r="P70">
            <v>40.881700000000002</v>
          </cell>
          <cell r="Q70">
            <v>-73.289900000000003</v>
          </cell>
          <cell r="R70" t="str">
            <v>Steam turbine</v>
          </cell>
          <cell r="S70" t="str">
            <v>Solid waste power plant</v>
          </cell>
        </row>
        <row r="71">
          <cell r="G71" t="str">
            <v>CHAUTAUQUA</v>
          </cell>
          <cell r="H71">
            <v>4953</v>
          </cell>
          <cell r="I71" t="str">
            <v>Refuse Systems</v>
          </cell>
          <cell r="J71">
            <v>116362.87</v>
          </cell>
          <cell r="L71" t="str">
            <v>CHAUTAUQUA COUNTY LANDFILL</v>
          </cell>
          <cell r="M71">
            <v>110015651052</v>
          </cell>
          <cell r="N71" t="str">
            <v>Chautauqua County Landfill</v>
          </cell>
          <cell r="O71" t="str">
            <v>CHAUTAUQUA</v>
          </cell>
          <cell r="P71">
            <v>42.202637000000003</v>
          </cell>
          <cell r="Q71">
            <v>-79.312516000000002</v>
          </cell>
          <cell r="R71" t="str">
            <v>Internal combustion</v>
          </cell>
          <cell r="S71" t="str">
            <v>Natural gas power plant</v>
          </cell>
        </row>
        <row r="72">
          <cell r="G72" t="str">
            <v>STEUBEN</v>
          </cell>
          <cell r="H72">
            <v>3299</v>
          </cell>
          <cell r="I72" t="str">
            <v>Nonmetallic Mineral Products, Not Elsewhere Classified</v>
          </cell>
          <cell r="J72">
            <v>110527.2</v>
          </cell>
          <cell r="L72" t="str">
            <v>CORNING DIESEL MANUFACTURING FACILITY</v>
          </cell>
          <cell r="M72">
            <v>110041063274</v>
          </cell>
          <cell r="N72" t="str">
            <v>CORNING DIESEL MANUFACTURING FACILITY</v>
          </cell>
          <cell r="O72" t="str">
            <v>STEUBEN COUNTY</v>
          </cell>
          <cell r="P72">
            <v>42.110550000000003</v>
          </cell>
          <cell r="Q72">
            <v>-77.155799999999999</v>
          </cell>
          <cell r="R72" t="str">
            <v>Large ceramic substrates and filters for heavy-duty diesel engine, truck, construction, and agricultural equipment manufacturers.</v>
          </cell>
          <cell r="S72" t="str">
            <v>Natural gas combustion</v>
          </cell>
        </row>
        <row r="73">
          <cell r="G73" t="str">
            <v>NEW YORK</v>
          </cell>
          <cell r="H73">
            <v>4961</v>
          </cell>
          <cell r="I73" t="str">
            <v>Steam and Air-Conditioning Supply</v>
          </cell>
          <cell r="J73">
            <v>110312.34</v>
          </cell>
          <cell r="L73" t="str">
            <v>CON ED-EAST 60TH STREET STEAM PLANT</v>
          </cell>
          <cell r="M73">
            <v>110019644679</v>
          </cell>
          <cell r="N73" t="str">
            <v>CON ED-EAST 60TH STREET STEAM PLANT</v>
          </cell>
          <cell r="O73" t="str">
            <v>NEW YORK COUNTY</v>
          </cell>
          <cell r="P73">
            <v>40.758600000000001</v>
          </cell>
          <cell r="Q73">
            <v>-73.959199999999996</v>
          </cell>
          <cell r="R73" t="str">
            <v>Steam generation, no additional information found</v>
          </cell>
          <cell r="S73" t="str">
            <v>Natural gas combustion</v>
          </cell>
        </row>
        <row r="74">
          <cell r="G74" t="str">
            <v>DUTCHESS</v>
          </cell>
          <cell r="H74">
            <v>4953</v>
          </cell>
          <cell r="I74" t="str">
            <v>Refuse Systems</v>
          </cell>
          <cell r="J74">
            <v>107244.31</v>
          </cell>
          <cell r="L74" t="str">
            <v>DUTCHESS CO RESOURCE RECOVERY FACILITY</v>
          </cell>
          <cell r="M74">
            <v>110001567849</v>
          </cell>
          <cell r="N74" t="str">
            <v>DUTCHESS CO RESOURCE RECOVERY FACILITY</v>
          </cell>
          <cell r="O74" t="str">
            <v>DUTCHESS COUNTY</v>
          </cell>
          <cell r="P74">
            <v>41.647458</v>
          </cell>
          <cell r="Q74">
            <v>-73.942631000000006</v>
          </cell>
          <cell r="R74" t="str">
            <v>Resource recovery, recycling and waste to electricity plant</v>
          </cell>
          <cell r="S74" t="str">
            <v>Solid waste power plant</v>
          </cell>
        </row>
        <row r="75">
          <cell r="G75" t="str">
            <v>CHEMUNG</v>
          </cell>
          <cell r="H75">
            <v>3221</v>
          </cell>
          <cell r="I75" t="str">
            <v>Glass Containers</v>
          </cell>
          <cell r="J75">
            <v>105771.87</v>
          </cell>
          <cell r="L75" t="str">
            <v>ANCHOR GLASS CONTAINER CORP</v>
          </cell>
          <cell r="M75">
            <v>110000328618</v>
          </cell>
          <cell r="N75" t="str">
            <v>Anchor Glass Container - Plant 41</v>
          </cell>
          <cell r="O75" t="str">
            <v>CHEMUNG COUNTY</v>
          </cell>
          <cell r="P75">
            <v>42.120762999999997</v>
          </cell>
          <cell r="Q75">
            <v>-76.813168000000005</v>
          </cell>
          <cell r="R75" t="str">
            <v>Glass container production</v>
          </cell>
          <cell r="S75" t="str">
            <v>Glass production</v>
          </cell>
        </row>
        <row r="76">
          <cell r="G76" t="str">
            <v>ROCKLAND</v>
          </cell>
          <cell r="H76">
            <v>6512</v>
          </cell>
          <cell r="I76" t="str">
            <v>perators of Nonresidential Buildings</v>
          </cell>
          <cell r="J76">
            <v>104361.25</v>
          </cell>
          <cell r="L76" t="str">
            <v>PEARL RIVER CAMPUS LLC</v>
          </cell>
          <cell r="M76">
            <v>110000323070</v>
          </cell>
          <cell r="N76" t="str">
            <v>Pearl River Campus</v>
          </cell>
          <cell r="O76" t="str">
            <v>ROCKLAND COUNTY</v>
          </cell>
          <cell r="P76">
            <v>41.076799999999999</v>
          </cell>
          <cell r="Q76">
            <v>-74.018100000000004</v>
          </cell>
          <cell r="R76" t="str">
            <v>Building campus</v>
          </cell>
          <cell r="S76" t="str">
            <v>Natural gas combustion</v>
          </cell>
        </row>
        <row r="77">
          <cell r="G77" t="str">
            <v>YATES</v>
          </cell>
          <cell r="H77">
            <v>4911</v>
          </cell>
          <cell r="I77" t="str">
            <v>Electric Services</v>
          </cell>
          <cell r="J77">
            <v>103962.63</v>
          </cell>
          <cell r="L77" t="str">
            <v>GREENIDGE STATION</v>
          </cell>
          <cell r="M77">
            <v>110000327619</v>
          </cell>
          <cell r="N77" t="str">
            <v>Greenidge Generation LLC</v>
          </cell>
          <cell r="O77" t="str">
            <v>Yates</v>
          </cell>
          <cell r="P77">
            <v>42.678899999999999</v>
          </cell>
          <cell r="Q77">
            <v>-76.948300000000003</v>
          </cell>
          <cell r="R77" t="str">
            <v>Steam turbine</v>
          </cell>
          <cell r="S77" t="str">
            <v>Natural gas power plant</v>
          </cell>
        </row>
        <row r="78"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</row>
        <row r="79"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</row>
        <row r="80"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</row>
        <row r="81"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</row>
        <row r="82"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</row>
        <row r="83"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</row>
        <row r="84"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</row>
        <row r="85"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</row>
        <row r="86"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</row>
        <row r="87"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</row>
        <row r="88"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</row>
      </sheetData>
      <sheetData sheetId="12"/>
      <sheetData sheetId="13"/>
      <sheetData sheetId="14">
        <row r="28">
          <cell r="F28">
            <v>0.90800000000000003</v>
          </cell>
        </row>
        <row r="33">
          <cell r="F33">
            <v>100</v>
          </cell>
        </row>
        <row r="34">
          <cell r="F34">
            <v>0.45359237001003538</v>
          </cell>
        </row>
        <row r="42">
          <cell r="F42">
            <v>1000</v>
          </cell>
        </row>
        <row r="44">
          <cell r="F44">
            <v>293.29722222222</v>
          </cell>
        </row>
        <row r="70">
          <cell r="E70">
            <v>1.5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puts"/>
      <sheetName val="BECCS Negative Emissions"/>
      <sheetName val="NAS Report"/>
      <sheetName val="T&amp;S Cost and Potential"/>
      <sheetName val="DAC Cost and Energy Requirement"/>
      <sheetName val="Industrial CCS Costs"/>
      <sheetName val="DAC Model"/>
      <sheetName val="Navigant - datasheet"/>
    </sheetNames>
    <sheetDataSet>
      <sheetData sheetId="0">
        <row r="2">
          <cell r="C2">
            <v>0.09</v>
          </cell>
        </row>
      </sheetData>
      <sheetData sheetId="1"/>
      <sheetData sheetId="2">
        <row r="16">
          <cell r="E16">
            <v>0.44999999999999996</v>
          </cell>
        </row>
      </sheetData>
      <sheetData sheetId="3"/>
      <sheetData sheetId="4">
        <row r="2">
          <cell r="D2">
            <v>3.6</v>
          </cell>
        </row>
      </sheetData>
      <sheetData sheetId="5"/>
      <sheetData sheetId="6">
        <row r="59">
          <cell r="B59" t="str">
            <v xml:space="preserve">Nuclear 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E3">
  <a:themeElements>
    <a:clrScheme name="E3">
      <a:dk1>
        <a:sysClr val="windowText" lastClr="000000"/>
      </a:dk1>
      <a:lt1>
        <a:sysClr val="window" lastClr="FFFFFF"/>
      </a:lt1>
      <a:dk2>
        <a:srgbClr val="315361"/>
      </a:dk2>
      <a:lt2>
        <a:srgbClr val="EEECE1"/>
      </a:lt2>
      <a:accent1>
        <a:srgbClr val="034E6E"/>
      </a:accent1>
      <a:accent2>
        <a:srgbClr val="AF7E00"/>
      </a:accent2>
      <a:accent3>
        <a:srgbClr val="AF2200"/>
      </a:accent3>
      <a:accent4>
        <a:srgbClr val="007E33"/>
      </a:accent4>
      <a:accent5>
        <a:srgbClr val="AF5D00"/>
      </a:accent5>
      <a:accent6>
        <a:srgbClr val="0A1978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nrel.gov/docs/fy18osti/70485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sites/prod/files/2013/11/f4/glass2002profile.pdf" TargetMode="External"/><Relationship Id="rId2" Type="http://schemas.openxmlformats.org/officeDocument/2006/relationships/hyperlink" Target="https://climate.emerson.com/documents/vilter-heat-pump-white-paper-en-us-5411194.pdf" TargetMode="External"/><Relationship Id="rId1" Type="http://schemas.openxmlformats.org/officeDocument/2006/relationships/hyperlink" Target="https://climate.emerson.com/documents/vilter-heat-pump-white-paper-en-us-5411194.pdf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praxair.com/-/media/corporate/praxairus/documents/reports-papers-case-studies-and-presentations/our-company/sustainability/praxair-co2-emissions-reduction-capture-white-paper.pdf?la=en&amp;rev=dc79ff3c7b4c4974a1328c7660164765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users.wpi.edu/~jlwilcox/documents/pete_industry.pdf" TargetMode="External"/><Relationship Id="rId2" Type="http://schemas.openxmlformats.org/officeDocument/2006/relationships/hyperlink" Target="https://www.globalccsinstitute.com/archive/hub/publications/201688/global-ccs-cost-updatev4.pdf" TargetMode="External"/><Relationship Id="rId1" Type="http://schemas.openxmlformats.org/officeDocument/2006/relationships/hyperlink" Target="https://www.globalccsinstitute.com/archive/hub/publications/201688/global-ccs-cost-updatev4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assets.publishing.service.gov.uk/government/uploads/system/uploads/attachment_data/file/537594/30686_Final_Report_DECC_Hydrogen_appliances_08.07.16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lobalccsinstitute.com/wp-content/uploads/2019/03/BECCS-Perspective_FINAL_18-March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ls.gov/cpi/tables/supplemental-files/historical-cpi-u-2020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4FFA2"/>
  </sheetPr>
  <dimension ref="E15:L32"/>
  <sheetViews>
    <sheetView tabSelected="1" workbookViewId="0"/>
  </sheetViews>
  <sheetFormatPr defaultColWidth="8.5703125" defaultRowHeight="15" x14ac:dyDescent="0.25"/>
  <cols>
    <col min="1" max="7" width="8.5703125" style="94"/>
    <col min="8" max="8" width="25.140625" style="94" customWidth="1"/>
    <col min="9" max="9" width="65.5703125" style="94" customWidth="1"/>
    <col min="10" max="16384" width="8.5703125" style="94"/>
  </cols>
  <sheetData>
    <row r="15" spans="5:12" ht="26.1" customHeight="1" x14ac:dyDescent="0.25">
      <c r="E15" s="104" t="s">
        <v>0</v>
      </c>
      <c r="F15" s="104"/>
      <c r="G15" s="104"/>
      <c r="H15" s="104"/>
      <c r="I15" s="104"/>
      <c r="J15" s="104"/>
      <c r="K15" s="104"/>
      <c r="L15" s="104"/>
    </row>
    <row r="16" spans="5:12" ht="21" x14ac:dyDescent="0.35">
      <c r="E16" s="96"/>
      <c r="F16" s="96"/>
      <c r="G16" s="96"/>
      <c r="H16" s="102" t="s">
        <v>1</v>
      </c>
      <c r="I16" s="103"/>
      <c r="J16" s="96"/>
      <c r="K16" s="96"/>
      <c r="L16" s="96"/>
    </row>
    <row r="21" spans="8:9" x14ac:dyDescent="0.25">
      <c r="H21" s="95" t="s">
        <v>2</v>
      </c>
      <c r="I21" s="95" t="s">
        <v>3</v>
      </c>
    </row>
    <row r="22" spans="8:9" x14ac:dyDescent="0.25">
      <c r="H22" s="96" t="s">
        <v>4</v>
      </c>
      <c r="I22" s="96" t="s">
        <v>5</v>
      </c>
    </row>
    <row r="23" spans="8:9" x14ac:dyDescent="0.25">
      <c r="H23" s="96" t="s">
        <v>6</v>
      </c>
      <c r="I23" s="96" t="s">
        <v>7</v>
      </c>
    </row>
    <row r="24" spans="8:9" x14ac:dyDescent="0.25">
      <c r="H24" s="96" t="s">
        <v>8</v>
      </c>
      <c r="I24" s="96" t="s">
        <v>9</v>
      </c>
    </row>
    <row r="25" spans="8:9" x14ac:dyDescent="0.25">
      <c r="H25" s="96" t="s">
        <v>10</v>
      </c>
      <c r="I25" s="96" t="s">
        <v>11</v>
      </c>
    </row>
    <row r="26" spans="8:9" x14ac:dyDescent="0.25">
      <c r="H26" s="96" t="s">
        <v>12</v>
      </c>
      <c r="I26" s="96" t="s">
        <v>13</v>
      </c>
    </row>
    <row r="27" spans="8:9" x14ac:dyDescent="0.25">
      <c r="H27" s="96" t="s">
        <v>14</v>
      </c>
      <c r="I27" s="96" t="s">
        <v>15</v>
      </c>
    </row>
    <row r="28" spans="8:9" x14ac:dyDescent="0.25">
      <c r="H28" s="96" t="s">
        <v>16</v>
      </c>
      <c r="I28" s="96" t="s">
        <v>17</v>
      </c>
    </row>
    <row r="29" spans="8:9" x14ac:dyDescent="0.25">
      <c r="H29" s="96" t="s">
        <v>18</v>
      </c>
      <c r="I29" s="96" t="s">
        <v>19</v>
      </c>
    </row>
    <row r="30" spans="8:9" x14ac:dyDescent="0.25">
      <c r="H30" s="96" t="s">
        <v>20</v>
      </c>
      <c r="I30" s="96" t="s">
        <v>21</v>
      </c>
    </row>
    <row r="31" spans="8:9" x14ac:dyDescent="0.25">
      <c r="H31" s="96" t="s">
        <v>22</v>
      </c>
      <c r="I31" s="96" t="s">
        <v>23</v>
      </c>
    </row>
    <row r="32" spans="8:9" x14ac:dyDescent="0.25">
      <c r="H32" s="96" t="s">
        <v>24</v>
      </c>
      <c r="I32" s="96" t="s">
        <v>25</v>
      </c>
    </row>
  </sheetData>
  <mergeCells count="2">
    <mergeCell ref="H16:I16"/>
    <mergeCell ref="E15:L15"/>
  </mergeCells>
  <pageMargins left="0.75" right="0.75" top="1" bottom="1" header="0.5" footer="0.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C2:S19"/>
  <sheetViews>
    <sheetView showGridLines="0" zoomScale="110" zoomScaleNormal="110" workbookViewId="0">
      <selection activeCell="D11" sqref="D11"/>
    </sheetView>
  </sheetViews>
  <sheetFormatPr defaultColWidth="8.5703125" defaultRowHeight="15" x14ac:dyDescent="0.25"/>
  <cols>
    <col min="3" max="3" width="33.42578125" customWidth="1"/>
    <col min="4" max="5" width="23.85546875" customWidth="1"/>
    <col min="6" max="6" width="19.42578125" customWidth="1"/>
    <col min="7" max="7" width="18" customWidth="1"/>
    <col min="8" max="11" width="18.42578125" customWidth="1"/>
    <col min="12" max="14" width="14.42578125" customWidth="1"/>
    <col min="15" max="15" width="17.42578125" bestFit="1" customWidth="1"/>
    <col min="16" max="16" width="11.140625" customWidth="1"/>
    <col min="17" max="17" width="17.5703125" customWidth="1"/>
    <col min="18" max="18" width="16.5703125" customWidth="1"/>
    <col min="19" max="19" width="14.42578125" customWidth="1"/>
    <col min="20" max="20" width="30" customWidth="1"/>
  </cols>
  <sheetData>
    <row r="2" spans="3:19" ht="23.25" x14ac:dyDescent="0.25">
      <c r="C2" s="106" t="s">
        <v>26</v>
      </c>
      <c r="D2" s="106"/>
      <c r="E2" s="106"/>
    </row>
    <row r="3" spans="3:19" x14ac:dyDescent="0.25">
      <c r="F3" s="96"/>
      <c r="G3" s="96"/>
      <c r="H3" s="96"/>
    </row>
    <row r="4" spans="3:19" x14ac:dyDescent="0.25">
      <c r="C4" s="93"/>
      <c r="D4" s="105" t="s">
        <v>27</v>
      </c>
      <c r="E4" s="105"/>
      <c r="F4" s="96"/>
      <c r="G4" s="96"/>
      <c r="H4" s="96"/>
      <c r="N4" s="55"/>
      <c r="O4" s="56"/>
      <c r="Q4" s="55"/>
      <c r="R4" s="57"/>
      <c r="S4" s="57"/>
    </row>
    <row r="5" spans="3:19" x14ac:dyDescent="0.25">
      <c r="C5" s="93" t="s">
        <v>28</v>
      </c>
      <c r="D5" s="97" t="s">
        <v>29</v>
      </c>
      <c r="E5" s="97" t="s">
        <v>30</v>
      </c>
      <c r="F5" s="96"/>
      <c r="G5" s="96"/>
      <c r="H5" s="96"/>
      <c r="N5" s="55"/>
      <c r="O5" s="56"/>
      <c r="Q5" s="55"/>
      <c r="R5" s="57"/>
      <c r="S5" s="57"/>
    </row>
    <row r="6" spans="3:19" x14ac:dyDescent="0.25">
      <c r="C6" t="s">
        <v>31</v>
      </c>
      <c r="D6" s="73">
        <f>ROUND('Electricity Decarbonization'!$D$18,-1)</f>
        <v>150</v>
      </c>
      <c r="E6" s="73">
        <f>ROUND('Electricity Decarbonization'!E18,-1)</f>
        <v>350</v>
      </c>
      <c r="F6" s="101"/>
      <c r="G6" s="96"/>
      <c r="H6" s="96"/>
    </row>
    <row r="7" spans="3:19" x14ac:dyDescent="0.25">
      <c r="C7" t="s">
        <v>32</v>
      </c>
      <c r="D7" s="73">
        <f>ROUND('Industry Hydrogen &amp; SNG'!E32,-1)</f>
        <v>150</v>
      </c>
      <c r="E7" s="73">
        <f>ROUND('Industry Hydrogen &amp; SNG'!D32,-1)</f>
        <v>350</v>
      </c>
      <c r="F7" s="101"/>
      <c r="G7" s="96"/>
      <c r="H7" s="96"/>
    </row>
    <row r="8" spans="3:19" x14ac:dyDescent="0.25">
      <c r="C8" t="s">
        <v>33</v>
      </c>
      <c r="D8" s="73">
        <f>ROUND('Industry Hydrogen &amp; SNG'!E36,-1)</f>
        <v>150</v>
      </c>
      <c r="E8" s="73">
        <f>ROUND('Industry Hydrogen &amp; SNG'!D36,-1)</f>
        <v>350</v>
      </c>
      <c r="F8" s="101"/>
      <c r="G8" s="96"/>
      <c r="H8" s="96"/>
    </row>
    <row r="9" spans="3:19" x14ac:dyDescent="0.25">
      <c r="C9" t="s">
        <v>34</v>
      </c>
      <c r="D9" s="73">
        <f>ROUND('Industry Elec. - Boilers'!C38,-1)</f>
        <v>430</v>
      </c>
      <c r="E9" s="73">
        <f>ROUND('Industry Elec. - Boilers'!C40,-1)</f>
        <v>890</v>
      </c>
      <c r="F9" s="101"/>
      <c r="G9" s="96"/>
      <c r="H9" s="96"/>
      <c r="N9" s="55"/>
      <c r="O9" s="56"/>
      <c r="Q9" s="55"/>
      <c r="R9" s="57"/>
      <c r="S9" s="57"/>
    </row>
    <row r="10" spans="3:19" x14ac:dyDescent="0.25">
      <c r="C10" t="s">
        <v>35</v>
      </c>
      <c r="D10" s="73">
        <f>ROUND('Industry Elec. - Process Heat'!G68,-1)</f>
        <v>180</v>
      </c>
      <c r="E10" s="73">
        <f>ROUND('Industry Elec. - Process Heat'!K68,-1)</f>
        <v>420</v>
      </c>
      <c r="F10" s="101"/>
      <c r="G10" s="96"/>
      <c r="H10" s="96"/>
    </row>
    <row r="11" spans="3:19" x14ac:dyDescent="0.25">
      <c r="C11" t="s">
        <v>36</v>
      </c>
      <c r="D11" s="73">
        <f>ROUND('Industry Hydrogen &amp; SNG'!E39,-1)</f>
        <v>420</v>
      </c>
      <c r="E11" s="73">
        <f>ROUND('Industry Hydrogen &amp; SNG'!D39,-1)</f>
        <v>1000</v>
      </c>
      <c r="F11" s="101"/>
      <c r="G11" s="96"/>
      <c r="H11" s="96"/>
      <c r="N11" s="55"/>
      <c r="O11" s="56"/>
      <c r="Q11" s="55"/>
      <c r="R11" s="57"/>
      <c r="S11" s="57"/>
    </row>
    <row r="12" spans="3:19" x14ac:dyDescent="0.25">
      <c r="C12" t="s">
        <v>37</v>
      </c>
      <c r="D12" s="73">
        <f>ROUND('MDV &amp; HDV Decarbonization'!F74,-1)</f>
        <v>-130</v>
      </c>
      <c r="E12" s="73">
        <f>ROUND('MDV &amp; HDV Decarbonization'!F76,-1)</f>
        <v>20</v>
      </c>
      <c r="F12" s="101"/>
      <c r="G12" s="96"/>
      <c r="H12" s="96"/>
    </row>
    <row r="13" spans="3:19" x14ac:dyDescent="0.25">
      <c r="C13" t="s">
        <v>38</v>
      </c>
      <c r="D13" s="73">
        <f>ROUND('MDV &amp; HDV Decarbonization'!C74,-1)</f>
        <v>-280</v>
      </c>
      <c r="E13" s="73">
        <f>ROUND('MDV &amp; HDV Decarbonization'!C76,-1)</f>
        <v>-150</v>
      </c>
      <c r="F13" s="101"/>
      <c r="G13" s="96"/>
      <c r="H13" s="96"/>
    </row>
    <row r="14" spans="3:19" x14ac:dyDescent="0.25">
      <c r="C14" t="s">
        <v>12</v>
      </c>
      <c r="D14" s="73">
        <f>ROUND('Industry CCS - Process Heat'!I7,-1)</f>
        <v>100</v>
      </c>
      <c r="E14" s="73">
        <f>ROUND('Industry CCS - Process Heat'!J7,-1)</f>
        <v>120</v>
      </c>
      <c r="F14" s="101"/>
      <c r="G14" s="96"/>
      <c r="H14" s="96"/>
    </row>
    <row r="15" spans="3:19" x14ac:dyDescent="0.25">
      <c r="C15" t="s">
        <v>39</v>
      </c>
      <c r="D15" s="73">
        <f>ROUND('MDV &amp; HDV Decarbonization'!H74,-1)</f>
        <v>-210</v>
      </c>
      <c r="E15" s="73">
        <f>ROUND('MDV &amp; HDV Decarbonization'!H76,-1)</f>
        <v>80</v>
      </c>
      <c r="F15" s="101"/>
      <c r="G15" s="96"/>
      <c r="H15" s="96"/>
    </row>
    <row r="16" spans="3:19" x14ac:dyDescent="0.25">
      <c r="C16" t="s">
        <v>40</v>
      </c>
      <c r="D16" s="73">
        <f>ROUND('DAC &amp; BECCS'!C40,-1)</f>
        <v>170</v>
      </c>
      <c r="E16" s="73">
        <f>ROUND('DAC &amp; BECCS'!C41,-1)</f>
        <v>300</v>
      </c>
      <c r="F16" s="101"/>
      <c r="G16" s="96"/>
      <c r="H16" s="96"/>
    </row>
    <row r="17" spans="3:8" x14ac:dyDescent="0.25">
      <c r="C17" t="s">
        <v>41</v>
      </c>
      <c r="D17" s="73">
        <f>ROUND('DAC &amp; BECCS'!C46,-1)</f>
        <v>110</v>
      </c>
      <c r="E17" s="73">
        <f>ROUND('DAC &amp; BECCS'!C47,-1)</f>
        <v>310</v>
      </c>
      <c r="F17" s="101"/>
      <c r="G17" s="96"/>
      <c r="H17" s="96"/>
    </row>
    <row r="19" spans="3:8" x14ac:dyDescent="0.25">
      <c r="C19" s="4" t="s">
        <v>42</v>
      </c>
    </row>
  </sheetData>
  <mergeCells count="2">
    <mergeCell ref="D4:E4"/>
    <mergeCell ref="C2:E2"/>
  </mergeCells>
  <pageMargins left="0.7" right="0.7" top="0.75" bottom="0.75" header="0.3" footer="0.3"/>
  <pageSetup orientation="portrait" verticalDpi="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8"/>
  <sheetViews>
    <sheetView showGridLines="0" zoomScale="110" zoomScaleNormal="110" workbookViewId="0">
      <selection activeCell="D8" sqref="D8"/>
    </sheetView>
  </sheetViews>
  <sheetFormatPr defaultColWidth="8.5703125" defaultRowHeight="15" x14ac:dyDescent="0.25"/>
  <cols>
    <col min="1" max="1" width="14" customWidth="1"/>
    <col min="2" max="2" width="28.42578125" bestFit="1" customWidth="1"/>
    <col min="3" max="3" width="17.5703125" bestFit="1" customWidth="1"/>
    <col min="4" max="4" width="30.5703125" bestFit="1" customWidth="1"/>
    <col min="5" max="5" width="42.5703125" customWidth="1"/>
    <col min="6" max="6" width="54" bestFit="1" customWidth="1"/>
  </cols>
  <sheetData>
    <row r="1" spans="1:5" ht="21" x14ac:dyDescent="0.35">
      <c r="A1" s="1" t="s">
        <v>43</v>
      </c>
    </row>
    <row r="2" spans="1:5" ht="15.75" thickBot="1" x14ac:dyDescent="0.3"/>
    <row r="3" spans="1:5" s="3" customFormat="1" ht="18.75" x14ac:dyDescent="0.3">
      <c r="A3" s="2" t="s">
        <v>44</v>
      </c>
    </row>
    <row r="5" spans="1:5" x14ac:dyDescent="0.25">
      <c r="B5" s="4" t="s">
        <v>45</v>
      </c>
    </row>
    <row r="6" spans="1:5" x14ac:dyDescent="0.25">
      <c r="B6" s="5" t="s">
        <v>46</v>
      </c>
      <c r="C6" s="5" t="s">
        <v>47</v>
      </c>
      <c r="D6" s="5" t="s">
        <v>48</v>
      </c>
      <c r="E6" s="5" t="s">
        <v>49</v>
      </c>
    </row>
    <row r="7" spans="1:5" x14ac:dyDescent="0.25">
      <c r="B7" s="6" t="s">
        <v>50</v>
      </c>
      <c r="C7" s="6" t="s">
        <v>51</v>
      </c>
      <c r="D7" s="8">
        <f>'Industry Hydrogen &amp; SNG'!D13+'Industry Hydrogen &amp; SNG'!D14</f>
        <v>14.5</v>
      </c>
      <c r="E7" s="7" t="s">
        <v>52</v>
      </c>
    </row>
    <row r="8" spans="1:5" x14ac:dyDescent="0.25">
      <c r="B8" s="6" t="s">
        <v>53</v>
      </c>
      <c r="C8" s="6" t="s">
        <v>51</v>
      </c>
      <c r="D8" s="8">
        <f>'Industry Hydrogen &amp; SNG'!D12+'Industry Hydrogen &amp; SNG'!D14</f>
        <v>25</v>
      </c>
      <c r="E8" s="7" t="s">
        <v>52</v>
      </c>
    </row>
    <row r="9" spans="1:5" x14ac:dyDescent="0.25">
      <c r="B9" s="6" t="s">
        <v>54</v>
      </c>
      <c r="C9" s="6" t="s">
        <v>55</v>
      </c>
      <c r="D9" s="8">
        <f>'Fuel Costs - PATHWAYS'!$E$19*(Constants!$C$33/Constants!$C$27)*Constants!$D$5/1000</f>
        <v>6.5242598122280206</v>
      </c>
      <c r="E9" s="7" t="s">
        <v>56</v>
      </c>
    </row>
    <row r="10" spans="1:5" x14ac:dyDescent="0.25">
      <c r="B10" s="6" t="s">
        <v>57</v>
      </c>
      <c r="C10" s="6" t="s">
        <v>58</v>
      </c>
      <c r="D10" s="9">
        <f>'Emission Factors - PATHWAYS'!$E$19*(Constants!$D$5/1000)</f>
        <v>52.826854199999993</v>
      </c>
      <c r="E10" s="7"/>
    </row>
    <row r="12" spans="1:5" ht="15.75" thickBot="1" x14ac:dyDescent="0.3"/>
    <row r="13" spans="1:5" s="3" customFormat="1" ht="18.75" x14ac:dyDescent="0.3">
      <c r="A13" s="2" t="s">
        <v>59</v>
      </c>
    </row>
    <row r="15" spans="1:5" x14ac:dyDescent="0.25">
      <c r="B15" s="4" t="s">
        <v>60</v>
      </c>
    </row>
    <row r="16" spans="1:5" x14ac:dyDescent="0.25">
      <c r="B16" s="14" t="s">
        <v>61</v>
      </c>
      <c r="C16" s="14" t="s">
        <v>47</v>
      </c>
      <c r="D16" s="14" t="s">
        <v>62</v>
      </c>
      <c r="E16" s="14" t="s">
        <v>63</v>
      </c>
    </row>
    <row r="17" spans="2:5" x14ac:dyDescent="0.25">
      <c r="B17" t="s">
        <v>64</v>
      </c>
      <c r="C17" t="s">
        <v>65</v>
      </c>
      <c r="D17" s="15">
        <f>D7</f>
        <v>14.5</v>
      </c>
      <c r="E17" s="15">
        <f>D8</f>
        <v>25</v>
      </c>
    </row>
    <row r="18" spans="2:5" x14ac:dyDescent="0.25">
      <c r="B18" s="39" t="s">
        <v>66</v>
      </c>
      <c r="C18" s="39" t="s">
        <v>67</v>
      </c>
      <c r="D18" s="40">
        <f>(D17-$D$9)/($D$10/1000)</f>
        <v>150.97889716423774</v>
      </c>
      <c r="E18" s="40">
        <f>(E17-$D$9)/($D$10/1000)</f>
        <v>349.74144244561097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O47"/>
  <sheetViews>
    <sheetView showGridLines="0" zoomScale="110" zoomScaleNormal="110" workbookViewId="0">
      <selection activeCell="H16" sqref="H16"/>
    </sheetView>
  </sheetViews>
  <sheetFormatPr defaultColWidth="8.5703125" defaultRowHeight="15" x14ac:dyDescent="0.25"/>
  <cols>
    <col min="1" max="1" width="11.140625" customWidth="1"/>
    <col min="2" max="2" width="28.42578125" bestFit="1" customWidth="1"/>
    <col min="3" max="3" width="19.42578125" customWidth="1"/>
    <col min="4" max="4" width="12.5703125" bestFit="1" customWidth="1"/>
    <col min="5" max="5" width="16.5703125" bestFit="1" customWidth="1"/>
    <col min="6" max="6" width="10.5703125" customWidth="1"/>
    <col min="7" max="7" width="23.42578125" bestFit="1" customWidth="1"/>
    <col min="8" max="8" width="8.5703125" bestFit="1" customWidth="1"/>
    <col min="9" max="9" width="12.5703125" bestFit="1" customWidth="1"/>
    <col min="10" max="10" width="16.5703125" bestFit="1" customWidth="1"/>
    <col min="12" max="12" width="23.42578125" bestFit="1" customWidth="1"/>
    <col min="13" max="13" width="8.5703125" bestFit="1" customWidth="1"/>
    <col min="14" max="14" width="12.5703125" bestFit="1" customWidth="1"/>
    <col min="15" max="15" width="16.5703125" bestFit="1" customWidth="1"/>
  </cols>
  <sheetData>
    <row r="1" spans="1:9" ht="21" x14ac:dyDescent="0.35">
      <c r="A1" s="1" t="s">
        <v>68</v>
      </c>
    </row>
    <row r="2" spans="1:9" ht="15.75" thickBot="1" x14ac:dyDescent="0.3"/>
    <row r="3" spans="1:9" s="3" customFormat="1" ht="18.75" x14ac:dyDescent="0.3">
      <c r="A3" s="2" t="s">
        <v>44</v>
      </c>
    </row>
    <row r="5" spans="1:9" x14ac:dyDescent="0.25">
      <c r="B5" s="4" t="s">
        <v>45</v>
      </c>
      <c r="G5" s="4" t="s">
        <v>69</v>
      </c>
    </row>
    <row r="6" spans="1:9" x14ac:dyDescent="0.25">
      <c r="B6" s="5" t="s">
        <v>46</v>
      </c>
      <c r="C6" s="5" t="s">
        <v>47</v>
      </c>
      <c r="D6" s="5" t="s">
        <v>48</v>
      </c>
      <c r="G6" s="5" t="s">
        <v>70</v>
      </c>
      <c r="H6" s="5" t="s">
        <v>47</v>
      </c>
      <c r="I6" s="5" t="s">
        <v>48</v>
      </c>
    </row>
    <row r="7" spans="1:9" x14ac:dyDescent="0.25">
      <c r="B7" s="6" t="s">
        <v>71</v>
      </c>
      <c r="C7" s="6" t="s">
        <v>72</v>
      </c>
      <c r="D7" s="6">
        <v>25</v>
      </c>
      <c r="G7" s="6" t="s">
        <v>29</v>
      </c>
      <c r="H7" s="6" t="s">
        <v>73</v>
      </c>
      <c r="I7" s="8">
        <f>I8-0.05</f>
        <v>0.12338598764573012</v>
      </c>
    </row>
    <row r="8" spans="1:9" x14ac:dyDescent="0.25">
      <c r="B8" s="6" t="s">
        <v>74</v>
      </c>
      <c r="C8" s="6" t="s">
        <v>75</v>
      </c>
      <c r="D8" s="7">
        <v>0.05</v>
      </c>
      <c r="G8" s="6" t="s">
        <v>76</v>
      </c>
      <c r="H8" s="6" t="s">
        <v>73</v>
      </c>
      <c r="I8" s="8">
        <f>'Fuel Costs - PATHWAYS'!$E$7*(Constants!$C$33/Constants!$C$27)/10^9*Constants!$D$5*kWh_to_Btu</f>
        <v>0.17338598764573013</v>
      </c>
    </row>
    <row r="9" spans="1:9" x14ac:dyDescent="0.25">
      <c r="B9" s="6" t="s">
        <v>54</v>
      </c>
      <c r="C9" s="6" t="s">
        <v>77</v>
      </c>
      <c r="D9" s="8">
        <f>'Fuel Costs - PATHWAYS'!$E$19*(Constants!$C$33/Constants!$C$27)*Constants!$D$5/1000</f>
        <v>6.5242598122280206</v>
      </c>
      <c r="E9" s="58"/>
      <c r="G9" s="6" t="s">
        <v>30</v>
      </c>
      <c r="H9" s="6" t="s">
        <v>73</v>
      </c>
      <c r="I9" s="8">
        <f>I8+0.05</f>
        <v>0.22338598764573014</v>
      </c>
    </row>
    <row r="10" spans="1:9" x14ac:dyDescent="0.25">
      <c r="B10" s="6" t="s">
        <v>78</v>
      </c>
      <c r="C10" s="6" t="s">
        <v>79</v>
      </c>
      <c r="D10" s="9">
        <f>'Emission Factors - PATHWAYS'!$E$7/10^9*Constants!$D$6</f>
        <v>6.3954140084752677E-3</v>
      </c>
    </row>
    <row r="11" spans="1:9" x14ac:dyDescent="0.25">
      <c r="B11" s="6" t="s">
        <v>57</v>
      </c>
      <c r="C11" s="6" t="s">
        <v>58</v>
      </c>
      <c r="D11" s="9">
        <f>'Emission Factors - PATHWAYS'!$E$19*(Constants!$D$5/1000)</f>
        <v>52.826854199999993</v>
      </c>
    </row>
    <row r="13" spans="1:9" x14ac:dyDescent="0.25">
      <c r="B13" s="4" t="s">
        <v>80</v>
      </c>
    </row>
    <row r="14" spans="1:9" x14ac:dyDescent="0.25">
      <c r="B14" s="5" t="s">
        <v>46</v>
      </c>
      <c r="C14" s="5" t="s">
        <v>47</v>
      </c>
      <c r="D14" s="5" t="s">
        <v>81</v>
      </c>
      <c r="E14" s="5" t="s">
        <v>82</v>
      </c>
    </row>
    <row r="15" spans="1:9" x14ac:dyDescent="0.25">
      <c r="B15" s="6" t="s">
        <v>83</v>
      </c>
      <c r="C15" s="6" t="s">
        <v>65</v>
      </c>
      <c r="D15" s="10">
        <v>53860</v>
      </c>
      <c r="E15" s="10">
        <v>87540</v>
      </c>
    </row>
    <row r="16" spans="1:9" x14ac:dyDescent="0.25">
      <c r="B16" s="6" t="s">
        <v>84</v>
      </c>
      <c r="C16" s="6" t="s">
        <v>75</v>
      </c>
      <c r="D16" s="7">
        <v>1</v>
      </c>
      <c r="E16" s="36">
        <v>0.8</v>
      </c>
    </row>
    <row r="17" spans="1:15" x14ac:dyDescent="0.25">
      <c r="B17" s="6" t="s">
        <v>85</v>
      </c>
      <c r="C17" s="6" t="s">
        <v>86</v>
      </c>
      <c r="D17" s="11">
        <v>3.3475000000000001</v>
      </c>
      <c r="E17" s="11">
        <v>3.3475000000000001</v>
      </c>
    </row>
    <row r="18" spans="1:15" x14ac:dyDescent="0.25">
      <c r="B18" s="6" t="s">
        <v>87</v>
      </c>
      <c r="C18" s="6" t="s">
        <v>88</v>
      </c>
      <c r="D18" s="13">
        <v>5280</v>
      </c>
      <c r="E18" s="13">
        <v>5280</v>
      </c>
    </row>
    <row r="19" spans="1:15" x14ac:dyDescent="0.25">
      <c r="B19" s="6" t="s">
        <v>89</v>
      </c>
      <c r="C19" s="6" t="s">
        <v>90</v>
      </c>
      <c r="D19" s="13">
        <f>D17*D18</f>
        <v>17674.8</v>
      </c>
      <c r="E19" s="13">
        <f>E17*E18</f>
        <v>17674.8</v>
      </c>
    </row>
    <row r="22" spans="1:15" ht="15.75" thickBot="1" x14ac:dyDescent="0.3"/>
    <row r="23" spans="1:15" s="3" customFormat="1" ht="18.75" x14ac:dyDescent="0.3">
      <c r="A23" s="2" t="s">
        <v>59</v>
      </c>
    </row>
    <row r="25" spans="1:15" x14ac:dyDescent="0.25">
      <c r="B25" s="4" t="s">
        <v>91</v>
      </c>
      <c r="G25" s="4" t="s">
        <v>91</v>
      </c>
      <c r="L25" s="4" t="s">
        <v>91</v>
      </c>
    </row>
    <row r="26" spans="1:15" s="80" customFormat="1" x14ac:dyDescent="0.25">
      <c r="B26" s="81" t="s">
        <v>29</v>
      </c>
      <c r="G26" s="81" t="s">
        <v>76</v>
      </c>
      <c r="L26" s="81" t="s">
        <v>30</v>
      </c>
    </row>
    <row r="27" spans="1:15" x14ac:dyDescent="0.25">
      <c r="B27" s="14" t="s">
        <v>61</v>
      </c>
      <c r="C27" s="14" t="s">
        <v>47</v>
      </c>
      <c r="D27" s="14" t="s">
        <v>81</v>
      </c>
      <c r="E27" s="14" t="s">
        <v>82</v>
      </c>
      <c r="G27" s="14" t="s">
        <v>61</v>
      </c>
      <c r="H27" s="14" t="s">
        <v>47</v>
      </c>
      <c r="I27" s="14" t="s">
        <v>81</v>
      </c>
      <c r="J27" s="14" t="s">
        <v>82</v>
      </c>
      <c r="L27" s="14" t="s">
        <v>61</v>
      </c>
      <c r="M27" s="14" t="s">
        <v>47</v>
      </c>
      <c r="N27" s="14" t="s">
        <v>81</v>
      </c>
      <c r="O27" s="14" t="s">
        <v>82</v>
      </c>
    </row>
    <row r="28" spans="1:15" x14ac:dyDescent="0.25">
      <c r="B28" t="s">
        <v>92</v>
      </c>
      <c r="C28" t="s">
        <v>93</v>
      </c>
      <c r="D28" s="15">
        <f>-PMT($D$8,$D$7,$D$15)</f>
        <v>3821.499350136507</v>
      </c>
      <c r="E28" s="15">
        <f>-PMT($D$8,$D$7,$E$15)</f>
        <v>6211.178111974561</v>
      </c>
      <c r="G28" t="s">
        <v>92</v>
      </c>
      <c r="H28" t="s">
        <v>93</v>
      </c>
      <c r="I28" s="15">
        <f>-PMT($D$8,$D$7,$D$15)</f>
        <v>3821.499350136507</v>
      </c>
      <c r="J28" s="15">
        <f>-PMT($D$8,$D$7,$E$15)</f>
        <v>6211.178111974561</v>
      </c>
      <c r="L28" t="s">
        <v>92</v>
      </c>
      <c r="M28" t="s">
        <v>93</v>
      </c>
      <c r="N28" s="15">
        <f>-PMT($D$8,$D$7,$D$15)</f>
        <v>3821.499350136507</v>
      </c>
      <c r="O28" s="15">
        <f>-PMT($D$8,$D$7,$E$15)</f>
        <v>6211.178111974561</v>
      </c>
    </row>
    <row r="29" spans="1:15" x14ac:dyDescent="0.25">
      <c r="B29" t="s">
        <v>94</v>
      </c>
      <c r="C29" t="s">
        <v>93</v>
      </c>
      <c r="D29" s="15">
        <f>($D$19*10^6)/kWh_to_Btu*$I$7</f>
        <v>639136.33509784215</v>
      </c>
      <c r="E29" s="15">
        <f>($E$19/$E$16)*$D$9</f>
        <v>144143.73416145975</v>
      </c>
      <c r="G29" t="s">
        <v>94</v>
      </c>
      <c r="H29" t="s">
        <v>93</v>
      </c>
      <c r="I29" s="15">
        <f>($D$19*10^6)/kWh_to_Btu*$I$8</f>
        <v>898135.08661448571</v>
      </c>
      <c r="J29" s="15">
        <f>($E$19/$E$16)*$D$9</f>
        <v>144143.73416145975</v>
      </c>
      <c r="L29" t="s">
        <v>94</v>
      </c>
      <c r="M29" t="s">
        <v>93</v>
      </c>
      <c r="N29" s="15">
        <f>($D$19*10^6)/kWh_to_Btu*$I$9</f>
        <v>1157133.8381311293</v>
      </c>
      <c r="O29" s="15">
        <f>($E$19/$E$16)*$D$9</f>
        <v>144143.73416145975</v>
      </c>
    </row>
    <row r="30" spans="1:15" x14ac:dyDescent="0.25">
      <c r="B30" t="s">
        <v>95</v>
      </c>
      <c r="C30" t="s">
        <v>96</v>
      </c>
      <c r="D30" s="43">
        <f>($D$19*10^6)/kWh_to_Btu*$D$10/1000</f>
        <v>33.128084872542942</v>
      </c>
      <c r="E30" s="43">
        <f>($E$19/$E$16)*$D$11/1000</f>
        <v>1167.1301032676997</v>
      </c>
      <c r="G30" t="s">
        <v>95</v>
      </c>
      <c r="H30" t="s">
        <v>96</v>
      </c>
      <c r="I30" s="43">
        <f>($D$19*10^6)/kWh_to_Btu*$D$10/1000</f>
        <v>33.128084872542942</v>
      </c>
      <c r="J30" s="43">
        <f>($E$19/$E$16)*$D$11/1000</f>
        <v>1167.1301032676997</v>
      </c>
      <c r="L30" t="s">
        <v>95</v>
      </c>
      <c r="M30" t="s">
        <v>96</v>
      </c>
      <c r="N30" s="43">
        <f>($D$19*10^6)/kWh_to_Btu*$D$10/1000</f>
        <v>33.128084872542942</v>
      </c>
      <c r="O30" s="43">
        <f>($E$19/$E$16)*$D$11/1000</f>
        <v>1167.1301032676997</v>
      </c>
    </row>
    <row r="31" spans="1:15" x14ac:dyDescent="0.25">
      <c r="B31" s="39" t="s">
        <v>66</v>
      </c>
      <c r="C31" s="39" t="s">
        <v>67</v>
      </c>
      <c r="D31" s="40">
        <f>(SUM(D28:D29)-SUM(E28:E29))/(E30-D30)</f>
        <v>434.3933380927113</v>
      </c>
      <c r="E31" s="40"/>
      <c r="G31" s="39" t="s">
        <v>66</v>
      </c>
      <c r="H31" s="39" t="s">
        <v>67</v>
      </c>
      <c r="I31" s="40">
        <f>(SUM(I28:I29)-SUM(J28:J29))/(J30-I30)</f>
        <v>662.78689235038314</v>
      </c>
      <c r="J31" s="40"/>
      <c r="L31" s="39" t="s">
        <v>66</v>
      </c>
      <c r="M31" s="39" t="s">
        <v>67</v>
      </c>
      <c r="N31" s="40">
        <f>(SUM(N28:N29)-SUM(O28:O29))/(O30-N30)</f>
        <v>891.18044660805504</v>
      </c>
      <c r="O31" s="40"/>
    </row>
    <row r="34" spans="1:3" ht="15.75" thickBot="1" x14ac:dyDescent="0.3"/>
    <row r="35" spans="1:3" s="3" customFormat="1" ht="18.75" x14ac:dyDescent="0.3">
      <c r="A35" s="2" t="s">
        <v>97</v>
      </c>
    </row>
    <row r="36" spans="1:3" s="35" customFormat="1" ht="14.85" customHeight="1" x14ac:dyDescent="0.3">
      <c r="A36" s="34"/>
    </row>
    <row r="37" spans="1:3" s="35" customFormat="1" ht="14.85" customHeight="1" x14ac:dyDescent="0.3">
      <c r="A37" s="34"/>
      <c r="B37" s="14" t="s">
        <v>98</v>
      </c>
      <c r="C37" s="61" t="s">
        <v>99</v>
      </c>
    </row>
    <row r="38" spans="1:3" s="35" customFormat="1" ht="14.85" customHeight="1" x14ac:dyDescent="0.3">
      <c r="A38" s="34"/>
      <c r="B38" s="18" t="s">
        <v>29</v>
      </c>
      <c r="C38" s="19">
        <f>$D$31</f>
        <v>434.3933380927113</v>
      </c>
    </row>
    <row r="39" spans="1:3" s="35" customFormat="1" ht="14.85" customHeight="1" x14ac:dyDescent="0.3">
      <c r="A39" s="34"/>
      <c r="B39" s="18" t="s">
        <v>76</v>
      </c>
      <c r="C39" s="19">
        <f>$I$31</f>
        <v>662.78689235038314</v>
      </c>
    </row>
    <row r="40" spans="1:3" s="35" customFormat="1" ht="14.85" customHeight="1" x14ac:dyDescent="0.3">
      <c r="A40" s="34"/>
      <c r="B40" s="18" t="s">
        <v>30</v>
      </c>
      <c r="C40" s="19">
        <f>$N$31</f>
        <v>891.18044660805504</v>
      </c>
    </row>
    <row r="41" spans="1:3" s="35" customFormat="1" ht="14.85" customHeight="1" x14ac:dyDescent="0.3">
      <c r="A41" s="34"/>
    </row>
    <row r="42" spans="1:3" ht="14.85" customHeight="1" x14ac:dyDescent="0.25"/>
    <row r="43" spans="1:3" ht="15.75" thickBot="1" x14ac:dyDescent="0.3"/>
    <row r="44" spans="1:3" s="3" customFormat="1" ht="18.75" x14ac:dyDescent="0.3">
      <c r="A44" s="2" t="s">
        <v>100</v>
      </c>
    </row>
    <row r="46" spans="1:3" x14ac:dyDescent="0.25">
      <c r="B46" s="14" t="s">
        <v>61</v>
      </c>
      <c r="C46" s="14" t="s">
        <v>101</v>
      </c>
    </row>
    <row r="47" spans="1:3" x14ac:dyDescent="0.25">
      <c r="B47" t="s">
        <v>80</v>
      </c>
      <c r="C47" s="47" t="s">
        <v>102</v>
      </c>
    </row>
  </sheetData>
  <hyperlinks>
    <hyperlink ref="C47" r:id="rId1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81"/>
  <sheetViews>
    <sheetView showGridLines="0" zoomScale="110" zoomScaleNormal="110" workbookViewId="0">
      <selection activeCell="M70" sqref="M70"/>
    </sheetView>
  </sheetViews>
  <sheetFormatPr defaultColWidth="8.5703125" defaultRowHeight="15" x14ac:dyDescent="0.25"/>
  <cols>
    <col min="2" max="2" width="33.42578125" bestFit="1" customWidth="1"/>
    <col min="3" max="3" width="15.42578125" bestFit="1" customWidth="1"/>
    <col min="4" max="4" width="16.5703125" customWidth="1"/>
    <col min="5" max="5" width="17.5703125" customWidth="1"/>
    <col min="6" max="6" width="33.42578125" bestFit="1" customWidth="1"/>
    <col min="7" max="7" width="10" bestFit="1" customWidth="1"/>
    <col min="8" max="8" width="21.5703125" customWidth="1"/>
    <col min="9" max="9" width="13.5703125" customWidth="1"/>
    <col min="10" max="10" width="30.140625" bestFit="1" customWidth="1"/>
    <col min="11" max="11" width="17.42578125" bestFit="1" customWidth="1"/>
    <col min="12" max="12" width="16.42578125" bestFit="1" customWidth="1"/>
    <col min="13" max="13" width="16.5703125" bestFit="1" customWidth="1"/>
    <col min="14" max="14" width="42.42578125" bestFit="1" customWidth="1"/>
    <col min="15" max="15" width="9.42578125" bestFit="1" customWidth="1"/>
    <col min="16" max="16" width="18.5703125" bestFit="1" customWidth="1"/>
    <col min="17" max="17" width="11.5703125" bestFit="1" customWidth="1"/>
    <col min="19" max="19" width="46" bestFit="1" customWidth="1"/>
    <col min="20" max="20" width="15" bestFit="1" customWidth="1"/>
  </cols>
  <sheetData>
    <row r="1" spans="1:16" ht="21" x14ac:dyDescent="0.35">
      <c r="A1" s="1" t="s">
        <v>68</v>
      </c>
    </row>
    <row r="2" spans="1:16" ht="15.75" thickBot="1" x14ac:dyDescent="0.3"/>
    <row r="3" spans="1:16" s="3" customFormat="1" ht="18.75" x14ac:dyDescent="0.3">
      <c r="A3" s="2" t="s">
        <v>44</v>
      </c>
    </row>
    <row r="5" spans="1:16" x14ac:dyDescent="0.25">
      <c r="B5" s="4" t="s">
        <v>45</v>
      </c>
      <c r="F5" s="4" t="s">
        <v>69</v>
      </c>
    </row>
    <row r="6" spans="1:16" x14ac:dyDescent="0.25">
      <c r="B6" s="5" t="s">
        <v>46</v>
      </c>
      <c r="C6" s="5" t="s">
        <v>47</v>
      </c>
      <c r="D6" s="5" t="s">
        <v>48</v>
      </c>
      <c r="F6" s="5" t="s">
        <v>70</v>
      </c>
      <c r="G6" s="5" t="s">
        <v>47</v>
      </c>
      <c r="H6" s="5" t="s">
        <v>48</v>
      </c>
    </row>
    <row r="7" spans="1:16" x14ac:dyDescent="0.25">
      <c r="B7" s="6" t="s">
        <v>71</v>
      </c>
      <c r="C7" s="6" t="s">
        <v>72</v>
      </c>
      <c r="D7" s="6">
        <v>25</v>
      </c>
      <c r="F7" s="6" t="s">
        <v>29</v>
      </c>
      <c r="G7" s="6" t="s">
        <v>73</v>
      </c>
      <c r="H7" s="8">
        <f>H8-0.05</f>
        <v>0.12338598764573012</v>
      </c>
    </row>
    <row r="8" spans="1:16" x14ac:dyDescent="0.25">
      <c r="B8" s="6" t="s">
        <v>74</v>
      </c>
      <c r="C8" s="6" t="s">
        <v>75</v>
      </c>
      <c r="D8" s="7">
        <v>0.05</v>
      </c>
      <c r="F8" s="6" t="s">
        <v>76</v>
      </c>
      <c r="G8" s="6" t="s">
        <v>73</v>
      </c>
      <c r="H8" s="8">
        <f>'Fuel Costs - PATHWAYS'!$E$7*(Constants!$C$33/Constants!$C$27)/10^9*Constants!$D$5*kWh_to_Btu</f>
        <v>0.17338598764573013</v>
      </c>
    </row>
    <row r="9" spans="1:16" x14ac:dyDescent="0.25">
      <c r="B9" s="6" t="s">
        <v>70</v>
      </c>
      <c r="C9" s="6" t="s">
        <v>73</v>
      </c>
      <c r="D9" s="8">
        <f>H8</f>
        <v>0.17338598764573013</v>
      </c>
      <c r="F9" s="6" t="s">
        <v>30</v>
      </c>
      <c r="G9" s="6" t="s">
        <v>73</v>
      </c>
      <c r="H9" s="8">
        <f>H8+0.05</f>
        <v>0.22338598764573014</v>
      </c>
      <c r="L9" s="60"/>
      <c r="O9" s="48"/>
    </row>
    <row r="10" spans="1:16" x14ac:dyDescent="0.25">
      <c r="B10" s="6" t="s">
        <v>54</v>
      </c>
      <c r="C10" s="6" t="s">
        <v>77</v>
      </c>
      <c r="D10" s="8">
        <f>'Fuel Costs - PATHWAYS'!$E$19*(Constants!$C$33/Constants!$C$27)*Constants!$D$5/1000</f>
        <v>6.5242598122280206</v>
      </c>
      <c r="E10" s="58"/>
      <c r="L10" s="60"/>
    </row>
    <row r="11" spans="1:16" x14ac:dyDescent="0.25">
      <c r="B11" s="6" t="s">
        <v>78</v>
      </c>
      <c r="C11" s="6" t="s">
        <v>79</v>
      </c>
      <c r="D11" s="9">
        <f>'Emission Factors - PATHWAYS'!$E$7/10^9*Constants!$D$6</f>
        <v>6.3954140084752677E-3</v>
      </c>
      <c r="L11" s="51"/>
      <c r="O11" s="51"/>
    </row>
    <row r="12" spans="1:16" x14ac:dyDescent="0.25">
      <c r="B12" s="6" t="s">
        <v>57</v>
      </c>
      <c r="C12" s="6" t="s">
        <v>58</v>
      </c>
      <c r="D12" s="9">
        <f>'Emission Factors - PATHWAYS'!$E$19*(Constants!$D$5/1000)</f>
        <v>52.826854199999993</v>
      </c>
      <c r="L12" s="51"/>
    </row>
    <row r="13" spans="1:16" x14ac:dyDescent="0.25">
      <c r="L13" s="59"/>
    </row>
    <row r="14" spans="1:16" x14ac:dyDescent="0.25">
      <c r="B14" s="4" t="s">
        <v>103</v>
      </c>
      <c r="F14" s="4" t="s">
        <v>103</v>
      </c>
      <c r="J14" s="4" t="s">
        <v>104</v>
      </c>
      <c r="N14" s="4" t="s">
        <v>104</v>
      </c>
    </row>
    <row r="15" spans="1:16" x14ac:dyDescent="0.25">
      <c r="B15" s="4" t="s">
        <v>105</v>
      </c>
      <c r="F15" s="4" t="s">
        <v>106</v>
      </c>
      <c r="J15" s="4" t="s">
        <v>107</v>
      </c>
      <c r="N15" s="4" t="s">
        <v>108</v>
      </c>
    </row>
    <row r="16" spans="1:16" x14ac:dyDescent="0.25">
      <c r="B16" s="5" t="s">
        <v>46</v>
      </c>
      <c r="C16" s="5" t="s">
        <v>47</v>
      </c>
      <c r="D16" s="5" t="s">
        <v>48</v>
      </c>
      <c r="F16" s="5" t="s">
        <v>46</v>
      </c>
      <c r="G16" s="5" t="s">
        <v>47</v>
      </c>
      <c r="H16" s="5" t="s">
        <v>48</v>
      </c>
      <c r="J16" s="5" t="s">
        <v>46</v>
      </c>
      <c r="K16" s="5" t="s">
        <v>47</v>
      </c>
      <c r="L16" s="5" t="s">
        <v>48</v>
      </c>
      <c r="N16" s="5" t="s">
        <v>46</v>
      </c>
      <c r="O16" s="5" t="s">
        <v>47</v>
      </c>
      <c r="P16" s="5" t="s">
        <v>48</v>
      </c>
    </row>
    <row r="17" spans="1:22" x14ac:dyDescent="0.25">
      <c r="B17" s="6" t="s">
        <v>109</v>
      </c>
      <c r="C17" s="6" t="s">
        <v>110</v>
      </c>
      <c r="D17" s="13">
        <v>10275</v>
      </c>
      <c r="F17" s="6" t="s">
        <v>109</v>
      </c>
      <c r="G17" s="6" t="s">
        <v>111</v>
      </c>
      <c r="H17" s="13">
        <v>9670</v>
      </c>
      <c r="J17" s="6" t="s">
        <v>112</v>
      </c>
      <c r="K17" s="6" t="s">
        <v>113</v>
      </c>
      <c r="L17" s="13">
        <v>500</v>
      </c>
      <c r="N17" s="6" t="s">
        <v>114</v>
      </c>
      <c r="O17" s="6" t="s">
        <v>75</v>
      </c>
      <c r="P17" s="36">
        <v>1</v>
      </c>
    </row>
    <row r="18" spans="1:22" x14ac:dyDescent="0.25">
      <c r="B18" s="6" t="s">
        <v>87</v>
      </c>
      <c r="C18" s="6" t="s">
        <v>115</v>
      </c>
      <c r="D18" s="13">
        <v>2503</v>
      </c>
      <c r="F18" s="6" t="s">
        <v>87</v>
      </c>
      <c r="G18" s="6" t="s">
        <v>115</v>
      </c>
      <c r="H18" s="13">
        <v>6257</v>
      </c>
      <c r="J18" s="6" t="s">
        <v>116</v>
      </c>
      <c r="K18" s="6" t="s">
        <v>117</v>
      </c>
      <c r="L18" s="41">
        <v>1.6</v>
      </c>
      <c r="N18" s="6" t="s">
        <v>118</v>
      </c>
      <c r="O18" s="6" t="s">
        <v>75</v>
      </c>
      <c r="P18" s="36">
        <v>0.5</v>
      </c>
    </row>
    <row r="19" spans="1:22" x14ac:dyDescent="0.25">
      <c r="B19" s="6" t="s">
        <v>119</v>
      </c>
      <c r="C19" s="6" t="s">
        <v>90</v>
      </c>
      <c r="D19" s="13">
        <f>D17*D18/1000</f>
        <v>25718.325000000001</v>
      </c>
      <c r="F19" s="6" t="s">
        <v>119</v>
      </c>
      <c r="G19" s="6" t="s">
        <v>90</v>
      </c>
      <c r="H19" s="13">
        <f>H17*H18/1000</f>
        <v>60505.19</v>
      </c>
      <c r="J19" s="6" t="s">
        <v>120</v>
      </c>
      <c r="K19" s="6" t="s">
        <v>75</v>
      </c>
      <c r="L19" s="36">
        <v>0.8</v>
      </c>
      <c r="M19" s="38"/>
      <c r="N19" s="6" t="s">
        <v>119</v>
      </c>
      <c r="O19" s="6" t="s">
        <v>90</v>
      </c>
      <c r="P19" s="13">
        <v>1000</v>
      </c>
      <c r="V19" s="38"/>
    </row>
    <row r="20" spans="1:22" x14ac:dyDescent="0.25">
      <c r="B20" s="6" t="s">
        <v>121</v>
      </c>
      <c r="C20" s="6"/>
      <c r="D20" s="41">
        <v>5.9</v>
      </c>
      <c r="F20" s="6" t="s">
        <v>121</v>
      </c>
      <c r="G20" s="6"/>
      <c r="H20" s="41">
        <v>4.2</v>
      </c>
      <c r="J20" s="6" t="s">
        <v>122</v>
      </c>
      <c r="K20" s="6" t="s">
        <v>75</v>
      </c>
      <c r="L20" s="36">
        <v>0.4</v>
      </c>
    </row>
    <row r="21" spans="1:22" x14ac:dyDescent="0.25">
      <c r="B21" s="6" t="s">
        <v>123</v>
      </c>
      <c r="C21" s="6"/>
      <c r="D21" s="42">
        <v>0.96</v>
      </c>
      <c r="F21" s="6" t="s">
        <v>123</v>
      </c>
      <c r="G21" s="6"/>
      <c r="H21" s="42">
        <v>0.85</v>
      </c>
    </row>
    <row r="22" spans="1:22" x14ac:dyDescent="0.25">
      <c r="B22" s="6" t="s">
        <v>124</v>
      </c>
      <c r="C22" s="6" t="s">
        <v>65</v>
      </c>
      <c r="D22" s="10">
        <v>790999.99999999988</v>
      </c>
      <c r="E22" s="37"/>
      <c r="F22" s="6" t="s">
        <v>124</v>
      </c>
      <c r="G22" s="6" t="s">
        <v>65</v>
      </c>
      <c r="H22" s="10">
        <v>1412499.9999999998</v>
      </c>
      <c r="I22" s="37"/>
    </row>
    <row r="25" spans="1:22" ht="15.75" thickBot="1" x14ac:dyDescent="0.3"/>
    <row r="26" spans="1:22" s="3" customFormat="1" ht="18.75" x14ac:dyDescent="0.3">
      <c r="A26" s="2" t="s">
        <v>59</v>
      </c>
    </row>
    <row r="27" spans="1:22" s="35" customFormat="1" ht="18.75" x14ac:dyDescent="0.3">
      <c r="A27" s="34"/>
    </row>
    <row r="28" spans="1:22" x14ac:dyDescent="0.25">
      <c r="B28" s="4" t="s">
        <v>103</v>
      </c>
      <c r="F28" s="4" t="s">
        <v>103</v>
      </c>
      <c r="J28" s="4" t="s">
        <v>104</v>
      </c>
      <c r="N28" s="4" t="s">
        <v>104</v>
      </c>
    </row>
    <row r="29" spans="1:22" x14ac:dyDescent="0.25">
      <c r="B29" s="4" t="s">
        <v>105</v>
      </c>
      <c r="F29" s="4" t="s">
        <v>106</v>
      </c>
      <c r="J29" s="4" t="s">
        <v>107</v>
      </c>
      <c r="N29" s="4" t="s">
        <v>108</v>
      </c>
    </row>
    <row r="30" spans="1:22" x14ac:dyDescent="0.25">
      <c r="B30" s="81" t="s">
        <v>29</v>
      </c>
      <c r="F30" s="81" t="s">
        <v>29</v>
      </c>
      <c r="J30" s="81" t="s">
        <v>29</v>
      </c>
      <c r="N30" s="81" t="s">
        <v>29</v>
      </c>
    </row>
    <row r="31" spans="1:22" x14ac:dyDescent="0.25">
      <c r="B31" s="14" t="s">
        <v>61</v>
      </c>
      <c r="C31" s="14" t="s">
        <v>47</v>
      </c>
      <c r="D31" s="14" t="s">
        <v>48</v>
      </c>
      <c r="F31" s="14" t="s">
        <v>61</v>
      </c>
      <c r="G31" s="14" t="s">
        <v>47</v>
      </c>
      <c r="H31" s="14" t="s">
        <v>48</v>
      </c>
      <c r="J31" s="14" t="s">
        <v>61</v>
      </c>
      <c r="K31" s="14" t="s">
        <v>47</v>
      </c>
      <c r="L31" s="14" t="s">
        <v>48</v>
      </c>
      <c r="N31" s="14" t="s">
        <v>61</v>
      </c>
      <c r="O31" s="14" t="s">
        <v>47</v>
      </c>
      <c r="P31" s="14" t="s">
        <v>48</v>
      </c>
    </row>
    <row r="32" spans="1:22" x14ac:dyDescent="0.25">
      <c r="B32" t="s">
        <v>125</v>
      </c>
      <c r="C32" t="s">
        <v>93</v>
      </c>
      <c r="D32" s="15">
        <f>-PMT($D$8,$D$7,$D$22)</f>
        <v>56123.39372369062</v>
      </c>
      <c r="F32" t="s">
        <v>125</v>
      </c>
      <c r="G32" t="s">
        <v>93</v>
      </c>
      <c r="H32" s="15">
        <f>-PMT($D$8,$D$7,$H$22)</f>
        <v>100220.34593516182</v>
      </c>
      <c r="J32" t="s">
        <v>126</v>
      </c>
      <c r="K32" t="s">
        <v>93</v>
      </c>
      <c r="L32" s="15">
        <f>($L$17*$L$18*365/$L$19)*10^6/(kWh_to_Btu)*$H$7</f>
        <v>13198721.474116391</v>
      </c>
      <c r="N32" t="s">
        <v>126</v>
      </c>
      <c r="O32" t="s">
        <v>93</v>
      </c>
      <c r="P32" s="15">
        <f>$P$19/$P$17*10^6/kWh_to_Btu*$H$7</f>
        <v>36160.88075100381</v>
      </c>
    </row>
    <row r="33" spans="2:16" x14ac:dyDescent="0.25">
      <c r="B33" t="s">
        <v>126</v>
      </c>
      <c r="C33" t="s">
        <v>93</v>
      </c>
      <c r="D33" s="15">
        <f>($D$19/$D$20)/kWh_to_Btu*10^6*$H$7</f>
        <v>157626.6582102644</v>
      </c>
      <c r="F33" t="s">
        <v>126</v>
      </c>
      <c r="G33" t="s">
        <v>93</v>
      </c>
      <c r="H33" s="15">
        <f>($H$19/$H$20)/Constants!$D$4*10^6*$H$7</f>
        <v>520933.56200162566</v>
      </c>
      <c r="J33" t="s">
        <v>127</v>
      </c>
      <c r="K33" t="s">
        <v>93</v>
      </c>
      <c r="L33" s="15">
        <f>($L$17*$L$18*365/$L$20)*$D$10</f>
        <v>4762709.662926455</v>
      </c>
      <c r="N33" t="s">
        <v>127</v>
      </c>
      <c r="O33" t="s">
        <v>93</v>
      </c>
      <c r="P33" s="15">
        <f>$P$19/$P$18*$D$10</f>
        <v>13048.519624456041</v>
      </c>
    </row>
    <row r="34" spans="2:16" x14ac:dyDescent="0.25">
      <c r="B34" t="s">
        <v>127</v>
      </c>
      <c r="C34" t="s">
        <v>93</v>
      </c>
      <c r="D34" s="15">
        <f>$D$19/$D$21*$D$10</f>
        <v>174784.41066179084</v>
      </c>
      <c r="F34" t="s">
        <v>127</v>
      </c>
      <c r="G34" t="s">
        <v>93</v>
      </c>
      <c r="H34" s="15">
        <f>$H$19/$H$21*$D$10</f>
        <v>464413.62299790682</v>
      </c>
      <c r="J34" t="s">
        <v>128</v>
      </c>
      <c r="K34" t="s">
        <v>96</v>
      </c>
      <c r="L34" s="43">
        <f>($L$17*$L$18*365/$L$19)*10^6/(kWh_to_Btu)*$D$11/1000</f>
        <v>684.1237795323384</v>
      </c>
      <c r="N34" t="s">
        <v>128</v>
      </c>
      <c r="O34" t="s">
        <v>96</v>
      </c>
      <c r="P34" s="43">
        <f>$P$19/$P$17*10^6/kWh_to_Btu*$D$11/1000</f>
        <v>1.8743117247461325</v>
      </c>
    </row>
    <row r="35" spans="2:16" x14ac:dyDescent="0.25">
      <c r="B35" t="s">
        <v>128</v>
      </c>
      <c r="C35" t="s">
        <v>96</v>
      </c>
      <c r="D35" s="43">
        <f>($D$19/$D$20)/kWh_to_Btu*10^6*$D$11/1000</f>
        <v>8.1701962861578945</v>
      </c>
      <c r="F35" t="s">
        <v>128</v>
      </c>
      <c r="G35" t="s">
        <v>96</v>
      </c>
      <c r="H35" s="43">
        <f>($H$19/$H$20)/Constants!$D$4*10^6*$D$11/1000</f>
        <v>27.001330244045818</v>
      </c>
      <c r="J35" t="s">
        <v>129</v>
      </c>
      <c r="K35" t="s">
        <v>96</v>
      </c>
      <c r="L35" s="44">
        <f>($L$17*$L$18*365/$L$20)*$D$12/1000</f>
        <v>38563.603565999991</v>
      </c>
      <c r="N35" t="s">
        <v>129</v>
      </c>
      <c r="O35" t="s">
        <v>96</v>
      </c>
      <c r="P35" s="44">
        <f>$P$19/$P$18*$D$12/1000</f>
        <v>105.65370839999999</v>
      </c>
    </row>
    <row r="36" spans="2:16" x14ac:dyDescent="0.25">
      <c r="B36" t="s">
        <v>129</v>
      </c>
      <c r="C36" t="s">
        <v>96</v>
      </c>
      <c r="D36" s="44">
        <f>$D$19/$D$21*$D$12/1000</f>
        <v>1415.2272969200155</v>
      </c>
      <c r="F36" t="s">
        <v>129</v>
      </c>
      <c r="G36" t="s">
        <v>96</v>
      </c>
      <c r="H36" s="44">
        <f>$H$19/$H$21*$D$12/1000</f>
        <v>3760.3515887921153</v>
      </c>
      <c r="J36" s="39" t="s">
        <v>66</v>
      </c>
      <c r="K36" s="39" t="s">
        <v>67</v>
      </c>
      <c r="L36" s="40">
        <f>SUM(L32:L32,-L33)/(L35-L34)</f>
        <v>222.70664377507313</v>
      </c>
      <c r="N36" s="39" t="s">
        <v>66</v>
      </c>
      <c r="O36" s="39" t="s">
        <v>67</v>
      </c>
      <c r="P36" s="40">
        <f>SUM(P32:P32,-P33)/(P35-P34)</f>
        <v>222.70664377507313</v>
      </c>
    </row>
    <row r="37" spans="2:16" x14ac:dyDescent="0.25">
      <c r="B37" s="39" t="s">
        <v>66</v>
      </c>
      <c r="C37" s="39" t="s">
        <v>67</v>
      </c>
      <c r="D37" s="40">
        <f>SUM(D32:D33,-D34)/(D36-D35)</f>
        <v>27.693006385178514</v>
      </c>
      <c r="F37" s="39" t="s">
        <v>66</v>
      </c>
      <c r="G37" s="39" t="s">
        <v>67</v>
      </c>
      <c r="H37" s="40">
        <f>SUM(H32:H33,-H34)/(H36-H35)</f>
        <v>41.983814559054586</v>
      </c>
    </row>
    <row r="40" spans="2:16" x14ac:dyDescent="0.25">
      <c r="B40" s="4" t="s">
        <v>103</v>
      </c>
      <c r="F40" s="4" t="s">
        <v>103</v>
      </c>
      <c r="J40" s="4" t="s">
        <v>104</v>
      </c>
      <c r="N40" s="4" t="s">
        <v>104</v>
      </c>
    </row>
    <row r="41" spans="2:16" x14ac:dyDescent="0.25">
      <c r="B41" s="4" t="s">
        <v>105</v>
      </c>
      <c r="F41" s="4" t="s">
        <v>106</v>
      </c>
      <c r="J41" s="4" t="s">
        <v>107</v>
      </c>
      <c r="N41" s="4" t="s">
        <v>108</v>
      </c>
    </row>
    <row r="42" spans="2:16" x14ac:dyDescent="0.25">
      <c r="B42" s="81" t="s">
        <v>76</v>
      </c>
      <c r="F42" s="81" t="s">
        <v>76</v>
      </c>
      <c r="J42" s="81" t="s">
        <v>76</v>
      </c>
      <c r="N42" s="81" t="s">
        <v>76</v>
      </c>
    </row>
    <row r="43" spans="2:16" x14ac:dyDescent="0.25">
      <c r="B43" s="14" t="s">
        <v>61</v>
      </c>
      <c r="C43" s="14" t="s">
        <v>47</v>
      </c>
      <c r="D43" s="14" t="s">
        <v>48</v>
      </c>
      <c r="F43" s="14" t="s">
        <v>61</v>
      </c>
      <c r="G43" s="14" t="s">
        <v>47</v>
      </c>
      <c r="H43" s="14" t="s">
        <v>48</v>
      </c>
      <c r="J43" s="14" t="s">
        <v>61</v>
      </c>
      <c r="K43" s="14" t="s">
        <v>47</v>
      </c>
      <c r="L43" s="14" t="s">
        <v>48</v>
      </c>
      <c r="N43" s="14" t="s">
        <v>61</v>
      </c>
      <c r="O43" s="14" t="s">
        <v>47</v>
      </c>
      <c r="P43" s="14" t="s">
        <v>48</v>
      </c>
    </row>
    <row r="44" spans="2:16" x14ac:dyDescent="0.25">
      <c r="B44" t="s">
        <v>125</v>
      </c>
      <c r="C44" t="s">
        <v>93</v>
      </c>
      <c r="D44" s="15">
        <f>-PMT($D$8,$D$7,$D$22)</f>
        <v>56123.39372369062</v>
      </c>
      <c r="F44" t="s">
        <v>125</v>
      </c>
      <c r="G44" t="s">
        <v>93</v>
      </c>
      <c r="H44" s="15">
        <f>-PMT($D$8,$D$7,$H$22)</f>
        <v>100220.34593516182</v>
      </c>
      <c r="J44" t="s">
        <v>126</v>
      </c>
      <c r="K44" t="s">
        <v>93</v>
      </c>
      <c r="L44" s="15">
        <f>($L$17*$L$18*365/$L$19)*10^6/(kWh_to_Btu)*$H$8</f>
        <v>18547271.06469591</v>
      </c>
      <c r="N44" t="s">
        <v>126</v>
      </c>
      <c r="O44" t="s">
        <v>93</v>
      </c>
      <c r="P44" s="15">
        <f>$P$19/$P$17*10^6/kWh_to_Btu*$H$8</f>
        <v>50814.441273139484</v>
      </c>
    </row>
    <row r="45" spans="2:16" x14ac:dyDescent="0.25">
      <c r="B45" t="s">
        <v>126</v>
      </c>
      <c r="C45" t="s">
        <v>93</v>
      </c>
      <c r="D45" s="15">
        <f>($D$19/$D$20)/kWh_to_Btu*10^6*$H$8</f>
        <v>221502.0873484771</v>
      </c>
      <c r="F45" t="s">
        <v>126</v>
      </c>
      <c r="G45" t="s">
        <v>93</v>
      </c>
      <c r="H45" s="15">
        <f>($H$19/$H$20)/Constants!$D$4*10^6*$H$8</f>
        <v>732032.71999408235</v>
      </c>
      <c r="J45" t="s">
        <v>127</v>
      </c>
      <c r="K45" t="s">
        <v>93</v>
      </c>
      <c r="L45" s="15">
        <f>($L$17*$L$18*365/$L$20)*$D$10</f>
        <v>4762709.662926455</v>
      </c>
      <c r="N45" t="s">
        <v>127</v>
      </c>
      <c r="O45" t="s">
        <v>93</v>
      </c>
      <c r="P45" s="15">
        <f>$P$19/$P$18*$D$10</f>
        <v>13048.519624456041</v>
      </c>
    </row>
    <row r="46" spans="2:16" x14ac:dyDescent="0.25">
      <c r="B46" t="s">
        <v>127</v>
      </c>
      <c r="C46" t="s">
        <v>93</v>
      </c>
      <c r="D46" s="15">
        <f>$D$19/$D$21*$D$10</f>
        <v>174784.41066179084</v>
      </c>
      <c r="F46" t="s">
        <v>127</v>
      </c>
      <c r="G46" t="s">
        <v>93</v>
      </c>
      <c r="H46" s="15">
        <f>$H$19/$H$21*$D$10</f>
        <v>464413.62299790682</v>
      </c>
      <c r="J46" t="s">
        <v>128</v>
      </c>
      <c r="K46" t="s">
        <v>96</v>
      </c>
      <c r="L46" s="43">
        <f>($L$17*$L$18*365/$L$19)*10^6/(kWh_to_Btu)*$D$11/1000</f>
        <v>684.1237795323384</v>
      </c>
      <c r="N46" t="s">
        <v>128</v>
      </c>
      <c r="O46" t="s">
        <v>96</v>
      </c>
      <c r="P46" s="43">
        <f>$P$19/$P$17*10^6/kWh_to_Btu*$D$11/1000</f>
        <v>1.8743117247461325</v>
      </c>
    </row>
    <row r="47" spans="2:16" x14ac:dyDescent="0.25">
      <c r="B47" t="s">
        <v>128</v>
      </c>
      <c r="C47" t="s">
        <v>96</v>
      </c>
      <c r="D47" s="43">
        <f>($D$19/$D$20)/kWh_to_Btu*10^6*$D$11/1000</f>
        <v>8.1701962861578945</v>
      </c>
      <c r="F47" t="s">
        <v>128</v>
      </c>
      <c r="G47" t="s">
        <v>96</v>
      </c>
      <c r="H47" s="43">
        <f>($H$19/$H$20)/Constants!$D$4*10^6*$D$11/1000</f>
        <v>27.001330244045818</v>
      </c>
      <c r="J47" t="s">
        <v>129</v>
      </c>
      <c r="K47" t="s">
        <v>96</v>
      </c>
      <c r="L47" s="44">
        <f>($L$17*$L$18*365/$L$20)*$D$12/1000</f>
        <v>38563.603565999991</v>
      </c>
      <c r="N47" t="s">
        <v>129</v>
      </c>
      <c r="O47" t="s">
        <v>96</v>
      </c>
      <c r="P47" s="44">
        <f>$P$19/$P$18*$D$12/1000</f>
        <v>105.65370839999999</v>
      </c>
    </row>
    <row r="48" spans="2:16" x14ac:dyDescent="0.25">
      <c r="B48" t="s">
        <v>129</v>
      </c>
      <c r="C48" t="s">
        <v>96</v>
      </c>
      <c r="D48" s="44">
        <f>$D$19/$D$21*$D$12/1000</f>
        <v>1415.2272969200155</v>
      </c>
      <c r="F48" t="s">
        <v>129</v>
      </c>
      <c r="G48" t="s">
        <v>96</v>
      </c>
      <c r="H48" s="44">
        <f>$H$19/$H$21*$D$12/1000</f>
        <v>3760.3515887921153</v>
      </c>
      <c r="J48" s="39" t="s">
        <v>66</v>
      </c>
      <c r="K48" s="39" t="s">
        <v>67</v>
      </c>
      <c r="L48" s="40">
        <f>SUM(L44:L44,-L45)/(L47-L46)</f>
        <v>363.90577377184457</v>
      </c>
      <c r="N48" s="39" t="s">
        <v>66</v>
      </c>
      <c r="O48" s="39" t="s">
        <v>67</v>
      </c>
      <c r="P48" s="40">
        <f>SUM(P44:P44,-P45)/(P47-P46)</f>
        <v>363.90577377184451</v>
      </c>
    </row>
    <row r="49" spans="1:16" x14ac:dyDescent="0.25">
      <c r="B49" s="39" t="s">
        <v>66</v>
      </c>
      <c r="C49" s="39" t="s">
        <v>67</v>
      </c>
      <c r="D49" s="40">
        <f>SUM(D44:D45,-D46)/(D48-D47)</f>
        <v>73.089479001277624</v>
      </c>
      <c r="F49" s="39" t="s">
        <v>66</v>
      </c>
      <c r="G49" s="39" t="s">
        <v>67</v>
      </c>
      <c r="H49" s="40">
        <f>SUM(H44:H45,-H46)/(H48-H47)</f>
        <v>98.527975533266229</v>
      </c>
    </row>
    <row r="52" spans="1:16" x14ac:dyDescent="0.25">
      <c r="B52" s="4" t="s">
        <v>103</v>
      </c>
      <c r="F52" s="4" t="s">
        <v>103</v>
      </c>
      <c r="J52" s="4" t="s">
        <v>104</v>
      </c>
      <c r="N52" s="4" t="s">
        <v>104</v>
      </c>
    </row>
    <row r="53" spans="1:16" x14ac:dyDescent="0.25">
      <c r="B53" s="4" t="s">
        <v>105</v>
      </c>
      <c r="F53" s="4" t="s">
        <v>106</v>
      </c>
      <c r="J53" s="4" t="s">
        <v>107</v>
      </c>
      <c r="N53" s="4" t="s">
        <v>108</v>
      </c>
    </row>
    <row r="54" spans="1:16" x14ac:dyDescent="0.25">
      <c r="B54" s="81" t="s">
        <v>30</v>
      </c>
      <c r="F54" s="81" t="s">
        <v>30</v>
      </c>
      <c r="J54" s="81" t="s">
        <v>30</v>
      </c>
      <c r="N54" s="81" t="s">
        <v>30</v>
      </c>
    </row>
    <row r="55" spans="1:16" x14ac:dyDescent="0.25">
      <c r="B55" s="14" t="s">
        <v>61</v>
      </c>
      <c r="C55" s="14" t="s">
        <v>47</v>
      </c>
      <c r="D55" s="14" t="s">
        <v>48</v>
      </c>
      <c r="F55" s="14" t="s">
        <v>61</v>
      </c>
      <c r="G55" s="14" t="s">
        <v>47</v>
      </c>
      <c r="H55" s="14" t="s">
        <v>48</v>
      </c>
      <c r="J55" s="14" t="s">
        <v>61</v>
      </c>
      <c r="K55" s="14" t="s">
        <v>47</v>
      </c>
      <c r="L55" s="14" t="s">
        <v>48</v>
      </c>
      <c r="N55" s="14" t="s">
        <v>61</v>
      </c>
      <c r="O55" s="14" t="s">
        <v>47</v>
      </c>
      <c r="P55" s="14" t="s">
        <v>48</v>
      </c>
    </row>
    <row r="56" spans="1:16" x14ac:dyDescent="0.25">
      <c r="B56" t="s">
        <v>125</v>
      </c>
      <c r="C56" t="s">
        <v>93</v>
      </c>
      <c r="D56" s="15">
        <f>-PMT($D$8,$D$7,$D$22)</f>
        <v>56123.39372369062</v>
      </c>
      <c r="F56" t="s">
        <v>125</v>
      </c>
      <c r="G56" t="s">
        <v>93</v>
      </c>
      <c r="H56" s="15">
        <f>-PMT($D$8,$D$7,$H$22)</f>
        <v>100220.34593516182</v>
      </c>
      <c r="J56" t="s">
        <v>126</v>
      </c>
      <c r="K56" t="s">
        <v>93</v>
      </c>
      <c r="L56" s="15">
        <f>($L$17*$L$18*365/$L$19)*10^6/(kWh_to_Btu)*$H$9</f>
        <v>23895820.655275431</v>
      </c>
      <c r="N56" t="s">
        <v>126</v>
      </c>
      <c r="O56" t="s">
        <v>93</v>
      </c>
      <c r="P56" s="15">
        <f>$P$19/$P$17*10^6/kWh_to_Btu*$H$9</f>
        <v>65468.001795275159</v>
      </c>
    </row>
    <row r="57" spans="1:16" x14ac:dyDescent="0.25">
      <c r="B57" t="s">
        <v>126</v>
      </c>
      <c r="C57" t="s">
        <v>93</v>
      </c>
      <c r="D57" s="15">
        <f>($D$19/$D$20)/kWh_to_Btu*10^6*$H$9</f>
        <v>285377.5164866898</v>
      </c>
      <c r="F57" t="s">
        <v>126</v>
      </c>
      <c r="G57" t="s">
        <v>93</v>
      </c>
      <c r="H57" s="15">
        <f>($H$19/$H$20)/Constants!$D$4*10^6*$H$9</f>
        <v>943131.87798653904</v>
      </c>
      <c r="J57" t="s">
        <v>127</v>
      </c>
      <c r="K57" t="s">
        <v>93</v>
      </c>
      <c r="L57" s="15">
        <f>($L$17*$L$18*365/$L$20)*$D$10</f>
        <v>4762709.662926455</v>
      </c>
      <c r="N57" t="s">
        <v>127</v>
      </c>
      <c r="O57" t="s">
        <v>93</v>
      </c>
      <c r="P57" s="15">
        <f>$P$19/$P$18*$D$10</f>
        <v>13048.519624456041</v>
      </c>
    </row>
    <row r="58" spans="1:16" x14ac:dyDescent="0.25">
      <c r="B58" t="s">
        <v>127</v>
      </c>
      <c r="C58" t="s">
        <v>93</v>
      </c>
      <c r="D58" s="15">
        <f>$D$19/$D$21*$D$10</f>
        <v>174784.41066179084</v>
      </c>
      <c r="F58" t="s">
        <v>127</v>
      </c>
      <c r="G58" t="s">
        <v>93</v>
      </c>
      <c r="H58" s="15">
        <f>$H$19/$H$21*$D$10</f>
        <v>464413.62299790682</v>
      </c>
      <c r="J58" t="s">
        <v>128</v>
      </c>
      <c r="K58" t="s">
        <v>96</v>
      </c>
      <c r="L58" s="43">
        <f>($L$17*$L$18*365/$L$19)*10^6/(kWh_to_Btu)*$D$11/1000</f>
        <v>684.1237795323384</v>
      </c>
      <c r="N58" t="s">
        <v>128</v>
      </c>
      <c r="O58" t="s">
        <v>96</v>
      </c>
      <c r="P58" s="43">
        <f>$P$19/$P$17*10^6/kWh_to_Btu*$D$11/1000</f>
        <v>1.8743117247461325</v>
      </c>
    </row>
    <row r="59" spans="1:16" x14ac:dyDescent="0.25">
      <c r="B59" t="s">
        <v>128</v>
      </c>
      <c r="C59" t="s">
        <v>96</v>
      </c>
      <c r="D59" s="43">
        <f>($D$19/$D$20)/kWh_to_Btu*10^6*$D$11/1000</f>
        <v>8.1701962861578945</v>
      </c>
      <c r="F59" t="s">
        <v>128</v>
      </c>
      <c r="G59" t="s">
        <v>96</v>
      </c>
      <c r="H59" s="43">
        <f>($H$19/$H$20)/Constants!$D$4*10^6*$D$11/1000</f>
        <v>27.001330244045818</v>
      </c>
      <c r="J59" t="s">
        <v>129</v>
      </c>
      <c r="K59" t="s">
        <v>96</v>
      </c>
      <c r="L59" s="44">
        <f>($L$17*$L$18*365/$L$20)*$D$12/1000</f>
        <v>38563.603565999991</v>
      </c>
      <c r="N59" t="s">
        <v>129</v>
      </c>
      <c r="O59" t="s">
        <v>96</v>
      </c>
      <c r="P59" s="44">
        <f>$P$19/$P$18*$D$12/1000</f>
        <v>105.65370839999999</v>
      </c>
    </row>
    <row r="60" spans="1:16" x14ac:dyDescent="0.25">
      <c r="B60" t="s">
        <v>129</v>
      </c>
      <c r="C60" t="s">
        <v>96</v>
      </c>
      <c r="D60" s="44">
        <f>$D$19/$D$21*$D$12/1000</f>
        <v>1415.2272969200155</v>
      </c>
      <c r="F60" t="s">
        <v>129</v>
      </c>
      <c r="G60" t="s">
        <v>96</v>
      </c>
      <c r="H60" s="44">
        <f>$H$19/$H$21*$D$12/1000</f>
        <v>3760.3515887921153</v>
      </c>
      <c r="J60" s="39" t="s">
        <v>66</v>
      </c>
      <c r="K60" s="39" t="s">
        <v>67</v>
      </c>
      <c r="L60" s="40">
        <f>SUM(L56:L56,-L57)/(L59-L58)</f>
        <v>505.10490376861594</v>
      </c>
      <c r="N60" s="39" t="s">
        <v>66</v>
      </c>
      <c r="O60" s="39" t="s">
        <v>67</v>
      </c>
      <c r="P60" s="40">
        <f>SUM(P56:P56,-P57)/(P59-P58)</f>
        <v>505.10490376861594</v>
      </c>
    </row>
    <row r="61" spans="1:16" x14ac:dyDescent="0.25">
      <c r="B61" s="39" t="s">
        <v>66</v>
      </c>
      <c r="C61" s="39" t="s">
        <v>67</v>
      </c>
      <c r="D61" s="40">
        <f>SUM(D56:D57,-D58)/(D60-D59)</f>
        <v>118.48595161737671</v>
      </c>
      <c r="F61" s="39" t="s">
        <v>66</v>
      </c>
      <c r="G61" s="39" t="s">
        <v>67</v>
      </c>
      <c r="H61" s="40">
        <f>SUM(H56:H57,-H58)/(H60-H59)</f>
        <v>155.07213650747789</v>
      </c>
    </row>
    <row r="63" spans="1:16" ht="15.75" thickBot="1" x14ac:dyDescent="0.3"/>
    <row r="64" spans="1:16" s="3" customFormat="1" ht="18.75" x14ac:dyDescent="0.3">
      <c r="A64" s="2" t="s">
        <v>97</v>
      </c>
    </row>
    <row r="66" spans="1:11" x14ac:dyDescent="0.25">
      <c r="B66" s="4" t="s">
        <v>130</v>
      </c>
      <c r="C66" s="107" t="s">
        <v>131</v>
      </c>
      <c r="D66" s="107"/>
      <c r="F66" s="82" t="s">
        <v>29</v>
      </c>
      <c r="G66" s="82" t="s">
        <v>29</v>
      </c>
      <c r="H66" s="82" t="s">
        <v>76</v>
      </c>
      <c r="I66" s="82" t="s">
        <v>76</v>
      </c>
      <c r="J66" s="82" t="s">
        <v>30</v>
      </c>
      <c r="K66" s="82" t="s">
        <v>30</v>
      </c>
    </row>
    <row r="67" spans="1:11" ht="60" x14ac:dyDescent="0.25">
      <c r="B67" s="14" t="s">
        <v>132</v>
      </c>
      <c r="C67" s="61" t="s">
        <v>133</v>
      </c>
      <c r="D67" s="61" t="s">
        <v>134</v>
      </c>
      <c r="E67" s="61" t="s">
        <v>135</v>
      </c>
      <c r="F67" s="74" t="s">
        <v>136</v>
      </c>
      <c r="G67" s="74" t="s">
        <v>137</v>
      </c>
      <c r="H67" s="74" t="s">
        <v>136</v>
      </c>
      <c r="I67" s="74" t="s">
        <v>137</v>
      </c>
      <c r="J67" s="74" t="s">
        <v>136</v>
      </c>
      <c r="K67" s="74" t="s">
        <v>137</v>
      </c>
    </row>
    <row r="68" spans="1:11" x14ac:dyDescent="0.25">
      <c r="B68" t="s">
        <v>138</v>
      </c>
      <c r="C68" s="72">
        <v>12568288.819361899</v>
      </c>
      <c r="D68" s="72">
        <v>629268.136057714</v>
      </c>
      <c r="E68" t="s">
        <v>103</v>
      </c>
      <c r="F68" s="73">
        <f>AVERAGE($D$37,$H$37)</f>
        <v>34.83841047211655</v>
      </c>
      <c r="G68" s="108" cm="1">
        <f t="array" ref="G68">SUMPRODUCT($D$68:$D$72*$F$68:$F$72)/SUM($D$68:$D$72)</f>
        <v>179.63179833627035</v>
      </c>
      <c r="H68" s="73">
        <f>AVERAGE($D$49,$H$49)</f>
        <v>85.808727267271934</v>
      </c>
      <c r="I68" s="108" cm="1">
        <f t="array" ref="I68">SUMPRODUCT($D$68:$D$72*$H$68:$H$72)/SUM($D$68:$D$72)</f>
        <v>300.14306581123543</v>
      </c>
      <c r="J68" s="73">
        <f>AVERAGE($D$61,$H$61)</f>
        <v>136.77904406242732</v>
      </c>
      <c r="K68" s="108" cm="1">
        <f t="array" ref="K68">SUMPRODUCT($D$68:$D$72*$J$68:$J$72)/SUM($D$68:$D$72)</f>
        <v>420.65433328620031</v>
      </c>
    </row>
    <row r="69" spans="1:11" x14ac:dyDescent="0.25">
      <c r="B69" t="s">
        <v>139</v>
      </c>
      <c r="C69" s="72">
        <v>8606070.2527054399</v>
      </c>
      <c r="D69" s="72">
        <v>430888.07589772</v>
      </c>
      <c r="E69" t="s">
        <v>103</v>
      </c>
      <c r="F69" s="73">
        <f>AVERAGE($D$37,$H$37)</f>
        <v>34.83841047211655</v>
      </c>
      <c r="G69" s="108"/>
      <c r="H69" s="73">
        <f>AVERAGE($D$49,$H$49)</f>
        <v>85.808727267271934</v>
      </c>
      <c r="I69" s="108"/>
      <c r="J69" s="73">
        <f>AVERAGE($D$61,$H$61)</f>
        <v>136.77904406242732</v>
      </c>
      <c r="K69" s="108"/>
    </row>
    <row r="70" spans="1:11" x14ac:dyDescent="0.25">
      <c r="B70" t="s">
        <v>140</v>
      </c>
      <c r="C70" s="72">
        <v>53971739.3904543</v>
      </c>
      <c r="D70" s="72">
        <v>2702252.97446245</v>
      </c>
      <c r="E70" t="s">
        <v>104</v>
      </c>
      <c r="F70" s="73">
        <f>$L$36</f>
        <v>222.70664377507313</v>
      </c>
      <c r="G70" s="108"/>
      <c r="H70" s="73">
        <f>$L$48</f>
        <v>363.90577377184457</v>
      </c>
      <c r="I70" s="108"/>
      <c r="J70" s="73">
        <f>$L$60</f>
        <v>505.10490376861594</v>
      </c>
      <c r="K70" s="108"/>
    </row>
    <row r="71" spans="1:11" x14ac:dyDescent="0.25">
      <c r="B71" t="s">
        <v>141</v>
      </c>
      <c r="C71" s="72">
        <v>6725993.8958437396</v>
      </c>
      <c r="D71" s="72">
        <v>336756.55475492397</v>
      </c>
      <c r="E71" t="s">
        <v>104</v>
      </c>
      <c r="F71" s="73">
        <f>$P$36</f>
        <v>222.70664377507313</v>
      </c>
      <c r="G71" s="108"/>
      <c r="H71" s="73">
        <f>$P$48</f>
        <v>363.90577377184451</v>
      </c>
      <c r="I71" s="108"/>
      <c r="J71" s="73">
        <f>$P$60</f>
        <v>505.10490376861594</v>
      </c>
      <c r="K71" s="108"/>
    </row>
    <row r="72" spans="1:11" x14ac:dyDescent="0.25">
      <c r="B72" t="s">
        <v>142</v>
      </c>
      <c r="C72" s="72">
        <v>10478543</v>
      </c>
      <c r="D72" s="72">
        <v>524639</v>
      </c>
      <c r="E72" t="s">
        <v>104</v>
      </c>
      <c r="F72" s="73">
        <f>$P$36</f>
        <v>222.70664377507313</v>
      </c>
      <c r="G72" s="108"/>
      <c r="H72" s="73">
        <f>$P$48</f>
        <v>363.90577377184451</v>
      </c>
      <c r="I72" s="108"/>
      <c r="J72" s="73">
        <f>$P$60</f>
        <v>505.10490376861594</v>
      </c>
      <c r="K72" s="108"/>
    </row>
    <row r="74" spans="1:11" ht="15.75" thickBot="1" x14ac:dyDescent="0.3"/>
    <row r="75" spans="1:11" s="3" customFormat="1" ht="18.75" x14ac:dyDescent="0.3">
      <c r="A75" s="2" t="s">
        <v>100</v>
      </c>
    </row>
    <row r="77" spans="1:11" x14ac:dyDescent="0.25">
      <c r="B77" s="14" t="s">
        <v>61</v>
      </c>
      <c r="C77" s="14" t="s">
        <v>101</v>
      </c>
    </row>
    <row r="78" spans="1:11" x14ac:dyDescent="0.25">
      <c r="B78" t="s">
        <v>143</v>
      </c>
      <c r="C78" s="47" t="s">
        <v>144</v>
      </c>
    </row>
    <row r="79" spans="1:11" x14ac:dyDescent="0.25">
      <c r="B79" t="s">
        <v>145</v>
      </c>
      <c r="C79" s="47" t="s">
        <v>144</v>
      </c>
    </row>
    <row r="80" spans="1:11" x14ac:dyDescent="0.25">
      <c r="B80" t="s">
        <v>146</v>
      </c>
      <c r="C80" s="47" t="s">
        <v>147</v>
      </c>
    </row>
    <row r="81" spans="2:3" x14ac:dyDescent="0.25">
      <c r="B81" t="s">
        <v>148</v>
      </c>
      <c r="C81" s="47" t="s">
        <v>149</v>
      </c>
    </row>
  </sheetData>
  <mergeCells count="4">
    <mergeCell ref="C66:D66"/>
    <mergeCell ref="G68:G72"/>
    <mergeCell ref="I68:I72"/>
    <mergeCell ref="K68:K72"/>
  </mergeCells>
  <hyperlinks>
    <hyperlink ref="C78" r:id="rId1"/>
    <hyperlink ref="C79" r:id="rId2"/>
    <hyperlink ref="C80" r:id="rId3"/>
    <hyperlink ref="C81" r:id="rId4"/>
  </hyperlinks>
  <pageMargins left="0.7" right="0.7" top="0.75" bottom="0.75" header="0.3" footer="0.3"/>
  <pageSetup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J26"/>
  <sheetViews>
    <sheetView showGridLines="0" zoomScale="110" zoomScaleNormal="110" workbookViewId="0">
      <selection activeCell="B23" sqref="B23:C24"/>
    </sheetView>
  </sheetViews>
  <sheetFormatPr defaultColWidth="8.5703125" defaultRowHeight="15" x14ac:dyDescent="0.25"/>
  <cols>
    <col min="2" max="2" width="26.42578125" bestFit="1" customWidth="1"/>
    <col min="3" max="3" width="11.140625" bestFit="1" customWidth="1"/>
    <col min="4" max="4" width="9.140625" customWidth="1"/>
    <col min="7" max="7" width="23" customWidth="1"/>
    <col min="8" max="8" width="37.5703125" bestFit="1" customWidth="1"/>
    <col min="9" max="9" width="18.42578125" bestFit="1" customWidth="1"/>
    <col min="10" max="10" width="19.140625" bestFit="1" customWidth="1"/>
  </cols>
  <sheetData>
    <row r="1" spans="1:10" ht="21" x14ac:dyDescent="0.35">
      <c r="A1" s="1" t="s">
        <v>150</v>
      </c>
    </row>
    <row r="2" spans="1:10" ht="15.75" thickBot="1" x14ac:dyDescent="0.3"/>
    <row r="3" spans="1:10" s="3" customFormat="1" ht="18.75" x14ac:dyDescent="0.3">
      <c r="A3" s="2" t="s">
        <v>59</v>
      </c>
    </row>
    <row r="5" spans="1:10" x14ac:dyDescent="0.25">
      <c r="B5" s="4" t="s">
        <v>12</v>
      </c>
      <c r="G5" s="4" t="s">
        <v>151</v>
      </c>
      <c r="H5" s="98" t="s">
        <v>131</v>
      </c>
    </row>
    <row r="6" spans="1:10" x14ac:dyDescent="0.25">
      <c r="B6" s="109" t="s">
        <v>152</v>
      </c>
      <c r="C6" s="107" t="s">
        <v>153</v>
      </c>
      <c r="D6" s="107"/>
      <c r="G6" s="14" t="s">
        <v>152</v>
      </c>
      <c r="H6" s="68" t="s">
        <v>154</v>
      </c>
      <c r="I6" s="14" t="s">
        <v>155</v>
      </c>
      <c r="J6" s="14" t="s">
        <v>156</v>
      </c>
    </row>
    <row r="7" spans="1:10" x14ac:dyDescent="0.25">
      <c r="B7" s="109"/>
      <c r="C7" s="98" t="s">
        <v>29</v>
      </c>
      <c r="D7" s="98" t="s">
        <v>30</v>
      </c>
      <c r="G7" t="s">
        <v>157</v>
      </c>
      <c r="H7" s="71">
        <v>0.62341637578460152</v>
      </c>
      <c r="I7" s="108" cm="1">
        <f t="array" ref="I7">SUMPRODUCT(C$15:C$17*$H$7:$H$9)/SUM($H$7:$H$9)</f>
        <v>101.72030399289154</v>
      </c>
      <c r="J7" s="108" cm="1">
        <f t="array" ref="J7">SUMPRODUCT(D$15:D$17*$H$7:$H$9)/SUM($H$7:$H$9)</f>
        <v>120.25467623439837</v>
      </c>
    </row>
    <row r="8" spans="1:10" x14ac:dyDescent="0.25">
      <c r="B8" s="67" t="s">
        <v>158</v>
      </c>
      <c r="C8" s="52"/>
      <c r="D8" s="52"/>
      <c r="G8" t="s">
        <v>159</v>
      </c>
      <c r="H8" s="71">
        <v>8.8201653794374426</v>
      </c>
      <c r="I8" s="108"/>
      <c r="J8" s="108"/>
    </row>
    <row r="9" spans="1:10" x14ac:dyDescent="0.25">
      <c r="B9" t="s">
        <v>157</v>
      </c>
      <c r="C9" s="69">
        <f>(65-11)*(Constants!$C$33/Constants!$C$32)</f>
        <v>55.31893766318538</v>
      </c>
      <c r="D9" s="69">
        <f>(77-11)*(Constants!$C$33/Constants!$C$32)</f>
        <v>67.612034921671011</v>
      </c>
      <c r="F9" s="37"/>
      <c r="G9" t="s">
        <v>140</v>
      </c>
      <c r="H9" s="71">
        <v>3.0471955057086717</v>
      </c>
      <c r="I9" s="108"/>
      <c r="J9" s="108"/>
    </row>
    <row r="10" spans="1:10" x14ac:dyDescent="0.25">
      <c r="B10" t="s">
        <v>159</v>
      </c>
      <c r="C10" s="69">
        <f>(103-11)*(Constants!$C$33/Constants!$C$32)</f>
        <v>94.247078981723234</v>
      </c>
      <c r="D10" s="69">
        <f>(124-11)*(Constants!$C$33/Constants!$C$32)</f>
        <v>115.75999918407311</v>
      </c>
    </row>
    <row r="11" spans="1:10" x14ac:dyDescent="0.25">
      <c r="B11" t="s">
        <v>140</v>
      </c>
      <c r="C11" s="69">
        <f>AVERAGE(44.4,54.9)*(Constants!$C$33/Constants!$C$32)</f>
        <v>50.862689906984329</v>
      </c>
      <c r="D11" s="69">
        <f>C11+(0.22*C11)</f>
        <v>62.052481686520878</v>
      </c>
      <c r="E11" s="37"/>
    </row>
    <row r="12" spans="1:10" x14ac:dyDescent="0.25">
      <c r="B12" s="67" t="s">
        <v>160</v>
      </c>
      <c r="C12" s="52"/>
      <c r="D12" s="52"/>
    </row>
    <row r="13" spans="1:10" x14ac:dyDescent="0.25">
      <c r="B13" t="s">
        <v>161</v>
      </c>
      <c r="C13" s="70">
        <v>20</v>
      </c>
      <c r="D13" s="70">
        <v>20</v>
      </c>
    </row>
    <row r="14" spans="1:10" x14ac:dyDescent="0.25">
      <c r="B14" s="67" t="s">
        <v>162</v>
      </c>
      <c r="C14" s="52"/>
      <c r="D14" s="52"/>
    </row>
    <row r="15" spans="1:10" x14ac:dyDescent="0.25">
      <c r="B15" t="s">
        <v>157</v>
      </c>
      <c r="C15" s="19">
        <f>C9+$C$13</f>
        <v>75.31893766318538</v>
      </c>
      <c r="D15" s="19">
        <f t="shared" ref="D15" si="0">D9+$C$13</f>
        <v>87.612034921671011</v>
      </c>
    </row>
    <row r="16" spans="1:10" x14ac:dyDescent="0.25">
      <c r="B16" t="s">
        <v>159</v>
      </c>
      <c r="C16" s="19">
        <f t="shared" ref="C16" si="1">C10+$C$13</f>
        <v>114.24707898172323</v>
      </c>
      <c r="D16" s="19">
        <f t="shared" ref="D16" si="2">D10+$C$13</f>
        <v>135.75999918407311</v>
      </c>
    </row>
    <row r="17" spans="1:7" x14ac:dyDescent="0.25">
      <c r="B17" t="s">
        <v>140</v>
      </c>
      <c r="C17" s="19">
        <f>C11+$C$13</f>
        <v>70.862689906984329</v>
      </c>
      <c r="D17" s="19">
        <f t="shared" ref="D17" si="3">D11+$C$13</f>
        <v>82.052481686520878</v>
      </c>
    </row>
    <row r="18" spans="1:7" x14ac:dyDescent="0.25">
      <c r="G18" s="15"/>
    </row>
    <row r="20" spans="1:7" ht="15.75" thickBot="1" x14ac:dyDescent="0.3"/>
    <row r="21" spans="1:7" s="3" customFormat="1" ht="18.75" x14ac:dyDescent="0.3">
      <c r="A21" s="2" t="s">
        <v>100</v>
      </c>
    </row>
    <row r="23" spans="1:7" x14ac:dyDescent="0.25">
      <c r="B23" s="14" t="s">
        <v>61</v>
      </c>
      <c r="C23" s="14" t="s">
        <v>101</v>
      </c>
    </row>
    <row r="24" spans="1:7" x14ac:dyDescent="0.25">
      <c r="B24" t="s">
        <v>157</v>
      </c>
      <c r="C24" s="47" t="s">
        <v>163</v>
      </c>
    </row>
    <row r="25" spans="1:7" x14ac:dyDescent="0.25">
      <c r="B25" t="s">
        <v>159</v>
      </c>
      <c r="C25" s="47" t="s">
        <v>163</v>
      </c>
    </row>
    <row r="26" spans="1:7" x14ac:dyDescent="0.25">
      <c r="B26" t="s">
        <v>140</v>
      </c>
      <c r="C26" s="47" t="s">
        <v>164</v>
      </c>
    </row>
  </sheetData>
  <mergeCells count="4">
    <mergeCell ref="B6:B7"/>
    <mergeCell ref="C6:D6"/>
    <mergeCell ref="I7:I9"/>
    <mergeCell ref="J7:J9"/>
  </mergeCells>
  <hyperlinks>
    <hyperlink ref="C24" r:id="rId1"/>
    <hyperlink ref="C25" r:id="rId2"/>
    <hyperlink ref="C26" r:id="rId3"/>
  </hyperlinks>
  <pageMargins left="0.7" right="0.7" top="0.75" bottom="0.75" header="0.3" footer="0.3"/>
  <pageSetup orientation="portrait" r:id="rId4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E44"/>
  <sheetViews>
    <sheetView showGridLines="0" topLeftCell="A6" zoomScale="110" zoomScaleNormal="110" workbookViewId="0">
      <selection activeCell="N34" sqref="N34"/>
    </sheetView>
  </sheetViews>
  <sheetFormatPr defaultColWidth="8.5703125" defaultRowHeight="15" x14ac:dyDescent="0.25"/>
  <cols>
    <col min="1" max="1" width="13.42578125" customWidth="1"/>
    <col min="2" max="2" width="43.140625" bestFit="1" customWidth="1"/>
    <col min="3" max="3" width="13.42578125" bestFit="1" customWidth="1"/>
    <col min="4" max="4" width="27.42578125" bestFit="1" customWidth="1"/>
    <col min="5" max="5" width="25" bestFit="1" customWidth="1"/>
  </cols>
  <sheetData>
    <row r="1" spans="1:4" ht="21" x14ac:dyDescent="0.35">
      <c r="A1" s="1" t="s">
        <v>165</v>
      </c>
    </row>
    <row r="2" spans="1:4" ht="15.75" thickBot="1" x14ac:dyDescent="0.3"/>
    <row r="3" spans="1:4" s="3" customFormat="1" ht="18.75" x14ac:dyDescent="0.3">
      <c r="A3" s="2" t="s">
        <v>44</v>
      </c>
    </row>
    <row r="5" spans="1:4" x14ac:dyDescent="0.25">
      <c r="B5" s="4" t="s">
        <v>45</v>
      </c>
    </row>
    <row r="6" spans="1:4" x14ac:dyDescent="0.25">
      <c r="B6" s="5" t="s">
        <v>46</v>
      </c>
      <c r="C6" s="5" t="s">
        <v>47</v>
      </c>
      <c r="D6" s="5" t="s">
        <v>48</v>
      </c>
    </row>
    <row r="7" spans="1:4" x14ac:dyDescent="0.25">
      <c r="B7" s="6" t="s">
        <v>71</v>
      </c>
      <c r="C7" s="6" t="s">
        <v>72</v>
      </c>
      <c r="D7" s="6">
        <v>25</v>
      </c>
    </row>
    <row r="8" spans="1:4" x14ac:dyDescent="0.25">
      <c r="B8" s="6" t="s">
        <v>74</v>
      </c>
      <c r="C8" s="6" t="s">
        <v>75</v>
      </c>
      <c r="D8" s="7">
        <v>0.05</v>
      </c>
    </row>
    <row r="9" spans="1:4" x14ac:dyDescent="0.25">
      <c r="B9" s="6" t="s">
        <v>54</v>
      </c>
      <c r="C9" s="6" t="s">
        <v>77</v>
      </c>
      <c r="D9" s="8">
        <f>'Fuel Costs - PATHWAYS'!$E$19*(Constants!$C$33/Constants!$C$27)*Constants!$D$5/1000</f>
        <v>6.5242598122280206</v>
      </c>
    </row>
    <row r="10" spans="1:4" x14ac:dyDescent="0.25">
      <c r="B10" s="6" t="s">
        <v>166</v>
      </c>
      <c r="C10" s="6" t="s">
        <v>77</v>
      </c>
      <c r="D10" s="8">
        <v>59.43</v>
      </c>
    </row>
    <row r="11" spans="1:4" x14ac:dyDescent="0.25">
      <c r="B11" s="6" t="s">
        <v>167</v>
      </c>
      <c r="C11" s="6" t="s">
        <v>77</v>
      </c>
      <c r="D11" s="8">
        <v>28.55</v>
      </c>
    </row>
    <row r="12" spans="1:4" x14ac:dyDescent="0.25">
      <c r="B12" s="6" t="s">
        <v>168</v>
      </c>
      <c r="C12" s="6" t="s">
        <v>77</v>
      </c>
      <c r="D12" s="10">
        <v>21</v>
      </c>
    </row>
    <row r="13" spans="1:4" x14ac:dyDescent="0.25">
      <c r="B13" s="6" t="s">
        <v>169</v>
      </c>
      <c r="C13" s="6" t="s">
        <v>77</v>
      </c>
      <c r="D13" s="8">
        <v>10.5</v>
      </c>
    </row>
    <row r="14" spans="1:4" x14ac:dyDescent="0.25">
      <c r="B14" s="6" t="s">
        <v>170</v>
      </c>
      <c r="C14" s="6" t="s">
        <v>51</v>
      </c>
      <c r="D14" s="10">
        <v>4</v>
      </c>
    </row>
    <row r="16" spans="1:4" x14ac:dyDescent="0.25">
      <c r="B16" s="4" t="s">
        <v>80</v>
      </c>
    </row>
    <row r="17" spans="1:5" x14ac:dyDescent="0.25">
      <c r="B17" s="5" t="s">
        <v>46</v>
      </c>
      <c r="C17" s="5" t="s">
        <v>47</v>
      </c>
      <c r="D17" s="5" t="s">
        <v>171</v>
      </c>
      <c r="E17" s="5" t="s">
        <v>172</v>
      </c>
    </row>
    <row r="18" spans="1:5" x14ac:dyDescent="0.25">
      <c r="B18" s="6" t="s">
        <v>173</v>
      </c>
      <c r="C18" s="6" t="s">
        <v>65</v>
      </c>
      <c r="D18" s="10">
        <v>87540</v>
      </c>
      <c r="E18" s="10">
        <v>87540</v>
      </c>
    </row>
    <row r="19" spans="1:5" x14ac:dyDescent="0.25">
      <c r="B19" s="6" t="s">
        <v>174</v>
      </c>
      <c r="C19" s="6" t="s">
        <v>65</v>
      </c>
      <c r="D19" s="10">
        <f>D18*1.5</f>
        <v>131310</v>
      </c>
      <c r="E19" s="10">
        <v>87540</v>
      </c>
    </row>
    <row r="20" spans="1:5" x14ac:dyDescent="0.25">
      <c r="B20" s="6" t="s">
        <v>175</v>
      </c>
      <c r="C20" s="6" t="s">
        <v>75</v>
      </c>
      <c r="D20" s="7">
        <f>E20</f>
        <v>0.8</v>
      </c>
      <c r="E20" s="36">
        <v>0.8</v>
      </c>
    </row>
    <row r="21" spans="1:5" x14ac:dyDescent="0.25">
      <c r="B21" s="6" t="s">
        <v>85</v>
      </c>
      <c r="C21" s="6" t="s">
        <v>86</v>
      </c>
      <c r="D21" s="11">
        <v>3.3475000000000001</v>
      </c>
      <c r="E21" s="11">
        <v>3.3475000000000001</v>
      </c>
    </row>
    <row r="22" spans="1:5" x14ac:dyDescent="0.25">
      <c r="B22" s="6" t="s">
        <v>87</v>
      </c>
      <c r="C22" s="6" t="s">
        <v>88</v>
      </c>
      <c r="D22" s="13">
        <v>5280</v>
      </c>
      <c r="E22" s="13">
        <v>5280</v>
      </c>
    </row>
    <row r="23" spans="1:5" x14ac:dyDescent="0.25">
      <c r="B23" s="6" t="s">
        <v>89</v>
      </c>
      <c r="C23" s="6" t="s">
        <v>90</v>
      </c>
      <c r="D23" s="13">
        <f>D21*D22</f>
        <v>17674.8</v>
      </c>
      <c r="E23" s="13">
        <f>E21*E22</f>
        <v>17674.8</v>
      </c>
    </row>
    <row r="25" spans="1:5" s="54" customFormat="1" x14ac:dyDescent="0.25">
      <c r="A25" s="53" t="s">
        <v>176</v>
      </c>
    </row>
    <row r="26" spans="1:5" x14ac:dyDescent="0.25">
      <c r="B26" s="4" t="s">
        <v>177</v>
      </c>
    </row>
    <row r="27" spans="1:5" x14ac:dyDescent="0.25">
      <c r="B27" s="14" t="s">
        <v>61</v>
      </c>
      <c r="C27" s="14" t="s">
        <v>47</v>
      </c>
      <c r="D27" s="14" t="s">
        <v>178</v>
      </c>
      <c r="E27" s="14" t="s">
        <v>179</v>
      </c>
    </row>
    <row r="28" spans="1:5" x14ac:dyDescent="0.25">
      <c r="B28" t="s">
        <v>180</v>
      </c>
      <c r="C28" t="s">
        <v>181</v>
      </c>
      <c r="D28" s="15">
        <f>-PMT($D$8,$D$7,(D19-D18))</f>
        <v>3105.5890559872805</v>
      </c>
      <c r="E28" s="15">
        <f>-PMT($D$8,$D$7,(E19-E18))</f>
        <v>0</v>
      </c>
    </row>
    <row r="29" spans="1:5" x14ac:dyDescent="0.25">
      <c r="B29" t="s">
        <v>182</v>
      </c>
      <c r="C29" t="s">
        <v>181</v>
      </c>
      <c r="D29" s="15">
        <f>(D12+D14)*D23</f>
        <v>441870</v>
      </c>
      <c r="E29" s="15">
        <f>(D13+D14)*E23</f>
        <v>256284.59999999998</v>
      </c>
    </row>
    <row r="30" spans="1:5" x14ac:dyDescent="0.25">
      <c r="B30" t="s">
        <v>183</v>
      </c>
      <c r="C30" t="s">
        <v>181</v>
      </c>
      <c r="D30" s="15">
        <f>D23*$D$9</f>
        <v>115314.98732916781</v>
      </c>
      <c r="E30" s="15">
        <f>E23*$D$9</f>
        <v>115314.98732916781</v>
      </c>
    </row>
    <row r="31" spans="1:5" x14ac:dyDescent="0.25">
      <c r="B31" t="s">
        <v>184</v>
      </c>
      <c r="C31" t="s">
        <v>96</v>
      </c>
      <c r="D31" s="38">
        <f>D23*Constants!$D$17/1000</f>
        <v>938.00163599999996</v>
      </c>
      <c r="E31" s="38">
        <f>E23*Constants!$D$17/1000</f>
        <v>938.00163599999996</v>
      </c>
    </row>
    <row r="32" spans="1:5" x14ac:dyDescent="0.25">
      <c r="B32" s="39" t="s">
        <v>66</v>
      </c>
      <c r="C32" s="39" t="s">
        <v>67</v>
      </c>
      <c r="D32" s="40">
        <f>(SUM(D28:D29)-D30)/D31</f>
        <v>351.44992191337667</v>
      </c>
      <c r="E32" s="40">
        <f>(SUM(E28:E29)-E30)/E31</f>
        <v>150.28717142965854</v>
      </c>
    </row>
    <row r="34" spans="1:5" x14ac:dyDescent="0.25">
      <c r="D34" s="37"/>
      <c r="E34" s="37"/>
    </row>
    <row r="35" spans="1:5" x14ac:dyDescent="0.25">
      <c r="B35" s="4" t="s">
        <v>185</v>
      </c>
    </row>
    <row r="36" spans="1:5" x14ac:dyDescent="0.25">
      <c r="B36" s="39" t="s">
        <v>66</v>
      </c>
      <c r="C36" s="39" t="s">
        <v>67</v>
      </c>
      <c r="D36" s="40">
        <f>(D$29-D$30)/D$31</f>
        <v>348.1390651549271</v>
      </c>
      <c r="E36" s="40">
        <f>(E$29-E$30)/E$31</f>
        <v>150.28717142965854</v>
      </c>
    </row>
    <row r="38" spans="1:5" x14ac:dyDescent="0.25">
      <c r="B38" s="4" t="s">
        <v>186</v>
      </c>
    </row>
    <row r="39" spans="1:5" x14ac:dyDescent="0.25">
      <c r="B39" s="39" t="s">
        <v>66</v>
      </c>
      <c r="C39" s="39" t="s">
        <v>67</v>
      </c>
      <c r="D39" s="40">
        <f>(D10-$D$9)/(natural_gas_emissions_intensity/1000)</f>
        <v>996.90484619883136</v>
      </c>
      <c r="E39" s="40">
        <f>(D11-$D$9)/(natural_gas_emissions_intensity/1000)</f>
        <v>415.03184827156548</v>
      </c>
    </row>
    <row r="42" spans="1:5" s="54" customFormat="1" x14ac:dyDescent="0.25">
      <c r="A42" s="53" t="s">
        <v>100</v>
      </c>
    </row>
    <row r="43" spans="1:5" x14ac:dyDescent="0.25">
      <c r="B43" s="14" t="s">
        <v>61</v>
      </c>
      <c r="C43" s="14" t="s">
        <v>101</v>
      </c>
    </row>
    <row r="44" spans="1:5" x14ac:dyDescent="0.25">
      <c r="B44" t="s">
        <v>187</v>
      </c>
      <c r="C44" s="47" t="s">
        <v>188</v>
      </c>
    </row>
  </sheetData>
  <hyperlinks>
    <hyperlink ref="C44" r:id="rId1"/>
  </hyperlinks>
  <pageMargins left="0.7" right="0.7" top="0.75" bottom="0.75" header="0.3" footer="0.3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Z82"/>
  <sheetViews>
    <sheetView showGridLines="0" zoomScale="110" zoomScaleNormal="110" workbookViewId="0">
      <selection activeCell="F74" sqref="F74:G74"/>
    </sheetView>
  </sheetViews>
  <sheetFormatPr defaultColWidth="8.5703125" defaultRowHeight="15" x14ac:dyDescent="0.25"/>
  <cols>
    <col min="1" max="1" width="14" bestFit="1" customWidth="1"/>
    <col min="2" max="2" width="36.5703125" customWidth="1"/>
    <col min="3" max="3" width="15.5703125" bestFit="1" customWidth="1"/>
    <col min="4" max="5" width="14.42578125" bestFit="1" customWidth="1"/>
    <col min="6" max="6" width="12.42578125" bestFit="1" customWidth="1"/>
    <col min="7" max="7" width="26" customWidth="1"/>
    <col min="8" max="8" width="21.42578125" customWidth="1"/>
    <col min="9" max="9" width="17.140625" customWidth="1"/>
    <col min="10" max="10" width="11" bestFit="1" customWidth="1"/>
    <col min="12" max="12" width="27.5703125" bestFit="1" customWidth="1"/>
    <col min="13" max="13" width="9.5703125" bestFit="1" customWidth="1"/>
    <col min="14" max="14" width="9" bestFit="1" customWidth="1"/>
    <col min="15" max="15" width="11" bestFit="1" customWidth="1"/>
    <col min="17" max="17" width="27.5703125" bestFit="1" customWidth="1"/>
    <col min="18" max="18" width="9.5703125" bestFit="1" customWidth="1"/>
    <col min="19" max="19" width="9" bestFit="1" customWidth="1"/>
    <col min="20" max="20" width="11" bestFit="1" customWidth="1"/>
    <col min="22" max="22" width="27.5703125" bestFit="1" customWidth="1"/>
    <col min="23" max="23" width="9.5703125" bestFit="1" customWidth="1"/>
    <col min="24" max="24" width="9" bestFit="1" customWidth="1"/>
    <col min="25" max="25" width="9" customWidth="1"/>
    <col min="26" max="26" width="11" bestFit="1" customWidth="1"/>
  </cols>
  <sheetData>
    <row r="1" spans="1:22" ht="21" x14ac:dyDescent="0.35">
      <c r="A1" s="1" t="s">
        <v>189</v>
      </c>
    </row>
    <row r="2" spans="1:22" ht="15.75" thickBot="1" x14ac:dyDescent="0.3"/>
    <row r="3" spans="1:22" s="3" customFormat="1" ht="18.75" x14ac:dyDescent="0.3">
      <c r="A3" s="2" t="s">
        <v>190</v>
      </c>
    </row>
    <row r="5" spans="1:22" x14ac:dyDescent="0.25">
      <c r="B5" s="4" t="s">
        <v>45</v>
      </c>
      <c r="G5" s="4" t="s">
        <v>69</v>
      </c>
    </row>
    <row r="6" spans="1:22" x14ac:dyDescent="0.25">
      <c r="B6" s="5" t="s">
        <v>46</v>
      </c>
      <c r="C6" s="5" t="s">
        <v>47</v>
      </c>
      <c r="D6" s="5" t="s">
        <v>48</v>
      </c>
      <c r="G6" s="5" t="s">
        <v>70</v>
      </c>
      <c r="H6" s="5" t="s">
        <v>47</v>
      </c>
      <c r="I6" s="5" t="s">
        <v>48</v>
      </c>
    </row>
    <row r="7" spans="1:22" x14ac:dyDescent="0.25">
      <c r="B7" s="6" t="s">
        <v>191</v>
      </c>
      <c r="C7" s="6" t="s">
        <v>72</v>
      </c>
      <c r="D7" s="6">
        <v>18</v>
      </c>
      <c r="G7" s="6" t="s">
        <v>29</v>
      </c>
      <c r="H7" s="6" t="s">
        <v>73</v>
      </c>
      <c r="I7" s="8">
        <f>I8-0.05</f>
        <v>0.11838494712239854</v>
      </c>
    </row>
    <row r="8" spans="1:22" x14ac:dyDescent="0.25">
      <c r="B8" s="6" t="s">
        <v>192</v>
      </c>
      <c r="C8" s="6" t="s">
        <v>72</v>
      </c>
      <c r="D8" s="6">
        <v>20</v>
      </c>
      <c r="G8" s="6" t="s">
        <v>76</v>
      </c>
      <c r="H8" s="6" t="s">
        <v>73</v>
      </c>
      <c r="I8" s="8">
        <f>'Fuel Costs - PATHWAYS'!$D$7*(Constants!$C$33/Constants!$C$27)/10^9*Constants!$D$5*kWh_to_Btu</f>
        <v>0.16838494712239854</v>
      </c>
    </row>
    <row r="9" spans="1:22" x14ac:dyDescent="0.25">
      <c r="B9" s="6" t="s">
        <v>74</v>
      </c>
      <c r="C9" s="6" t="s">
        <v>75</v>
      </c>
      <c r="D9" s="7">
        <v>0.05</v>
      </c>
      <c r="G9" s="6" t="s">
        <v>30</v>
      </c>
      <c r="H9" s="6" t="s">
        <v>73</v>
      </c>
      <c r="I9" s="8">
        <f>I8+0.05</f>
        <v>0.21838494712239853</v>
      </c>
    </row>
    <row r="10" spans="1:22" x14ac:dyDescent="0.25">
      <c r="B10" s="6" t="s">
        <v>70</v>
      </c>
      <c r="C10" s="6" t="s">
        <v>73</v>
      </c>
      <c r="D10" s="8">
        <f>I8</f>
        <v>0.16838494712239854</v>
      </c>
    </row>
    <row r="11" spans="1:22" x14ac:dyDescent="0.25">
      <c r="B11" s="6" t="s">
        <v>193</v>
      </c>
      <c r="C11" s="6" t="s">
        <v>194</v>
      </c>
      <c r="D11" s="8">
        <f>'Fuel Costs - PATHWAYS'!$D$20*(Constants!C33/Constants!C27)/10^9*Constants!D5*Constants!D11</f>
        <v>4.1232436726381909</v>
      </c>
      <c r="E11" s="37"/>
      <c r="G11" s="4" t="s">
        <v>69</v>
      </c>
    </row>
    <row r="12" spans="1:22" x14ac:dyDescent="0.25">
      <c r="B12" s="6" t="s">
        <v>195</v>
      </c>
      <c r="C12" s="6" t="s">
        <v>196</v>
      </c>
      <c r="D12" s="8">
        <f>I13</f>
        <v>1.9503949999999999</v>
      </c>
      <c r="E12" s="37"/>
      <c r="G12" s="5" t="s">
        <v>195</v>
      </c>
      <c r="H12" s="5" t="s">
        <v>47</v>
      </c>
      <c r="I12" s="5" t="s">
        <v>48</v>
      </c>
    </row>
    <row r="13" spans="1:22" x14ac:dyDescent="0.25">
      <c r="B13" s="6" t="s">
        <v>78</v>
      </c>
      <c r="C13" s="6" t="s">
        <v>79</v>
      </c>
      <c r="D13" s="9">
        <f>'Emission Factors - PATHWAYS'!$D$7/10^9*Constants!$D$6</f>
        <v>6.3954140084752677E-3</v>
      </c>
      <c r="G13" s="6" t="s">
        <v>29</v>
      </c>
      <c r="H13" s="6" t="s">
        <v>196</v>
      </c>
      <c r="I13" s="8">
        <f>('Industry Hydrogen &amp; SNG'!D13+'Industry Hydrogen &amp; SNG'!D14)*H2_kg_to_MMBtu</f>
        <v>1.9503949999999999</v>
      </c>
    </row>
    <row r="14" spans="1:22" x14ac:dyDescent="0.25">
      <c r="B14" s="6" t="s">
        <v>197</v>
      </c>
      <c r="C14" s="6" t="s">
        <v>198</v>
      </c>
      <c r="D14" s="9">
        <f>'Emission Factors - PATHWAYS'!$D$20/10^9*Constants!$D$5*Constants!$D$11</f>
        <v>9.4961565770639993</v>
      </c>
      <c r="G14" s="6" t="s">
        <v>30</v>
      </c>
      <c r="H14" s="6" t="s">
        <v>196</v>
      </c>
      <c r="I14" s="8">
        <f>'Fuel Costs - PATHWAYS'!$D$10*(Constants!$C$33/Constants!$C$27)/10^9*Constants!$D$5*10^6*H2_kg_to_MMBtu</f>
        <v>7.2504201850626186</v>
      </c>
    </row>
    <row r="16" spans="1:22" x14ac:dyDescent="0.25">
      <c r="B16" s="4" t="s">
        <v>199</v>
      </c>
      <c r="G16" s="4" t="s">
        <v>200</v>
      </c>
      <c r="L16" s="4" t="s">
        <v>201</v>
      </c>
      <c r="Q16" s="4" t="s">
        <v>202</v>
      </c>
      <c r="V16" s="4" t="s">
        <v>203</v>
      </c>
    </row>
    <row r="17" spans="1:26" x14ac:dyDescent="0.25">
      <c r="B17" s="5" t="s">
        <v>46</v>
      </c>
      <c r="C17" s="5" t="s">
        <v>47</v>
      </c>
      <c r="D17" s="5" t="s">
        <v>204</v>
      </c>
      <c r="E17" s="5" t="s">
        <v>205</v>
      </c>
      <c r="G17" s="5" t="s">
        <v>46</v>
      </c>
      <c r="H17" s="5" t="s">
        <v>47</v>
      </c>
      <c r="I17" s="5" t="s">
        <v>204</v>
      </c>
      <c r="J17" s="5" t="s">
        <v>205</v>
      </c>
      <c r="L17" s="5" t="s">
        <v>46</v>
      </c>
      <c r="M17" s="5" t="s">
        <v>47</v>
      </c>
      <c r="N17" s="5" t="s">
        <v>204</v>
      </c>
      <c r="O17" s="5" t="s">
        <v>205</v>
      </c>
      <c r="Q17" s="5" t="s">
        <v>46</v>
      </c>
      <c r="R17" s="5" t="s">
        <v>47</v>
      </c>
      <c r="S17" s="5" t="s">
        <v>204</v>
      </c>
      <c r="T17" s="5" t="s">
        <v>205</v>
      </c>
      <c r="V17" s="5" t="s">
        <v>46</v>
      </c>
      <c r="W17" s="5" t="s">
        <v>47</v>
      </c>
      <c r="X17" s="5" t="s">
        <v>204</v>
      </c>
      <c r="Y17" s="5" t="s">
        <v>206</v>
      </c>
      <c r="Z17" s="5" t="s">
        <v>205</v>
      </c>
    </row>
    <row r="18" spans="1:26" x14ac:dyDescent="0.25">
      <c r="B18" s="6" t="s">
        <v>207</v>
      </c>
      <c r="C18" s="6" t="s">
        <v>208</v>
      </c>
      <c r="D18" s="10">
        <v>60000</v>
      </c>
      <c r="E18" s="10">
        <v>50000</v>
      </c>
      <c r="G18" s="6" t="s">
        <v>207</v>
      </c>
      <c r="H18" s="6" t="s">
        <v>208</v>
      </c>
      <c r="I18" s="10">
        <v>76000</v>
      </c>
      <c r="J18" s="10">
        <v>55000</v>
      </c>
      <c r="L18" s="6" t="s">
        <v>207</v>
      </c>
      <c r="M18" s="6" t="s">
        <v>208</v>
      </c>
      <c r="N18" s="10">
        <v>110000</v>
      </c>
      <c r="O18" s="10">
        <v>85000</v>
      </c>
      <c r="Q18" s="6" t="s">
        <v>207</v>
      </c>
      <c r="R18" s="6" t="s">
        <v>208</v>
      </c>
      <c r="S18" s="10">
        <v>149199</v>
      </c>
      <c r="T18" s="10">
        <v>120000</v>
      </c>
      <c r="V18" s="6" t="s">
        <v>207</v>
      </c>
      <c r="W18" s="6" t="s">
        <v>208</v>
      </c>
      <c r="X18" s="10">
        <v>170748</v>
      </c>
      <c r="Y18" s="10">
        <v>190155</v>
      </c>
      <c r="Z18" s="10">
        <v>130000</v>
      </c>
    </row>
    <row r="19" spans="1:26" x14ac:dyDescent="0.25">
      <c r="B19" s="6" t="s">
        <v>209</v>
      </c>
      <c r="C19" s="6" t="s">
        <v>210</v>
      </c>
      <c r="D19" s="11">
        <v>2.1</v>
      </c>
      <c r="E19" s="6"/>
      <c r="G19" s="6" t="s">
        <v>209</v>
      </c>
      <c r="H19" s="6" t="s">
        <v>210</v>
      </c>
      <c r="I19" s="11">
        <v>1.3</v>
      </c>
      <c r="J19" s="6"/>
      <c r="L19" s="6" t="s">
        <v>209</v>
      </c>
      <c r="M19" s="6" t="s">
        <v>210</v>
      </c>
      <c r="N19" s="11">
        <v>0.8</v>
      </c>
      <c r="O19" s="6"/>
      <c r="Q19" s="6" t="s">
        <v>209</v>
      </c>
      <c r="R19" s="6" t="s">
        <v>210</v>
      </c>
      <c r="S19" s="11">
        <v>0.7</v>
      </c>
      <c r="T19" s="6"/>
      <c r="V19" s="6" t="s">
        <v>209</v>
      </c>
      <c r="W19" s="6" t="s">
        <v>210</v>
      </c>
      <c r="X19" s="11">
        <v>0.6</v>
      </c>
      <c r="Y19" s="11"/>
      <c r="Z19" s="6"/>
    </row>
    <row r="20" spans="1:26" x14ac:dyDescent="0.25">
      <c r="B20" s="6" t="s">
        <v>209</v>
      </c>
      <c r="C20" s="6" t="s">
        <v>211</v>
      </c>
      <c r="D20" s="12">
        <f>D19/Constants!$D$10</f>
        <v>67.741935483870975</v>
      </c>
      <c r="E20" s="6">
        <v>24.8</v>
      </c>
      <c r="G20" s="6" t="s">
        <v>209</v>
      </c>
      <c r="H20" s="6" t="s">
        <v>211</v>
      </c>
      <c r="I20" s="12">
        <f>I19/Constants!$D$10</f>
        <v>41.935483870967744</v>
      </c>
      <c r="J20" s="6">
        <v>14.3</v>
      </c>
      <c r="L20" s="6" t="s">
        <v>209</v>
      </c>
      <c r="M20" s="6" t="s">
        <v>211</v>
      </c>
      <c r="N20" s="12">
        <f>N19/Constants!$D$10</f>
        <v>25.806451612903228</v>
      </c>
      <c r="O20" s="6">
        <v>8.1</v>
      </c>
      <c r="Q20" s="6" t="s">
        <v>209</v>
      </c>
      <c r="R20" s="6" t="s">
        <v>211</v>
      </c>
      <c r="S20" s="12">
        <f>S19/Constants!$D$10</f>
        <v>22.58064516129032</v>
      </c>
      <c r="T20" s="6">
        <v>8.1</v>
      </c>
      <c r="V20" s="6" t="s">
        <v>209</v>
      </c>
      <c r="W20" s="6" t="s">
        <v>212</v>
      </c>
      <c r="X20" s="11"/>
      <c r="Y20" s="11">
        <v>17.5</v>
      </c>
      <c r="Z20" s="6"/>
    </row>
    <row r="21" spans="1:26" x14ac:dyDescent="0.25">
      <c r="B21" s="6" t="s">
        <v>213</v>
      </c>
      <c r="C21" s="6" t="s">
        <v>214</v>
      </c>
      <c r="D21" s="8">
        <v>0.128</v>
      </c>
      <c r="E21" s="8">
        <v>0.17</v>
      </c>
      <c r="G21" s="6" t="s">
        <v>213</v>
      </c>
      <c r="H21" s="6" t="s">
        <v>214</v>
      </c>
      <c r="I21" s="8">
        <v>0.23300000000000001</v>
      </c>
      <c r="J21" s="8">
        <v>0.31</v>
      </c>
      <c r="L21" s="6" t="s">
        <v>213</v>
      </c>
      <c r="M21" s="6" t="s">
        <v>214</v>
      </c>
      <c r="N21" s="8">
        <v>0.23300000000000001</v>
      </c>
      <c r="O21" s="8">
        <v>0.31</v>
      </c>
      <c r="Q21" s="6" t="s">
        <v>213</v>
      </c>
      <c r="R21" s="6" t="s">
        <v>214</v>
      </c>
      <c r="S21" s="8">
        <v>0.23300000000000001</v>
      </c>
      <c r="T21" s="8">
        <v>0.31</v>
      </c>
      <c r="V21" s="6" t="s">
        <v>209</v>
      </c>
      <c r="W21" s="6" t="s">
        <v>211</v>
      </c>
      <c r="X21" s="12">
        <f>X19/Constants!$D$10</f>
        <v>19.35483870967742</v>
      </c>
      <c r="Y21" s="12">
        <f>Y20*(Constants!$D$9)</f>
        <v>17.8325</v>
      </c>
      <c r="Z21" s="6">
        <v>9.1999999999999993</v>
      </c>
    </row>
    <row r="22" spans="1:26" x14ac:dyDescent="0.25">
      <c r="B22" s="6" t="s">
        <v>215</v>
      </c>
      <c r="C22" s="6" t="s">
        <v>216</v>
      </c>
      <c r="D22" s="110">
        <v>20000</v>
      </c>
      <c r="E22" s="111"/>
      <c r="G22" s="6" t="s">
        <v>215</v>
      </c>
      <c r="H22" s="6" t="s">
        <v>216</v>
      </c>
      <c r="I22" s="110">
        <v>31000</v>
      </c>
      <c r="J22" s="111"/>
      <c r="L22" s="6" t="s">
        <v>215</v>
      </c>
      <c r="M22" s="6" t="s">
        <v>216</v>
      </c>
      <c r="N22" s="110">
        <v>31000</v>
      </c>
      <c r="O22" s="111"/>
      <c r="Q22" s="6" t="s">
        <v>215</v>
      </c>
      <c r="R22" s="6" t="s">
        <v>216</v>
      </c>
      <c r="S22" s="110">
        <v>27500</v>
      </c>
      <c r="T22" s="111"/>
      <c r="V22" s="6" t="s">
        <v>213</v>
      </c>
      <c r="W22" s="6" t="s">
        <v>214</v>
      </c>
      <c r="X22" s="8">
        <v>0.14199999999999999</v>
      </c>
      <c r="Y22" s="8">
        <v>0.19</v>
      </c>
      <c r="Z22" s="8">
        <v>0.19</v>
      </c>
    </row>
    <row r="23" spans="1:26" x14ac:dyDescent="0.25">
      <c r="B23" s="6" t="s">
        <v>217</v>
      </c>
      <c r="C23" s="6" t="s">
        <v>65</v>
      </c>
      <c r="D23" s="10">
        <v>5000</v>
      </c>
      <c r="E23" s="10"/>
      <c r="G23" s="6" t="s">
        <v>217</v>
      </c>
      <c r="H23" s="6" t="s">
        <v>65</v>
      </c>
      <c r="I23" s="10">
        <v>5000</v>
      </c>
      <c r="J23" s="10"/>
      <c r="L23" s="6" t="s">
        <v>218</v>
      </c>
      <c r="M23" s="6" t="s">
        <v>65</v>
      </c>
      <c r="N23" s="10">
        <v>50000</v>
      </c>
      <c r="O23" s="10"/>
      <c r="Q23" s="6" t="s">
        <v>219</v>
      </c>
      <c r="R23" s="6" t="s">
        <v>65</v>
      </c>
      <c r="S23" s="10">
        <v>50000</v>
      </c>
      <c r="T23" s="10"/>
      <c r="V23" s="6" t="s">
        <v>215</v>
      </c>
      <c r="W23" s="6" t="s">
        <v>216</v>
      </c>
      <c r="X23" s="110">
        <v>44000</v>
      </c>
      <c r="Y23" s="112"/>
      <c r="Z23" s="111"/>
    </row>
    <row r="24" spans="1:26" x14ac:dyDescent="0.25">
      <c r="B24" s="6" t="s">
        <v>220</v>
      </c>
      <c r="C24" s="6" t="s">
        <v>65</v>
      </c>
      <c r="D24" s="10">
        <v>0</v>
      </c>
      <c r="E24" s="10"/>
      <c r="G24" s="6" t="s">
        <v>220</v>
      </c>
      <c r="H24" s="6" t="s">
        <v>65</v>
      </c>
      <c r="I24" s="10">
        <v>0</v>
      </c>
      <c r="J24" s="10"/>
      <c r="L24" s="6" t="s">
        <v>220</v>
      </c>
      <c r="M24" s="6" t="s">
        <v>65</v>
      </c>
      <c r="N24" s="10">
        <v>0</v>
      </c>
      <c r="O24" s="10"/>
      <c r="Q24" s="6" t="s">
        <v>220</v>
      </c>
      <c r="R24" s="6" t="s">
        <v>65</v>
      </c>
      <c r="S24" s="10">
        <v>0</v>
      </c>
      <c r="T24" s="10"/>
      <c r="V24" s="6" t="s">
        <v>219</v>
      </c>
      <c r="W24" s="6" t="s">
        <v>65</v>
      </c>
      <c r="X24" s="10">
        <v>50000</v>
      </c>
      <c r="Y24" s="10"/>
      <c r="Z24" s="10"/>
    </row>
    <row r="25" spans="1:26" x14ac:dyDescent="0.25">
      <c r="B25" s="6" t="s">
        <v>221</v>
      </c>
      <c r="C25" s="6"/>
      <c r="D25" s="13">
        <v>1</v>
      </c>
      <c r="E25" s="13"/>
      <c r="G25" s="6" t="s">
        <v>221</v>
      </c>
      <c r="H25" s="6"/>
      <c r="I25" s="13">
        <v>1</v>
      </c>
      <c r="J25" s="13"/>
      <c r="L25" s="6" t="s">
        <v>221</v>
      </c>
      <c r="M25" s="6"/>
      <c r="N25" s="13">
        <v>2</v>
      </c>
      <c r="O25" s="13"/>
      <c r="Q25" s="6" t="s">
        <v>221</v>
      </c>
      <c r="R25" s="6"/>
      <c r="S25" s="13">
        <v>1</v>
      </c>
      <c r="T25" s="13"/>
      <c r="V25" s="6" t="s">
        <v>220</v>
      </c>
      <c r="W25" s="6" t="s">
        <v>65</v>
      </c>
      <c r="X25" s="10">
        <v>0</v>
      </c>
      <c r="Y25" s="10"/>
      <c r="Z25" s="10"/>
    </row>
    <row r="26" spans="1:26" x14ac:dyDescent="0.25">
      <c r="V26" s="6" t="s">
        <v>221</v>
      </c>
      <c r="W26" s="6"/>
      <c r="X26" s="13">
        <v>1</v>
      </c>
      <c r="Y26" s="13"/>
      <c r="Z26" s="13"/>
    </row>
    <row r="28" spans="1:26" ht="15.75" thickBot="1" x14ac:dyDescent="0.3"/>
    <row r="29" spans="1:26" s="3" customFormat="1" ht="18.75" x14ac:dyDescent="0.3">
      <c r="A29" s="2" t="s">
        <v>222</v>
      </c>
    </row>
    <row r="31" spans="1:26" x14ac:dyDescent="0.25">
      <c r="B31" s="4" t="s">
        <v>199</v>
      </c>
      <c r="G31" s="4" t="s">
        <v>201</v>
      </c>
      <c r="L31" s="4" t="s">
        <v>201</v>
      </c>
      <c r="Q31" s="4" t="s">
        <v>202</v>
      </c>
      <c r="V31" s="4" t="s">
        <v>203</v>
      </c>
    </row>
    <row r="32" spans="1:26" x14ac:dyDescent="0.25">
      <c r="B32" s="81" t="s">
        <v>29</v>
      </c>
      <c r="G32" s="81" t="s">
        <v>29</v>
      </c>
      <c r="L32" s="81" t="s">
        <v>29</v>
      </c>
      <c r="Q32" s="81" t="s">
        <v>29</v>
      </c>
      <c r="V32" s="81" t="s">
        <v>29</v>
      </c>
    </row>
    <row r="33" spans="1:26" x14ac:dyDescent="0.25">
      <c r="B33" s="14" t="s">
        <v>61</v>
      </c>
      <c r="C33" s="14" t="s">
        <v>47</v>
      </c>
      <c r="D33" s="14" t="s">
        <v>204</v>
      </c>
      <c r="E33" s="14" t="s">
        <v>205</v>
      </c>
      <c r="G33" s="14" t="s">
        <v>61</v>
      </c>
      <c r="H33" s="14" t="s">
        <v>47</v>
      </c>
      <c r="I33" s="14" t="s">
        <v>204</v>
      </c>
      <c r="J33" s="14" t="s">
        <v>205</v>
      </c>
      <c r="L33" s="14" t="s">
        <v>61</v>
      </c>
      <c r="M33" s="14" t="s">
        <v>47</v>
      </c>
      <c r="N33" s="14" t="s">
        <v>204</v>
      </c>
      <c r="O33" s="14" t="s">
        <v>205</v>
      </c>
      <c r="Q33" s="14" t="s">
        <v>61</v>
      </c>
      <c r="R33" s="14" t="s">
        <v>47</v>
      </c>
      <c r="S33" s="14" t="s">
        <v>204</v>
      </c>
      <c r="T33" s="14" t="s">
        <v>205</v>
      </c>
      <c r="V33" s="14" t="s">
        <v>61</v>
      </c>
      <c r="W33" s="14" t="s">
        <v>47</v>
      </c>
      <c r="X33" s="14" t="s">
        <v>204</v>
      </c>
      <c r="Y33" s="14" t="s">
        <v>206</v>
      </c>
      <c r="Z33" s="14" t="s">
        <v>205</v>
      </c>
    </row>
    <row r="34" spans="1:26" x14ac:dyDescent="0.25">
      <c r="B34" t="s">
        <v>125</v>
      </c>
      <c r="C34" t="s">
        <v>93</v>
      </c>
      <c r="D34" s="15">
        <f>SUM(-PMT($D$9,$D$7,$D$18),-PMT($D$9,$D$8,SUM($D$23:$D$24)/$D$25))</f>
        <v>5533.9862751376177</v>
      </c>
      <c r="E34" s="15">
        <f>-PMT($D$9,$D$7,$E$18)</f>
        <v>4277.3111159868013</v>
      </c>
      <c r="G34" t="s">
        <v>125</v>
      </c>
      <c r="H34" t="s">
        <v>93</v>
      </c>
      <c r="I34" s="15">
        <f>SUM(-PMT($D$9,$D$7,$I$18),-PMT($D$9,$D$8,SUM($I$23:$I$24)/$I$25))</f>
        <v>6902.7258322533944</v>
      </c>
      <c r="J34" s="15">
        <f>-PMT($D$9,$D$7,$J$18)</f>
        <v>4705.0422275854817</v>
      </c>
      <c r="L34" t="s">
        <v>125</v>
      </c>
      <c r="M34" t="s">
        <v>93</v>
      </c>
      <c r="N34" s="15">
        <f>SUM(-PMT($D$9,$D$7,$N$18),-PMT($D$9,$D$8,SUM($N$23:$N$24)/$N$25))</f>
        <v>11416.149134938247</v>
      </c>
      <c r="O34" s="15">
        <f>-PMT($D$9,$D$7,$O$18)</f>
        <v>7271.4288971775622</v>
      </c>
      <c r="Q34" t="s">
        <v>125</v>
      </c>
      <c r="R34" t="s">
        <v>93</v>
      </c>
      <c r="S34" s="15">
        <f>SUM(-PMT($D$9,$D$7,$S$18),-PMT($D$9,$D$8,SUM($S$23:$S$24)/$S$25))</f>
        <v>16775.540183416862</v>
      </c>
      <c r="T34" s="15">
        <f>-PMT($D$9,$D$7,$T$18)</f>
        <v>10265.546678368322</v>
      </c>
      <c r="V34" t="s">
        <v>125</v>
      </c>
      <c r="W34" t="s">
        <v>93</v>
      </c>
      <c r="X34" s="15">
        <f>SUM(-PMT($D$9,$D$7,$X$18),-PMT($D$9,$D$8,SUM($X$24:$X$25)/$X$26))</f>
        <v>18618.975728184854</v>
      </c>
      <c r="Y34" s="15">
        <f>-PMT($D$9,$D$7,$Y$18)</f>
        <v>16267.041905209406</v>
      </c>
      <c r="Z34" s="15">
        <f>-PMT($D$9,$D$7,$Z$18)</f>
        <v>11121.008901565685</v>
      </c>
    </row>
    <row r="35" spans="1:26" x14ac:dyDescent="0.25">
      <c r="B35" t="s">
        <v>94</v>
      </c>
      <c r="C35" t="s">
        <v>93</v>
      </c>
      <c r="D35" s="15">
        <f>$D$22*(1/$D$20)/Constants!$D$10*$I$7</f>
        <v>1127.4756868799861</v>
      </c>
      <c r="E35" s="15">
        <f>$D$22*(1/$E$20)*$D$11</f>
        <v>3325.1965101920891</v>
      </c>
      <c r="G35" t="s">
        <v>94</v>
      </c>
      <c r="H35" t="s">
        <v>93</v>
      </c>
      <c r="I35" s="15">
        <f>$I$22*(1/$I$20)/Constants!$D$10*$I$7</f>
        <v>2823.0256621495037</v>
      </c>
      <c r="J35" s="15">
        <f>$I$22*(1/$J$20)*$D$11</f>
        <v>8938.500269355518</v>
      </c>
      <c r="L35" t="s">
        <v>94</v>
      </c>
      <c r="M35" t="s">
        <v>93</v>
      </c>
      <c r="N35" s="15">
        <f>$N$22*(1/$N$20)/Constants!$D$10*$I$7</f>
        <v>4587.4167009929433</v>
      </c>
      <c r="O35" s="15">
        <f>$N$22*(1/$O$20)*$D$11</f>
        <v>15780.315290343695</v>
      </c>
      <c r="Q35" t="s">
        <v>94</v>
      </c>
      <c r="R35" t="s">
        <v>93</v>
      </c>
      <c r="S35" s="15">
        <f>$S$22*(1/$S$20)/Constants!$D$10*$I$7</f>
        <v>4650.8372083799431</v>
      </c>
      <c r="T35" s="15">
        <f>$S$22*(1/$T$20)*$D$11</f>
        <v>13998.66678982102</v>
      </c>
      <c r="V35" t="s">
        <v>94</v>
      </c>
      <c r="W35" t="s">
        <v>93</v>
      </c>
      <c r="X35" s="15">
        <f>$X$23*(1/$X$21)/Constants!$D$10*$I$7</f>
        <v>8681.5627889758944</v>
      </c>
      <c r="Y35" s="15">
        <f>$X$23*(1/$Y$20)*$I$13</f>
        <v>4903.8502857142848</v>
      </c>
      <c r="Z35" s="15">
        <f>$X$23*(1/$Z$21)*$D$11</f>
        <v>19719.861043052217</v>
      </c>
    </row>
    <row r="36" spans="1:26" x14ac:dyDescent="0.25">
      <c r="B36" t="s">
        <v>223</v>
      </c>
      <c r="C36" t="s">
        <v>93</v>
      </c>
      <c r="D36" s="15">
        <f>$D$21*$D$22</f>
        <v>2560</v>
      </c>
      <c r="E36" s="15">
        <f>$E$21*$D$22</f>
        <v>3400.0000000000005</v>
      </c>
      <c r="G36" t="s">
        <v>223</v>
      </c>
      <c r="H36" t="s">
        <v>93</v>
      </c>
      <c r="I36" s="15">
        <f>$I$21*$I$22</f>
        <v>7223</v>
      </c>
      <c r="J36" s="15">
        <f>$J$21*$I$22</f>
        <v>9610</v>
      </c>
      <c r="L36" t="s">
        <v>223</v>
      </c>
      <c r="M36" t="s">
        <v>93</v>
      </c>
      <c r="N36" s="15">
        <f>$N$21*$N$22</f>
        <v>7223</v>
      </c>
      <c r="O36" s="15">
        <f>$O$21*$N$22</f>
        <v>9610</v>
      </c>
      <c r="Q36" t="s">
        <v>223</v>
      </c>
      <c r="R36" t="s">
        <v>93</v>
      </c>
      <c r="S36" s="15">
        <f>$S$21*$S$22</f>
        <v>6407.5</v>
      </c>
      <c r="T36" s="15">
        <f>$T$21*$S$22</f>
        <v>8525</v>
      </c>
      <c r="V36" t="s">
        <v>223</v>
      </c>
      <c r="W36" t="s">
        <v>93</v>
      </c>
      <c r="X36" s="15">
        <f>$X$22*$X$23</f>
        <v>6247.9999999999991</v>
      </c>
      <c r="Y36" s="15">
        <f>$Y$22*$X$23</f>
        <v>8360</v>
      </c>
      <c r="Z36" s="15">
        <f>$Z$22*$X$23</f>
        <v>8360</v>
      </c>
    </row>
    <row r="37" spans="1:26" x14ac:dyDescent="0.25">
      <c r="B37" t="s">
        <v>224</v>
      </c>
      <c r="C37" t="s">
        <v>93</v>
      </c>
      <c r="D37" s="15">
        <f>SUM(D34:D36)</f>
        <v>9221.4619620176036</v>
      </c>
      <c r="E37" s="15">
        <f>SUM(E34:E36)</f>
        <v>11002.507626178891</v>
      </c>
      <c r="F37" s="15"/>
      <c r="G37" t="s">
        <v>224</v>
      </c>
      <c r="H37" t="s">
        <v>93</v>
      </c>
      <c r="I37" s="15">
        <f>SUM(I34:I36)</f>
        <v>16948.751494402899</v>
      </c>
      <c r="J37" s="15">
        <f>SUM(J34:J36)</f>
        <v>23253.542496941001</v>
      </c>
      <c r="L37" t="s">
        <v>224</v>
      </c>
      <c r="M37" t="s">
        <v>93</v>
      </c>
      <c r="N37" s="15">
        <f>SUM(N34:N36)</f>
        <v>23226.565835931189</v>
      </c>
      <c r="O37" s="15">
        <f>SUM(O34:O36)</f>
        <v>32661.744187521257</v>
      </c>
      <c r="Q37" t="s">
        <v>224</v>
      </c>
      <c r="R37" t="s">
        <v>93</v>
      </c>
      <c r="S37" s="15">
        <f>SUM(S34:S36)</f>
        <v>27833.877391796806</v>
      </c>
      <c r="T37" s="15">
        <f>SUM(T34:T36)</f>
        <v>32789.213468189344</v>
      </c>
      <c r="V37" t="s">
        <v>224</v>
      </c>
      <c r="W37" t="s">
        <v>93</v>
      </c>
      <c r="X37" s="15">
        <f>SUM(X34:X36)</f>
        <v>33548.538517160749</v>
      </c>
      <c r="Y37" s="15">
        <f>SUM(Y34:Y36)</f>
        <v>29530.892190923689</v>
      </c>
      <c r="Z37" s="15">
        <f>SUM(Z34:Z36)</f>
        <v>39200.869944617902</v>
      </c>
    </row>
    <row r="38" spans="1:26" x14ac:dyDescent="0.25">
      <c r="B38" s="16" t="s">
        <v>95</v>
      </c>
      <c r="C38" s="16" t="s">
        <v>96</v>
      </c>
      <c r="D38" s="17">
        <f>$D$22*(1/$D$19)*$D$13/1000</f>
        <v>6.0908704842621592E-2</v>
      </c>
      <c r="E38" s="17">
        <f>$D$22*(1/$E$20)*$D$14/1000</f>
        <v>7.6581907879548368</v>
      </c>
      <c r="G38" s="16" t="s">
        <v>95</v>
      </c>
      <c r="H38" s="16" t="s">
        <v>96</v>
      </c>
      <c r="I38" s="17">
        <f>$I$22*(1/$I$19)*$D$13/1000</f>
        <v>0.15250602635594868</v>
      </c>
      <c r="J38" s="17">
        <f>$I$22*(1/$J$20)*$D$14/1000</f>
        <v>20.586073698530349</v>
      </c>
      <c r="L38" s="16" t="s">
        <v>95</v>
      </c>
      <c r="M38" s="16" t="s">
        <v>96</v>
      </c>
      <c r="N38" s="17">
        <f>$N$22*(1/$N$19)*$D$13/1000</f>
        <v>0.24782229282841664</v>
      </c>
      <c r="O38" s="17">
        <f>$N$22*(1/$O$20)*$D$11/1000</f>
        <v>15.780315290343696</v>
      </c>
      <c r="Q38" s="16" t="s">
        <v>95</v>
      </c>
      <c r="R38" s="16" t="s">
        <v>96</v>
      </c>
      <c r="S38" s="17">
        <f>$S$22*(1/$S$19)*$D$13/1000</f>
        <v>0.25124840747581412</v>
      </c>
      <c r="T38" s="17">
        <f>$S$22*(1/$T$20)*$D$14/1000</f>
        <v>32.240037761637033</v>
      </c>
      <c r="V38" s="16" t="s">
        <v>95</v>
      </c>
      <c r="W38" s="16" t="s">
        <v>96</v>
      </c>
      <c r="X38" s="17">
        <f>$X$23*(1/$X$19)*$D$13/1000</f>
        <v>0.46899702728818637</v>
      </c>
      <c r="Y38" s="17">
        <v>0</v>
      </c>
      <c r="Z38" s="17">
        <f>$X$23*(1/$Z$21)*$D$14/1000</f>
        <v>45.416401020740864</v>
      </c>
    </row>
    <row r="39" spans="1:26" x14ac:dyDescent="0.25">
      <c r="A39" t="s">
        <v>225</v>
      </c>
      <c r="B39" s="18" t="s">
        <v>66</v>
      </c>
      <c r="C39" s="18" t="s">
        <v>67</v>
      </c>
      <c r="D39" s="19">
        <f>(D37-E37)/(E38-D38)</f>
        <v>-234.43195141066616</v>
      </c>
      <c r="E39" s="18"/>
      <c r="G39" s="18" t="s">
        <v>66</v>
      </c>
      <c r="H39" s="18" t="s">
        <v>67</v>
      </c>
      <c r="I39" s="19">
        <f>(I37-J37)/(J38-I38)</f>
        <v>-308.55067033270501</v>
      </c>
      <c r="J39" s="18"/>
      <c r="L39" s="18" t="s">
        <v>66</v>
      </c>
      <c r="M39" s="18" t="s">
        <v>67</v>
      </c>
      <c r="N39" s="19">
        <f>(N37-O37)/(O38-N38)</f>
        <v>-607.44777757822942</v>
      </c>
      <c r="O39" s="18"/>
      <c r="Q39" s="18" t="s">
        <v>66</v>
      </c>
      <c r="R39" s="18" t="s">
        <v>67</v>
      </c>
      <c r="S39" s="19">
        <f>(S37-T37)/(T38-S38)</f>
        <v>-154.90852190528207</v>
      </c>
      <c r="T39" s="18"/>
      <c r="V39" s="18" t="s">
        <v>66</v>
      </c>
      <c r="W39" s="18" t="s">
        <v>67</v>
      </c>
      <c r="X39" s="19">
        <f>(X37-Z37)/(Z38-X38)</f>
        <v>-125.75434675338553</v>
      </c>
      <c r="Y39" s="19">
        <f>(Y37-Z37)/(Z38-Y38)</f>
        <v>-212.91818674223231</v>
      </c>
      <c r="Z39" s="18"/>
    </row>
    <row r="42" spans="1:26" x14ac:dyDescent="0.25">
      <c r="B42" s="4" t="s">
        <v>199</v>
      </c>
      <c r="G42" s="4" t="s">
        <v>201</v>
      </c>
      <c r="L42" s="4" t="s">
        <v>201</v>
      </c>
      <c r="Q42" s="4" t="s">
        <v>202</v>
      </c>
      <c r="V42" s="4" t="s">
        <v>203</v>
      </c>
    </row>
    <row r="43" spans="1:26" x14ac:dyDescent="0.25">
      <c r="B43" s="81" t="s">
        <v>76</v>
      </c>
      <c r="G43" s="81" t="s">
        <v>76</v>
      </c>
      <c r="L43" s="81" t="s">
        <v>76</v>
      </c>
      <c r="Q43" s="81" t="s">
        <v>76</v>
      </c>
      <c r="V43" s="81" t="s">
        <v>76</v>
      </c>
    </row>
    <row r="44" spans="1:26" x14ac:dyDescent="0.25">
      <c r="B44" s="14" t="s">
        <v>61</v>
      </c>
      <c r="C44" s="14" t="s">
        <v>47</v>
      </c>
      <c r="D44" s="14" t="s">
        <v>204</v>
      </c>
      <c r="E44" s="14" t="s">
        <v>205</v>
      </c>
      <c r="G44" s="14" t="s">
        <v>61</v>
      </c>
      <c r="H44" s="14" t="s">
        <v>47</v>
      </c>
      <c r="I44" s="14" t="s">
        <v>204</v>
      </c>
      <c r="J44" s="14" t="s">
        <v>205</v>
      </c>
      <c r="L44" s="14" t="s">
        <v>61</v>
      </c>
      <c r="M44" s="14" t="s">
        <v>47</v>
      </c>
      <c r="N44" s="14" t="s">
        <v>204</v>
      </c>
      <c r="O44" s="14" t="s">
        <v>205</v>
      </c>
      <c r="Q44" s="14" t="s">
        <v>61</v>
      </c>
      <c r="R44" s="14" t="s">
        <v>47</v>
      </c>
      <c r="S44" s="14" t="s">
        <v>204</v>
      </c>
      <c r="T44" s="14" t="s">
        <v>205</v>
      </c>
      <c r="V44" s="14" t="s">
        <v>61</v>
      </c>
      <c r="W44" s="14" t="s">
        <v>47</v>
      </c>
      <c r="X44" s="14" t="s">
        <v>204</v>
      </c>
      <c r="Y44" s="14"/>
      <c r="Z44" s="14" t="s">
        <v>205</v>
      </c>
    </row>
    <row r="45" spans="1:26" x14ac:dyDescent="0.25">
      <c r="B45" t="s">
        <v>125</v>
      </c>
      <c r="C45" t="s">
        <v>93</v>
      </c>
      <c r="D45" s="15">
        <f>SUM(-PMT($D$9,$D$7,$D$18),-PMT($D$9,$D$8,SUM($D$23:$D$24)/$D$25))</f>
        <v>5533.9862751376177</v>
      </c>
      <c r="E45" s="15">
        <f>-PMT($D$9,$D$7,$E$18)</f>
        <v>4277.3111159868013</v>
      </c>
      <c r="G45" t="s">
        <v>125</v>
      </c>
      <c r="H45" t="s">
        <v>93</v>
      </c>
      <c r="I45" s="15">
        <f>SUM(-PMT($D$9,$D$7,$I$18),-PMT($D$9,$D$8,SUM($I$23:$I$24)/$I$25))</f>
        <v>6902.7258322533944</v>
      </c>
      <c r="J45" s="15">
        <f>-PMT($D$9,$D$7,$J$18)</f>
        <v>4705.0422275854817</v>
      </c>
      <c r="L45" t="s">
        <v>125</v>
      </c>
      <c r="M45" t="s">
        <v>93</v>
      </c>
      <c r="N45" s="15">
        <f>SUM(-PMT($D$9,$D$7,$N$18),-PMT($D$9,$D$8,SUM($N$23:$N$24)/$N$25))</f>
        <v>11416.149134938247</v>
      </c>
      <c r="O45" s="15">
        <f>-PMT($D$9,$D$7,$O$18)</f>
        <v>7271.4288971775622</v>
      </c>
      <c r="Q45" t="s">
        <v>125</v>
      </c>
      <c r="R45" t="s">
        <v>93</v>
      </c>
      <c r="S45" s="15">
        <f>SUM(-PMT($D$9,$D$7,$S$18),-PMT($D$9,$D$8,SUM($S$23:$S$24)/$S$25))</f>
        <v>16775.540183416862</v>
      </c>
      <c r="T45" s="15">
        <f>-PMT($D$9,$D$7,$T$18)</f>
        <v>10265.546678368322</v>
      </c>
      <c r="V45" t="s">
        <v>125</v>
      </c>
      <c r="W45" t="s">
        <v>93</v>
      </c>
      <c r="X45" s="15">
        <f>SUM(-PMT($D$9,$D$7,$X$18),-PMT($D$9,$D$8,SUM($X$24:$X$25)/$X$26))</f>
        <v>18618.975728184854</v>
      </c>
      <c r="Y45" s="15"/>
      <c r="Z45" s="15">
        <f>-PMT($D$9,$D$7,$Z$18)</f>
        <v>11121.008901565685</v>
      </c>
    </row>
    <row r="46" spans="1:26" x14ac:dyDescent="0.25">
      <c r="B46" t="s">
        <v>94</v>
      </c>
      <c r="C46" t="s">
        <v>93</v>
      </c>
      <c r="D46" s="15">
        <f>$D$22*(1/$D$20)/Constants!$D$10*$I$8</f>
        <v>1603.6661630704625</v>
      </c>
      <c r="E46" s="15">
        <f>$D$22*(1/$E$20)*$D$11</f>
        <v>3325.1965101920891</v>
      </c>
      <c r="G46" t="s">
        <v>94</v>
      </c>
      <c r="H46" t="s">
        <v>93</v>
      </c>
      <c r="I46" s="15">
        <f>$I$22*(1/$I$20)/Constants!$D$10*$I$8</f>
        <v>4015.333354457196</v>
      </c>
      <c r="J46" s="15">
        <f>$I$22*(1/$J$20)*$D$11</f>
        <v>8938.500269355518</v>
      </c>
      <c r="L46" t="s">
        <v>94</v>
      </c>
      <c r="M46" t="s">
        <v>93</v>
      </c>
      <c r="N46" s="15">
        <f>$N$22*(1/$N$20)/Constants!$D$10*$I$8</f>
        <v>6524.9167009929433</v>
      </c>
      <c r="O46" s="15">
        <f>$N$22*(1/$O$20)*$D$11</f>
        <v>15780.315290343695</v>
      </c>
      <c r="Q46" t="s">
        <v>94</v>
      </c>
      <c r="R46" t="s">
        <v>93</v>
      </c>
      <c r="S46" s="15">
        <f>$S$22*(1/$S$20)/Constants!$D$10*$I$8</f>
        <v>6615.1229226656578</v>
      </c>
      <c r="T46" s="15">
        <f>$S$22*(1/$T$20)*$D$11</f>
        <v>13998.66678982102</v>
      </c>
      <c r="V46" t="s">
        <v>94</v>
      </c>
      <c r="W46" t="s">
        <v>93</v>
      </c>
      <c r="X46" s="15">
        <f>$X$23*(1/$X$21)/Constants!$D$10*$I$8</f>
        <v>12348.229455642562</v>
      </c>
      <c r="Y46" s="15"/>
      <c r="Z46" s="15">
        <f>$X$23*(1/$Z$21)*$D$11</f>
        <v>19719.861043052217</v>
      </c>
    </row>
    <row r="47" spans="1:26" x14ac:dyDescent="0.25">
      <c r="B47" t="s">
        <v>223</v>
      </c>
      <c r="C47" t="s">
        <v>93</v>
      </c>
      <c r="D47" s="15">
        <f>$D$21*$D$22</f>
        <v>2560</v>
      </c>
      <c r="E47" s="15">
        <f>$E$21*$D$22</f>
        <v>3400.0000000000005</v>
      </c>
      <c r="G47" t="s">
        <v>223</v>
      </c>
      <c r="H47" t="s">
        <v>93</v>
      </c>
      <c r="I47" s="15">
        <f>$I$21*$I$22</f>
        <v>7223</v>
      </c>
      <c r="J47" s="15">
        <f>$J$21*$I$22</f>
        <v>9610</v>
      </c>
      <c r="L47" t="s">
        <v>223</v>
      </c>
      <c r="M47" t="s">
        <v>93</v>
      </c>
      <c r="N47" s="15">
        <f>$N$21*$N$22</f>
        <v>7223</v>
      </c>
      <c r="O47" s="15">
        <f>$O$21*$N$22</f>
        <v>9610</v>
      </c>
      <c r="Q47" t="s">
        <v>223</v>
      </c>
      <c r="R47" t="s">
        <v>93</v>
      </c>
      <c r="S47" s="15">
        <f>$S$21*$S$22</f>
        <v>6407.5</v>
      </c>
      <c r="T47" s="15">
        <f>$T$21*$S$22</f>
        <v>8525</v>
      </c>
      <c r="V47" t="s">
        <v>223</v>
      </c>
      <c r="W47" t="s">
        <v>93</v>
      </c>
      <c r="X47" s="15">
        <f>$X$22*$X$23</f>
        <v>6247.9999999999991</v>
      </c>
      <c r="Y47" s="15"/>
      <c r="Z47" s="15">
        <f>$Z$22*$X$23</f>
        <v>8360</v>
      </c>
    </row>
    <row r="48" spans="1:26" x14ac:dyDescent="0.25">
      <c r="B48" t="s">
        <v>224</v>
      </c>
      <c r="C48" t="s">
        <v>93</v>
      </c>
      <c r="D48" s="15">
        <f>SUM(D45:D47)</f>
        <v>9697.6524382080806</v>
      </c>
      <c r="E48" s="15">
        <f>SUM(E45:E47)</f>
        <v>11002.507626178891</v>
      </c>
      <c r="F48" s="15"/>
      <c r="G48" t="s">
        <v>224</v>
      </c>
      <c r="H48" t="s">
        <v>93</v>
      </c>
      <c r="I48" s="15">
        <f>SUM(I45:I47)</f>
        <v>18141.05918671059</v>
      </c>
      <c r="J48" s="15">
        <f>SUM(J45:J47)</f>
        <v>23253.542496941001</v>
      </c>
      <c r="L48" t="s">
        <v>224</v>
      </c>
      <c r="M48" t="s">
        <v>93</v>
      </c>
      <c r="N48" s="15">
        <f>SUM(N45:N47)</f>
        <v>25164.065835931189</v>
      </c>
      <c r="O48" s="15">
        <f>SUM(O45:O47)</f>
        <v>32661.744187521257</v>
      </c>
      <c r="Q48" t="s">
        <v>224</v>
      </c>
      <c r="R48" t="s">
        <v>93</v>
      </c>
      <c r="S48" s="15">
        <f>SUM(S45:S47)</f>
        <v>29798.16310608252</v>
      </c>
      <c r="T48" s="15">
        <f>SUM(T45:T47)</f>
        <v>32789.213468189344</v>
      </c>
      <c r="V48" t="s">
        <v>224</v>
      </c>
      <c r="W48" t="s">
        <v>93</v>
      </c>
      <c r="X48" s="15">
        <f>SUM(X45:X47)</f>
        <v>37215.205183827413</v>
      </c>
      <c r="Y48" s="15"/>
      <c r="Z48" s="15">
        <f>SUM(Z45:Z47)</f>
        <v>39200.869944617902</v>
      </c>
    </row>
    <row r="49" spans="1:26" x14ac:dyDescent="0.25">
      <c r="B49" s="16" t="s">
        <v>95</v>
      </c>
      <c r="C49" s="16" t="s">
        <v>96</v>
      </c>
      <c r="D49" s="17">
        <f>$D$22*(1/$D$19)*$D$13/1000</f>
        <v>6.0908704842621592E-2</v>
      </c>
      <c r="E49" s="17">
        <f>$D$22*(1/$E$20)*$D$14/1000</f>
        <v>7.6581907879548368</v>
      </c>
      <c r="G49" s="16" t="s">
        <v>95</v>
      </c>
      <c r="H49" s="16" t="s">
        <v>96</v>
      </c>
      <c r="I49" s="17">
        <f>$I$22*(1/$I$19)*$D$13/1000</f>
        <v>0.15250602635594868</v>
      </c>
      <c r="J49" s="17">
        <f>$I$22*(1/$J$20)*$D$14/1000</f>
        <v>20.586073698530349</v>
      </c>
      <c r="L49" s="16" t="s">
        <v>95</v>
      </c>
      <c r="M49" s="16" t="s">
        <v>96</v>
      </c>
      <c r="N49" s="17">
        <f>$N$22*(1/$N$19)*$D$13/1000</f>
        <v>0.24782229282841664</v>
      </c>
      <c r="O49" s="17">
        <f>$N$22*(1/$O$20)*$D$11/1000</f>
        <v>15.780315290343696</v>
      </c>
      <c r="Q49" s="16" t="s">
        <v>95</v>
      </c>
      <c r="R49" s="16" t="s">
        <v>96</v>
      </c>
      <c r="S49" s="17">
        <f>$S$22*(1/$S$19)*$D$13/1000</f>
        <v>0.25124840747581412</v>
      </c>
      <c r="T49" s="17">
        <f>$S$22*(1/$T$20)*$D$14/1000</f>
        <v>32.240037761637033</v>
      </c>
      <c r="V49" s="16" t="s">
        <v>95</v>
      </c>
      <c r="W49" s="16" t="s">
        <v>96</v>
      </c>
      <c r="X49" s="17">
        <f>$X$23*(1/$X$19)*$D$13/1000</f>
        <v>0.46899702728818637</v>
      </c>
      <c r="Y49" s="17"/>
      <c r="Z49" s="17">
        <f>$X$23*(1/$Z$21)*$D$14/1000</f>
        <v>45.416401020740864</v>
      </c>
    </row>
    <row r="50" spans="1:26" x14ac:dyDescent="0.25">
      <c r="A50" t="s">
        <v>225</v>
      </c>
      <c r="B50" s="18" t="s">
        <v>66</v>
      </c>
      <c r="C50" s="18" t="s">
        <v>67</v>
      </c>
      <c r="D50" s="19">
        <f>(D48-E48)/(E49-D49)</f>
        <v>-171.75289448200644</v>
      </c>
      <c r="E50" s="18"/>
      <c r="G50" s="18" t="s">
        <v>66</v>
      </c>
      <c r="H50" s="18" t="s">
        <v>67</v>
      </c>
      <c r="I50" s="19">
        <f>(I48-J48)/(J49-I49)</f>
        <v>-250.20022896894221</v>
      </c>
      <c r="J50" s="18"/>
      <c r="L50" s="18" t="s">
        <v>66</v>
      </c>
      <c r="M50" s="18" t="s">
        <v>67</v>
      </c>
      <c r="N50" s="19">
        <f>(N48-O48)/(O49-N49)</f>
        <v>-482.70926970895567</v>
      </c>
      <c r="O50" s="18"/>
      <c r="Q50" s="18" t="s">
        <v>66</v>
      </c>
      <c r="R50" s="18" t="s">
        <v>67</v>
      </c>
      <c r="S50" s="19">
        <f>(S48-T48)/(T49-S49)</f>
        <v>-93.503081001023787</v>
      </c>
      <c r="T50" s="18"/>
      <c r="V50" s="18" t="s">
        <v>66</v>
      </c>
      <c r="W50" s="18" t="s">
        <v>67</v>
      </c>
      <c r="X50" s="19">
        <f>(X48-Z48)/(Z49-X49)</f>
        <v>-44.177518262895305</v>
      </c>
      <c r="Y50" s="19"/>
      <c r="Z50" s="18"/>
    </row>
    <row r="53" spans="1:26" x14ac:dyDescent="0.25">
      <c r="B53" s="4" t="s">
        <v>199</v>
      </c>
      <c r="G53" s="4" t="s">
        <v>201</v>
      </c>
      <c r="L53" s="4" t="s">
        <v>201</v>
      </c>
      <c r="Q53" s="4" t="s">
        <v>202</v>
      </c>
      <c r="V53" s="4" t="s">
        <v>203</v>
      </c>
    </row>
    <row r="54" spans="1:26" x14ac:dyDescent="0.25">
      <c r="B54" s="81" t="s">
        <v>30</v>
      </c>
      <c r="G54" s="81" t="s">
        <v>30</v>
      </c>
      <c r="L54" s="81" t="s">
        <v>30</v>
      </c>
      <c r="Q54" s="81" t="s">
        <v>30</v>
      </c>
      <c r="V54" s="81" t="s">
        <v>30</v>
      </c>
    </row>
    <row r="55" spans="1:26" x14ac:dyDescent="0.25">
      <c r="B55" s="14" t="s">
        <v>61</v>
      </c>
      <c r="C55" s="14" t="s">
        <v>47</v>
      </c>
      <c r="D55" s="14" t="s">
        <v>204</v>
      </c>
      <c r="E55" s="14" t="s">
        <v>205</v>
      </c>
      <c r="G55" s="14" t="s">
        <v>61</v>
      </c>
      <c r="H55" s="14" t="s">
        <v>47</v>
      </c>
      <c r="I55" s="14" t="s">
        <v>204</v>
      </c>
      <c r="J55" s="14" t="s">
        <v>205</v>
      </c>
      <c r="L55" s="14" t="s">
        <v>61</v>
      </c>
      <c r="M55" s="14" t="s">
        <v>47</v>
      </c>
      <c r="N55" s="14" t="s">
        <v>204</v>
      </c>
      <c r="O55" s="14" t="s">
        <v>205</v>
      </c>
      <c r="Q55" s="14" t="s">
        <v>61</v>
      </c>
      <c r="R55" s="14" t="s">
        <v>47</v>
      </c>
      <c r="S55" s="14" t="s">
        <v>204</v>
      </c>
      <c r="T55" s="14" t="s">
        <v>205</v>
      </c>
      <c r="V55" s="14" t="s">
        <v>61</v>
      </c>
      <c r="W55" s="14" t="s">
        <v>47</v>
      </c>
      <c r="X55" s="14" t="s">
        <v>204</v>
      </c>
      <c r="Y55" s="14" t="s">
        <v>206</v>
      </c>
      <c r="Z55" s="14" t="s">
        <v>205</v>
      </c>
    </row>
    <row r="56" spans="1:26" x14ac:dyDescent="0.25">
      <c r="B56" t="s">
        <v>125</v>
      </c>
      <c r="C56" t="s">
        <v>93</v>
      </c>
      <c r="D56" s="15">
        <f>SUM(-PMT($D$9,$D$7,$D$18),-PMT($D$9,$D$8,SUM($D$23:$D$24)/$D$25))</f>
        <v>5533.9862751376177</v>
      </c>
      <c r="E56" s="15">
        <f>-PMT($D$9,$D$7,$E$18)</f>
        <v>4277.3111159868013</v>
      </c>
      <c r="G56" t="s">
        <v>125</v>
      </c>
      <c r="H56" t="s">
        <v>93</v>
      </c>
      <c r="I56" s="15">
        <f>SUM(-PMT($D$9,$D$7,$I$18),-PMT($D$9,$D$8,SUM($I$23:$I$24)/$I$25))</f>
        <v>6902.7258322533944</v>
      </c>
      <c r="J56" s="15">
        <f>-PMT($D$9,$D$7,$J$18)</f>
        <v>4705.0422275854817</v>
      </c>
      <c r="L56" t="s">
        <v>125</v>
      </c>
      <c r="M56" t="s">
        <v>93</v>
      </c>
      <c r="N56" s="15">
        <f>SUM(-PMT($D$9,$D$7,$N$18),-PMT($D$9,$D$8,SUM($N$23:$N$24)/$N$25))</f>
        <v>11416.149134938247</v>
      </c>
      <c r="O56" s="15">
        <f>-PMT($D$9,$D$7,$O$18)</f>
        <v>7271.4288971775622</v>
      </c>
      <c r="Q56" t="s">
        <v>125</v>
      </c>
      <c r="R56" t="s">
        <v>93</v>
      </c>
      <c r="S56" s="15">
        <f>SUM(-PMT($D$9,$D$7,$S$18),-PMT($D$9,$D$8,SUM($S$23:$S$24)/$S$25))</f>
        <v>16775.540183416862</v>
      </c>
      <c r="T56" s="15">
        <f>-PMT($D$9,$D$7,$T$18)</f>
        <v>10265.546678368322</v>
      </c>
      <c r="V56" t="s">
        <v>125</v>
      </c>
      <c r="W56" t="s">
        <v>93</v>
      </c>
      <c r="X56" s="15">
        <f>SUM(-PMT($D$9,$D$7,$X$18),-PMT($D$9,$D$8,SUM($X$24:$X$25)/$X$26))</f>
        <v>18618.975728184854</v>
      </c>
      <c r="Y56" s="15">
        <f>-PMT($D$9,$D$7,$Y$18)</f>
        <v>16267.041905209406</v>
      </c>
      <c r="Z56" s="15">
        <f>-PMT($D$9,$D$7,$Z$18)</f>
        <v>11121.008901565685</v>
      </c>
    </row>
    <row r="57" spans="1:26" x14ac:dyDescent="0.25">
      <c r="B57" t="s">
        <v>94</v>
      </c>
      <c r="C57" t="s">
        <v>93</v>
      </c>
      <c r="D57" s="15">
        <f>$D$22*(1/$D$20)/Constants!$D$10*$I$9</f>
        <v>2079.8566392609387</v>
      </c>
      <c r="E57" s="15">
        <f>$D$22*(1/$E$20)*$D$11</f>
        <v>3325.1965101920891</v>
      </c>
      <c r="G57" t="s">
        <v>94</v>
      </c>
      <c r="H57" t="s">
        <v>93</v>
      </c>
      <c r="I57" s="15">
        <f>$I$22*(1/$I$20)/Constants!$D$10*$I$9</f>
        <v>5207.6410467648884</v>
      </c>
      <c r="J57" s="15">
        <f>$I$22*(1/$J$20)*$D$11</f>
        <v>8938.500269355518</v>
      </c>
      <c r="L57" t="s">
        <v>94</v>
      </c>
      <c r="M57" t="s">
        <v>93</v>
      </c>
      <c r="N57" s="15">
        <f>$N$22*(1/$N$20)/Constants!$D$10*$I$9</f>
        <v>8462.4167009929424</v>
      </c>
      <c r="O57" s="15">
        <f>$N$22*(1/$O$20)*$D$11</f>
        <v>15780.315290343695</v>
      </c>
      <c r="Q57" t="s">
        <v>94</v>
      </c>
      <c r="R57" t="s">
        <v>93</v>
      </c>
      <c r="S57" s="15">
        <f>$S$22*(1/$S$20)/Constants!$D$10*$I$9</f>
        <v>8579.4086369513716</v>
      </c>
      <c r="T57" s="15">
        <f>$S$22*(1/$T$20)*$D$11</f>
        <v>13998.66678982102</v>
      </c>
      <c r="V57" t="s">
        <v>94</v>
      </c>
      <c r="W57" t="s">
        <v>93</v>
      </c>
      <c r="X57" s="15">
        <f>$X$23*(1/$X$21)/Constants!$D$10*$I$9</f>
        <v>16014.896122309228</v>
      </c>
      <c r="Y57" s="15">
        <f>$X$23*(1/$Y$20)*$I$14</f>
        <v>18229.627893871726</v>
      </c>
      <c r="Z57" s="15">
        <f>$X$23*(1/$Z$21)*$D$11</f>
        <v>19719.861043052217</v>
      </c>
    </row>
    <row r="58" spans="1:26" x14ac:dyDescent="0.25">
      <c r="B58" t="s">
        <v>223</v>
      </c>
      <c r="C58" t="s">
        <v>93</v>
      </c>
      <c r="D58" s="15">
        <f>$D$21*$D$22</f>
        <v>2560</v>
      </c>
      <c r="E58" s="15">
        <f>$E$21*$D$22</f>
        <v>3400.0000000000005</v>
      </c>
      <c r="G58" t="s">
        <v>223</v>
      </c>
      <c r="H58" t="s">
        <v>93</v>
      </c>
      <c r="I58" s="15">
        <f>$I$21*$I$22</f>
        <v>7223</v>
      </c>
      <c r="J58" s="15">
        <f>$J$21*$I$22</f>
        <v>9610</v>
      </c>
      <c r="L58" t="s">
        <v>223</v>
      </c>
      <c r="M58" t="s">
        <v>93</v>
      </c>
      <c r="N58" s="15">
        <f>$N$21*$N$22</f>
        <v>7223</v>
      </c>
      <c r="O58" s="15">
        <f>$O$21*$N$22</f>
        <v>9610</v>
      </c>
      <c r="Q58" t="s">
        <v>223</v>
      </c>
      <c r="R58" t="s">
        <v>93</v>
      </c>
      <c r="S58" s="15">
        <f>$S$21*$S$22</f>
        <v>6407.5</v>
      </c>
      <c r="T58" s="15">
        <f>$T$21*$S$22</f>
        <v>8525</v>
      </c>
      <c r="V58" t="s">
        <v>223</v>
      </c>
      <c r="W58" t="s">
        <v>93</v>
      </c>
      <c r="X58" s="15">
        <f>$X$22*$X$23</f>
        <v>6247.9999999999991</v>
      </c>
      <c r="Y58" s="15">
        <f>$Y$22*$X$23</f>
        <v>8360</v>
      </c>
      <c r="Z58" s="15">
        <f>$Z$22*$X$23</f>
        <v>8360</v>
      </c>
    </row>
    <row r="59" spans="1:26" x14ac:dyDescent="0.25">
      <c r="B59" t="s">
        <v>224</v>
      </c>
      <c r="C59" t="s">
        <v>93</v>
      </c>
      <c r="D59" s="15">
        <f>SUM(D56:D58)</f>
        <v>10173.842914398556</v>
      </c>
      <c r="E59" s="15">
        <f>SUM(E56:E58)</f>
        <v>11002.507626178891</v>
      </c>
      <c r="F59" s="15"/>
      <c r="G59" t="s">
        <v>224</v>
      </c>
      <c r="H59" t="s">
        <v>93</v>
      </c>
      <c r="I59" s="15">
        <f>SUM(I56:I58)</f>
        <v>19333.366879018282</v>
      </c>
      <c r="J59" s="15">
        <f>SUM(J56:J58)</f>
        <v>23253.542496941001</v>
      </c>
      <c r="L59" t="s">
        <v>224</v>
      </c>
      <c r="M59" t="s">
        <v>93</v>
      </c>
      <c r="N59" s="15">
        <f>SUM(N56:N58)</f>
        <v>27101.565835931189</v>
      </c>
      <c r="O59" s="15">
        <f>SUM(O56:O58)</f>
        <v>32661.744187521257</v>
      </c>
      <c r="Q59" t="s">
        <v>224</v>
      </c>
      <c r="R59" t="s">
        <v>93</v>
      </c>
      <c r="S59" s="15">
        <f>SUM(S56:S58)</f>
        <v>31762.448820368234</v>
      </c>
      <c r="T59" s="15">
        <f>SUM(T56:T58)</f>
        <v>32789.213468189344</v>
      </c>
      <c r="V59" t="s">
        <v>224</v>
      </c>
      <c r="W59" t="s">
        <v>93</v>
      </c>
      <c r="X59" s="15">
        <f>SUM(X56:X58)</f>
        <v>40881.871850494084</v>
      </c>
      <c r="Y59" s="15">
        <f>SUM(Y56:Y58)</f>
        <v>42856.66979908113</v>
      </c>
      <c r="Z59" s="15">
        <f>SUM(Z56:Z58)</f>
        <v>39200.869944617902</v>
      </c>
    </row>
    <row r="60" spans="1:26" x14ac:dyDescent="0.25">
      <c r="B60" s="16" t="s">
        <v>95</v>
      </c>
      <c r="C60" s="16" t="s">
        <v>96</v>
      </c>
      <c r="D60" s="17">
        <f>$D$22*(1/$D$19)*$D$13/1000</f>
        <v>6.0908704842621592E-2</v>
      </c>
      <c r="E60" s="17">
        <f>$D$22*(1/$E$20)*$D$14/1000</f>
        <v>7.6581907879548368</v>
      </c>
      <c r="G60" s="16" t="s">
        <v>95</v>
      </c>
      <c r="H60" s="16" t="s">
        <v>96</v>
      </c>
      <c r="I60" s="17">
        <f>$I$22*(1/$I$19)*$D$13/1000</f>
        <v>0.15250602635594868</v>
      </c>
      <c r="J60" s="17">
        <f>$I$22*(1/$J$20)*$D$14/1000</f>
        <v>20.586073698530349</v>
      </c>
      <c r="L60" s="16" t="s">
        <v>95</v>
      </c>
      <c r="M60" s="16" t="s">
        <v>96</v>
      </c>
      <c r="N60" s="17">
        <f>$N$22*(1/$N$19)*$D$13/1000</f>
        <v>0.24782229282841664</v>
      </c>
      <c r="O60" s="17">
        <f>$N$22*(1/$O$20)*$D$11/1000</f>
        <v>15.780315290343696</v>
      </c>
      <c r="Q60" s="16" t="s">
        <v>95</v>
      </c>
      <c r="R60" s="16" t="s">
        <v>96</v>
      </c>
      <c r="S60" s="17">
        <f>$S$22*(1/$S$19)*$D$13/1000</f>
        <v>0.25124840747581412</v>
      </c>
      <c r="T60" s="17">
        <f>$S$22*(1/$T$20)*$D$14/1000</f>
        <v>32.240037761637033</v>
      </c>
      <c r="V60" s="16" t="s">
        <v>95</v>
      </c>
      <c r="W60" s="16" t="s">
        <v>96</v>
      </c>
      <c r="X60" s="17">
        <f>$X$23*(1/$X$19)*$D$13/1000</f>
        <v>0.46899702728818637</v>
      </c>
      <c r="Y60" s="17">
        <v>0</v>
      </c>
      <c r="Z60" s="17">
        <f>$X$23*(1/$Z$21)*$D$14/1000</f>
        <v>45.416401020740864</v>
      </c>
    </row>
    <row r="61" spans="1:26" x14ac:dyDescent="0.25">
      <c r="A61" t="s">
        <v>225</v>
      </c>
      <c r="B61" s="18" t="s">
        <v>66</v>
      </c>
      <c r="C61" s="18" t="s">
        <v>67</v>
      </c>
      <c r="D61" s="19">
        <f>(D59-E59)/(E60-D60)</f>
        <v>-109.07383755334695</v>
      </c>
      <c r="E61" s="18"/>
      <c r="G61" s="18" t="s">
        <v>66</v>
      </c>
      <c r="H61" s="18" t="s">
        <v>67</v>
      </c>
      <c r="I61" s="19">
        <f>(I59-J59)/(J60-I60)</f>
        <v>-191.84978760517942</v>
      </c>
      <c r="J61" s="18"/>
      <c r="L61" s="18" t="s">
        <v>66</v>
      </c>
      <c r="M61" s="18" t="s">
        <v>67</v>
      </c>
      <c r="N61" s="19">
        <f>(N59-O59)/(O60-N60)</f>
        <v>-357.97076183968187</v>
      </c>
      <c r="O61" s="18"/>
      <c r="Q61" s="18" t="s">
        <v>66</v>
      </c>
      <c r="R61" s="18" t="s">
        <v>67</v>
      </c>
      <c r="S61" s="19">
        <f>(S59-T59)/(T60-S60)</f>
        <v>-32.097640096765481</v>
      </c>
      <c r="T61" s="18"/>
      <c r="V61" s="18" t="s">
        <v>66</v>
      </c>
      <c r="W61" s="18" t="s">
        <v>67</v>
      </c>
      <c r="X61" s="19">
        <f>(X59-Z59)/(Z60-X60)</f>
        <v>37.39931022759508</v>
      </c>
      <c r="Y61" s="19">
        <f>(Y59-Z59)/(Z60-Y60)</f>
        <v>80.495146517525455</v>
      </c>
      <c r="Z61" s="18"/>
    </row>
    <row r="64" spans="1:26" ht="15.75" thickBot="1" x14ac:dyDescent="0.3"/>
    <row r="65" spans="1:18" s="3" customFormat="1" ht="18.75" x14ac:dyDescent="0.3">
      <c r="A65" s="2" t="s">
        <v>97</v>
      </c>
    </row>
    <row r="66" spans="1:18" s="35" customFormat="1" ht="18.75" x14ac:dyDescent="0.3">
      <c r="A66" s="34"/>
    </row>
    <row r="67" spans="1:18" x14ac:dyDescent="0.25">
      <c r="B67" s="62" t="s">
        <v>226</v>
      </c>
      <c r="C67" s="116" t="s">
        <v>227</v>
      </c>
      <c r="D67" s="117"/>
      <c r="E67" s="118"/>
      <c r="F67" s="116" t="s">
        <v>228</v>
      </c>
      <c r="G67" s="118"/>
      <c r="H67" s="99" t="s">
        <v>206</v>
      </c>
    </row>
    <row r="68" spans="1:18" ht="30" x14ac:dyDescent="0.25">
      <c r="B68" s="63" t="s">
        <v>229</v>
      </c>
      <c r="C68" s="64" t="s">
        <v>199</v>
      </c>
      <c r="D68" s="65" t="s">
        <v>201</v>
      </c>
      <c r="E68" s="66" t="s">
        <v>201</v>
      </c>
      <c r="F68" s="64" t="s">
        <v>202</v>
      </c>
      <c r="G68" s="66" t="s">
        <v>203</v>
      </c>
      <c r="H68" s="66" t="s">
        <v>203</v>
      </c>
    </row>
    <row r="69" spans="1:18" x14ac:dyDescent="0.25">
      <c r="B69" s="83" t="s">
        <v>230</v>
      </c>
      <c r="C69" s="85">
        <v>56968</v>
      </c>
      <c r="D69" s="86">
        <v>7147</v>
      </c>
      <c r="E69" s="87">
        <v>8390</v>
      </c>
      <c r="F69" s="85">
        <v>1267</v>
      </c>
      <c r="G69" s="87">
        <v>5263</v>
      </c>
      <c r="H69" s="88">
        <v>5263</v>
      </c>
    </row>
    <row r="70" spans="1:18" x14ac:dyDescent="0.25">
      <c r="B70" s="33" t="s">
        <v>231</v>
      </c>
      <c r="C70" s="29">
        <f>C69/SUM($C$69:$E$69)</f>
        <v>0.78571133025308604</v>
      </c>
      <c r="D70" s="27">
        <f>D69/SUM($C$69:$E$69)</f>
        <v>9.8572512240535134E-2</v>
      </c>
      <c r="E70" s="30">
        <f>E69/SUM($C$69:$E$69)</f>
        <v>0.11571615750637887</v>
      </c>
      <c r="F70" s="29">
        <f>F69/SUM($F$69:$G$69)</f>
        <v>0.19402756508422664</v>
      </c>
      <c r="G70" s="30">
        <f>G69/SUM($F$69:$G$69)</f>
        <v>0.80597243491577331</v>
      </c>
      <c r="H70" s="89">
        <v>0.80597243491577331</v>
      </c>
    </row>
    <row r="71" spans="1:18" x14ac:dyDescent="0.25">
      <c r="B71" s="33" t="s">
        <v>232</v>
      </c>
      <c r="C71" s="31">
        <f>D39</f>
        <v>-234.43195141066616</v>
      </c>
      <c r="D71" s="28">
        <f>I39</f>
        <v>-308.55067033270501</v>
      </c>
      <c r="E71" s="32">
        <f>N39</f>
        <v>-607.44777757822942</v>
      </c>
      <c r="F71" s="31">
        <f>S39</f>
        <v>-154.90852190528207</v>
      </c>
      <c r="G71" s="32">
        <f>X39</f>
        <v>-125.75434675338553</v>
      </c>
      <c r="H71" s="90">
        <f>Y39</f>
        <v>-212.91818674223231</v>
      </c>
    </row>
    <row r="72" spans="1:18" x14ac:dyDescent="0.25">
      <c r="B72" s="33" t="s">
        <v>233</v>
      </c>
      <c r="C72" s="31">
        <f>D50</f>
        <v>-171.75289448200644</v>
      </c>
      <c r="D72" s="28">
        <f>I50</f>
        <v>-250.20022896894221</v>
      </c>
      <c r="E72" s="32">
        <f>N50</f>
        <v>-482.70926970895567</v>
      </c>
      <c r="F72" s="31">
        <f>S50</f>
        <v>-93.503081001023787</v>
      </c>
      <c r="G72" s="32">
        <f>X50</f>
        <v>-44.177518262895305</v>
      </c>
      <c r="H72" s="89" t="s">
        <v>234</v>
      </c>
    </row>
    <row r="73" spans="1:18" x14ac:dyDescent="0.25">
      <c r="B73" s="33" t="s">
        <v>235</v>
      </c>
      <c r="C73" s="31">
        <f>D61</f>
        <v>-109.07383755334695</v>
      </c>
      <c r="D73" s="28">
        <f>I61</f>
        <v>-191.84978760517942</v>
      </c>
      <c r="E73" s="32">
        <f>N61</f>
        <v>-357.97076183968187</v>
      </c>
      <c r="F73" s="31">
        <f>S61</f>
        <v>-32.097640096765481</v>
      </c>
      <c r="G73" s="32">
        <f>X61</f>
        <v>37.39931022759508</v>
      </c>
      <c r="H73" s="90">
        <f>Y61</f>
        <v>80.495146517525455</v>
      </c>
    </row>
    <row r="74" spans="1:18" x14ac:dyDescent="0.25">
      <c r="B74" s="84" t="s">
        <v>236</v>
      </c>
      <c r="C74" s="113">
        <f>SUMPRODUCT($C$69:$E$69,C71:E71)/SUM($C$69:$E$69)</f>
        <v>-284.90197783203939</v>
      </c>
      <c r="D74" s="114"/>
      <c r="E74" s="115"/>
      <c r="F74" s="113">
        <f>SUMPRODUCT($F$69:$G$69,F71:G71)/SUM($F$69:$G$69)</f>
        <v>-131.41106037014708</v>
      </c>
      <c r="G74" s="115"/>
      <c r="H74" s="91">
        <f>H71</f>
        <v>-212.91818674223231</v>
      </c>
    </row>
    <row r="75" spans="1:18" x14ac:dyDescent="0.25">
      <c r="B75" s="84" t="s">
        <v>237</v>
      </c>
      <c r="C75" s="113">
        <f t="shared" ref="C75:C76" si="0">SUMPRODUCT($C$69:$E$69,C72:E72)/SUM($C$69:$E$69)</f>
        <v>-215.46832221433158</v>
      </c>
      <c r="D75" s="114"/>
      <c r="E75" s="115"/>
      <c r="F75" s="113">
        <f t="shared" ref="F75:F76" si="1">SUMPRODUCT($F$69:$G$69,F72:G72)/SUM($F$69:$G$69)</f>
        <v>-53.74803709738363</v>
      </c>
      <c r="G75" s="115"/>
      <c r="H75" s="91" t="str">
        <f t="shared" ref="H75:H76" si="2">H72</f>
        <v>N/A</v>
      </c>
    </row>
    <row r="76" spans="1:18" x14ac:dyDescent="0.25">
      <c r="B76" s="75" t="s">
        <v>238</v>
      </c>
      <c r="C76" s="119">
        <f t="shared" si="0"/>
        <v>-146.03466659662394</v>
      </c>
      <c r="D76" s="120"/>
      <c r="E76" s="121"/>
      <c r="F76" s="119">
        <f t="shared" si="1"/>
        <v>23.914986175379944</v>
      </c>
      <c r="G76" s="121"/>
      <c r="H76" s="92">
        <f t="shared" si="2"/>
        <v>80.495146517525455</v>
      </c>
    </row>
    <row r="78" spans="1:18" x14ac:dyDescent="0.25">
      <c r="H78" s="21"/>
      <c r="J78" s="21"/>
      <c r="K78" s="21"/>
      <c r="L78" s="21"/>
      <c r="M78" s="21"/>
      <c r="O78" s="21"/>
      <c r="P78" s="21"/>
      <c r="Q78" s="21"/>
      <c r="R78" s="21"/>
    </row>
    <row r="81" spans="2:8" x14ac:dyDescent="0.25">
      <c r="H81" s="26"/>
    </row>
    <row r="82" spans="2:8" x14ac:dyDescent="0.25">
      <c r="B82" s="20"/>
      <c r="C82" s="22"/>
    </row>
  </sheetData>
  <mergeCells count="13">
    <mergeCell ref="C75:E75"/>
    <mergeCell ref="F75:G75"/>
    <mergeCell ref="C76:E76"/>
    <mergeCell ref="F76:G76"/>
    <mergeCell ref="I22:J22"/>
    <mergeCell ref="N22:O22"/>
    <mergeCell ref="S22:T22"/>
    <mergeCell ref="X23:Z23"/>
    <mergeCell ref="C74:E74"/>
    <mergeCell ref="F74:G74"/>
    <mergeCell ref="C67:E67"/>
    <mergeCell ref="F67:G67"/>
    <mergeCell ref="D22:E2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O47"/>
  <sheetViews>
    <sheetView showGridLines="0" topLeftCell="A5" zoomScale="110" zoomScaleNormal="110" workbookViewId="0">
      <selection activeCell="B43" sqref="B43"/>
    </sheetView>
  </sheetViews>
  <sheetFormatPr defaultColWidth="8.5703125" defaultRowHeight="15" x14ac:dyDescent="0.25"/>
  <cols>
    <col min="1" max="1" width="8.5703125" customWidth="1"/>
    <col min="2" max="2" width="56.42578125" customWidth="1"/>
    <col min="3" max="3" width="16.5703125" bestFit="1" customWidth="1"/>
    <col min="4" max="4" width="20.5703125" bestFit="1" customWidth="1"/>
    <col min="5" max="5" width="40" customWidth="1"/>
    <col min="6" max="6" width="25.5703125" customWidth="1"/>
    <col min="7" max="7" width="74.42578125" customWidth="1"/>
    <col min="10" max="10" width="55.5703125" bestFit="1" customWidth="1"/>
    <col min="11" max="11" width="14.42578125" bestFit="1" customWidth="1"/>
    <col min="13" max="13" width="41.140625" bestFit="1" customWidth="1"/>
    <col min="14" max="14" width="20.5703125" customWidth="1"/>
    <col min="15" max="15" width="30.140625" customWidth="1"/>
  </cols>
  <sheetData>
    <row r="1" spans="1:7" ht="21" x14ac:dyDescent="0.35">
      <c r="A1" s="1" t="s">
        <v>239</v>
      </c>
    </row>
    <row r="2" spans="1:7" ht="15.75" thickBot="1" x14ac:dyDescent="0.3"/>
    <row r="3" spans="1:7" s="3" customFormat="1" ht="18.75" x14ac:dyDescent="0.3">
      <c r="A3" s="2" t="s">
        <v>190</v>
      </c>
    </row>
    <row r="5" spans="1:7" x14ac:dyDescent="0.25">
      <c r="B5" s="4" t="s">
        <v>240</v>
      </c>
    </row>
    <row r="6" spans="1:7" x14ac:dyDescent="0.25">
      <c r="B6" s="5" t="s">
        <v>241</v>
      </c>
      <c r="C6" s="5" t="s">
        <v>242</v>
      </c>
      <c r="D6" s="5" t="s">
        <v>243</v>
      </c>
      <c r="E6" s="5" t="s">
        <v>244</v>
      </c>
      <c r="F6" s="5" t="s">
        <v>245</v>
      </c>
      <c r="G6" s="5" t="s">
        <v>246</v>
      </c>
    </row>
    <row r="7" spans="1:7" x14ac:dyDescent="0.25">
      <c r="B7" s="77" t="s">
        <v>247</v>
      </c>
      <c r="C7" s="77">
        <v>65</v>
      </c>
      <c r="D7" s="77">
        <v>0.9</v>
      </c>
      <c r="E7" s="77">
        <v>1</v>
      </c>
      <c r="F7" s="77">
        <f>0.8*0.9</f>
        <v>0.72000000000000008</v>
      </c>
      <c r="G7" s="77" t="s">
        <v>248</v>
      </c>
    </row>
    <row r="8" spans="1:7" x14ac:dyDescent="0.25">
      <c r="B8" s="77" t="s">
        <v>249</v>
      </c>
      <c r="C8" s="77">
        <v>11.07</v>
      </c>
      <c r="D8" s="77">
        <v>0.35</v>
      </c>
      <c r="E8" s="77">
        <v>0.5</v>
      </c>
      <c r="F8" s="77">
        <v>0.95</v>
      </c>
      <c r="G8" s="77" t="s">
        <v>250</v>
      </c>
    </row>
    <row r="9" spans="1:7" x14ac:dyDescent="0.25">
      <c r="B9" s="77" t="s">
        <v>251</v>
      </c>
      <c r="C9" s="77">
        <v>15.34</v>
      </c>
      <c r="D9" s="77">
        <v>0.35</v>
      </c>
      <c r="E9" s="77">
        <v>0.5</v>
      </c>
      <c r="F9" s="77">
        <v>0.95</v>
      </c>
      <c r="G9" s="77" t="s">
        <v>250</v>
      </c>
    </row>
    <row r="10" spans="1:7" x14ac:dyDescent="0.25">
      <c r="B10" s="77" t="s">
        <v>252</v>
      </c>
      <c r="C10" s="77">
        <v>55</v>
      </c>
      <c r="D10" s="77">
        <v>1</v>
      </c>
      <c r="E10" s="77">
        <v>1</v>
      </c>
      <c r="F10" s="77">
        <v>0.95</v>
      </c>
      <c r="G10" s="77" t="s">
        <v>253</v>
      </c>
    </row>
    <row r="11" spans="1:7" x14ac:dyDescent="0.25">
      <c r="C11" s="38"/>
    </row>
    <row r="13" spans="1:7" x14ac:dyDescent="0.25">
      <c r="B13" s="4" t="s">
        <v>254</v>
      </c>
    </row>
    <row r="14" spans="1:7" ht="15" customHeight="1" x14ac:dyDescent="0.25">
      <c r="B14" s="5" t="s">
        <v>61</v>
      </c>
      <c r="C14" s="5" t="s">
        <v>48</v>
      </c>
      <c r="D14" s="5" t="s">
        <v>255</v>
      </c>
      <c r="E14" s="5" t="s">
        <v>256</v>
      </c>
      <c r="F14" s="122" t="s">
        <v>246</v>
      </c>
      <c r="G14" s="123"/>
    </row>
    <row r="15" spans="1:7" ht="14.85" customHeight="1" x14ac:dyDescent="0.25">
      <c r="B15" s="77" t="s">
        <v>257</v>
      </c>
      <c r="C15" s="77">
        <v>2.14</v>
      </c>
      <c r="D15" s="77" t="s">
        <v>258</v>
      </c>
      <c r="E15" s="77" t="s">
        <v>259</v>
      </c>
      <c r="F15" s="124" t="s">
        <v>260</v>
      </c>
      <c r="G15" s="125"/>
    </row>
    <row r="16" spans="1:7" x14ac:dyDescent="0.25">
      <c r="B16" s="77" t="s">
        <v>261</v>
      </c>
      <c r="C16" s="77">
        <v>0.21</v>
      </c>
      <c r="D16" s="77" t="s">
        <v>258</v>
      </c>
      <c r="E16" s="77" t="s">
        <v>262</v>
      </c>
      <c r="F16" s="126"/>
      <c r="G16" s="127"/>
    </row>
    <row r="17" spans="2:15" x14ac:dyDescent="0.25">
      <c r="B17" s="77" t="s">
        <v>263</v>
      </c>
      <c r="C17" s="79">
        <v>2.9722222222222219</v>
      </c>
      <c r="D17" s="77" t="s">
        <v>258</v>
      </c>
      <c r="E17" s="77" t="s">
        <v>264</v>
      </c>
      <c r="F17" s="126"/>
      <c r="G17" s="127"/>
    </row>
    <row r="18" spans="2:15" x14ac:dyDescent="0.25">
      <c r="B18" s="77" t="s">
        <v>265</v>
      </c>
      <c r="C18" s="79">
        <v>0.47222222222222221</v>
      </c>
      <c r="D18" s="77" t="s">
        <v>258</v>
      </c>
      <c r="E18" s="77" t="s">
        <v>266</v>
      </c>
      <c r="F18" s="126"/>
      <c r="G18" s="127"/>
    </row>
    <row r="19" spans="2:15" x14ac:dyDescent="0.25">
      <c r="B19" s="77" t="s">
        <v>267</v>
      </c>
      <c r="C19" s="77">
        <v>900</v>
      </c>
      <c r="D19" s="77" t="s">
        <v>268</v>
      </c>
      <c r="E19" s="77" t="s">
        <v>269</v>
      </c>
      <c r="F19" s="126"/>
      <c r="G19" s="127"/>
    </row>
    <row r="20" spans="2:15" x14ac:dyDescent="0.25">
      <c r="B20" s="77" t="s">
        <v>270</v>
      </c>
      <c r="C20" s="77">
        <v>0.5</v>
      </c>
      <c r="D20" s="77" t="s">
        <v>271</v>
      </c>
      <c r="E20" s="77" t="s">
        <v>272</v>
      </c>
      <c r="F20" s="126"/>
      <c r="G20" s="127"/>
    </row>
    <row r="21" spans="2:15" x14ac:dyDescent="0.25">
      <c r="B21" s="77" t="s">
        <v>273</v>
      </c>
      <c r="C21" s="78">
        <f>675000000</f>
        <v>675000000</v>
      </c>
      <c r="D21" s="77" t="s">
        <v>274</v>
      </c>
      <c r="E21" s="77" t="s">
        <v>275</v>
      </c>
      <c r="F21" s="126"/>
      <c r="G21" s="127"/>
    </row>
    <row r="22" spans="2:15" x14ac:dyDescent="0.25">
      <c r="B22" s="77" t="s">
        <v>276</v>
      </c>
      <c r="C22" s="78">
        <v>1255000000</v>
      </c>
      <c r="D22" s="77" t="s">
        <v>274</v>
      </c>
      <c r="E22" s="77" t="s">
        <v>277</v>
      </c>
      <c r="F22" s="126"/>
      <c r="G22" s="127"/>
    </row>
    <row r="23" spans="2:15" x14ac:dyDescent="0.25">
      <c r="B23" s="77" t="s">
        <v>278</v>
      </c>
      <c r="C23" s="78">
        <f>18+6+5</f>
        <v>29</v>
      </c>
      <c r="D23" s="77" t="s">
        <v>279</v>
      </c>
      <c r="E23" s="77" t="s">
        <v>280</v>
      </c>
      <c r="F23" s="126"/>
      <c r="G23" s="127"/>
    </row>
    <row r="24" spans="2:15" x14ac:dyDescent="0.25">
      <c r="B24" s="77" t="s">
        <v>281</v>
      </c>
      <c r="C24" s="78">
        <f>33+10+7</f>
        <v>50</v>
      </c>
      <c r="D24" s="77" t="s">
        <v>279</v>
      </c>
      <c r="E24" s="77" t="s">
        <v>280</v>
      </c>
      <c r="F24" s="126"/>
      <c r="G24" s="127"/>
    </row>
    <row r="25" spans="2:15" x14ac:dyDescent="0.25">
      <c r="B25" s="77" t="s">
        <v>282</v>
      </c>
      <c r="C25" s="78">
        <v>89.75</v>
      </c>
      <c r="D25" s="77" t="s">
        <v>283</v>
      </c>
      <c r="E25" s="77" t="s">
        <v>284</v>
      </c>
      <c r="F25" s="126"/>
      <c r="G25" s="127"/>
    </row>
    <row r="26" spans="2:15" x14ac:dyDescent="0.25">
      <c r="B26" s="77" t="s">
        <v>285</v>
      </c>
      <c r="C26" s="78">
        <v>162.94999999999999</v>
      </c>
      <c r="D26" s="77" t="s">
        <v>283</v>
      </c>
      <c r="E26" s="77" t="s">
        <v>284</v>
      </c>
      <c r="F26" s="126"/>
      <c r="G26" s="127"/>
    </row>
    <row r="27" spans="2:15" x14ac:dyDescent="0.25">
      <c r="B27" s="77" t="s">
        <v>286</v>
      </c>
      <c r="C27" s="78">
        <f>20</f>
        <v>20</v>
      </c>
      <c r="D27" s="77" t="s">
        <v>283</v>
      </c>
      <c r="E27" s="77" t="s">
        <v>287</v>
      </c>
      <c r="F27" s="128"/>
      <c r="G27" s="129"/>
      <c r="K27" s="49"/>
      <c r="N27" s="50"/>
      <c r="O27" s="50"/>
    </row>
    <row r="30" spans="2:15" x14ac:dyDescent="0.25">
      <c r="B30" s="4" t="s">
        <v>288</v>
      </c>
    </row>
    <row r="31" spans="2:15" x14ac:dyDescent="0.25">
      <c r="B31" s="5" t="s">
        <v>241</v>
      </c>
      <c r="C31" s="5" t="s">
        <v>29</v>
      </c>
      <c r="D31" s="5" t="s">
        <v>30</v>
      </c>
      <c r="E31" s="5" t="s">
        <v>255</v>
      </c>
      <c r="F31" s="5" t="s">
        <v>289</v>
      </c>
      <c r="G31" s="5"/>
    </row>
    <row r="32" spans="2:15" x14ac:dyDescent="0.25">
      <c r="B32" s="77" t="s">
        <v>290</v>
      </c>
      <c r="C32" s="78">
        <v>88</v>
      </c>
      <c r="D32" s="78">
        <v>288</v>
      </c>
      <c r="E32" s="77" t="s">
        <v>291</v>
      </c>
      <c r="F32" s="47" t="s">
        <v>292</v>
      </c>
      <c r="G32" s="77"/>
    </row>
    <row r="33" spans="1:15" x14ac:dyDescent="0.25">
      <c r="B33" s="77" t="s">
        <v>286</v>
      </c>
      <c r="C33" s="78">
        <f>C27</f>
        <v>20</v>
      </c>
      <c r="D33" s="78">
        <f>C27</f>
        <v>20</v>
      </c>
      <c r="E33" s="77" t="s">
        <v>283</v>
      </c>
      <c r="F33" s="77" t="s">
        <v>287</v>
      </c>
      <c r="G33" s="77"/>
      <c r="K33" s="49"/>
      <c r="N33" s="50"/>
      <c r="O33" s="50"/>
    </row>
    <row r="34" spans="1:15" x14ac:dyDescent="0.25">
      <c r="K34" s="49"/>
      <c r="N34" s="50"/>
      <c r="O34" s="50"/>
    </row>
    <row r="35" spans="1:15" ht="15.75" thickBot="1" x14ac:dyDescent="0.3"/>
    <row r="36" spans="1:15" s="3" customFormat="1" ht="18.75" x14ac:dyDescent="0.3">
      <c r="A36" s="2" t="s">
        <v>97</v>
      </c>
    </row>
    <row r="38" spans="1:15" x14ac:dyDescent="0.25">
      <c r="B38" s="4" t="s">
        <v>293</v>
      </c>
    </row>
    <row r="39" spans="1:15" x14ac:dyDescent="0.25">
      <c r="B39" s="14" t="s">
        <v>61</v>
      </c>
      <c r="C39" s="14" t="s">
        <v>48</v>
      </c>
      <c r="D39" s="14" t="s">
        <v>255</v>
      </c>
    </row>
    <row r="40" spans="1:15" x14ac:dyDescent="0.25">
      <c r="A40" s="130"/>
      <c r="B40" t="s">
        <v>249</v>
      </c>
      <c r="C40" s="19">
        <f>C27+(C25+(C15+C16)*C8/E8)/F8</f>
        <v>169.24105263157895</v>
      </c>
      <c r="D40" s="19" t="s">
        <v>153</v>
      </c>
    </row>
    <row r="41" spans="1:15" x14ac:dyDescent="0.25">
      <c r="A41" s="100"/>
      <c r="B41" t="s">
        <v>251</v>
      </c>
      <c r="C41" s="19">
        <f>C27+(C26+(C17+C18)*C9/E9)/F9</f>
        <v>302.76374269005845</v>
      </c>
      <c r="D41" s="19" t="s">
        <v>153</v>
      </c>
      <c r="G41" s="51"/>
    </row>
    <row r="43" spans="1:15" x14ac:dyDescent="0.25">
      <c r="B43" s="4"/>
    </row>
    <row r="44" spans="1:15" x14ac:dyDescent="0.25">
      <c r="B44" s="4" t="s">
        <v>294</v>
      </c>
    </row>
    <row r="45" spans="1:15" x14ac:dyDescent="0.25">
      <c r="B45" s="14" t="s">
        <v>61</v>
      </c>
      <c r="C45" s="14" t="s">
        <v>48</v>
      </c>
      <c r="D45" s="14" t="s">
        <v>255</v>
      </c>
    </row>
    <row r="46" spans="1:15" x14ac:dyDescent="0.25">
      <c r="B46" t="s">
        <v>295</v>
      </c>
      <c r="C46" s="19">
        <f>C32+C33</f>
        <v>108</v>
      </c>
      <c r="D46" s="19" t="s">
        <v>153</v>
      </c>
    </row>
    <row r="47" spans="1:15" x14ac:dyDescent="0.25">
      <c r="B47" t="s">
        <v>296</v>
      </c>
      <c r="C47" s="19">
        <f>D32+D33</f>
        <v>308</v>
      </c>
      <c r="D47" s="19" t="s">
        <v>153</v>
      </c>
    </row>
  </sheetData>
  <mergeCells count="3">
    <mergeCell ref="F14:G14"/>
    <mergeCell ref="F15:G27"/>
    <mergeCell ref="A40"/>
  </mergeCells>
  <hyperlinks>
    <hyperlink ref="F32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J20"/>
  <sheetViews>
    <sheetView showGridLines="0" workbookViewId="0">
      <selection activeCell="D29" sqref="D29"/>
    </sheetView>
  </sheetViews>
  <sheetFormatPr defaultColWidth="17.42578125" defaultRowHeight="15" x14ac:dyDescent="0.25"/>
  <cols>
    <col min="1" max="1" width="29.5703125" bestFit="1" customWidth="1"/>
    <col min="2" max="2" width="10.42578125" customWidth="1"/>
    <col min="3" max="3" width="12" bestFit="1" customWidth="1"/>
    <col min="4" max="4" width="14.140625" bestFit="1" customWidth="1"/>
    <col min="5" max="5" width="12" bestFit="1" customWidth="1"/>
    <col min="6" max="7" width="18.42578125" bestFit="1" customWidth="1"/>
    <col min="8" max="10" width="12" bestFit="1" customWidth="1"/>
  </cols>
  <sheetData>
    <row r="2" spans="1:10" x14ac:dyDescent="0.25">
      <c r="A2" s="4" t="s">
        <v>297</v>
      </c>
    </row>
    <row r="3" spans="1:10" x14ac:dyDescent="0.25">
      <c r="A3" s="14" t="s">
        <v>298</v>
      </c>
      <c r="B3" s="14" t="s">
        <v>299</v>
      </c>
      <c r="C3" s="14" t="s">
        <v>300</v>
      </c>
      <c r="D3" s="14" t="s">
        <v>301</v>
      </c>
      <c r="E3" s="14" t="s">
        <v>302</v>
      </c>
      <c r="F3" s="14" t="s">
        <v>303</v>
      </c>
      <c r="G3" s="14" t="s">
        <v>304</v>
      </c>
      <c r="H3" s="14" t="s">
        <v>305</v>
      </c>
      <c r="I3" s="14" t="s">
        <v>306</v>
      </c>
      <c r="J3" s="14" t="s">
        <v>307</v>
      </c>
    </row>
    <row r="4" spans="1:10" x14ac:dyDescent="0.25">
      <c r="A4" t="s">
        <v>308</v>
      </c>
      <c r="B4" s="76">
        <v>3.6393727953494999</v>
      </c>
      <c r="C4" s="76">
        <v>3.6393727953494999</v>
      </c>
      <c r="D4" s="76">
        <v>3.6393727953494999</v>
      </c>
      <c r="E4" s="76">
        <v>3.6393727953494999</v>
      </c>
      <c r="F4" s="76">
        <v>3.6393727953494999</v>
      </c>
      <c r="G4" s="76">
        <v>3.6393727953494999</v>
      </c>
      <c r="H4" s="76">
        <v>3.6393727953494999</v>
      </c>
      <c r="I4" s="76">
        <v>3.6393727953494999</v>
      </c>
      <c r="J4" s="76">
        <v>3.6393727953494999</v>
      </c>
    </row>
    <row r="5" spans="1:10" x14ac:dyDescent="0.25">
      <c r="A5" t="s">
        <v>309</v>
      </c>
      <c r="B5" s="76">
        <v>0</v>
      </c>
      <c r="C5" s="76">
        <v>0</v>
      </c>
      <c r="D5" s="76">
        <v>13.952118631282699</v>
      </c>
      <c r="E5" s="76">
        <v>0</v>
      </c>
      <c r="F5" s="76">
        <v>0</v>
      </c>
      <c r="G5" s="76">
        <v>0</v>
      </c>
      <c r="H5" s="76">
        <v>0</v>
      </c>
      <c r="I5" s="76">
        <v>0</v>
      </c>
      <c r="J5" s="76">
        <v>0</v>
      </c>
    </row>
    <row r="6" spans="1:10" x14ac:dyDescent="0.25">
      <c r="A6" t="s">
        <v>310</v>
      </c>
      <c r="B6" s="76">
        <v>0</v>
      </c>
      <c r="C6" s="76">
        <v>0</v>
      </c>
      <c r="D6" s="76">
        <v>40.753936878452699</v>
      </c>
      <c r="E6" s="76">
        <v>40.753936878447099</v>
      </c>
      <c r="F6" s="76">
        <v>0</v>
      </c>
      <c r="G6" s="76">
        <v>0</v>
      </c>
      <c r="H6" s="76">
        <v>40.753936878452201</v>
      </c>
      <c r="I6" s="76">
        <v>0</v>
      </c>
      <c r="J6" s="76">
        <v>0</v>
      </c>
    </row>
    <row r="7" spans="1:10" x14ac:dyDescent="0.25">
      <c r="A7" t="s">
        <v>311</v>
      </c>
      <c r="B7" s="76">
        <v>55.791414169288402</v>
      </c>
      <c r="C7" s="76">
        <v>62.756425258177202</v>
      </c>
      <c r="D7" s="76">
        <v>42.766231219576298</v>
      </c>
      <c r="E7" s="76">
        <v>44.036390215462099</v>
      </c>
      <c r="F7" s="76">
        <v>44.036390215462099</v>
      </c>
      <c r="G7" s="76">
        <v>44.036390215462099</v>
      </c>
      <c r="H7" s="76">
        <v>44.036390215462099</v>
      </c>
      <c r="I7" s="76">
        <v>44.036390215462099</v>
      </c>
      <c r="J7" s="76">
        <v>44.036390215462099</v>
      </c>
    </row>
    <row r="8" spans="1:10" x14ac:dyDescent="0.25">
      <c r="A8" t="s">
        <v>312</v>
      </c>
      <c r="B8" s="76">
        <v>19.038165654605798</v>
      </c>
      <c r="C8" s="76">
        <v>19.038165654605798</v>
      </c>
      <c r="D8" s="76">
        <v>19.038165654605798</v>
      </c>
      <c r="E8" s="76">
        <v>19.038165654605798</v>
      </c>
      <c r="F8" s="76">
        <v>19.038165654605798</v>
      </c>
      <c r="G8" s="76">
        <v>19.038165654605798</v>
      </c>
      <c r="H8" s="76">
        <v>19.038165654605798</v>
      </c>
      <c r="I8" s="76">
        <v>19.038165654605798</v>
      </c>
      <c r="J8" s="76">
        <v>19.038165654605798</v>
      </c>
    </row>
    <row r="9" spans="1:10" x14ac:dyDescent="0.25">
      <c r="A9" t="s">
        <v>313</v>
      </c>
      <c r="B9" s="76">
        <v>0</v>
      </c>
      <c r="C9" s="76">
        <v>0</v>
      </c>
      <c r="D9" s="76">
        <v>37.306806073085099</v>
      </c>
      <c r="E9" s="76">
        <v>0</v>
      </c>
      <c r="F9" s="76">
        <v>0</v>
      </c>
      <c r="G9" s="76">
        <v>0</v>
      </c>
      <c r="H9" s="76">
        <v>37.306806073021797</v>
      </c>
      <c r="I9" s="76">
        <v>0</v>
      </c>
      <c r="J9" s="76">
        <v>0</v>
      </c>
    </row>
    <row r="10" spans="1:10" x14ac:dyDescent="0.25">
      <c r="A10" t="s">
        <v>314</v>
      </c>
      <c r="B10" s="76">
        <v>46.712505298780201</v>
      </c>
      <c r="C10" s="76">
        <v>46.712505298780201</v>
      </c>
      <c r="D10" s="76">
        <v>46.712505298780201</v>
      </c>
      <c r="E10" s="76">
        <v>46.712505298780201</v>
      </c>
      <c r="F10" s="76">
        <v>46.712505298780201</v>
      </c>
      <c r="G10" s="76">
        <v>46.712505298780201</v>
      </c>
      <c r="H10" s="76">
        <v>46.712505298780201</v>
      </c>
      <c r="I10" s="76">
        <v>46.712505298780201</v>
      </c>
      <c r="J10" s="76">
        <v>46.712505298780201</v>
      </c>
    </row>
    <row r="11" spans="1:10" x14ac:dyDescent="0.25">
      <c r="A11" t="s">
        <v>315</v>
      </c>
      <c r="B11" s="76">
        <v>25.777004415584098</v>
      </c>
      <c r="C11" s="76">
        <v>25.777004415584098</v>
      </c>
      <c r="D11" s="76">
        <v>25.777004415584098</v>
      </c>
      <c r="E11" s="76">
        <v>25.777004415584098</v>
      </c>
      <c r="F11" s="76">
        <v>25.777004415584098</v>
      </c>
      <c r="G11" s="76">
        <v>25.777004415584098</v>
      </c>
      <c r="H11" s="76">
        <v>25.777004415584098</v>
      </c>
      <c r="I11" s="76">
        <v>25.777004415584098</v>
      </c>
      <c r="J11" s="76">
        <v>25.777004415584098</v>
      </c>
    </row>
    <row r="12" spans="1:10" x14ac:dyDescent="0.25">
      <c r="A12" t="s">
        <v>316</v>
      </c>
      <c r="B12" s="76">
        <v>0</v>
      </c>
      <c r="C12" s="76">
        <v>0</v>
      </c>
      <c r="D12" s="76">
        <v>19.855238545058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</row>
    <row r="13" spans="1:10" x14ac:dyDescent="0.25">
      <c r="A13" t="s">
        <v>317</v>
      </c>
      <c r="B13" s="76">
        <v>0</v>
      </c>
      <c r="C13" s="76">
        <v>0</v>
      </c>
      <c r="D13" s="76">
        <v>11.435853265616499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</row>
    <row r="14" spans="1:10" x14ac:dyDescent="0.25">
      <c r="A14" t="s">
        <v>318</v>
      </c>
      <c r="B14" s="76">
        <v>37.569937469339003</v>
      </c>
      <c r="C14" s="76">
        <v>37.569937469339003</v>
      </c>
      <c r="D14" s="76">
        <v>37.569937469339003</v>
      </c>
      <c r="E14" s="76">
        <v>37.569937469339003</v>
      </c>
      <c r="F14" s="76">
        <v>37.569937469339003</v>
      </c>
      <c r="G14" s="76">
        <v>37.569937469339003</v>
      </c>
      <c r="H14" s="76">
        <v>37.569937469339003</v>
      </c>
      <c r="I14" s="76">
        <v>37.569937469339003</v>
      </c>
      <c r="J14" s="76">
        <v>37.569937469339003</v>
      </c>
    </row>
    <row r="15" spans="1:10" x14ac:dyDescent="0.25">
      <c r="A15" t="s">
        <v>319</v>
      </c>
      <c r="B15" s="76">
        <v>19.115275499651801</v>
      </c>
      <c r="C15" s="76">
        <v>14.7771690507525</v>
      </c>
      <c r="D15" s="76">
        <v>6.8725097635543504</v>
      </c>
      <c r="E15" s="76">
        <v>10.2333384875348</v>
      </c>
      <c r="F15" s="76">
        <v>6.8899609551921497</v>
      </c>
      <c r="G15" s="76">
        <v>6.9129281819876596</v>
      </c>
      <c r="H15" s="76">
        <v>10.108607982887801</v>
      </c>
      <c r="I15" s="76">
        <v>7.4128303514051801</v>
      </c>
      <c r="J15" s="76">
        <v>0.61311028370242404</v>
      </c>
    </row>
    <row r="16" spans="1:10" x14ac:dyDescent="0.25">
      <c r="A16" t="s">
        <v>320</v>
      </c>
      <c r="B16" s="76">
        <v>0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</row>
    <row r="17" spans="1:10" x14ac:dyDescent="0.25">
      <c r="A17" t="s">
        <v>321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</row>
    <row r="18" spans="1:10" x14ac:dyDescent="0.25">
      <c r="A18" t="s">
        <v>322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</row>
    <row r="19" spans="1:10" x14ac:dyDescent="0.25">
      <c r="A19" t="s">
        <v>323</v>
      </c>
      <c r="B19" s="76"/>
      <c r="C19" s="76"/>
      <c r="D19" s="76"/>
      <c r="E19" s="76">
        <v>5.6539999999999999</v>
      </c>
      <c r="F19" s="76"/>
      <c r="G19" s="76"/>
      <c r="H19" s="76"/>
      <c r="I19" s="76"/>
      <c r="J19" s="76"/>
    </row>
    <row r="20" spans="1:10" x14ac:dyDescent="0.25">
      <c r="A20" t="s">
        <v>324</v>
      </c>
      <c r="B20" s="76"/>
      <c r="C20" s="76"/>
      <c r="D20" s="76">
        <v>27.81</v>
      </c>
      <c r="E20" s="76"/>
      <c r="F20" s="76"/>
      <c r="G20" s="76"/>
      <c r="H20" s="76"/>
      <c r="I20" s="76"/>
      <c r="J20" s="7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J20"/>
  <sheetViews>
    <sheetView showGridLines="0" workbookViewId="0"/>
  </sheetViews>
  <sheetFormatPr defaultColWidth="8.5703125" defaultRowHeight="15" x14ac:dyDescent="0.25"/>
  <cols>
    <col min="1" max="1" width="29.5703125" bestFit="1" customWidth="1"/>
    <col min="2" max="2" width="13.140625" customWidth="1"/>
    <col min="3" max="3" width="12" bestFit="1" customWidth="1"/>
    <col min="4" max="4" width="14.140625" bestFit="1" customWidth="1"/>
    <col min="5" max="5" width="12" bestFit="1" customWidth="1"/>
    <col min="6" max="7" width="18.42578125" bestFit="1" customWidth="1"/>
    <col min="8" max="10" width="12" bestFit="1" customWidth="1"/>
  </cols>
  <sheetData>
    <row r="2" spans="1:10" x14ac:dyDescent="0.25">
      <c r="A2" s="4" t="s">
        <v>325</v>
      </c>
    </row>
    <row r="3" spans="1:10" x14ac:dyDescent="0.25">
      <c r="A3" s="14" t="s">
        <v>298</v>
      </c>
      <c r="B3" s="14" t="s">
        <v>299</v>
      </c>
      <c r="C3" s="14" t="s">
        <v>300</v>
      </c>
      <c r="D3" s="14" t="s">
        <v>301</v>
      </c>
      <c r="E3" s="14" t="s">
        <v>302</v>
      </c>
      <c r="F3" s="14" t="s">
        <v>303</v>
      </c>
      <c r="G3" s="14" t="s">
        <v>304</v>
      </c>
      <c r="H3" s="14" t="s">
        <v>305</v>
      </c>
      <c r="I3" s="14" t="s">
        <v>306</v>
      </c>
      <c r="J3" s="14" t="s">
        <v>307</v>
      </c>
    </row>
    <row r="4" spans="1:10" x14ac:dyDescent="0.25">
      <c r="A4" t="s">
        <v>308</v>
      </c>
      <c r="B4" s="76">
        <v>96.012669811320805</v>
      </c>
      <c r="C4" s="76">
        <v>96.012669811320805</v>
      </c>
      <c r="D4" s="76">
        <v>96.012669811320805</v>
      </c>
      <c r="E4" s="76">
        <v>96.012669811320805</v>
      </c>
      <c r="F4" s="76">
        <v>96.012669811320805</v>
      </c>
      <c r="G4" s="76">
        <v>96.012669811320805</v>
      </c>
      <c r="H4" s="76">
        <v>96.012669811320805</v>
      </c>
      <c r="I4" s="76">
        <v>96.012669811320805</v>
      </c>
      <c r="J4" s="76">
        <v>96.012669811320805</v>
      </c>
    </row>
    <row r="5" spans="1:10" x14ac:dyDescent="0.25">
      <c r="A5" t="s">
        <v>309</v>
      </c>
      <c r="B5" s="76">
        <v>41.799936511621702</v>
      </c>
      <c r="C5" s="76">
        <v>41.814688163063103</v>
      </c>
      <c r="D5" s="76">
        <v>41.843309566893097</v>
      </c>
      <c r="E5" s="76">
        <v>41.845425766161199</v>
      </c>
      <c r="F5" s="76">
        <v>41.761432766498103</v>
      </c>
      <c r="G5" s="76">
        <v>41.655224888678902</v>
      </c>
      <c r="H5" s="76">
        <v>42.414651696258801</v>
      </c>
      <c r="I5" s="76">
        <v>41.9602755445326</v>
      </c>
      <c r="J5" s="76">
        <v>4.9484787695672799E-2</v>
      </c>
    </row>
    <row r="6" spans="1:10" x14ac:dyDescent="0.25">
      <c r="A6" t="s">
        <v>310</v>
      </c>
      <c r="B6" s="76">
        <v>0</v>
      </c>
      <c r="C6" s="76">
        <v>0</v>
      </c>
      <c r="D6" s="76">
        <v>7.7955721241592801</v>
      </c>
      <c r="E6" s="76">
        <v>7.7955721241861404</v>
      </c>
      <c r="F6" s="76">
        <v>0</v>
      </c>
      <c r="G6" s="76">
        <v>0</v>
      </c>
      <c r="H6" s="76">
        <v>7.7955721241615601</v>
      </c>
      <c r="I6" s="76">
        <v>0</v>
      </c>
      <c r="J6" s="76">
        <v>0</v>
      </c>
    </row>
    <row r="7" spans="1:10" x14ac:dyDescent="0.25">
      <c r="A7" t="s">
        <v>311</v>
      </c>
      <c r="B7" s="76">
        <v>1.7765038912431299</v>
      </c>
      <c r="C7" s="76">
        <v>1.7765038912431299</v>
      </c>
      <c r="D7" s="76">
        <v>1.7765038912431299</v>
      </c>
      <c r="E7" s="76">
        <v>1.7765038912431299</v>
      </c>
      <c r="F7" s="76">
        <v>1.7765038912431299</v>
      </c>
      <c r="G7" s="76">
        <v>1.7765038912431299</v>
      </c>
      <c r="H7" s="76">
        <v>1.7765038912431299</v>
      </c>
      <c r="I7" s="76">
        <v>1.7765038912431299</v>
      </c>
      <c r="J7" s="76">
        <v>1.7765038912431299</v>
      </c>
    </row>
    <row r="8" spans="1:10" x14ac:dyDescent="0.25">
      <c r="A8" t="s">
        <v>312</v>
      </c>
      <c r="B8" s="76">
        <v>71.357518867924497</v>
      </c>
      <c r="C8" s="76">
        <v>71.357518867924497</v>
      </c>
      <c r="D8" s="76">
        <v>71.357518867924497</v>
      </c>
      <c r="E8" s="76">
        <v>71.357518867924497</v>
      </c>
      <c r="F8" s="76">
        <v>71.357518867924497</v>
      </c>
      <c r="G8" s="76">
        <v>71.357518867924497</v>
      </c>
      <c r="H8" s="76">
        <v>71.357518867924497</v>
      </c>
      <c r="I8" s="76">
        <v>71.357518867924497</v>
      </c>
      <c r="J8" s="76">
        <v>71.357518867924497</v>
      </c>
    </row>
    <row r="9" spans="1:10" x14ac:dyDescent="0.25">
      <c r="A9" t="s">
        <v>313</v>
      </c>
      <c r="B9" s="76">
        <v>0</v>
      </c>
      <c r="C9" s="76">
        <v>0</v>
      </c>
      <c r="D9" s="76">
        <v>25.744031076837299</v>
      </c>
      <c r="E9" s="76">
        <v>0</v>
      </c>
      <c r="F9" s="76">
        <v>0</v>
      </c>
      <c r="G9" s="76">
        <v>0</v>
      </c>
      <c r="H9" s="76">
        <v>25.744031077141798</v>
      </c>
      <c r="I9" s="76">
        <v>0</v>
      </c>
      <c r="J9" s="76">
        <v>0</v>
      </c>
    </row>
    <row r="10" spans="1:10" x14ac:dyDescent="0.25">
      <c r="A10" t="s">
        <v>314</v>
      </c>
      <c r="B10" s="76">
        <v>0.54012090354696896</v>
      </c>
      <c r="C10" s="76">
        <v>0.54012090354696896</v>
      </c>
      <c r="D10" s="76">
        <v>0.54012090354696896</v>
      </c>
      <c r="E10" s="76">
        <v>0.54012090354696896</v>
      </c>
      <c r="F10" s="76">
        <v>0.54012090354696896</v>
      </c>
      <c r="G10" s="76">
        <v>0.54012090354696896</v>
      </c>
      <c r="H10" s="76">
        <v>0.54012090354696896</v>
      </c>
      <c r="I10" s="76">
        <v>0.54012090354696896</v>
      </c>
      <c r="J10" s="76">
        <v>0.54012090354696896</v>
      </c>
    </row>
    <row r="11" spans="1:10" x14ac:dyDescent="0.25">
      <c r="A11" t="s">
        <v>315</v>
      </c>
      <c r="B11" s="76">
        <v>71.3510566037736</v>
      </c>
      <c r="C11" s="76">
        <v>71.3510566037736</v>
      </c>
      <c r="D11" s="76">
        <v>71.3510566037736</v>
      </c>
      <c r="E11" s="76">
        <v>71.3510566037736</v>
      </c>
      <c r="F11" s="76">
        <v>71.3510566037736</v>
      </c>
      <c r="G11" s="76">
        <v>71.3510566037736</v>
      </c>
      <c r="H11" s="76">
        <v>71.3510566037736</v>
      </c>
      <c r="I11" s="76">
        <v>71.3510566037736</v>
      </c>
      <c r="J11" s="76">
        <v>71.3510566037736</v>
      </c>
    </row>
    <row r="12" spans="1:10" x14ac:dyDescent="0.25">
      <c r="A12" t="s">
        <v>316</v>
      </c>
      <c r="B12" s="76">
        <v>0</v>
      </c>
      <c r="C12" s="76">
        <v>0</v>
      </c>
      <c r="D12" s="76">
        <v>68.366981132075495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</row>
    <row r="13" spans="1:10" x14ac:dyDescent="0.25">
      <c r="A13" t="s">
        <v>317</v>
      </c>
      <c r="B13" s="76">
        <v>41.750451723925998</v>
      </c>
      <c r="C13" s="76">
        <v>41.765203375367399</v>
      </c>
      <c r="D13" s="76">
        <v>41.793824779197401</v>
      </c>
      <c r="E13" s="76">
        <v>41.795940978465502</v>
      </c>
      <c r="F13" s="76">
        <v>41.711947978802399</v>
      </c>
      <c r="G13" s="76">
        <v>41.605740100983297</v>
      </c>
      <c r="H13" s="76">
        <v>42.365166908563097</v>
      </c>
      <c r="I13" s="76">
        <v>41.910790756837002</v>
      </c>
      <c r="J13" s="76">
        <v>0</v>
      </c>
    </row>
    <row r="14" spans="1:10" x14ac:dyDescent="0.25">
      <c r="A14" t="s">
        <v>318</v>
      </c>
      <c r="B14" s="76">
        <v>59.65</v>
      </c>
      <c r="C14" s="76">
        <v>59.65</v>
      </c>
      <c r="D14" s="76">
        <v>59.65</v>
      </c>
      <c r="E14" s="76">
        <v>59.65</v>
      </c>
      <c r="F14" s="76">
        <v>59.65</v>
      </c>
      <c r="G14" s="76">
        <v>59.65</v>
      </c>
      <c r="H14" s="76">
        <v>59.65</v>
      </c>
      <c r="I14" s="76">
        <v>59.65</v>
      </c>
      <c r="J14" s="76">
        <v>59.65</v>
      </c>
    </row>
    <row r="15" spans="1:10" x14ac:dyDescent="0.25">
      <c r="A15" t="s">
        <v>319</v>
      </c>
      <c r="B15" s="76">
        <v>41.750451723925998</v>
      </c>
      <c r="C15" s="76">
        <v>41.765203375367399</v>
      </c>
      <c r="D15" s="76">
        <v>41.793824779197401</v>
      </c>
      <c r="E15" s="76">
        <v>41.795940978465502</v>
      </c>
      <c r="F15" s="76">
        <v>41.711947978802399</v>
      </c>
      <c r="G15" s="76">
        <v>41.605740100983297</v>
      </c>
      <c r="H15" s="76">
        <v>42.365166908563097</v>
      </c>
      <c r="I15" s="76">
        <v>41.910790756837002</v>
      </c>
      <c r="J15" s="76">
        <v>0</v>
      </c>
    </row>
    <row r="16" spans="1:10" x14ac:dyDescent="0.25">
      <c r="A16" t="s">
        <v>320</v>
      </c>
      <c r="B16" s="76">
        <v>75.671386792452793</v>
      </c>
      <c r="C16" s="76">
        <v>75.671386792452793</v>
      </c>
      <c r="D16" s="76">
        <v>75.671386792452793</v>
      </c>
      <c r="E16" s="76">
        <v>75.671386792452793</v>
      </c>
      <c r="F16" s="76">
        <v>75.671386792452793</v>
      </c>
      <c r="G16" s="76">
        <v>75.671386792452793</v>
      </c>
      <c r="H16" s="76">
        <v>75.671386792452793</v>
      </c>
      <c r="I16" s="76">
        <v>75.671386792452793</v>
      </c>
      <c r="J16" s="76">
        <v>75.671386792452793</v>
      </c>
    </row>
    <row r="17" spans="1:10" x14ac:dyDescent="0.25">
      <c r="A17" t="s">
        <v>321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</row>
    <row r="18" spans="1:10" x14ac:dyDescent="0.25">
      <c r="A18" t="s">
        <v>322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</row>
    <row r="19" spans="1:10" x14ac:dyDescent="0.25">
      <c r="A19" t="s">
        <v>323</v>
      </c>
      <c r="B19" s="76">
        <v>50.07</v>
      </c>
      <c r="C19" s="76">
        <v>50.07</v>
      </c>
      <c r="D19" s="76">
        <v>50.07</v>
      </c>
      <c r="E19" s="76">
        <v>50.07</v>
      </c>
      <c r="F19" s="76">
        <v>50.07</v>
      </c>
      <c r="G19" s="76">
        <v>50.07</v>
      </c>
      <c r="H19" s="76">
        <v>50.07</v>
      </c>
      <c r="I19" s="76">
        <v>50.07</v>
      </c>
      <c r="J19" s="76">
        <v>50.07</v>
      </c>
    </row>
    <row r="20" spans="1:10" x14ac:dyDescent="0.25">
      <c r="A20" t="s">
        <v>324</v>
      </c>
      <c r="B20" s="76">
        <v>70.05</v>
      </c>
      <c r="C20" s="76">
        <v>70.05</v>
      </c>
      <c r="D20" s="76">
        <v>70.05</v>
      </c>
      <c r="E20" s="76">
        <v>70.05</v>
      </c>
      <c r="F20" s="76">
        <v>70.05</v>
      </c>
      <c r="G20" s="76">
        <v>70.05</v>
      </c>
      <c r="H20" s="76">
        <v>70.05</v>
      </c>
      <c r="I20" s="76">
        <v>70.05</v>
      </c>
      <c r="J20" s="76">
        <v>70.05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D34"/>
  <sheetViews>
    <sheetView showGridLines="0" zoomScale="90" zoomScaleNormal="90" workbookViewId="0">
      <selection activeCell="E36" sqref="E36"/>
    </sheetView>
  </sheetViews>
  <sheetFormatPr defaultColWidth="8.5703125" defaultRowHeight="15" x14ac:dyDescent="0.25"/>
  <cols>
    <col min="2" max="2" width="20.42578125" customWidth="1"/>
    <col min="3" max="3" width="16.42578125" bestFit="1" customWidth="1"/>
    <col min="4" max="4" width="18.42578125" bestFit="1" customWidth="1"/>
    <col min="5" max="5" width="30.42578125" bestFit="1" customWidth="1"/>
  </cols>
  <sheetData>
    <row r="2" spans="2:4" x14ac:dyDescent="0.25">
      <c r="B2" s="23" t="s">
        <v>326</v>
      </c>
      <c r="C2" s="23"/>
      <c r="D2" s="23"/>
    </row>
    <row r="3" spans="2:4" x14ac:dyDescent="0.25">
      <c r="B3" s="24" t="s">
        <v>327</v>
      </c>
      <c r="C3" s="24" t="s">
        <v>328</v>
      </c>
      <c r="D3" s="24" t="s">
        <v>329</v>
      </c>
    </row>
    <row r="4" spans="2:4" x14ac:dyDescent="0.25">
      <c r="B4" s="24" t="s">
        <v>330</v>
      </c>
      <c r="C4" s="24" t="s">
        <v>331</v>
      </c>
      <c r="D4" s="24">
        <v>3412.14</v>
      </c>
    </row>
    <row r="5" spans="2:4" x14ac:dyDescent="0.25">
      <c r="B5" s="24" t="s">
        <v>331</v>
      </c>
      <c r="C5" s="24" t="s">
        <v>332</v>
      </c>
      <c r="D5" s="24">
        <v>1055.06</v>
      </c>
    </row>
    <row r="6" spans="2:4" x14ac:dyDescent="0.25">
      <c r="B6" s="24" t="s">
        <v>330</v>
      </c>
      <c r="C6" s="24" t="s">
        <v>332</v>
      </c>
      <c r="D6" s="46">
        <f>3.6*10^6</f>
        <v>3600000</v>
      </c>
    </row>
    <row r="7" spans="2:4" x14ac:dyDescent="0.25">
      <c r="B7" s="24" t="s">
        <v>333</v>
      </c>
      <c r="C7" s="24" t="s">
        <v>334</v>
      </c>
      <c r="D7" s="24">
        <v>0.13450999999999999</v>
      </c>
    </row>
    <row r="8" spans="2:4" x14ac:dyDescent="0.25">
      <c r="B8" s="24" t="s">
        <v>335</v>
      </c>
      <c r="C8" s="24" t="s">
        <v>334</v>
      </c>
      <c r="D8" s="24">
        <v>5.0020000000000002E-2</v>
      </c>
    </row>
    <row r="9" spans="2:4" x14ac:dyDescent="0.25">
      <c r="B9" s="24" t="s">
        <v>333</v>
      </c>
      <c r="C9" s="24" t="s">
        <v>336</v>
      </c>
      <c r="D9" s="24">
        <v>1.0189999999999999</v>
      </c>
    </row>
    <row r="10" spans="2:4" x14ac:dyDescent="0.25">
      <c r="B10" s="24" t="s">
        <v>330</v>
      </c>
      <c r="C10" s="24" t="s">
        <v>336</v>
      </c>
      <c r="D10" s="24">
        <v>3.1E-2</v>
      </c>
    </row>
    <row r="11" spans="2:4" x14ac:dyDescent="0.25">
      <c r="B11" s="24" t="s">
        <v>337</v>
      </c>
      <c r="C11" s="24" t="s">
        <v>331</v>
      </c>
      <c r="D11" s="46">
        <v>128488</v>
      </c>
    </row>
    <row r="13" spans="2:4" x14ac:dyDescent="0.25">
      <c r="B13" s="23" t="s">
        <v>338</v>
      </c>
      <c r="C13" s="23"/>
      <c r="D13" s="23"/>
    </row>
    <row r="14" spans="2:4" x14ac:dyDescent="0.25">
      <c r="B14" s="24" t="s">
        <v>298</v>
      </c>
      <c r="C14" s="24" t="s">
        <v>255</v>
      </c>
      <c r="D14" s="24" t="s">
        <v>339</v>
      </c>
    </row>
    <row r="15" spans="2:4" x14ac:dyDescent="0.25">
      <c r="B15" s="24" t="s">
        <v>313</v>
      </c>
      <c r="C15" s="24" t="s">
        <v>340</v>
      </c>
      <c r="D15" s="24">
        <v>8.89</v>
      </c>
    </row>
    <row r="16" spans="2:4" x14ac:dyDescent="0.25">
      <c r="B16" s="24" t="s">
        <v>310</v>
      </c>
      <c r="C16" s="24" t="s">
        <v>340</v>
      </c>
      <c r="D16" s="24">
        <v>9.1199999999999992</v>
      </c>
    </row>
    <row r="17" spans="2:4" x14ac:dyDescent="0.25">
      <c r="B17" s="24" t="s">
        <v>341</v>
      </c>
      <c r="C17" s="24" t="s">
        <v>334</v>
      </c>
      <c r="D17" s="24">
        <v>53.07</v>
      </c>
    </row>
    <row r="19" spans="2:4" x14ac:dyDescent="0.25">
      <c r="B19" s="23" t="s">
        <v>342</v>
      </c>
      <c r="C19" s="23"/>
      <c r="D19" s="23"/>
    </row>
    <row r="20" spans="2:4" x14ac:dyDescent="0.25">
      <c r="B20" s="24" t="s">
        <v>298</v>
      </c>
      <c r="C20" s="25" t="s">
        <v>343</v>
      </c>
      <c r="D20" s="25" t="s">
        <v>344</v>
      </c>
    </row>
    <row r="21" spans="2:4" x14ac:dyDescent="0.25">
      <c r="B21" s="24" t="s">
        <v>341</v>
      </c>
      <c r="C21" s="24">
        <v>84</v>
      </c>
      <c r="D21" s="24">
        <v>28</v>
      </c>
    </row>
    <row r="23" spans="2:4" x14ac:dyDescent="0.25">
      <c r="B23" s="23" t="s">
        <v>345</v>
      </c>
      <c r="C23" s="23" t="s">
        <v>346</v>
      </c>
    </row>
    <row r="24" spans="2:4" x14ac:dyDescent="0.25">
      <c r="B24" s="24" t="s">
        <v>347</v>
      </c>
      <c r="C24" s="24" t="s">
        <v>348</v>
      </c>
    </row>
    <row r="25" spans="2:4" x14ac:dyDescent="0.25">
      <c r="B25" s="24">
        <v>2010</v>
      </c>
      <c r="C25" s="24">
        <v>218.05600000000001</v>
      </c>
    </row>
    <row r="26" spans="2:4" x14ac:dyDescent="0.25">
      <c r="B26" s="24">
        <v>2011</v>
      </c>
      <c r="C26" s="24">
        <v>224.93899999999999</v>
      </c>
    </row>
    <row r="27" spans="2:4" x14ac:dyDescent="0.25">
      <c r="B27" s="24">
        <v>2012</v>
      </c>
      <c r="C27" s="24">
        <v>229.59399999999999</v>
      </c>
    </row>
    <row r="28" spans="2:4" x14ac:dyDescent="0.25">
      <c r="B28" s="24">
        <v>2013</v>
      </c>
      <c r="C28" s="24">
        <v>232.95699999999999</v>
      </c>
    </row>
    <row r="29" spans="2:4" x14ac:dyDescent="0.25">
      <c r="B29" s="24">
        <v>2014</v>
      </c>
      <c r="C29" s="24">
        <v>236.73599999999999</v>
      </c>
    </row>
    <row r="30" spans="2:4" x14ac:dyDescent="0.25">
      <c r="B30" s="24">
        <v>2015</v>
      </c>
      <c r="C30" s="24">
        <v>237.017</v>
      </c>
    </row>
    <row r="31" spans="2:4" x14ac:dyDescent="0.25">
      <c r="B31" s="24">
        <v>2016</v>
      </c>
      <c r="C31" s="24">
        <v>240.00700000000001</v>
      </c>
    </row>
    <row r="32" spans="2:4" x14ac:dyDescent="0.25">
      <c r="B32" s="24">
        <v>2017</v>
      </c>
      <c r="C32" s="45">
        <v>245.12</v>
      </c>
    </row>
    <row r="33" spans="2:3" x14ac:dyDescent="0.25">
      <c r="B33" s="24">
        <v>2018</v>
      </c>
      <c r="C33" s="24">
        <v>251.107</v>
      </c>
    </row>
    <row r="34" spans="2:3" x14ac:dyDescent="0.25">
      <c r="B34" s="24">
        <v>2019</v>
      </c>
      <c r="C34" s="24">
        <v>255.65700000000001</v>
      </c>
    </row>
  </sheetData>
  <hyperlinks>
    <hyperlink ref="C23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5B365957C7CB40992C2FD98AC36155" ma:contentTypeVersion="11" ma:contentTypeDescription="Create a new document." ma:contentTypeScope="" ma:versionID="3dac6ed694a44d54e5606c4113214b0f">
  <xsd:schema xmlns:xsd="http://www.w3.org/2001/XMLSchema" xmlns:xs="http://www.w3.org/2001/XMLSchema" xmlns:p="http://schemas.microsoft.com/office/2006/metadata/properties" xmlns:ns2="b48abb86-6b75-4cc9-8ac7-293f3cb026c9" xmlns:ns3="b2b8bedc-0fcb-47cf-97d0-3e95d67c491f" targetNamespace="http://schemas.microsoft.com/office/2006/metadata/properties" ma:root="true" ma:fieldsID="20b7460552880be2fe741b2b64bb29fd" ns2:_="" ns3:_="">
    <xsd:import namespace="b48abb86-6b75-4cc9-8ac7-293f3cb026c9"/>
    <xsd:import namespace="b2b8bedc-0fcb-47cf-97d0-3e95d67c49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8abb86-6b75-4cc9-8ac7-293f3cb026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8bedc-0fcb-47cf-97d0-3e95d67c491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18A353-BFFE-4D57-97B2-76349FE0969F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b48abb86-6b75-4cc9-8ac7-293f3cb026c9"/>
    <ds:schemaRef ds:uri="http://schemas.microsoft.com/office/infopath/2007/PartnerControls"/>
    <ds:schemaRef ds:uri="b2b8bedc-0fcb-47cf-97d0-3e95d67c491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7DA648C-54A2-4AA6-A2D3-5C9EE3B483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8abb86-6b75-4cc9-8ac7-293f3cb026c9"/>
    <ds:schemaRef ds:uri="b2b8bedc-0fcb-47cf-97d0-3e95d67c49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09B605-BE19-4B5A-ACFA-B9F2EFBE25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Cover</vt:lpstr>
      <vt:lpstr>Summary</vt:lpstr>
      <vt:lpstr>Electricity Decarbonization</vt:lpstr>
      <vt:lpstr>Industry Elec. - Boilers</vt:lpstr>
      <vt:lpstr>Industry Elec. - Process Heat</vt:lpstr>
      <vt:lpstr>Industry CCS - Process Heat</vt:lpstr>
      <vt:lpstr>Industry Hydrogen &amp; SNG</vt:lpstr>
      <vt:lpstr>MDV &amp; HDV Decarbonization</vt:lpstr>
      <vt:lpstr>DAC &amp; BECCS</vt:lpstr>
      <vt:lpstr>Fuel Costs - PATHWAYS</vt:lpstr>
      <vt:lpstr>Emission Factors - PATHWAYS</vt:lpstr>
      <vt:lpstr>Constants</vt:lpstr>
      <vt:lpstr>CH4_kg_to_MMBtu</vt:lpstr>
      <vt:lpstr>diesel_emissions_intensity</vt:lpstr>
      <vt:lpstr>gasoline_emissions_intensity</vt:lpstr>
      <vt:lpstr>H2_kg_to_MMBtu</vt:lpstr>
      <vt:lpstr>kWh_to_Btu</vt:lpstr>
      <vt:lpstr>kWh_to_GGE</vt:lpstr>
      <vt:lpstr>natural_gas_emissions_intensity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Clea Kolster</dc:creator>
  <cp:keywords/>
  <dc:description/>
  <cp:lastModifiedBy>Hand, Maureen@ARB</cp:lastModifiedBy>
  <cp:revision/>
  <dcterms:created xsi:type="dcterms:W3CDTF">2020-06-16T22:56:28Z</dcterms:created>
  <dcterms:modified xsi:type="dcterms:W3CDTF">2020-10-22T22:25:10Z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0x010100685B365957C7CB40992C2FD98AC36155</vt:lpwstr>
  </property>
</Properties>
</file>