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omments1.xml" ContentType="application/vnd.openxmlformats-officedocument.spreadsheetml.comments+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drawings/drawing2.xml" ContentType="application/vnd.openxmlformats-officedocument.drawing+xml"/>
  <Override PartName="/xl/tables/table28.xml" ContentType="application/vnd.openxmlformats-officedocument.spreadsheetml.table+xml"/>
  <Override PartName="/xl/tables/table29.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comments2.xml" ContentType="application/vnd.openxmlformats-officedocument.spreadsheetml.comments+xml"/>
  <Override PartName="/xl/tables/table41.xml" ContentType="application/vnd.openxmlformats-officedocument.spreadsheetml.table+xml"/>
  <Override PartName="/xl/tables/table42.xml" ContentType="application/vnd.openxmlformats-officedocument.spreadsheetml.table+xml"/>
  <Override PartName="/xl/comments3.xml" ContentType="application/vnd.openxmlformats-officedocument.spreadsheetml.comments+xml"/>
  <Override PartName="/xl/tables/table43.xml" ContentType="application/vnd.openxmlformats-officedocument.spreadsheetml.table+xml"/>
  <Override PartName="/xl/comments4.xml" ContentType="application/vnd.openxmlformats-officedocument.spreadsheetml.comments+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pivotTables/pivotTable1.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mc:AlternateContent xmlns:mc="http://schemas.openxmlformats.org/markup-compatibility/2006">
    <mc:Choice Requires="x15">
      <x15ac:absPath xmlns:x15ac="http://schemas.microsoft.com/office/spreadsheetml/2010/11/ac" url="C:\Users\spalmer\Desktop\"/>
    </mc:Choice>
  </mc:AlternateContent>
  <xr:revisionPtr revIDLastSave="0" documentId="8_{E3A6E70D-82F7-4198-BD6A-F8940C17EFD8}" xr6:coauthVersionLast="46" xr6:coauthVersionMax="46" xr10:uidLastSave="{00000000-0000-0000-0000-000000000000}"/>
  <bookViews>
    <workbookView xWindow="-108" yWindow="-108" windowWidth="23256" windowHeight="12576" tabRatio="933" firstSheet="8" activeTab="28" xr2:uid="{00000000-000D-0000-FFFF-FFFF00000000}"/>
  </bookViews>
  <sheets>
    <sheet name="Overview" sheetId="43" r:id="rId1"/>
    <sheet name="References" sheetId="48" r:id="rId2"/>
    <sheet name="Vehicle Attributes Overview" sheetId="39" r:id="rId3"/>
    <sheet name="BEV" sheetId="10" r:id="rId4"/>
    <sheet name="PHEV" sheetId="9" r:id="rId5"/>
    <sheet name="FCEV" sheetId="11" r:id="rId6"/>
    <sheet name="Vehicle Attributes - Base Year" sheetId="1" r:id="rId7"/>
    <sheet name="Battery Capacity" sheetId="2" r:id="rId8"/>
    <sheet name="Battery Costs" sheetId="8" r:id="rId9"/>
    <sheet name="Motor Power" sheetId="3" r:id="rId10"/>
    <sheet name="Non-Battery Cost Input" sheetId="7" r:id="rId11"/>
    <sheet name="Non-Battery Costs" sheetId="14" r:id="rId12"/>
    <sheet name="Fuel Cell Tank Size" sheetId="4" r:id="rId13"/>
    <sheet name="Fuel Cell Tank Cost" sheetId="12" r:id="rId14"/>
    <sheet name="Fuel Cell Stack Power" sheetId="5" r:id="rId15"/>
    <sheet name="Fuel Cell Stack Cost" sheetId="13" r:id="rId16"/>
    <sheet name="Rolled Up Non-Incremental Costs" sheetId="15" r:id="rId17"/>
    <sheet name="ICE Removal Cost" sheetId="16" r:id="rId18"/>
    <sheet name="Trans Removal Cost" sheetId="20" r:id="rId19"/>
    <sheet name="LEV3 Criteria Emissions Cost" sheetId="21" r:id="rId20"/>
    <sheet name="Current GHG Compliance" sheetId="47" r:id="rId21"/>
    <sheet name="ACCII Criteria Compliance Cost" sheetId="44" r:id="rId22"/>
    <sheet name="ACCII GHG Compliance" sheetId="46" r:id="rId23"/>
    <sheet name="ZEV Assembly Reductions" sheetId="35" r:id="rId24"/>
    <sheet name="Cold Weather Package" sheetId="17" r:id="rId25"/>
    <sheet name="eAWD Package" sheetId="23" r:id="rId26"/>
    <sheet name="Towing Package - Additional Bat" sheetId="24" r:id="rId27"/>
    <sheet name="Towing Bat Cost" sheetId="27" r:id="rId28"/>
    <sheet name="Incremental Cost" sheetId="18" r:id="rId29"/>
    <sheet name="Incremental Cost Pivot" sheetId="37" r:id="rId30"/>
  </sheets>
  <definedNames>
    <definedName name="_xlnm._FilterDatabase" localSheetId="28" hidden="1">'Incremental Cost'!$A$3:$S$214</definedName>
    <definedName name="_xlnm._FilterDatabase" localSheetId="16" hidden="1">'Rolled Up Non-Incremental Costs'!$A$3:$O$33</definedName>
    <definedName name="asdf" localSheetId="22">Table21[[2025]:[2035]]</definedName>
    <definedName name="asdf" localSheetId="20">Table21[[2025]:[2035]]</definedName>
    <definedName name="asdf">Table21[[2025]:[2035]]</definedName>
    <definedName name="AWD_eMotor_Additional_Power">'Vehicle Attributes Overview'!$A$3</definedName>
    <definedName name="BEV_Annual_Efficiency_Improvement">'Vehicle Attributes Overview'!$A$8</definedName>
    <definedName name="BEV_Annual_Motor_Power_Reduction">'Vehicle Attributes Overview'!$A$10</definedName>
    <definedName name="BEV_Battery_SOC_Utilization">'Vehicle Attributes Overview'!$A$9</definedName>
    <definedName name="BEV_Efficiency">BEV!$E$18:$O$27</definedName>
    <definedName name="BEV_Efficiency_Improvement">'Vehicle Attributes Overview'!$A$8</definedName>
    <definedName name="BEV_Efficiency_VehClass">BEV!$A$18:$A$27</definedName>
    <definedName name="BEV_Efficiency_Year">BEV!$E$17:$O$17</definedName>
    <definedName name="BEV_eMotor_Power" localSheetId="21">Table21[[2025]:[2035]]</definedName>
    <definedName name="BEV_eMotor_Power" localSheetId="22">Table21[[2025]:[2035]]</definedName>
    <definedName name="BEV_eMotor_Power" localSheetId="20">Table21[[2025]:[2035]]</definedName>
    <definedName name="BEV_eMotor_Power">Table21[[2025]:[2035]]</definedName>
    <definedName name="BEV_eMotor_Power_VehClass">BEV!$A$57:$A$66</definedName>
    <definedName name="BEV_eMotor_Power_Year">BEV!$A$56:$O$56</definedName>
    <definedName name="BEV_Range">BEV!$E$5:$O$14</definedName>
    <definedName name="BEV_Range_VehClass">BEV!$A$5:$A$14</definedName>
    <definedName name="BEV_Range_Year">BEV!$E$4:$O$4</definedName>
    <definedName name="BEV_TBE">BEV!$E$44:$O$53</definedName>
    <definedName name="BEV_TBE_VehClass">BEV!$A$44:$A$53</definedName>
    <definedName name="BEV_TBE_Year">BEV!$E$43:$O$43</definedName>
    <definedName name="BEV_UBE">BEV!$E$31:$O$40</definedName>
    <definedName name="BEV_UBE_VehClass">BEV!$A$31:$A$40</definedName>
    <definedName name="BEV_UBE_Year">BEV!$E$30:$O$30</definedName>
    <definedName name="FCEV_eMotor_Power">FCEV!$E$84:$O$93</definedName>
    <definedName name="FCEV_eMotor_Power_VehClass">FCEV!$A$84:$A$93</definedName>
    <definedName name="FCEV_eMotor_Power_Year">FCEV!$A$83:$O$83</definedName>
    <definedName name="FCEV_H2_Efficiency">FCEV!$E$45:$O$54</definedName>
    <definedName name="FCEV_H2_Efficiency_VehClass">FCEV!$A$45:$A$54</definedName>
    <definedName name="FCEV_H2_Efficiency_Year">FCEV!$E$44:$O$44</definedName>
    <definedName name="FCEV_Range">FCEV!$E$6:$O$15</definedName>
    <definedName name="FCEV_Range_VehClass">FCEV!$A$6:$A$15</definedName>
    <definedName name="FCEV_Range_Year">FCEV!$E$5:$O$5</definedName>
    <definedName name="FCEV_StackSize">FCEV!$E$19:$O$28</definedName>
    <definedName name="FCEV_StackSize_VehClass">FCEV!$A$19:$A$28</definedName>
    <definedName name="FCEV_StackSize_Year">FCEV!$E$18:$O$18</definedName>
    <definedName name="FCEV_TankSize">FCEV!$E$32:$O$41</definedName>
    <definedName name="FCEV_TankSize_VehClass">FCEV!$A$32:$A$41</definedName>
    <definedName name="FCEV_TankSize_Year">FCEV!$E$31:$O$31</definedName>
    <definedName name="FCEV_TBE">FCEV!$E$71:$O$80</definedName>
    <definedName name="FCEV_TBE_VehClass">FCEV!$A$71:$A$80</definedName>
    <definedName name="FCEV_TBE_Year">FCEV!$E$70:$O$70</definedName>
    <definedName name="FCEV_UBE">FCEV!$E$58:$O$67</definedName>
    <definedName name="FCEV_UBE_VehClass">FCEV!$A$58:$A$67</definedName>
    <definedName name="FCEV_UBE_Year">FCEV!$E$57:$O$57</definedName>
    <definedName name="Final_PHEV_Battery_SOC_Utilization">'Vehicle Attributes Overview'!$A$17</definedName>
    <definedName name="IncrementalCost">'Incremental Cost'!$A$3:$S$33</definedName>
    <definedName name="Intial_PHEV_Battery_SOC_Utilization">'Vehicle Attributes Overview'!$A$16</definedName>
    <definedName name="Lookup_Year">'Vehicle Attributes Overview'!$K$2:$U$2</definedName>
    <definedName name="Non_Battery_Annual_Cost_Reduction">'Vehicle Attributes Overview'!$A$4</definedName>
    <definedName name="PHEV_Annual_Efficiency_Improvement">'Vehicle Attributes Overview'!$A$15</definedName>
    <definedName name="PHEV_Annual_Motor_Power_Reduction">'Vehicle Attributes Overview'!$A$18</definedName>
    <definedName name="PHEV_Battery_SOC_Utilization">'Vehicle Attributes Overview'!$A$16</definedName>
    <definedName name="PHEV_Efficiency">PHEV!$E$18:$O$27</definedName>
    <definedName name="PHEV_Efficiency_VehClass">PHEV!$A$18:$A$27</definedName>
    <definedName name="PHEV_Efficiency_Year">PHEV!$E$17:$O$17</definedName>
    <definedName name="PHEV_eMotor_Power">PHEV!$E$57:$O$66</definedName>
    <definedName name="PHEV_eMotor_Power_VehClass">PHEV!$A$57:$A$66</definedName>
    <definedName name="PHEV_eMotor_Power_Year">PHEV!$A$56:$O$56</definedName>
    <definedName name="PHEV_Range">PHEV!$E$5:$O$14</definedName>
    <definedName name="PHEV_Range_VehClass">PHEV!$A$5:$A$14</definedName>
    <definedName name="PHEV_Range_Year">PHEV!$E$4:$O$4</definedName>
    <definedName name="PHEV_TBE">PHEV!$E$44:$O$53</definedName>
    <definedName name="PHEV_TBE_VehClass">PHEV!$A$44:$A$53</definedName>
    <definedName name="PHEV_TBE_Year">PHEV!$E$43:$O$43</definedName>
    <definedName name="PHEV_UBE">PHEV!$E$31:$O$40</definedName>
    <definedName name="PHEV_UBE_VehClass">PHEV!$A$31:$A$40</definedName>
    <definedName name="PHEV_UBE_Year">PHEV!$E$30:$O$30</definedName>
    <definedName name="ReferencesTable">Table1651[]</definedName>
    <definedName name="Slicer_Cold1">#N/A</definedName>
    <definedName name="Slicer_eAWD1">#N/A</definedName>
    <definedName name="Slicer_Tech_Type">#N/A</definedName>
    <definedName name="Slicer_Towing1">#N/A</definedName>
    <definedName name="Slicer_Vehicle_Class1">#N/A</definedName>
    <definedName name="Slicer_Vehicle_Type11">#N/A</definedName>
    <definedName name="Towing_Package_Annual_Efficiency">'Vehicle Attributes Overview'!$A$11</definedName>
    <definedName name="Towing_Package_Annual_Efficiency_Improvement">'Vehicle Attributes Overview'!$A$11</definedName>
  </definedNames>
  <calcPr calcId="191029" iterate="1"/>
  <pivotCaches>
    <pivotCache cacheId="0" r:id="rId31"/>
  </pivotCaches>
  <extLst>
    <ext xmlns:x14="http://schemas.microsoft.com/office/spreadsheetml/2009/9/main" uri="{BBE1A952-AA13-448e-AADC-164F8A28A991}">
      <x14:slicerCaches>
        <x14:slicerCache r:id="rId32"/>
        <x14:slicerCache r:id="rId33"/>
        <x14:slicerCache r:id="rId34"/>
        <x14:slicerCache r:id="rId35"/>
        <x14:slicerCache r:id="rId36"/>
        <x14:slicerCache r:id="rId3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8" i="9" l="1"/>
  <c r="G58" i="9" s="1"/>
  <c r="H58" i="9" s="1"/>
  <c r="I58" i="9" s="1"/>
  <c r="J58" i="9" s="1"/>
  <c r="K58" i="9" s="1"/>
  <c r="L58" i="9" s="1"/>
  <c r="M58" i="9" s="1"/>
  <c r="N58" i="9" s="1"/>
  <c r="O58" i="9" s="1"/>
  <c r="F59" i="9"/>
  <c r="G59" i="9"/>
  <c r="H59" i="9" s="1"/>
  <c r="I59" i="9" s="1"/>
  <c r="J59" i="9" s="1"/>
  <c r="K59" i="9" s="1"/>
  <c r="L59" i="9" s="1"/>
  <c r="M59" i="9" s="1"/>
  <c r="N59" i="9" s="1"/>
  <c r="O59" i="9" s="1"/>
  <c r="F60" i="9"/>
  <c r="G60" i="9" s="1"/>
  <c r="H60" i="9" s="1"/>
  <c r="I60" i="9" s="1"/>
  <c r="J60" i="9" s="1"/>
  <c r="K60" i="9" s="1"/>
  <c r="L60" i="9" s="1"/>
  <c r="M60" i="9" s="1"/>
  <c r="N60" i="9" s="1"/>
  <c r="O60" i="9" s="1"/>
  <c r="F61" i="9"/>
  <c r="G61" i="9"/>
  <c r="H61" i="9" s="1"/>
  <c r="I61" i="9" s="1"/>
  <c r="J61" i="9" s="1"/>
  <c r="K61" i="9" s="1"/>
  <c r="L61" i="9" s="1"/>
  <c r="M61" i="9" s="1"/>
  <c r="N61" i="9" s="1"/>
  <c r="O61" i="9" s="1"/>
  <c r="F62" i="9"/>
  <c r="G62" i="9" s="1"/>
  <c r="H62" i="9" s="1"/>
  <c r="I62" i="9" s="1"/>
  <c r="J62" i="9" s="1"/>
  <c r="K62" i="9" s="1"/>
  <c r="L62" i="9" s="1"/>
  <c r="M62" i="9" s="1"/>
  <c r="N62" i="9" s="1"/>
  <c r="O62" i="9" s="1"/>
  <c r="F63" i="9"/>
  <c r="G63" i="9"/>
  <c r="H63" i="9" s="1"/>
  <c r="I63" i="9" s="1"/>
  <c r="J63" i="9" s="1"/>
  <c r="K63" i="9" s="1"/>
  <c r="L63" i="9" s="1"/>
  <c r="M63" i="9" s="1"/>
  <c r="N63" i="9" s="1"/>
  <c r="O63" i="9" s="1"/>
  <c r="F64" i="9"/>
  <c r="G64" i="9" s="1"/>
  <c r="H64" i="9" s="1"/>
  <c r="I64" i="9" s="1"/>
  <c r="J64" i="9" s="1"/>
  <c r="K64" i="9" s="1"/>
  <c r="L64" i="9" s="1"/>
  <c r="M64" i="9" s="1"/>
  <c r="N64" i="9" s="1"/>
  <c r="O64" i="9" s="1"/>
  <c r="F65" i="9"/>
  <c r="G65" i="9"/>
  <c r="H65" i="9" s="1"/>
  <c r="I65" i="9" s="1"/>
  <c r="J65" i="9" s="1"/>
  <c r="K65" i="9" s="1"/>
  <c r="L65" i="9" s="1"/>
  <c r="M65" i="9" s="1"/>
  <c r="N65" i="9" s="1"/>
  <c r="O65" i="9" s="1"/>
  <c r="F66" i="9"/>
  <c r="G66" i="9" s="1"/>
  <c r="H66" i="9" s="1"/>
  <c r="I66" i="9" s="1"/>
  <c r="J66" i="9" s="1"/>
  <c r="K66" i="9" s="1"/>
  <c r="L66" i="9" s="1"/>
  <c r="M66" i="9" s="1"/>
  <c r="N66" i="9" s="1"/>
  <c r="O66" i="9" s="1"/>
  <c r="G57" i="9"/>
  <c r="H57" i="9" s="1"/>
  <c r="I57" i="9" s="1"/>
  <c r="J57" i="9" s="1"/>
  <c r="K57" i="9" s="1"/>
  <c r="L57" i="9" s="1"/>
  <c r="M57" i="9" s="1"/>
  <c r="N57" i="9" s="1"/>
  <c r="O57" i="9" s="1"/>
  <c r="F57" i="9"/>
  <c r="E27" i="9"/>
  <c r="F27" i="9" s="1"/>
  <c r="G27" i="9" s="1"/>
  <c r="H27" i="9" s="1"/>
  <c r="I27" i="9" s="1"/>
  <c r="J27" i="9" s="1"/>
  <c r="K27" i="9" s="1"/>
  <c r="L27" i="9" s="1"/>
  <c r="M27" i="9" s="1"/>
  <c r="N27" i="9" s="1"/>
  <c r="O27" i="9" s="1"/>
  <c r="E25" i="9"/>
  <c r="E23" i="9"/>
  <c r="E21" i="9"/>
  <c r="F21" i="9" s="1"/>
  <c r="G21" i="9" s="1"/>
  <c r="H21" i="9" s="1"/>
  <c r="I21" i="9" s="1"/>
  <c r="J21" i="9" s="1"/>
  <c r="K21" i="9" s="1"/>
  <c r="L21" i="9" s="1"/>
  <c r="M21" i="9" s="1"/>
  <c r="N21" i="9" s="1"/>
  <c r="O21" i="9" s="1"/>
  <c r="E19" i="9"/>
  <c r="E66" i="9"/>
  <c r="E64" i="9"/>
  <c r="E62" i="9"/>
  <c r="E60" i="9"/>
  <c r="E58" i="9"/>
  <c r="G11" i="9"/>
  <c r="H11" i="9"/>
  <c r="I11" i="9" s="1"/>
  <c r="J11" i="9" s="1"/>
  <c r="K11" i="9" s="1"/>
  <c r="L11" i="9" s="1"/>
  <c r="M11" i="9" s="1"/>
  <c r="N11" i="9" s="1"/>
  <c r="O11" i="9" s="1"/>
  <c r="G12" i="9"/>
  <c r="H12" i="9" s="1"/>
  <c r="I12" i="9" s="1"/>
  <c r="J12" i="9" s="1"/>
  <c r="K12" i="9" s="1"/>
  <c r="L12" i="9" s="1"/>
  <c r="M12" i="9" s="1"/>
  <c r="N12" i="9" s="1"/>
  <c r="O12" i="9" s="1"/>
  <c r="G13" i="9"/>
  <c r="H13" i="9" s="1"/>
  <c r="I13" i="9" s="1"/>
  <c r="J13" i="9" s="1"/>
  <c r="K13" i="9" s="1"/>
  <c r="L13" i="9" s="1"/>
  <c r="M13" i="9" s="1"/>
  <c r="N13" i="9" s="1"/>
  <c r="O13" i="9" s="1"/>
  <c r="G14" i="9"/>
  <c r="H14" i="9" s="1"/>
  <c r="I14" i="9" s="1"/>
  <c r="J14" i="9" s="1"/>
  <c r="K14" i="9" s="1"/>
  <c r="L14" i="9" s="1"/>
  <c r="M14" i="9" s="1"/>
  <c r="N14" i="9" s="1"/>
  <c r="O14" i="9" s="1"/>
  <c r="F11" i="9"/>
  <c r="F12" i="9"/>
  <c r="F13" i="9"/>
  <c r="F14" i="9"/>
  <c r="F19" i="9"/>
  <c r="G19" i="9" s="1"/>
  <c r="H19" i="9" s="1"/>
  <c r="I19" i="9" s="1"/>
  <c r="J19" i="9" s="1"/>
  <c r="K19" i="9" s="1"/>
  <c r="L19" i="9" s="1"/>
  <c r="M19" i="9" s="1"/>
  <c r="N19" i="9" s="1"/>
  <c r="O19" i="9" s="1"/>
  <c r="F20" i="9"/>
  <c r="G20" i="9" s="1"/>
  <c r="H20" i="9" s="1"/>
  <c r="I20" i="9" s="1"/>
  <c r="J20" i="9" s="1"/>
  <c r="K20" i="9" s="1"/>
  <c r="L20" i="9" s="1"/>
  <c r="M20" i="9" s="1"/>
  <c r="N20" i="9" s="1"/>
  <c r="O20" i="9" s="1"/>
  <c r="F22" i="9"/>
  <c r="G22" i="9" s="1"/>
  <c r="H22" i="9" s="1"/>
  <c r="I22" i="9" s="1"/>
  <c r="J22" i="9" s="1"/>
  <c r="K22" i="9" s="1"/>
  <c r="L22" i="9" s="1"/>
  <c r="M22" i="9" s="1"/>
  <c r="N22" i="9" s="1"/>
  <c r="O22" i="9" s="1"/>
  <c r="F23" i="9"/>
  <c r="G23" i="9" s="1"/>
  <c r="H23" i="9" s="1"/>
  <c r="I23" i="9" s="1"/>
  <c r="J23" i="9" s="1"/>
  <c r="K23" i="9" s="1"/>
  <c r="L23" i="9" s="1"/>
  <c r="M23" i="9" s="1"/>
  <c r="N23" i="9" s="1"/>
  <c r="O23" i="9" s="1"/>
  <c r="F24" i="9"/>
  <c r="G24" i="9" s="1"/>
  <c r="H24" i="9" s="1"/>
  <c r="I24" i="9" s="1"/>
  <c r="J24" i="9" s="1"/>
  <c r="K24" i="9" s="1"/>
  <c r="L24" i="9" s="1"/>
  <c r="M24" i="9" s="1"/>
  <c r="N24" i="9" s="1"/>
  <c r="O24" i="9" s="1"/>
  <c r="F25" i="9"/>
  <c r="G25" i="9" s="1"/>
  <c r="H25" i="9" s="1"/>
  <c r="I25" i="9" s="1"/>
  <c r="J25" i="9" s="1"/>
  <c r="K25" i="9" s="1"/>
  <c r="L25" i="9" s="1"/>
  <c r="M25" i="9" s="1"/>
  <c r="N25" i="9" s="1"/>
  <c r="O25" i="9" s="1"/>
  <c r="F26" i="9"/>
  <c r="G26" i="9" s="1"/>
  <c r="H26" i="9" s="1"/>
  <c r="I26" i="9" s="1"/>
  <c r="J26" i="9" s="1"/>
  <c r="K26" i="9" s="1"/>
  <c r="L26" i="9" s="1"/>
  <c r="M26" i="9" s="1"/>
  <c r="N26" i="9" s="1"/>
  <c r="O26" i="9" s="1"/>
  <c r="F18" i="9"/>
  <c r="G18" i="9" s="1"/>
  <c r="H18" i="9" s="1"/>
  <c r="I18" i="9" s="1"/>
  <c r="J18" i="9" s="1"/>
  <c r="K18" i="9" s="1"/>
  <c r="L18" i="9" s="1"/>
  <c r="M18" i="9" s="1"/>
  <c r="N18" i="9" s="1"/>
  <c r="O18" i="9" s="1"/>
  <c r="J154" i="18" l="1"/>
  <c r="K154" i="18"/>
  <c r="L154" i="18"/>
  <c r="M154" i="18"/>
  <c r="N154" i="18"/>
  <c r="O154" i="18"/>
  <c r="P154" i="18"/>
  <c r="Q154" i="18"/>
  <c r="R154" i="18"/>
  <c r="S154" i="18"/>
  <c r="J155" i="18"/>
  <c r="K155" i="18"/>
  <c r="L155" i="18"/>
  <c r="M155" i="18"/>
  <c r="N155" i="18"/>
  <c r="O155" i="18"/>
  <c r="P155" i="18"/>
  <c r="Q155" i="18"/>
  <c r="R155" i="18"/>
  <c r="S155" i="18"/>
  <c r="J156" i="18"/>
  <c r="K156" i="18"/>
  <c r="L156" i="18"/>
  <c r="M156" i="18"/>
  <c r="N156" i="18"/>
  <c r="O156" i="18"/>
  <c r="P156" i="18"/>
  <c r="Q156" i="18"/>
  <c r="R156" i="18"/>
  <c r="S156" i="18"/>
  <c r="J157" i="18"/>
  <c r="K157" i="18"/>
  <c r="L157" i="18"/>
  <c r="M157" i="18"/>
  <c r="N157" i="18"/>
  <c r="O157" i="18"/>
  <c r="P157" i="18"/>
  <c r="Q157" i="18"/>
  <c r="R157" i="18"/>
  <c r="S157" i="18"/>
  <c r="J158" i="18"/>
  <c r="K158" i="18"/>
  <c r="L158" i="18"/>
  <c r="M158" i="18"/>
  <c r="N158" i="18"/>
  <c r="O158" i="18"/>
  <c r="P158" i="18"/>
  <c r="Q158" i="18"/>
  <c r="R158" i="18"/>
  <c r="S158" i="18"/>
  <c r="J159" i="18"/>
  <c r="K159" i="18"/>
  <c r="L159" i="18"/>
  <c r="M159" i="18"/>
  <c r="N159" i="18"/>
  <c r="O159" i="18"/>
  <c r="P159" i="18"/>
  <c r="Q159" i="18"/>
  <c r="R159" i="18"/>
  <c r="S159" i="18"/>
  <c r="J164" i="18"/>
  <c r="K164" i="18"/>
  <c r="L164" i="18"/>
  <c r="M164" i="18"/>
  <c r="N164" i="18"/>
  <c r="O164" i="18"/>
  <c r="P164" i="18"/>
  <c r="Q164" i="18"/>
  <c r="R164" i="18"/>
  <c r="S164" i="18"/>
  <c r="J165" i="18"/>
  <c r="K165" i="18"/>
  <c r="L165" i="18"/>
  <c r="M165" i="18"/>
  <c r="N165" i="18"/>
  <c r="O165" i="18"/>
  <c r="P165" i="18"/>
  <c r="Q165" i="18"/>
  <c r="R165" i="18"/>
  <c r="S165" i="18"/>
  <c r="J166" i="18"/>
  <c r="K166" i="18"/>
  <c r="L166" i="18"/>
  <c r="M166" i="18"/>
  <c r="N166" i="18"/>
  <c r="O166" i="18"/>
  <c r="P166" i="18"/>
  <c r="Q166" i="18"/>
  <c r="R166" i="18"/>
  <c r="S166" i="18"/>
  <c r="J167" i="18"/>
  <c r="K167" i="18"/>
  <c r="L167" i="18"/>
  <c r="M167" i="18"/>
  <c r="N167" i="18"/>
  <c r="O167" i="18"/>
  <c r="P167" i="18"/>
  <c r="Q167" i="18"/>
  <c r="R167" i="18"/>
  <c r="S167" i="18"/>
  <c r="J168" i="18"/>
  <c r="K168" i="18"/>
  <c r="L168" i="18"/>
  <c r="M168" i="18"/>
  <c r="N168" i="18"/>
  <c r="O168" i="18"/>
  <c r="P168" i="18"/>
  <c r="Q168" i="18"/>
  <c r="R168" i="18"/>
  <c r="S168" i="18"/>
  <c r="J169" i="18"/>
  <c r="K169" i="18"/>
  <c r="L169" i="18"/>
  <c r="M169" i="18"/>
  <c r="N169" i="18"/>
  <c r="O169" i="18"/>
  <c r="P169" i="18"/>
  <c r="Q169" i="18"/>
  <c r="R169" i="18"/>
  <c r="S169" i="18"/>
  <c r="J174" i="18"/>
  <c r="K174" i="18"/>
  <c r="L174" i="18"/>
  <c r="M174" i="18"/>
  <c r="N174" i="18"/>
  <c r="O174" i="18"/>
  <c r="P174" i="18"/>
  <c r="Q174" i="18"/>
  <c r="R174" i="18"/>
  <c r="S174" i="18"/>
  <c r="J175" i="18"/>
  <c r="K175" i="18"/>
  <c r="L175" i="18"/>
  <c r="M175" i="18"/>
  <c r="N175" i="18"/>
  <c r="O175" i="18"/>
  <c r="P175" i="18"/>
  <c r="Q175" i="18"/>
  <c r="R175" i="18"/>
  <c r="S175" i="18"/>
  <c r="J176" i="18"/>
  <c r="K176" i="18"/>
  <c r="L176" i="18"/>
  <c r="M176" i="18"/>
  <c r="N176" i="18"/>
  <c r="O176" i="18"/>
  <c r="P176" i="18"/>
  <c r="Q176" i="18"/>
  <c r="R176" i="18"/>
  <c r="S176" i="18"/>
  <c r="J177" i="18"/>
  <c r="K177" i="18"/>
  <c r="L177" i="18"/>
  <c r="M177" i="18"/>
  <c r="N177" i="18"/>
  <c r="O177" i="18"/>
  <c r="P177" i="18"/>
  <c r="Q177" i="18"/>
  <c r="R177" i="18"/>
  <c r="S177" i="18"/>
  <c r="J178" i="18"/>
  <c r="K178" i="18"/>
  <c r="L178" i="18"/>
  <c r="M178" i="18"/>
  <c r="N178" i="18"/>
  <c r="O178" i="18"/>
  <c r="P178" i="18"/>
  <c r="Q178" i="18"/>
  <c r="R178" i="18"/>
  <c r="S178" i="18"/>
  <c r="J179" i="18"/>
  <c r="K179" i="18"/>
  <c r="L179" i="18"/>
  <c r="M179" i="18"/>
  <c r="N179" i="18"/>
  <c r="O179" i="18"/>
  <c r="P179" i="18"/>
  <c r="Q179" i="18"/>
  <c r="R179" i="18"/>
  <c r="S179" i="18"/>
  <c r="I155" i="18"/>
  <c r="I156" i="18"/>
  <c r="I157" i="18"/>
  <c r="I158" i="18"/>
  <c r="I159" i="18"/>
  <c r="I164" i="18"/>
  <c r="I165" i="18"/>
  <c r="I166" i="18"/>
  <c r="I167" i="18"/>
  <c r="I168" i="18"/>
  <c r="I169" i="18"/>
  <c r="I174" i="18"/>
  <c r="I175" i="18"/>
  <c r="I176" i="18"/>
  <c r="I177" i="18"/>
  <c r="I178" i="18"/>
  <c r="I179" i="18"/>
  <c r="I154" i="18"/>
  <c r="D155" i="18"/>
  <c r="D156" i="18"/>
  <c r="D157" i="18"/>
  <c r="D158" i="18"/>
  <c r="D159" i="18"/>
  <c r="D160" i="18"/>
  <c r="D161" i="18"/>
  <c r="D162" i="18"/>
  <c r="D163" i="18"/>
  <c r="D164" i="18"/>
  <c r="D165" i="18"/>
  <c r="D166" i="18"/>
  <c r="D167" i="18"/>
  <c r="D168" i="18"/>
  <c r="D169" i="18"/>
  <c r="D170" i="18"/>
  <c r="D171" i="18"/>
  <c r="D172" i="18"/>
  <c r="D173" i="18"/>
  <c r="D174" i="18"/>
  <c r="D175" i="18"/>
  <c r="D176" i="18"/>
  <c r="D177" i="18"/>
  <c r="D178" i="18"/>
  <c r="D179" i="18"/>
  <c r="D180" i="18"/>
  <c r="D181" i="18"/>
  <c r="D182" i="18"/>
  <c r="D183" i="18"/>
  <c r="D154" i="18"/>
  <c r="J214" i="18" l="1"/>
  <c r="K214" i="18"/>
  <c r="L214" i="18"/>
  <c r="M214" i="18"/>
  <c r="N214" i="18"/>
  <c r="O214" i="18"/>
  <c r="P214" i="18"/>
  <c r="Q214" i="18"/>
  <c r="R214" i="18"/>
  <c r="S214" i="18"/>
  <c r="J215" i="18"/>
  <c r="K215" i="18"/>
  <c r="L215" i="18"/>
  <c r="M215" i="18"/>
  <c r="N215" i="18"/>
  <c r="O215" i="18"/>
  <c r="P215" i="18"/>
  <c r="Q215" i="18"/>
  <c r="R215" i="18"/>
  <c r="S215" i="18"/>
  <c r="J216" i="18"/>
  <c r="K216" i="18"/>
  <c r="L216" i="18"/>
  <c r="M216" i="18"/>
  <c r="N216" i="18"/>
  <c r="O216" i="18"/>
  <c r="P216" i="18"/>
  <c r="Q216" i="18"/>
  <c r="R216" i="18"/>
  <c r="S216" i="18"/>
  <c r="J217" i="18"/>
  <c r="K217" i="18"/>
  <c r="L217" i="18"/>
  <c r="M217" i="18"/>
  <c r="N217" i="18"/>
  <c r="O217" i="18"/>
  <c r="P217" i="18"/>
  <c r="Q217" i="18"/>
  <c r="R217" i="18"/>
  <c r="S217" i="18"/>
  <c r="J218" i="18"/>
  <c r="K218" i="18"/>
  <c r="L218" i="18"/>
  <c r="M218" i="18"/>
  <c r="N218" i="18"/>
  <c r="O218" i="18"/>
  <c r="P218" i="18"/>
  <c r="Q218" i="18"/>
  <c r="R218" i="18"/>
  <c r="S218" i="18"/>
  <c r="J219" i="18"/>
  <c r="K219" i="18"/>
  <c r="L219" i="18"/>
  <c r="M219" i="18"/>
  <c r="N219" i="18"/>
  <c r="O219" i="18"/>
  <c r="P219" i="18"/>
  <c r="Q219" i="18"/>
  <c r="R219" i="18"/>
  <c r="S219" i="18"/>
  <c r="J224" i="18"/>
  <c r="K224" i="18"/>
  <c r="L224" i="18"/>
  <c r="M224" i="18"/>
  <c r="N224" i="18"/>
  <c r="O224" i="18"/>
  <c r="P224" i="18"/>
  <c r="Q224" i="18"/>
  <c r="R224" i="18"/>
  <c r="S224" i="18"/>
  <c r="J225" i="18"/>
  <c r="K225" i="18"/>
  <c r="L225" i="18"/>
  <c r="M225" i="18"/>
  <c r="N225" i="18"/>
  <c r="O225" i="18"/>
  <c r="P225" i="18"/>
  <c r="Q225" i="18"/>
  <c r="R225" i="18"/>
  <c r="S225" i="18"/>
  <c r="J226" i="18"/>
  <c r="K226" i="18"/>
  <c r="L226" i="18"/>
  <c r="M226" i="18"/>
  <c r="N226" i="18"/>
  <c r="O226" i="18"/>
  <c r="P226" i="18"/>
  <c r="Q226" i="18"/>
  <c r="R226" i="18"/>
  <c r="S226" i="18"/>
  <c r="J227" i="18"/>
  <c r="K227" i="18"/>
  <c r="L227" i="18"/>
  <c r="M227" i="18"/>
  <c r="N227" i="18"/>
  <c r="O227" i="18"/>
  <c r="P227" i="18"/>
  <c r="Q227" i="18"/>
  <c r="R227" i="18"/>
  <c r="S227" i="18"/>
  <c r="J228" i="18"/>
  <c r="K228" i="18"/>
  <c r="L228" i="18"/>
  <c r="M228" i="18"/>
  <c r="N228" i="18"/>
  <c r="O228" i="18"/>
  <c r="P228" i="18"/>
  <c r="Q228" i="18"/>
  <c r="R228" i="18"/>
  <c r="S228" i="18"/>
  <c r="J229" i="18"/>
  <c r="K229" i="18"/>
  <c r="L229" i="18"/>
  <c r="M229" i="18"/>
  <c r="N229" i="18"/>
  <c r="O229" i="18"/>
  <c r="P229" i="18"/>
  <c r="Q229" i="18"/>
  <c r="R229" i="18"/>
  <c r="S229" i="18"/>
  <c r="J234" i="18"/>
  <c r="K234" i="18"/>
  <c r="L234" i="18"/>
  <c r="M234" i="18"/>
  <c r="N234" i="18"/>
  <c r="O234" i="18"/>
  <c r="P234" i="18"/>
  <c r="Q234" i="18"/>
  <c r="R234" i="18"/>
  <c r="S234" i="18"/>
  <c r="J235" i="18"/>
  <c r="K235" i="18"/>
  <c r="L235" i="18"/>
  <c r="M235" i="18"/>
  <c r="N235" i="18"/>
  <c r="O235" i="18"/>
  <c r="P235" i="18"/>
  <c r="Q235" i="18"/>
  <c r="R235" i="18"/>
  <c r="S235" i="18"/>
  <c r="J236" i="18"/>
  <c r="K236" i="18"/>
  <c r="L236" i="18"/>
  <c r="M236" i="18"/>
  <c r="N236" i="18"/>
  <c r="O236" i="18"/>
  <c r="P236" i="18"/>
  <c r="Q236" i="18"/>
  <c r="R236" i="18"/>
  <c r="S236" i="18"/>
  <c r="J237" i="18"/>
  <c r="K237" i="18"/>
  <c r="L237" i="18"/>
  <c r="M237" i="18"/>
  <c r="N237" i="18"/>
  <c r="O237" i="18"/>
  <c r="P237" i="18"/>
  <c r="Q237" i="18"/>
  <c r="R237" i="18"/>
  <c r="S237" i="18"/>
  <c r="J238" i="18"/>
  <c r="K238" i="18"/>
  <c r="L238" i="18"/>
  <c r="M238" i="18"/>
  <c r="N238" i="18"/>
  <c r="O238" i="18"/>
  <c r="P238" i="18"/>
  <c r="Q238" i="18"/>
  <c r="R238" i="18"/>
  <c r="S238" i="18"/>
  <c r="J239" i="18"/>
  <c r="K239" i="18"/>
  <c r="L239" i="18"/>
  <c r="M239" i="18"/>
  <c r="N239" i="18"/>
  <c r="O239" i="18"/>
  <c r="P239" i="18"/>
  <c r="Q239" i="18"/>
  <c r="R239" i="18"/>
  <c r="S239" i="18"/>
  <c r="I215" i="18"/>
  <c r="I216" i="18"/>
  <c r="I217" i="18"/>
  <c r="I218" i="18"/>
  <c r="I219" i="18"/>
  <c r="I224" i="18"/>
  <c r="I225" i="18"/>
  <c r="I226" i="18"/>
  <c r="I227" i="18"/>
  <c r="I228" i="18"/>
  <c r="I229" i="18"/>
  <c r="I234" i="18"/>
  <c r="I235" i="18"/>
  <c r="I236" i="18"/>
  <c r="I237" i="18"/>
  <c r="I238" i="18"/>
  <c r="I239" i="18"/>
  <c r="I214" i="18"/>
  <c r="J184" i="18"/>
  <c r="K184" i="18"/>
  <c r="L184" i="18"/>
  <c r="M184" i="18"/>
  <c r="N184" i="18"/>
  <c r="O184" i="18"/>
  <c r="P184" i="18"/>
  <c r="Q184" i="18"/>
  <c r="R184" i="18"/>
  <c r="S184" i="18"/>
  <c r="J185" i="18"/>
  <c r="K185" i="18"/>
  <c r="L185" i="18"/>
  <c r="M185" i="18"/>
  <c r="N185" i="18"/>
  <c r="O185" i="18"/>
  <c r="P185" i="18"/>
  <c r="Q185" i="18"/>
  <c r="R185" i="18"/>
  <c r="S185" i="18"/>
  <c r="J186" i="18"/>
  <c r="K186" i="18"/>
  <c r="L186" i="18"/>
  <c r="M186" i="18"/>
  <c r="N186" i="18"/>
  <c r="O186" i="18"/>
  <c r="P186" i="18"/>
  <c r="Q186" i="18"/>
  <c r="R186" i="18"/>
  <c r="S186" i="18"/>
  <c r="J187" i="18"/>
  <c r="K187" i="18"/>
  <c r="L187" i="18"/>
  <c r="M187" i="18"/>
  <c r="N187" i="18"/>
  <c r="O187" i="18"/>
  <c r="P187" i="18"/>
  <c r="Q187" i="18"/>
  <c r="R187" i="18"/>
  <c r="S187" i="18"/>
  <c r="J188" i="18"/>
  <c r="K188" i="18"/>
  <c r="L188" i="18"/>
  <c r="M188" i="18"/>
  <c r="N188" i="18"/>
  <c r="O188" i="18"/>
  <c r="P188" i="18"/>
  <c r="Q188" i="18"/>
  <c r="R188" i="18"/>
  <c r="S188" i="18"/>
  <c r="J189" i="18"/>
  <c r="K189" i="18"/>
  <c r="L189" i="18"/>
  <c r="M189" i="18"/>
  <c r="N189" i="18"/>
  <c r="O189" i="18"/>
  <c r="P189" i="18"/>
  <c r="Q189" i="18"/>
  <c r="R189" i="18"/>
  <c r="S189" i="18"/>
  <c r="J194" i="18"/>
  <c r="K194" i="18"/>
  <c r="L194" i="18"/>
  <c r="M194" i="18"/>
  <c r="N194" i="18"/>
  <c r="O194" i="18"/>
  <c r="P194" i="18"/>
  <c r="Q194" i="18"/>
  <c r="R194" i="18"/>
  <c r="S194" i="18"/>
  <c r="J195" i="18"/>
  <c r="K195" i="18"/>
  <c r="L195" i="18"/>
  <c r="M195" i="18"/>
  <c r="N195" i="18"/>
  <c r="O195" i="18"/>
  <c r="P195" i="18"/>
  <c r="Q195" i="18"/>
  <c r="R195" i="18"/>
  <c r="S195" i="18"/>
  <c r="J196" i="18"/>
  <c r="K196" i="18"/>
  <c r="L196" i="18"/>
  <c r="M196" i="18"/>
  <c r="N196" i="18"/>
  <c r="O196" i="18"/>
  <c r="P196" i="18"/>
  <c r="Q196" i="18"/>
  <c r="R196" i="18"/>
  <c r="S196" i="18"/>
  <c r="J197" i="18"/>
  <c r="K197" i="18"/>
  <c r="L197" i="18"/>
  <c r="M197" i="18"/>
  <c r="N197" i="18"/>
  <c r="O197" i="18"/>
  <c r="P197" i="18"/>
  <c r="Q197" i="18"/>
  <c r="R197" i="18"/>
  <c r="S197" i="18"/>
  <c r="J198" i="18"/>
  <c r="K198" i="18"/>
  <c r="L198" i="18"/>
  <c r="M198" i="18"/>
  <c r="N198" i="18"/>
  <c r="O198" i="18"/>
  <c r="P198" i="18"/>
  <c r="Q198" i="18"/>
  <c r="R198" i="18"/>
  <c r="S198" i="18"/>
  <c r="J199" i="18"/>
  <c r="K199" i="18"/>
  <c r="L199" i="18"/>
  <c r="M199" i="18"/>
  <c r="N199" i="18"/>
  <c r="O199" i="18"/>
  <c r="P199" i="18"/>
  <c r="Q199" i="18"/>
  <c r="R199" i="18"/>
  <c r="S199" i="18"/>
  <c r="J204" i="18"/>
  <c r="K204" i="18"/>
  <c r="L204" i="18"/>
  <c r="M204" i="18"/>
  <c r="N204" i="18"/>
  <c r="O204" i="18"/>
  <c r="P204" i="18"/>
  <c r="Q204" i="18"/>
  <c r="R204" i="18"/>
  <c r="S204" i="18"/>
  <c r="J205" i="18"/>
  <c r="K205" i="18"/>
  <c r="L205" i="18"/>
  <c r="M205" i="18"/>
  <c r="N205" i="18"/>
  <c r="O205" i="18"/>
  <c r="P205" i="18"/>
  <c r="Q205" i="18"/>
  <c r="R205" i="18"/>
  <c r="S205" i="18"/>
  <c r="J206" i="18"/>
  <c r="K206" i="18"/>
  <c r="L206" i="18"/>
  <c r="M206" i="18"/>
  <c r="N206" i="18"/>
  <c r="O206" i="18"/>
  <c r="P206" i="18"/>
  <c r="Q206" i="18"/>
  <c r="R206" i="18"/>
  <c r="S206" i="18"/>
  <c r="J207" i="18"/>
  <c r="K207" i="18"/>
  <c r="L207" i="18"/>
  <c r="M207" i="18"/>
  <c r="N207" i="18"/>
  <c r="O207" i="18"/>
  <c r="P207" i="18"/>
  <c r="Q207" i="18"/>
  <c r="R207" i="18"/>
  <c r="S207" i="18"/>
  <c r="J208" i="18"/>
  <c r="K208" i="18"/>
  <c r="L208" i="18"/>
  <c r="M208" i="18"/>
  <c r="N208" i="18"/>
  <c r="O208" i="18"/>
  <c r="P208" i="18"/>
  <c r="Q208" i="18"/>
  <c r="R208" i="18"/>
  <c r="S208" i="18"/>
  <c r="J209" i="18"/>
  <c r="K209" i="18"/>
  <c r="L209" i="18"/>
  <c r="M209" i="18"/>
  <c r="N209" i="18"/>
  <c r="O209" i="18"/>
  <c r="P209" i="18"/>
  <c r="Q209" i="18"/>
  <c r="R209" i="18"/>
  <c r="S209" i="18"/>
  <c r="I185" i="18"/>
  <c r="I186" i="18"/>
  <c r="I187" i="18"/>
  <c r="I188" i="18"/>
  <c r="I189" i="18"/>
  <c r="I194" i="18"/>
  <c r="I195" i="18"/>
  <c r="I196" i="18"/>
  <c r="I197" i="18"/>
  <c r="I198" i="18"/>
  <c r="I199" i="18"/>
  <c r="I204" i="18"/>
  <c r="I205" i="18"/>
  <c r="I206" i="18"/>
  <c r="I207" i="18"/>
  <c r="I208" i="18"/>
  <c r="I209" i="18"/>
  <c r="I184" i="18"/>
  <c r="J94" i="18"/>
  <c r="K94" i="18"/>
  <c r="L94" i="18"/>
  <c r="M94" i="18"/>
  <c r="N94" i="18"/>
  <c r="O94" i="18"/>
  <c r="P94" i="18"/>
  <c r="Q94" i="18"/>
  <c r="R94" i="18"/>
  <c r="S94" i="18"/>
  <c r="J95" i="18"/>
  <c r="K95" i="18"/>
  <c r="L95" i="18"/>
  <c r="M95" i="18"/>
  <c r="N95" i="18"/>
  <c r="O95" i="18"/>
  <c r="P95" i="18"/>
  <c r="Q95" i="18"/>
  <c r="R95" i="18"/>
  <c r="S95" i="18"/>
  <c r="J96" i="18"/>
  <c r="K96" i="18"/>
  <c r="L96" i="18"/>
  <c r="M96" i="18"/>
  <c r="N96" i="18"/>
  <c r="O96" i="18"/>
  <c r="P96" i="18"/>
  <c r="Q96" i="18"/>
  <c r="R96" i="18"/>
  <c r="S96" i="18"/>
  <c r="J97" i="18"/>
  <c r="K97" i="18"/>
  <c r="L97" i="18"/>
  <c r="M97" i="18"/>
  <c r="N97" i="18"/>
  <c r="O97" i="18"/>
  <c r="P97" i="18"/>
  <c r="Q97" i="18"/>
  <c r="R97" i="18"/>
  <c r="S97" i="18"/>
  <c r="J98" i="18"/>
  <c r="K98" i="18"/>
  <c r="L98" i="18"/>
  <c r="M98" i="18"/>
  <c r="N98" i="18"/>
  <c r="O98" i="18"/>
  <c r="P98" i="18"/>
  <c r="Q98" i="18"/>
  <c r="R98" i="18"/>
  <c r="S98" i="18"/>
  <c r="J99" i="18"/>
  <c r="K99" i="18"/>
  <c r="L99" i="18"/>
  <c r="M99" i="18"/>
  <c r="N99" i="18"/>
  <c r="O99" i="18"/>
  <c r="P99" i="18"/>
  <c r="Q99" i="18"/>
  <c r="R99" i="18"/>
  <c r="S99" i="18"/>
  <c r="J104" i="18"/>
  <c r="K104" i="18"/>
  <c r="L104" i="18"/>
  <c r="M104" i="18"/>
  <c r="N104" i="18"/>
  <c r="O104" i="18"/>
  <c r="P104" i="18"/>
  <c r="Q104" i="18"/>
  <c r="R104" i="18"/>
  <c r="S104" i="18"/>
  <c r="J105" i="18"/>
  <c r="K105" i="18"/>
  <c r="L105" i="18"/>
  <c r="M105" i="18"/>
  <c r="N105" i="18"/>
  <c r="O105" i="18"/>
  <c r="P105" i="18"/>
  <c r="Q105" i="18"/>
  <c r="R105" i="18"/>
  <c r="S105" i="18"/>
  <c r="J106" i="18"/>
  <c r="K106" i="18"/>
  <c r="L106" i="18"/>
  <c r="M106" i="18"/>
  <c r="N106" i="18"/>
  <c r="O106" i="18"/>
  <c r="P106" i="18"/>
  <c r="Q106" i="18"/>
  <c r="R106" i="18"/>
  <c r="S106" i="18"/>
  <c r="J107" i="18"/>
  <c r="K107" i="18"/>
  <c r="L107" i="18"/>
  <c r="M107" i="18"/>
  <c r="N107" i="18"/>
  <c r="O107" i="18"/>
  <c r="P107" i="18"/>
  <c r="Q107" i="18"/>
  <c r="R107" i="18"/>
  <c r="S107" i="18"/>
  <c r="J108" i="18"/>
  <c r="K108" i="18"/>
  <c r="L108" i="18"/>
  <c r="M108" i="18"/>
  <c r="N108" i="18"/>
  <c r="O108" i="18"/>
  <c r="P108" i="18"/>
  <c r="Q108" i="18"/>
  <c r="R108" i="18"/>
  <c r="S108" i="18"/>
  <c r="J109" i="18"/>
  <c r="K109" i="18"/>
  <c r="L109" i="18"/>
  <c r="M109" i="18"/>
  <c r="N109" i="18"/>
  <c r="O109" i="18"/>
  <c r="P109" i="18"/>
  <c r="Q109" i="18"/>
  <c r="R109" i="18"/>
  <c r="S109" i="18"/>
  <c r="J114" i="18"/>
  <c r="K114" i="18"/>
  <c r="L114" i="18"/>
  <c r="M114" i="18"/>
  <c r="N114" i="18"/>
  <c r="O114" i="18"/>
  <c r="P114" i="18"/>
  <c r="Q114" i="18"/>
  <c r="R114" i="18"/>
  <c r="S114" i="18"/>
  <c r="J115" i="18"/>
  <c r="K115" i="18"/>
  <c r="L115" i="18"/>
  <c r="M115" i="18"/>
  <c r="N115" i="18"/>
  <c r="O115" i="18"/>
  <c r="P115" i="18"/>
  <c r="Q115" i="18"/>
  <c r="R115" i="18"/>
  <c r="S115" i="18"/>
  <c r="J116" i="18"/>
  <c r="K116" i="18"/>
  <c r="L116" i="18"/>
  <c r="M116" i="18"/>
  <c r="N116" i="18"/>
  <c r="O116" i="18"/>
  <c r="P116" i="18"/>
  <c r="Q116" i="18"/>
  <c r="R116" i="18"/>
  <c r="S116" i="18"/>
  <c r="J117" i="18"/>
  <c r="K117" i="18"/>
  <c r="L117" i="18"/>
  <c r="M117" i="18"/>
  <c r="N117" i="18"/>
  <c r="O117" i="18"/>
  <c r="P117" i="18"/>
  <c r="Q117" i="18"/>
  <c r="R117" i="18"/>
  <c r="S117" i="18"/>
  <c r="J118" i="18"/>
  <c r="K118" i="18"/>
  <c r="L118" i="18"/>
  <c r="M118" i="18"/>
  <c r="N118" i="18"/>
  <c r="O118" i="18"/>
  <c r="P118" i="18"/>
  <c r="Q118" i="18"/>
  <c r="R118" i="18"/>
  <c r="S118" i="18"/>
  <c r="J119" i="18"/>
  <c r="K119" i="18"/>
  <c r="L119" i="18"/>
  <c r="M119" i="18"/>
  <c r="N119" i="18"/>
  <c r="O119" i="18"/>
  <c r="P119" i="18"/>
  <c r="Q119" i="18"/>
  <c r="R119" i="18"/>
  <c r="S119" i="18"/>
  <c r="I95" i="18"/>
  <c r="I96" i="18"/>
  <c r="I97" i="18"/>
  <c r="I98" i="18"/>
  <c r="I99" i="18"/>
  <c r="I104" i="18"/>
  <c r="I105" i="18"/>
  <c r="I106" i="18"/>
  <c r="I107" i="18"/>
  <c r="I108" i="18"/>
  <c r="I109" i="18"/>
  <c r="I114" i="18"/>
  <c r="I115" i="18"/>
  <c r="I116" i="18"/>
  <c r="I117" i="18"/>
  <c r="I118" i="18"/>
  <c r="I119" i="18"/>
  <c r="I94" i="18"/>
  <c r="J34" i="18"/>
  <c r="K34" i="18"/>
  <c r="L34" i="18"/>
  <c r="M34" i="18"/>
  <c r="N34" i="18"/>
  <c r="O34" i="18"/>
  <c r="P34" i="18"/>
  <c r="Q34" i="18"/>
  <c r="R34" i="18"/>
  <c r="S34" i="18"/>
  <c r="J35" i="18"/>
  <c r="K35" i="18"/>
  <c r="L35" i="18"/>
  <c r="M35" i="18"/>
  <c r="N35" i="18"/>
  <c r="O35" i="18"/>
  <c r="P35" i="18"/>
  <c r="Q35" i="18"/>
  <c r="R35" i="18"/>
  <c r="S35" i="18"/>
  <c r="J36" i="18"/>
  <c r="K36" i="18"/>
  <c r="L36" i="18"/>
  <c r="M36" i="18"/>
  <c r="N36" i="18"/>
  <c r="O36" i="18"/>
  <c r="P36" i="18"/>
  <c r="Q36" i="18"/>
  <c r="R36" i="18"/>
  <c r="S36" i="18"/>
  <c r="J37" i="18"/>
  <c r="K37" i="18"/>
  <c r="L37" i="18"/>
  <c r="M37" i="18"/>
  <c r="N37" i="18"/>
  <c r="O37" i="18"/>
  <c r="P37" i="18"/>
  <c r="Q37" i="18"/>
  <c r="R37" i="18"/>
  <c r="S37" i="18"/>
  <c r="J38" i="18"/>
  <c r="K38" i="18"/>
  <c r="L38" i="18"/>
  <c r="M38" i="18"/>
  <c r="N38" i="18"/>
  <c r="O38" i="18"/>
  <c r="P38" i="18"/>
  <c r="Q38" i="18"/>
  <c r="R38" i="18"/>
  <c r="S38" i="18"/>
  <c r="J39" i="18"/>
  <c r="K39" i="18"/>
  <c r="L39" i="18"/>
  <c r="M39" i="18"/>
  <c r="N39" i="18"/>
  <c r="O39" i="18"/>
  <c r="P39" i="18"/>
  <c r="Q39" i="18"/>
  <c r="R39" i="18"/>
  <c r="S39" i="18"/>
  <c r="J40" i="18"/>
  <c r="K40" i="18"/>
  <c r="L40" i="18"/>
  <c r="M40" i="18"/>
  <c r="N40" i="18"/>
  <c r="O40" i="18"/>
  <c r="P40" i="18"/>
  <c r="Q40" i="18"/>
  <c r="R40" i="18"/>
  <c r="S40" i="18"/>
  <c r="J41" i="18"/>
  <c r="K41" i="18"/>
  <c r="L41" i="18"/>
  <c r="M41" i="18"/>
  <c r="N41" i="18"/>
  <c r="O41" i="18"/>
  <c r="P41" i="18"/>
  <c r="Q41" i="18"/>
  <c r="R41" i="18"/>
  <c r="S41" i="18"/>
  <c r="J42" i="18"/>
  <c r="K42" i="18"/>
  <c r="L42" i="18"/>
  <c r="M42" i="18"/>
  <c r="N42" i="18"/>
  <c r="O42" i="18"/>
  <c r="P42" i="18"/>
  <c r="Q42" i="18"/>
  <c r="R42" i="18"/>
  <c r="S42" i="18"/>
  <c r="J43" i="18"/>
  <c r="K43" i="18"/>
  <c r="L43" i="18"/>
  <c r="M43" i="18"/>
  <c r="N43" i="18"/>
  <c r="O43" i="18"/>
  <c r="P43" i="18"/>
  <c r="Q43" i="18"/>
  <c r="R43" i="18"/>
  <c r="S43" i="18"/>
  <c r="I35" i="18"/>
  <c r="I36" i="18"/>
  <c r="I37" i="18"/>
  <c r="I38" i="18"/>
  <c r="I39" i="18"/>
  <c r="I40" i="18"/>
  <c r="I41" i="18"/>
  <c r="I42" i="18"/>
  <c r="I43" i="18"/>
  <c r="I34" i="18"/>
  <c r="S6" i="8" l="1"/>
  <c r="T6" i="8" s="1"/>
  <c r="U6" i="8" s="1"/>
  <c r="V6" i="8" s="1"/>
  <c r="D34" i="47"/>
  <c r="C34" i="47"/>
  <c r="B34" i="47"/>
  <c r="D33" i="47"/>
  <c r="C33" i="47"/>
  <c r="B33" i="47"/>
  <c r="D32" i="47"/>
  <c r="C32" i="47"/>
  <c r="B32" i="47"/>
  <c r="D31" i="47"/>
  <c r="C31" i="47"/>
  <c r="B31" i="47"/>
  <c r="D30" i="47"/>
  <c r="C30" i="47"/>
  <c r="B30" i="47"/>
  <c r="D29" i="47"/>
  <c r="C29" i="47"/>
  <c r="B29" i="47"/>
  <c r="D28" i="47"/>
  <c r="C28" i="47"/>
  <c r="B28" i="47"/>
  <c r="D27" i="47"/>
  <c r="C27" i="47"/>
  <c r="B27" i="47"/>
  <c r="D26" i="47"/>
  <c r="C26" i="47"/>
  <c r="B26" i="47"/>
  <c r="D25" i="47"/>
  <c r="C25" i="47"/>
  <c r="B25" i="47"/>
  <c r="D24" i="47"/>
  <c r="C24" i="47"/>
  <c r="B24" i="47"/>
  <c r="D23" i="47"/>
  <c r="C23" i="47"/>
  <c r="B23" i="47"/>
  <c r="D22" i="47"/>
  <c r="C22" i="47"/>
  <c r="B22" i="47"/>
  <c r="D21" i="47"/>
  <c r="C21" i="47"/>
  <c r="B21" i="47"/>
  <c r="D20" i="47"/>
  <c r="C20" i="47"/>
  <c r="B20" i="47"/>
  <c r="D19" i="47"/>
  <c r="C19" i="47"/>
  <c r="B19" i="47"/>
  <c r="D18" i="47"/>
  <c r="C18" i="47"/>
  <c r="B18" i="47"/>
  <c r="D17" i="47"/>
  <c r="C17" i="47"/>
  <c r="B17" i="47"/>
  <c r="D16" i="47"/>
  <c r="C16" i="47"/>
  <c r="B16" i="47"/>
  <c r="D15" i="47"/>
  <c r="C15" i="47"/>
  <c r="B15" i="47"/>
  <c r="D14" i="47"/>
  <c r="C14" i="47"/>
  <c r="B14" i="47"/>
  <c r="D13" i="47"/>
  <c r="C13" i="47"/>
  <c r="B13" i="47"/>
  <c r="D12" i="47"/>
  <c r="C12" i="47"/>
  <c r="B12" i="47"/>
  <c r="D11" i="47"/>
  <c r="C11" i="47"/>
  <c r="B11" i="47"/>
  <c r="D10" i="47"/>
  <c r="C10" i="47"/>
  <c r="B10" i="47"/>
  <c r="D9" i="47"/>
  <c r="C9" i="47"/>
  <c r="B9" i="47"/>
  <c r="D8" i="47"/>
  <c r="C8" i="47"/>
  <c r="B8" i="47"/>
  <c r="D7" i="47"/>
  <c r="C7" i="47"/>
  <c r="B7" i="47"/>
  <c r="D6" i="47"/>
  <c r="C6" i="47"/>
  <c r="B6" i="47"/>
  <c r="D5" i="47"/>
  <c r="C5" i="47"/>
  <c r="B5" i="47"/>
  <c r="D34" i="46"/>
  <c r="C34" i="46"/>
  <c r="B34" i="46"/>
  <c r="D33" i="46"/>
  <c r="C33" i="46"/>
  <c r="B33" i="46"/>
  <c r="D32" i="46"/>
  <c r="C32" i="46"/>
  <c r="B32" i="46"/>
  <c r="D31" i="46"/>
  <c r="C31" i="46"/>
  <c r="B31" i="46"/>
  <c r="D30" i="46"/>
  <c r="C30" i="46"/>
  <c r="B30" i="46"/>
  <c r="D29" i="46"/>
  <c r="C29" i="46"/>
  <c r="B29" i="46"/>
  <c r="D28" i="46"/>
  <c r="C28" i="46"/>
  <c r="B28" i="46"/>
  <c r="D27" i="46"/>
  <c r="C27" i="46"/>
  <c r="B27" i="46"/>
  <c r="D26" i="46"/>
  <c r="C26" i="46"/>
  <c r="B26" i="46"/>
  <c r="D25" i="46"/>
  <c r="C25" i="46"/>
  <c r="B25" i="46"/>
  <c r="D24" i="46"/>
  <c r="C24" i="46"/>
  <c r="B24" i="46"/>
  <c r="D23" i="46"/>
  <c r="C23" i="46"/>
  <c r="B23" i="46"/>
  <c r="D22" i="46"/>
  <c r="C22" i="46"/>
  <c r="B22" i="46"/>
  <c r="D21" i="46"/>
  <c r="C21" i="46"/>
  <c r="B21" i="46"/>
  <c r="D20" i="46"/>
  <c r="C20" i="46"/>
  <c r="B20" i="46"/>
  <c r="D19" i="46"/>
  <c r="C19" i="46"/>
  <c r="B19" i="46"/>
  <c r="D18" i="46"/>
  <c r="C18" i="46"/>
  <c r="B18" i="46"/>
  <c r="D17" i="46"/>
  <c r="C17" i="46"/>
  <c r="B17" i="46"/>
  <c r="D16" i="46"/>
  <c r="C16" i="46"/>
  <c r="B16" i="46"/>
  <c r="D15" i="46"/>
  <c r="C15" i="46"/>
  <c r="B15" i="46"/>
  <c r="D14" i="46"/>
  <c r="C14" i="46"/>
  <c r="B14" i="46"/>
  <c r="D13" i="46"/>
  <c r="C13" i="46"/>
  <c r="B13" i="46"/>
  <c r="D12" i="46"/>
  <c r="C12" i="46"/>
  <c r="B12" i="46"/>
  <c r="D11" i="46"/>
  <c r="C11" i="46"/>
  <c r="B11" i="46"/>
  <c r="D10" i="46"/>
  <c r="C10" i="46"/>
  <c r="B10" i="46"/>
  <c r="D9" i="46"/>
  <c r="C9" i="46"/>
  <c r="B9" i="46"/>
  <c r="D8" i="46"/>
  <c r="C8" i="46"/>
  <c r="B8" i="46"/>
  <c r="D7" i="46"/>
  <c r="C7" i="46"/>
  <c r="B7" i="46"/>
  <c r="D6" i="46"/>
  <c r="C6" i="46"/>
  <c r="B6" i="46"/>
  <c r="D5" i="46"/>
  <c r="C5" i="46"/>
  <c r="B5" i="46"/>
  <c r="A4" i="46" s="1"/>
  <c r="D34" i="44"/>
  <c r="C34" i="44"/>
  <c r="B34" i="44"/>
  <c r="D33" i="44"/>
  <c r="C33" i="44"/>
  <c r="B33" i="44"/>
  <c r="D32" i="44"/>
  <c r="C32" i="44"/>
  <c r="B32" i="44"/>
  <c r="D31" i="44"/>
  <c r="C31" i="44"/>
  <c r="B31" i="44"/>
  <c r="D30" i="44"/>
  <c r="C30" i="44"/>
  <c r="B30" i="44"/>
  <c r="D29" i="44"/>
  <c r="C29" i="44"/>
  <c r="B29" i="44"/>
  <c r="D28" i="44"/>
  <c r="C28" i="44"/>
  <c r="B28" i="44"/>
  <c r="D27" i="44"/>
  <c r="C27" i="44"/>
  <c r="B27" i="44"/>
  <c r="D26" i="44"/>
  <c r="C26" i="44"/>
  <c r="B26" i="44"/>
  <c r="D25" i="44"/>
  <c r="C25" i="44"/>
  <c r="B25" i="44"/>
  <c r="D24" i="44"/>
  <c r="C24" i="44"/>
  <c r="B24" i="44"/>
  <c r="D23" i="44"/>
  <c r="C23" i="44"/>
  <c r="B23" i="44"/>
  <c r="D22" i="44"/>
  <c r="C22" i="44"/>
  <c r="B22" i="44"/>
  <c r="D21" i="44"/>
  <c r="C21" i="44"/>
  <c r="B21" i="44"/>
  <c r="D20" i="44"/>
  <c r="C20" i="44"/>
  <c r="B20" i="44"/>
  <c r="D19" i="44"/>
  <c r="C19" i="44"/>
  <c r="B19" i="44"/>
  <c r="D18" i="44"/>
  <c r="C18" i="44"/>
  <c r="B18" i="44"/>
  <c r="D17" i="44"/>
  <c r="C17" i="44"/>
  <c r="B17" i="44"/>
  <c r="D16" i="44"/>
  <c r="C16" i="44"/>
  <c r="B16" i="44"/>
  <c r="D15" i="44"/>
  <c r="C15" i="44"/>
  <c r="B15" i="44"/>
  <c r="D14" i="44"/>
  <c r="C14" i="44"/>
  <c r="B14" i="44"/>
  <c r="D13" i="44"/>
  <c r="C13" i="44"/>
  <c r="B13" i="44"/>
  <c r="D12" i="44"/>
  <c r="C12" i="44"/>
  <c r="B12" i="44"/>
  <c r="D11" i="44"/>
  <c r="C11" i="44"/>
  <c r="B11" i="44"/>
  <c r="D10" i="44"/>
  <c r="C10" i="44"/>
  <c r="B10" i="44"/>
  <c r="D9" i="44"/>
  <c r="C9" i="44"/>
  <c r="B9" i="44"/>
  <c r="D8" i="44"/>
  <c r="C8" i="44"/>
  <c r="B8" i="44"/>
  <c r="D7" i="44"/>
  <c r="C7" i="44"/>
  <c r="B7" i="44"/>
  <c r="D6" i="44"/>
  <c r="C6" i="44"/>
  <c r="B6" i="44"/>
  <c r="D5" i="44"/>
  <c r="C5" i="44"/>
  <c r="B5" i="44"/>
  <c r="E31" i="3"/>
  <c r="F31" i="3"/>
  <c r="G31" i="3"/>
  <c r="H31" i="3"/>
  <c r="I31" i="3"/>
  <c r="J31" i="3"/>
  <c r="K31" i="3"/>
  <c r="L31" i="3"/>
  <c r="M31" i="3"/>
  <c r="N31" i="3"/>
  <c r="O31" i="3"/>
  <c r="A15" i="44" l="1"/>
  <c r="A23" i="44"/>
  <c r="A31" i="44"/>
  <c r="A11" i="46"/>
  <c r="A19" i="46"/>
  <c r="A27" i="46"/>
  <c r="A33" i="46"/>
  <c r="A19" i="47"/>
  <c r="A27" i="47"/>
  <c r="A4" i="47"/>
  <c r="A12" i="47"/>
  <c r="A20" i="47"/>
  <c r="A28" i="47"/>
  <c r="A15" i="47"/>
  <c r="A27" i="44"/>
  <c r="A32" i="46"/>
  <c r="A33" i="47"/>
  <c r="A31" i="47"/>
  <c r="A19" i="44"/>
  <c r="A23" i="47"/>
  <c r="A7" i="46"/>
  <c r="A15" i="46"/>
  <c r="A23" i="46"/>
  <c r="A31" i="46"/>
  <c r="A10" i="44"/>
  <c r="A18" i="44"/>
  <c r="A26" i="44"/>
  <c r="A6" i="46"/>
  <c r="A14" i="46"/>
  <c r="A22" i="46"/>
  <c r="A30" i="46"/>
  <c r="A21" i="44"/>
  <c r="A29" i="44"/>
  <c r="A9" i="46"/>
  <c r="A17" i="46"/>
  <c r="A25" i="46"/>
  <c r="A6" i="47"/>
  <c r="A14" i="47"/>
  <c r="A22" i="47"/>
  <c r="A30" i="47"/>
  <c r="A8" i="44"/>
  <c r="A16" i="44"/>
  <c r="A24" i="44"/>
  <c r="A32" i="44"/>
  <c r="A12" i="46"/>
  <c r="A20" i="46"/>
  <c r="A28" i="46"/>
  <c r="A17" i="47"/>
  <c r="A25" i="47"/>
  <c r="A22" i="44"/>
  <c r="A30" i="44"/>
  <c r="A10" i="46"/>
  <c r="A18" i="46"/>
  <c r="A17" i="44"/>
  <c r="A25" i="44"/>
  <c r="A5" i="46"/>
  <c r="A13" i="46"/>
  <c r="A21" i="46"/>
  <c r="A29" i="46"/>
  <c r="A10" i="47"/>
  <c r="A18" i="47"/>
  <c r="A26" i="47"/>
  <c r="A14" i="44"/>
  <c r="A26" i="46"/>
  <c r="A4" i="44"/>
  <c r="A12" i="44"/>
  <c r="A20" i="44"/>
  <c r="A28" i="44"/>
  <c r="A33" i="44"/>
  <c r="A8" i="46"/>
  <c r="A16" i="46"/>
  <c r="A24" i="46"/>
  <c r="A21" i="47"/>
  <c r="A29" i="47"/>
  <c r="A6" i="44"/>
  <c r="A8" i="47"/>
  <c r="A16" i="47"/>
  <c r="A24" i="47"/>
  <c r="A32" i="47"/>
  <c r="A9" i="47"/>
  <c r="A11" i="47"/>
  <c r="A13" i="44"/>
  <c r="A13" i="47"/>
  <c r="A11" i="44"/>
  <c r="A9" i="44"/>
  <c r="A7" i="47"/>
  <c r="A7" i="44"/>
  <c r="A5" i="44"/>
  <c r="A5" i="47"/>
  <c r="M2" i="1" a="1"/>
  <c r="M2" i="1" s="1"/>
  <c r="M3" i="1" a="1"/>
  <c r="M3" i="1" s="1"/>
  <c r="M4" i="1" a="1"/>
  <c r="M4" i="1" s="1"/>
  <c r="M5" i="1" a="1"/>
  <c r="M5" i="1" s="1"/>
  <c r="M6" i="1" a="1"/>
  <c r="M6" i="1" s="1"/>
  <c r="M7" i="1" a="1"/>
  <c r="M7" i="1" s="1"/>
  <c r="M8" i="1" a="1"/>
  <c r="M8" i="1" s="1"/>
  <c r="M9" i="1" a="1"/>
  <c r="M9" i="1" s="1"/>
  <c r="M10" i="1" a="1"/>
  <c r="M10" i="1" s="1"/>
  <c r="M11" i="1" a="1"/>
  <c r="M11" i="1" s="1"/>
  <c r="M12" i="1" a="1"/>
  <c r="M12" i="1" s="1"/>
  <c r="M13" i="1" a="1"/>
  <c r="M13" i="1" s="1"/>
  <c r="M14" i="1" a="1"/>
  <c r="M14" i="1" s="1"/>
  <c r="M15" i="1" a="1"/>
  <c r="M15" i="1" s="1"/>
  <c r="M16" i="1" a="1"/>
  <c r="M16" i="1" s="1"/>
  <c r="M17" i="1" a="1"/>
  <c r="M17" i="1" s="1"/>
  <c r="M18" i="1" a="1"/>
  <c r="M18" i="1" s="1"/>
  <c r="M19" i="1" a="1"/>
  <c r="M19" i="1" s="1"/>
  <c r="M20" i="1" a="1"/>
  <c r="M20" i="1" s="1"/>
  <c r="M21" i="1" a="1"/>
  <c r="M21" i="1" s="1"/>
  <c r="L2" i="1" a="1"/>
  <c r="L2" i="1" s="1"/>
  <c r="L3" i="1" a="1"/>
  <c r="L3" i="1" s="1"/>
  <c r="L4" i="1" a="1"/>
  <c r="L4" i="1" s="1"/>
  <c r="L5" i="1" a="1"/>
  <c r="L5" i="1" s="1"/>
  <c r="L6" i="1" a="1"/>
  <c r="L6" i="1" s="1"/>
  <c r="L7" i="1" a="1"/>
  <c r="L7" i="1" s="1"/>
  <c r="L8" i="1" a="1"/>
  <c r="L8" i="1" s="1"/>
  <c r="L9" i="1" a="1"/>
  <c r="L9" i="1" s="1"/>
  <c r="L10" i="1" a="1"/>
  <c r="L10" i="1" s="1"/>
  <c r="L11" i="1" a="1"/>
  <c r="L11" i="1" s="1"/>
  <c r="L12" i="1" a="1"/>
  <c r="L12" i="1" s="1"/>
  <c r="L13" i="1" a="1"/>
  <c r="L13" i="1" s="1"/>
  <c r="L14" i="1" a="1"/>
  <c r="L14" i="1" s="1"/>
  <c r="L15" i="1" a="1"/>
  <c r="L15" i="1" s="1"/>
  <c r="L16" i="1" a="1"/>
  <c r="L16" i="1" s="1"/>
  <c r="L17" i="1" a="1"/>
  <c r="L17" i="1" s="1"/>
  <c r="L18" i="1" a="1"/>
  <c r="L18" i="1" s="1"/>
  <c r="L19" i="1" a="1"/>
  <c r="L19" i="1" s="1"/>
  <c r="L20" i="1" a="1"/>
  <c r="L20" i="1" s="1"/>
  <c r="L21" i="1" a="1"/>
  <c r="L21" i="1" s="1"/>
  <c r="H2" i="1" a="1"/>
  <c r="H2" i="1" s="1"/>
  <c r="H3" i="1" a="1"/>
  <c r="H3" i="1" s="1"/>
  <c r="H4" i="1" a="1"/>
  <c r="H4" i="1" s="1"/>
  <c r="H5" i="1" a="1"/>
  <c r="H5" i="1" s="1"/>
  <c r="H6" i="1" a="1"/>
  <c r="H6" i="1" s="1"/>
  <c r="H7" i="1" a="1"/>
  <c r="H7" i="1" s="1"/>
  <c r="H8" i="1" a="1"/>
  <c r="H8" i="1" s="1"/>
  <c r="H9" i="1" a="1"/>
  <c r="H9" i="1" s="1"/>
  <c r="H10" i="1" a="1"/>
  <c r="H10" i="1" s="1"/>
  <c r="H11" i="1" a="1"/>
  <c r="H11" i="1" s="1"/>
  <c r="H12" i="1" a="1"/>
  <c r="H12" i="1" s="1"/>
  <c r="H13" i="1" a="1"/>
  <c r="H13" i="1" s="1"/>
  <c r="H14" i="1" a="1"/>
  <c r="H14" i="1" s="1"/>
  <c r="H15" i="1" a="1"/>
  <c r="H15" i="1" s="1"/>
  <c r="H16" i="1" a="1"/>
  <c r="H16" i="1" s="1"/>
  <c r="H17" i="1" a="1"/>
  <c r="H17" i="1" s="1"/>
  <c r="H18" i="1" a="1"/>
  <c r="H18" i="1" s="1"/>
  <c r="H19" i="1" a="1"/>
  <c r="H19" i="1" s="1"/>
  <c r="H20" i="1" a="1"/>
  <c r="H20" i="1" s="1"/>
  <c r="H21" i="1" a="1"/>
  <c r="H21" i="1" s="1"/>
  <c r="G22" i="1" a="1"/>
  <c r="G22" i="1" s="1"/>
  <c r="G23" i="1" a="1"/>
  <c r="G23" i="1" s="1"/>
  <c r="G24" i="1" a="1"/>
  <c r="G24" i="1" s="1"/>
  <c r="G25" i="1" a="1"/>
  <c r="G25" i="1" s="1"/>
  <c r="G26" i="1" a="1"/>
  <c r="G26" i="1" s="1"/>
  <c r="G27" i="1" a="1"/>
  <c r="G27" i="1" s="1"/>
  <c r="G28" i="1" a="1"/>
  <c r="G28" i="1" s="1"/>
  <c r="G29" i="1" a="1"/>
  <c r="G29" i="1" s="1"/>
  <c r="G30" i="1" a="1"/>
  <c r="G30" i="1" s="1"/>
  <c r="G31" i="1" a="1"/>
  <c r="G31" i="1" s="1"/>
  <c r="F5" i="24"/>
  <c r="F6" i="24"/>
  <c r="F7" i="24"/>
  <c r="F8" i="24"/>
  <c r="F9" i="24"/>
  <c r="F10" i="24"/>
  <c r="F12" i="24"/>
  <c r="G12" i="24" s="1"/>
  <c r="H12" i="24" s="1"/>
  <c r="I12" i="24" s="1"/>
  <c r="J12" i="24" s="1"/>
  <c r="K12" i="24" s="1"/>
  <c r="L12" i="24" s="1"/>
  <c r="M12" i="24" s="1"/>
  <c r="N12" i="24" s="1"/>
  <c r="O12" i="24" s="1"/>
  <c r="F13" i="24"/>
  <c r="G13" i="24" s="1"/>
  <c r="H13" i="24" s="1"/>
  <c r="I13" i="24" s="1"/>
  <c r="J13" i="24" s="1"/>
  <c r="K13" i="24" s="1"/>
  <c r="L13" i="24" s="1"/>
  <c r="M13" i="24" s="1"/>
  <c r="N13" i="24" s="1"/>
  <c r="O13" i="24" s="1"/>
  <c r="F14" i="24"/>
  <c r="G14" i="24" s="1"/>
  <c r="H14" i="24" s="1"/>
  <c r="I14" i="24" s="1"/>
  <c r="J14" i="24" s="1"/>
  <c r="K14" i="24" s="1"/>
  <c r="L14" i="24" s="1"/>
  <c r="M14" i="24" s="1"/>
  <c r="N14" i="24" s="1"/>
  <c r="O14" i="24" s="1"/>
  <c r="F15" i="24"/>
  <c r="F16" i="24"/>
  <c r="F17" i="24"/>
  <c r="F18" i="24"/>
  <c r="F19" i="24"/>
  <c r="F20" i="24"/>
  <c r="F21" i="24"/>
  <c r="F22" i="24"/>
  <c r="F23" i="24"/>
  <c r="F24" i="24"/>
  <c r="F25" i="24"/>
  <c r="F26" i="24"/>
  <c r="F27" i="24"/>
  <c r="F28" i="24"/>
  <c r="F29" i="24"/>
  <c r="F30" i="24"/>
  <c r="F31" i="24"/>
  <c r="F32" i="24"/>
  <c r="F33" i="24"/>
  <c r="F34" i="24"/>
  <c r="F11" i="24"/>
  <c r="G11" i="24" s="1"/>
  <c r="H11" i="24" s="1"/>
  <c r="I11" i="24" s="1"/>
  <c r="J11" i="24" s="1"/>
  <c r="K11" i="24" s="1"/>
  <c r="L11" i="24" s="1"/>
  <c r="M11" i="24" s="1"/>
  <c r="N11" i="24" s="1"/>
  <c r="O11" i="24" s="1"/>
  <c r="F6" i="17"/>
  <c r="G6" i="17" s="1"/>
  <c r="H6" i="17" s="1"/>
  <c r="I6" i="17" s="1"/>
  <c r="J6" i="17" s="1"/>
  <c r="K6" i="17" s="1"/>
  <c r="L6" i="17" s="1"/>
  <c r="M6" i="17" s="1"/>
  <c r="N6" i="17" s="1"/>
  <c r="O6" i="17" s="1"/>
  <c r="F7" i="17"/>
  <c r="G7" i="17" s="1"/>
  <c r="H7" i="17" s="1"/>
  <c r="I7" i="17" s="1"/>
  <c r="J7" i="17" s="1"/>
  <c r="K7" i="17" s="1"/>
  <c r="L7" i="17" s="1"/>
  <c r="M7" i="17" s="1"/>
  <c r="N7" i="17" s="1"/>
  <c r="O7" i="17" s="1"/>
  <c r="F8" i="17"/>
  <c r="G8" i="17" s="1"/>
  <c r="H8" i="17" s="1"/>
  <c r="I8" i="17" s="1"/>
  <c r="J8" i="17" s="1"/>
  <c r="K8" i="17" s="1"/>
  <c r="L8" i="17" s="1"/>
  <c r="M8" i="17" s="1"/>
  <c r="N8" i="17" s="1"/>
  <c r="O8" i="17" s="1"/>
  <c r="F9" i="17"/>
  <c r="G9" i="17" s="1"/>
  <c r="H9" i="17" s="1"/>
  <c r="I9" i="17" s="1"/>
  <c r="J9" i="17" s="1"/>
  <c r="K9" i="17" s="1"/>
  <c r="L9" i="17" s="1"/>
  <c r="M9" i="17" s="1"/>
  <c r="N9" i="17" s="1"/>
  <c r="O9" i="17" s="1"/>
  <c r="F10" i="17"/>
  <c r="G10" i="17" s="1"/>
  <c r="H10" i="17" s="1"/>
  <c r="I10" i="17" s="1"/>
  <c r="J10" i="17" s="1"/>
  <c r="K10" i="17" s="1"/>
  <c r="L10" i="17" s="1"/>
  <c r="M10" i="17" s="1"/>
  <c r="N10" i="17" s="1"/>
  <c r="O10" i="17" s="1"/>
  <c r="F11" i="17"/>
  <c r="G11" i="17" s="1"/>
  <c r="H11" i="17" s="1"/>
  <c r="I11" i="17" s="1"/>
  <c r="J11" i="17" s="1"/>
  <c r="K11" i="17" s="1"/>
  <c r="L11" i="17" s="1"/>
  <c r="M11" i="17" s="1"/>
  <c r="N11" i="17" s="1"/>
  <c r="O11" i="17" s="1"/>
  <c r="F12" i="17"/>
  <c r="G12" i="17" s="1"/>
  <c r="H12" i="17" s="1"/>
  <c r="I12" i="17" s="1"/>
  <c r="J12" i="17" s="1"/>
  <c r="K12" i="17" s="1"/>
  <c r="L12" i="17" s="1"/>
  <c r="M12" i="17" s="1"/>
  <c r="N12" i="17" s="1"/>
  <c r="O12" i="17" s="1"/>
  <c r="F13" i="17"/>
  <c r="G13" i="17" s="1"/>
  <c r="H13" i="17" s="1"/>
  <c r="I13" i="17" s="1"/>
  <c r="J13" i="17" s="1"/>
  <c r="K13" i="17" s="1"/>
  <c r="L13" i="17" s="1"/>
  <c r="M13" i="17" s="1"/>
  <c r="N13" i="17" s="1"/>
  <c r="O13" i="17" s="1"/>
  <c r="F14" i="17"/>
  <c r="G14" i="17" s="1"/>
  <c r="H14" i="17" s="1"/>
  <c r="I14" i="17" s="1"/>
  <c r="J14" i="17" s="1"/>
  <c r="K14" i="17" s="1"/>
  <c r="L14" i="17" s="1"/>
  <c r="M14" i="17" s="1"/>
  <c r="N14" i="17" s="1"/>
  <c r="O14" i="17" s="1"/>
  <c r="F5" i="17"/>
  <c r="G5" i="17" s="1"/>
  <c r="H5" i="17" s="1"/>
  <c r="I5" i="17" s="1"/>
  <c r="J5" i="17" s="1"/>
  <c r="K5" i="17" s="1"/>
  <c r="L5" i="17" s="1"/>
  <c r="M5" i="17" s="1"/>
  <c r="N5" i="17" s="1"/>
  <c r="O5" i="17" s="1"/>
  <c r="F58" i="10" l="1"/>
  <c r="G58" i="10" s="1"/>
  <c r="H58" i="10" s="1"/>
  <c r="I58" i="10" s="1"/>
  <c r="J58" i="10" s="1"/>
  <c r="K58" i="10" s="1"/>
  <c r="L58" i="10" s="1"/>
  <c r="M58" i="10" s="1"/>
  <c r="N58" i="10" s="1"/>
  <c r="O58" i="10" s="1"/>
  <c r="F59" i="10"/>
  <c r="G59" i="10" s="1"/>
  <c r="H59" i="10" s="1"/>
  <c r="I59" i="10" s="1"/>
  <c r="J59" i="10" s="1"/>
  <c r="K59" i="10" s="1"/>
  <c r="L59" i="10" s="1"/>
  <c r="M59" i="10" s="1"/>
  <c r="N59" i="10" s="1"/>
  <c r="O59" i="10" s="1"/>
  <c r="F60" i="10"/>
  <c r="G60" i="10" s="1"/>
  <c r="H60" i="10" s="1"/>
  <c r="I60" i="10" s="1"/>
  <c r="J60" i="10" s="1"/>
  <c r="K60" i="10" s="1"/>
  <c r="L60" i="10" s="1"/>
  <c r="M60" i="10" s="1"/>
  <c r="N60" i="10" s="1"/>
  <c r="O60" i="10" s="1"/>
  <c r="F61" i="10"/>
  <c r="G61" i="10" s="1"/>
  <c r="H61" i="10" s="1"/>
  <c r="I61" i="10" s="1"/>
  <c r="J61" i="10" s="1"/>
  <c r="K61" i="10" s="1"/>
  <c r="L61" i="10" s="1"/>
  <c r="M61" i="10" s="1"/>
  <c r="N61" i="10" s="1"/>
  <c r="O61" i="10" s="1"/>
  <c r="F62" i="10"/>
  <c r="G62" i="10" s="1"/>
  <c r="H62" i="10" s="1"/>
  <c r="I62" i="10" s="1"/>
  <c r="J62" i="10" s="1"/>
  <c r="K62" i="10" s="1"/>
  <c r="L62" i="10" s="1"/>
  <c r="M62" i="10" s="1"/>
  <c r="N62" i="10" s="1"/>
  <c r="O62" i="10" s="1"/>
  <c r="F63" i="10"/>
  <c r="G63" i="10" s="1"/>
  <c r="H63" i="10" s="1"/>
  <c r="I63" i="10" s="1"/>
  <c r="J63" i="10" s="1"/>
  <c r="K63" i="10" s="1"/>
  <c r="L63" i="10" s="1"/>
  <c r="M63" i="10" s="1"/>
  <c r="N63" i="10" s="1"/>
  <c r="O63" i="10" s="1"/>
  <c r="F64" i="10"/>
  <c r="G64" i="10" s="1"/>
  <c r="H64" i="10" s="1"/>
  <c r="I64" i="10" s="1"/>
  <c r="J64" i="10" s="1"/>
  <c r="K64" i="10" s="1"/>
  <c r="L64" i="10" s="1"/>
  <c r="M64" i="10" s="1"/>
  <c r="N64" i="10" s="1"/>
  <c r="O64" i="10" s="1"/>
  <c r="F65" i="10"/>
  <c r="G65" i="10" s="1"/>
  <c r="H65" i="10" s="1"/>
  <c r="I65" i="10" s="1"/>
  <c r="J65" i="10" s="1"/>
  <c r="K65" i="10" s="1"/>
  <c r="L65" i="10" s="1"/>
  <c r="M65" i="10" s="1"/>
  <c r="N65" i="10" s="1"/>
  <c r="O65" i="10" s="1"/>
  <c r="F66" i="10"/>
  <c r="G66" i="10" s="1"/>
  <c r="H66" i="10" s="1"/>
  <c r="I66" i="10" s="1"/>
  <c r="J66" i="10" s="1"/>
  <c r="K66" i="10" s="1"/>
  <c r="L66" i="10" s="1"/>
  <c r="M66" i="10" s="1"/>
  <c r="N66" i="10" s="1"/>
  <c r="O66" i="10" s="1"/>
  <c r="F57" i="10"/>
  <c r="G57" i="10" s="1"/>
  <c r="H57" i="10" s="1"/>
  <c r="I57" i="10" s="1"/>
  <c r="J57" i="10" s="1"/>
  <c r="K57" i="10" s="1"/>
  <c r="L57" i="10" s="1"/>
  <c r="M57" i="10" s="1"/>
  <c r="N57" i="10" s="1"/>
  <c r="O57" i="10" s="1"/>
  <c r="F19" i="10"/>
  <c r="G19" i="10" s="1"/>
  <c r="H19" i="10" s="1"/>
  <c r="I19" i="10" s="1"/>
  <c r="J19" i="10" s="1"/>
  <c r="K19" i="10" s="1"/>
  <c r="L19" i="10" s="1"/>
  <c r="M19" i="10" s="1"/>
  <c r="N19" i="10" s="1"/>
  <c r="O19" i="10" s="1"/>
  <c r="F20" i="10"/>
  <c r="G20" i="10" s="1"/>
  <c r="H20" i="10" s="1"/>
  <c r="I20" i="10" s="1"/>
  <c r="J20" i="10" s="1"/>
  <c r="K20" i="10" s="1"/>
  <c r="L20" i="10" s="1"/>
  <c r="M20" i="10" s="1"/>
  <c r="N20" i="10" s="1"/>
  <c r="O20" i="10" s="1"/>
  <c r="F21" i="10"/>
  <c r="G21" i="10" s="1"/>
  <c r="H21" i="10" s="1"/>
  <c r="I21" i="10" s="1"/>
  <c r="J21" i="10" s="1"/>
  <c r="K21" i="10" s="1"/>
  <c r="L21" i="10" s="1"/>
  <c r="M21" i="10" s="1"/>
  <c r="N21" i="10" s="1"/>
  <c r="O21" i="10" s="1"/>
  <c r="F22" i="10"/>
  <c r="G22" i="10" s="1"/>
  <c r="H22" i="10" s="1"/>
  <c r="I22" i="10" s="1"/>
  <c r="J22" i="10" s="1"/>
  <c r="K22" i="10" s="1"/>
  <c r="L22" i="10" s="1"/>
  <c r="M22" i="10" s="1"/>
  <c r="N22" i="10" s="1"/>
  <c r="O22" i="10" s="1"/>
  <c r="F23" i="10"/>
  <c r="G23" i="10" s="1"/>
  <c r="H23" i="10" s="1"/>
  <c r="I23" i="10" s="1"/>
  <c r="J23" i="10" s="1"/>
  <c r="K23" i="10" s="1"/>
  <c r="L23" i="10" s="1"/>
  <c r="M23" i="10" s="1"/>
  <c r="N23" i="10" s="1"/>
  <c r="O23" i="10" s="1"/>
  <c r="F24" i="10"/>
  <c r="G24" i="10" s="1"/>
  <c r="H24" i="10" s="1"/>
  <c r="I24" i="10" s="1"/>
  <c r="J24" i="10" s="1"/>
  <c r="K24" i="10" s="1"/>
  <c r="L24" i="10" s="1"/>
  <c r="M24" i="10" s="1"/>
  <c r="N24" i="10" s="1"/>
  <c r="O24" i="10" s="1"/>
  <c r="F25" i="10"/>
  <c r="G25" i="10" s="1"/>
  <c r="H25" i="10" s="1"/>
  <c r="I25" i="10" s="1"/>
  <c r="J25" i="10" s="1"/>
  <c r="K25" i="10" s="1"/>
  <c r="L25" i="10" s="1"/>
  <c r="M25" i="10" s="1"/>
  <c r="N25" i="10" s="1"/>
  <c r="O25" i="10" s="1"/>
  <c r="F26" i="10"/>
  <c r="G26" i="10" s="1"/>
  <c r="H26" i="10" s="1"/>
  <c r="I26" i="10" s="1"/>
  <c r="J26" i="10" s="1"/>
  <c r="K26" i="10" s="1"/>
  <c r="L26" i="10" s="1"/>
  <c r="M26" i="10" s="1"/>
  <c r="N26" i="10" s="1"/>
  <c r="O26" i="10" s="1"/>
  <c r="F27" i="10"/>
  <c r="G27" i="10" s="1"/>
  <c r="H27" i="10" s="1"/>
  <c r="I27" i="10" s="1"/>
  <c r="J27" i="10" s="1"/>
  <c r="K27" i="10" s="1"/>
  <c r="L27" i="10" s="1"/>
  <c r="M27" i="10" s="1"/>
  <c r="N27" i="10" s="1"/>
  <c r="O27" i="10" s="1"/>
  <c r="F18" i="10"/>
  <c r="G18" i="10" s="1"/>
  <c r="H18" i="10" s="1"/>
  <c r="I18" i="10" s="1"/>
  <c r="J18" i="10" s="1"/>
  <c r="K18" i="10" s="1"/>
  <c r="L18" i="10" s="1"/>
  <c r="M18" i="10" s="1"/>
  <c r="N18" i="10" s="1"/>
  <c r="O18" i="10" s="1"/>
  <c r="E50" i="9" l="1"/>
  <c r="E51" i="9"/>
  <c r="E52" i="9"/>
  <c r="E53" i="9"/>
  <c r="R7" i="8" l="1"/>
  <c r="X6" i="8" l="1"/>
  <c r="Y6" i="8" s="1"/>
  <c r="Z6" i="8" s="1"/>
  <c r="AA6" i="8" s="1"/>
  <c r="AB6" i="8" s="1"/>
  <c r="T7" i="8"/>
  <c r="S7" i="8"/>
  <c r="A67" i="11"/>
  <c r="A66" i="11"/>
  <c r="A65" i="11"/>
  <c r="A64" i="11"/>
  <c r="A63" i="11"/>
  <c r="A62" i="11"/>
  <c r="A61" i="11"/>
  <c r="A60" i="11"/>
  <c r="A59" i="11"/>
  <c r="A58" i="11"/>
  <c r="E37" i="9"/>
  <c r="E38" i="9"/>
  <c r="E39" i="9"/>
  <c r="E40" i="9"/>
  <c r="A40" i="9"/>
  <c r="A39" i="9"/>
  <c r="A38" i="9"/>
  <c r="A37" i="9"/>
  <c r="A36" i="9"/>
  <c r="A35" i="9"/>
  <c r="A34" i="9"/>
  <c r="A33" i="9"/>
  <c r="A32" i="9"/>
  <c r="A31" i="9"/>
  <c r="A40" i="10"/>
  <c r="A39" i="10"/>
  <c r="A38" i="10"/>
  <c r="A37" i="10"/>
  <c r="A36" i="10"/>
  <c r="A35" i="10"/>
  <c r="A34" i="10"/>
  <c r="A33" i="10"/>
  <c r="A32" i="10"/>
  <c r="A31" i="10"/>
  <c r="F45" i="11"/>
  <c r="G45" i="11"/>
  <c r="H45" i="11"/>
  <c r="I45" i="11"/>
  <c r="J45" i="11"/>
  <c r="K45" i="11"/>
  <c r="L45" i="11"/>
  <c r="M45" i="11"/>
  <c r="N45" i="11"/>
  <c r="O45" i="11"/>
  <c r="F46" i="11"/>
  <c r="G46" i="11"/>
  <c r="H46" i="11"/>
  <c r="I46" i="11"/>
  <c r="J46" i="11"/>
  <c r="K46" i="11"/>
  <c r="L46" i="11"/>
  <c r="M46" i="11"/>
  <c r="N46" i="11"/>
  <c r="O46" i="11"/>
  <c r="F47" i="11"/>
  <c r="G47" i="11"/>
  <c r="H47" i="11"/>
  <c r="I47" i="11"/>
  <c r="J47" i="11"/>
  <c r="K47" i="11"/>
  <c r="L47" i="11"/>
  <c r="M47" i="11"/>
  <c r="N47" i="11"/>
  <c r="O47" i="11"/>
  <c r="F48" i="11"/>
  <c r="G48" i="11"/>
  <c r="H48" i="11"/>
  <c r="I48" i="11"/>
  <c r="J48" i="11"/>
  <c r="K48" i="11"/>
  <c r="L48" i="11"/>
  <c r="M48" i="11"/>
  <c r="N48" i="11"/>
  <c r="O48" i="11"/>
  <c r="F49" i="11"/>
  <c r="G49" i="11"/>
  <c r="H49" i="11"/>
  <c r="I49" i="11"/>
  <c r="J49" i="11"/>
  <c r="K49" i="11"/>
  <c r="L49" i="11"/>
  <c r="M49" i="11"/>
  <c r="N49" i="11"/>
  <c r="O49" i="11"/>
  <c r="F50" i="11"/>
  <c r="G50" i="11"/>
  <c r="H50" i="11"/>
  <c r="I50" i="11"/>
  <c r="J50" i="11"/>
  <c r="K50" i="11"/>
  <c r="L50" i="11"/>
  <c r="M50" i="11"/>
  <c r="N50" i="11"/>
  <c r="O50" i="11"/>
  <c r="F51" i="11"/>
  <c r="G51" i="11"/>
  <c r="H51" i="11"/>
  <c r="I51" i="11"/>
  <c r="J51" i="11"/>
  <c r="K51" i="11"/>
  <c r="L51" i="11"/>
  <c r="M51" i="11"/>
  <c r="N51" i="11"/>
  <c r="O51" i="11"/>
  <c r="F52" i="11"/>
  <c r="G52" i="11"/>
  <c r="H52" i="11"/>
  <c r="I52" i="11"/>
  <c r="J52" i="11"/>
  <c r="K52" i="11"/>
  <c r="L52" i="11"/>
  <c r="M52" i="11"/>
  <c r="N52" i="11"/>
  <c r="O52" i="11"/>
  <c r="F53" i="11"/>
  <c r="G53" i="11"/>
  <c r="H53" i="11"/>
  <c r="I53" i="11"/>
  <c r="J53" i="11"/>
  <c r="K53" i="11"/>
  <c r="L53" i="11"/>
  <c r="M53" i="11"/>
  <c r="N53" i="11"/>
  <c r="O53" i="11"/>
  <c r="F54" i="11"/>
  <c r="G54" i="11"/>
  <c r="H54" i="11"/>
  <c r="I54" i="11"/>
  <c r="J54" i="11"/>
  <c r="K54" i="11"/>
  <c r="L54" i="11"/>
  <c r="M54" i="11"/>
  <c r="N54" i="11"/>
  <c r="O54" i="11"/>
  <c r="E54" i="11"/>
  <c r="E46" i="11"/>
  <c r="E47" i="11"/>
  <c r="E48" i="11"/>
  <c r="E49" i="11"/>
  <c r="E50" i="11"/>
  <c r="E51" i="11"/>
  <c r="E52" i="11"/>
  <c r="E53" i="11"/>
  <c r="E45" i="11"/>
  <c r="A15" i="11"/>
  <c r="A14" i="11"/>
  <c r="A13" i="11"/>
  <c r="A12" i="11"/>
  <c r="A11" i="11"/>
  <c r="A10" i="11"/>
  <c r="A9" i="11"/>
  <c r="A8" i="11"/>
  <c r="A7" i="11"/>
  <c r="A6" i="11"/>
  <c r="A54" i="11"/>
  <c r="A53" i="11"/>
  <c r="A52" i="11"/>
  <c r="A51" i="11"/>
  <c r="A50" i="11"/>
  <c r="A49" i="11"/>
  <c r="A48" i="11"/>
  <c r="A47" i="11"/>
  <c r="A46" i="11"/>
  <c r="A45" i="11"/>
  <c r="U7" i="8" l="1"/>
  <c r="V7" i="8" l="1"/>
  <c r="W7" i="8" l="1"/>
  <c r="X7" i="8" l="1"/>
  <c r="Y7" i="8" l="1"/>
  <c r="Z7" i="8" l="1"/>
  <c r="AA7" i="8" l="1"/>
  <c r="AB7" i="8"/>
  <c r="D215" i="18"/>
  <c r="D216" i="18"/>
  <c r="D217" i="18"/>
  <c r="D218" i="18"/>
  <c r="D219" i="18"/>
  <c r="D220" i="18"/>
  <c r="D221" i="18"/>
  <c r="D222" i="18"/>
  <c r="D223" i="18"/>
  <c r="D224" i="18"/>
  <c r="D225" i="18"/>
  <c r="D226" i="18"/>
  <c r="D227" i="18"/>
  <c r="D228" i="18"/>
  <c r="D229" i="18"/>
  <c r="D230" i="18"/>
  <c r="D231" i="18"/>
  <c r="D232" i="18"/>
  <c r="D233" i="18"/>
  <c r="D234" i="18"/>
  <c r="D235" i="18"/>
  <c r="D236" i="18"/>
  <c r="D237" i="18"/>
  <c r="D238" i="18"/>
  <c r="D239" i="18"/>
  <c r="D240" i="18"/>
  <c r="D241" i="18"/>
  <c r="D242" i="18"/>
  <c r="D243" i="18"/>
  <c r="D214" i="18"/>
  <c r="D185" i="18"/>
  <c r="D186" i="18"/>
  <c r="D187" i="18"/>
  <c r="D188" i="18"/>
  <c r="D189" i="18"/>
  <c r="D190" i="18"/>
  <c r="D191" i="18"/>
  <c r="D192" i="18"/>
  <c r="D193" i="18"/>
  <c r="D194" i="18"/>
  <c r="D195" i="18"/>
  <c r="D196" i="18"/>
  <c r="D197" i="18"/>
  <c r="D198" i="18"/>
  <c r="D199" i="18"/>
  <c r="D200" i="18"/>
  <c r="D201" i="18"/>
  <c r="D202" i="18"/>
  <c r="D203" i="18"/>
  <c r="D204" i="18"/>
  <c r="D205" i="18"/>
  <c r="D206" i="18"/>
  <c r="D207" i="18"/>
  <c r="D208" i="18"/>
  <c r="D209" i="18"/>
  <c r="D210" i="18"/>
  <c r="D211" i="18"/>
  <c r="D212" i="18"/>
  <c r="D213" i="18"/>
  <c r="D184" i="18"/>
  <c r="D125" i="18"/>
  <c r="D126" i="18"/>
  <c r="D127" i="18"/>
  <c r="D128" i="18"/>
  <c r="D129" i="18"/>
  <c r="D130" i="18"/>
  <c r="D131" i="18"/>
  <c r="D132" i="18"/>
  <c r="D133" i="18"/>
  <c r="D134" i="18"/>
  <c r="D135" i="18"/>
  <c r="D136" i="18"/>
  <c r="D137" i="18"/>
  <c r="D138" i="18"/>
  <c r="D139" i="18"/>
  <c r="D140" i="18"/>
  <c r="D141" i="18"/>
  <c r="D142" i="18"/>
  <c r="D143" i="18"/>
  <c r="D144" i="18"/>
  <c r="D145" i="18"/>
  <c r="D146" i="18"/>
  <c r="D147" i="18"/>
  <c r="D148" i="18"/>
  <c r="D149" i="18"/>
  <c r="D150" i="18"/>
  <c r="D151" i="18"/>
  <c r="D152" i="18"/>
  <c r="D153" i="18"/>
  <c r="D124" i="18"/>
  <c r="D95" i="18"/>
  <c r="D96" i="18"/>
  <c r="D97" i="18"/>
  <c r="D98" i="18"/>
  <c r="D99" i="18"/>
  <c r="D100" i="18"/>
  <c r="D101" i="18"/>
  <c r="D102" i="18"/>
  <c r="D103" i="18"/>
  <c r="D104" i="18"/>
  <c r="D105" i="18"/>
  <c r="D106" i="18"/>
  <c r="D107" i="18"/>
  <c r="D108" i="18"/>
  <c r="D109" i="18"/>
  <c r="D110" i="18"/>
  <c r="D111" i="18"/>
  <c r="D112" i="18"/>
  <c r="D113" i="18"/>
  <c r="D114" i="18"/>
  <c r="D115" i="18"/>
  <c r="D116" i="18"/>
  <c r="D117" i="18"/>
  <c r="D118" i="18"/>
  <c r="D119" i="18"/>
  <c r="D120" i="18"/>
  <c r="D121" i="18"/>
  <c r="D122" i="18"/>
  <c r="D123" i="18"/>
  <c r="D94" i="18"/>
  <c r="D65" i="18"/>
  <c r="D66" i="18"/>
  <c r="D67" i="18"/>
  <c r="D68" i="18"/>
  <c r="D69" i="18"/>
  <c r="D70" i="18"/>
  <c r="D71" i="18"/>
  <c r="D72" i="18"/>
  <c r="D73" i="18"/>
  <c r="D74" i="18"/>
  <c r="D75" i="18"/>
  <c r="D76" i="18"/>
  <c r="D77" i="18"/>
  <c r="D78" i="18"/>
  <c r="D79" i="18"/>
  <c r="D80" i="18"/>
  <c r="D81" i="18"/>
  <c r="D82" i="18"/>
  <c r="D83" i="18"/>
  <c r="D84" i="18"/>
  <c r="D85" i="18"/>
  <c r="D86" i="18"/>
  <c r="D87" i="18"/>
  <c r="D88" i="18"/>
  <c r="D89" i="18"/>
  <c r="D90" i="18"/>
  <c r="D91" i="18"/>
  <c r="D92" i="18"/>
  <c r="D93" i="18"/>
  <c r="D64" i="18"/>
  <c r="D35" i="18"/>
  <c r="D36" i="18"/>
  <c r="D37" i="18"/>
  <c r="D38" i="18"/>
  <c r="D39" i="18"/>
  <c r="D40" i="18"/>
  <c r="D41" i="18"/>
  <c r="D42" i="18"/>
  <c r="D43" i="18"/>
  <c r="D44" i="18"/>
  <c r="D45" i="18"/>
  <c r="D46" i="18"/>
  <c r="D47" i="18"/>
  <c r="D48" i="18"/>
  <c r="D49" i="18"/>
  <c r="D50" i="18"/>
  <c r="D51" i="18"/>
  <c r="D52" i="18"/>
  <c r="D53" i="18"/>
  <c r="D54" i="18"/>
  <c r="D55" i="18"/>
  <c r="D56" i="18"/>
  <c r="D57" i="18"/>
  <c r="D58" i="18"/>
  <c r="D59" i="18"/>
  <c r="D60" i="18"/>
  <c r="D61" i="18"/>
  <c r="D62" i="18"/>
  <c r="D63" i="18"/>
  <c r="D34" i="18"/>
  <c r="A185" i="18" l="1"/>
  <c r="A186" i="18"/>
  <c r="A187" i="18"/>
  <c r="A188" i="18"/>
  <c r="A189" i="18"/>
  <c r="A190" i="18"/>
  <c r="A191" i="18"/>
  <c r="A192" i="18"/>
  <c r="A193" i="18"/>
  <c r="A194" i="18"/>
  <c r="A195" i="18"/>
  <c r="A196" i="18"/>
  <c r="A197" i="18"/>
  <c r="A198" i="18"/>
  <c r="A199" i="18"/>
  <c r="A200" i="18"/>
  <c r="A201" i="18"/>
  <c r="A202" i="18"/>
  <c r="A203" i="18"/>
  <c r="A204" i="18"/>
  <c r="A205" i="18"/>
  <c r="A206" i="18"/>
  <c r="A207" i="18"/>
  <c r="A208" i="18"/>
  <c r="A209" i="18"/>
  <c r="A210" i="18"/>
  <c r="A211" i="18"/>
  <c r="A212" i="18"/>
  <c r="A213" i="18"/>
  <c r="A214" i="18"/>
  <c r="A155" i="18"/>
  <c r="A156" i="18"/>
  <c r="A157" i="18"/>
  <c r="A158" i="18"/>
  <c r="A159" i="18"/>
  <c r="A160" i="18"/>
  <c r="A161" i="18"/>
  <c r="A162" i="18"/>
  <c r="A163" i="18"/>
  <c r="A164" i="18"/>
  <c r="A165" i="18"/>
  <c r="A166" i="18"/>
  <c r="A167" i="18"/>
  <c r="A168" i="18"/>
  <c r="A169" i="18"/>
  <c r="A170" i="18"/>
  <c r="A171" i="18"/>
  <c r="A172" i="18"/>
  <c r="A173" i="18"/>
  <c r="A174" i="18"/>
  <c r="A175" i="18"/>
  <c r="A176" i="18"/>
  <c r="A177" i="18"/>
  <c r="A178" i="18"/>
  <c r="A179" i="18"/>
  <c r="A180" i="18"/>
  <c r="A181" i="18"/>
  <c r="A182" i="18"/>
  <c r="A183" i="18"/>
  <c r="A184" i="18"/>
  <c r="A124" i="18" l="1"/>
  <c r="A125" i="18"/>
  <c r="A126" i="18"/>
  <c r="A127" i="18"/>
  <c r="A128" i="18"/>
  <c r="A129" i="18"/>
  <c r="A130" i="18"/>
  <c r="A131" i="18"/>
  <c r="A132" i="18"/>
  <c r="A133" i="18"/>
  <c r="A134" i="18"/>
  <c r="A135" i="18"/>
  <c r="A136" i="18"/>
  <c r="A137" i="18"/>
  <c r="A138" i="18"/>
  <c r="A139" i="18"/>
  <c r="A140" i="18"/>
  <c r="A141" i="18"/>
  <c r="A142" i="18"/>
  <c r="A143" i="18"/>
  <c r="A144" i="18"/>
  <c r="A145" i="18"/>
  <c r="A146" i="18"/>
  <c r="A147" i="18"/>
  <c r="A148" i="18"/>
  <c r="A149" i="18"/>
  <c r="A150" i="18"/>
  <c r="A151" i="18"/>
  <c r="A152" i="18"/>
  <c r="A153" i="18"/>
  <c r="A94" i="18" l="1"/>
  <c r="A95" i="18"/>
  <c r="A96" i="18"/>
  <c r="A97" i="18"/>
  <c r="A98" i="18"/>
  <c r="A99" i="18"/>
  <c r="A100" i="18"/>
  <c r="A101" i="18"/>
  <c r="A102" i="18"/>
  <c r="A103" i="18"/>
  <c r="A104" i="18"/>
  <c r="A105" i="18"/>
  <c r="A106" i="18"/>
  <c r="A107" i="18"/>
  <c r="A108" i="18"/>
  <c r="A109" i="18"/>
  <c r="A110" i="18"/>
  <c r="A111" i="18"/>
  <c r="A112" i="18"/>
  <c r="A113" i="18"/>
  <c r="A114" i="18"/>
  <c r="A115" i="18"/>
  <c r="A116" i="18"/>
  <c r="A117" i="18"/>
  <c r="A118" i="18"/>
  <c r="A119" i="18"/>
  <c r="A120" i="18"/>
  <c r="A121" i="18"/>
  <c r="A122" i="18"/>
  <c r="A123" i="18"/>
  <c r="A64" i="18"/>
  <c r="A65" i="18"/>
  <c r="A66" i="18"/>
  <c r="A67" i="18"/>
  <c r="A68" i="18"/>
  <c r="A69" i="18"/>
  <c r="A70" i="18"/>
  <c r="A71" i="18"/>
  <c r="A72" i="18"/>
  <c r="A73" i="18"/>
  <c r="A74" i="18"/>
  <c r="A75" i="18"/>
  <c r="A76" i="18"/>
  <c r="A77" i="18"/>
  <c r="A78" i="18"/>
  <c r="A79" i="18"/>
  <c r="A80" i="18"/>
  <c r="A81" i="18"/>
  <c r="A82" i="18"/>
  <c r="A83" i="18"/>
  <c r="A84" i="18"/>
  <c r="A85" i="18"/>
  <c r="A86" i="18"/>
  <c r="A87" i="18"/>
  <c r="A88" i="18"/>
  <c r="A89" i="18"/>
  <c r="A90" i="18"/>
  <c r="A91" i="18"/>
  <c r="A92" i="18"/>
  <c r="A93" i="18"/>
  <c r="A35" i="18" l="1"/>
  <c r="A36" i="18"/>
  <c r="A37" i="18"/>
  <c r="A38" i="18"/>
  <c r="A39" i="18"/>
  <c r="A40" i="18"/>
  <c r="A41" i="18"/>
  <c r="A42" i="18"/>
  <c r="A43" i="18"/>
  <c r="A44" i="18"/>
  <c r="A45" i="18"/>
  <c r="A46" i="18"/>
  <c r="A47" i="18"/>
  <c r="A48" i="18"/>
  <c r="A49" i="18"/>
  <c r="A50" i="18"/>
  <c r="A51" i="18"/>
  <c r="A52" i="18"/>
  <c r="A53" i="18"/>
  <c r="A54" i="18"/>
  <c r="A55" i="18"/>
  <c r="A56" i="18"/>
  <c r="A57" i="18"/>
  <c r="A58" i="18"/>
  <c r="A59" i="18"/>
  <c r="A60" i="18"/>
  <c r="A61" i="18"/>
  <c r="A62" i="18"/>
  <c r="A63" i="18"/>
  <c r="A34" i="18" l="1"/>
  <c r="A93" i="11" l="1"/>
  <c r="A92" i="11"/>
  <c r="A91" i="11"/>
  <c r="A90" i="11"/>
  <c r="A89" i="11"/>
  <c r="A88" i="11"/>
  <c r="A87" i="11"/>
  <c r="A86" i="11"/>
  <c r="A85" i="11"/>
  <c r="A84" i="11"/>
  <c r="A80" i="11"/>
  <c r="A79" i="11"/>
  <c r="A78" i="11"/>
  <c r="A77" i="11"/>
  <c r="A76" i="11"/>
  <c r="A75" i="11"/>
  <c r="A74" i="11"/>
  <c r="A73" i="11"/>
  <c r="A72" i="11"/>
  <c r="A71" i="11"/>
  <c r="A41" i="11"/>
  <c r="A40" i="11"/>
  <c r="A39" i="11"/>
  <c r="A38" i="11"/>
  <c r="A37" i="11"/>
  <c r="A36" i="11"/>
  <c r="A35" i="11"/>
  <c r="A34" i="11"/>
  <c r="A33" i="11"/>
  <c r="A32" i="11"/>
  <c r="A20" i="11"/>
  <c r="A21" i="11"/>
  <c r="A22" i="11"/>
  <c r="A23" i="11"/>
  <c r="A24" i="11"/>
  <c r="A25" i="11"/>
  <c r="A26" i="11"/>
  <c r="A27" i="11"/>
  <c r="A28" i="11"/>
  <c r="A19" i="11"/>
  <c r="A66" i="9"/>
  <c r="A65" i="9"/>
  <c r="A64" i="9"/>
  <c r="A63" i="9"/>
  <c r="A62" i="9"/>
  <c r="A61" i="9"/>
  <c r="A60" i="9"/>
  <c r="A59" i="9"/>
  <c r="A58" i="9"/>
  <c r="A57" i="9"/>
  <c r="A53" i="9"/>
  <c r="A52" i="9"/>
  <c r="A51" i="9"/>
  <c r="A50" i="9"/>
  <c r="A49" i="9"/>
  <c r="A48" i="9"/>
  <c r="A47" i="9"/>
  <c r="A46" i="9"/>
  <c r="A45" i="9"/>
  <c r="A44" i="9"/>
  <c r="A27" i="9"/>
  <c r="A26" i="9"/>
  <c r="A25" i="9"/>
  <c r="A24" i="9"/>
  <c r="A23" i="9"/>
  <c r="A22" i="9"/>
  <c r="A21" i="9"/>
  <c r="A20" i="9"/>
  <c r="A19" i="9"/>
  <c r="A18" i="9"/>
  <c r="A6" i="9"/>
  <c r="A7" i="9"/>
  <c r="A8" i="9"/>
  <c r="A9" i="9"/>
  <c r="A10" i="9"/>
  <c r="A11" i="9"/>
  <c r="A12" i="9"/>
  <c r="A13" i="9"/>
  <c r="A14" i="9"/>
  <c r="A5" i="9"/>
  <c r="A84" i="10"/>
  <c r="A83" i="10"/>
  <c r="A82" i="10"/>
  <c r="A81" i="10"/>
  <c r="A80" i="10"/>
  <c r="A66" i="10"/>
  <c r="A65" i="10"/>
  <c r="A64" i="10"/>
  <c r="A63" i="10"/>
  <c r="A62" i="10"/>
  <c r="A61" i="10"/>
  <c r="A60" i="10"/>
  <c r="A59" i="10"/>
  <c r="A58" i="10"/>
  <c r="A57" i="10"/>
  <c r="A53" i="10"/>
  <c r="A52" i="10"/>
  <c r="A51" i="10"/>
  <c r="A50" i="10"/>
  <c r="A49" i="10"/>
  <c r="A48" i="10"/>
  <c r="A47" i="10"/>
  <c r="A46" i="10"/>
  <c r="A45" i="10"/>
  <c r="A44" i="10"/>
  <c r="A27" i="10"/>
  <c r="A26" i="10"/>
  <c r="A25" i="10"/>
  <c r="A24" i="10"/>
  <c r="A23" i="10"/>
  <c r="A22" i="10"/>
  <c r="A21" i="10"/>
  <c r="A20" i="10"/>
  <c r="A19" i="10"/>
  <c r="A18" i="10"/>
  <c r="A6" i="10"/>
  <c r="A7" i="10"/>
  <c r="A8" i="10"/>
  <c r="A9" i="10"/>
  <c r="A10" i="10"/>
  <c r="A11" i="10"/>
  <c r="A12" i="10"/>
  <c r="A13" i="10"/>
  <c r="A14" i="10"/>
  <c r="A5" i="10"/>
  <c r="F14" i="10"/>
  <c r="G14" i="10"/>
  <c r="H14" i="10"/>
  <c r="I14" i="10"/>
  <c r="J14" i="10"/>
  <c r="K14" i="10"/>
  <c r="L14" i="10"/>
  <c r="M14" i="10"/>
  <c r="N14" i="10"/>
  <c r="O14" i="10"/>
  <c r="E6" i="10"/>
  <c r="F6" i="10"/>
  <c r="G6" i="10"/>
  <c r="H6" i="10"/>
  <c r="I6" i="10"/>
  <c r="J6" i="10"/>
  <c r="K6" i="10"/>
  <c r="L6" i="10"/>
  <c r="M6" i="10"/>
  <c r="N6" i="10"/>
  <c r="O6" i="10"/>
  <c r="E7" i="10"/>
  <c r="F7" i="10"/>
  <c r="G7" i="10"/>
  <c r="H7" i="10"/>
  <c r="I7" i="10"/>
  <c r="J7" i="10"/>
  <c r="K7" i="10"/>
  <c r="L7" i="10"/>
  <c r="M7" i="10"/>
  <c r="N7" i="10"/>
  <c r="O7" i="10"/>
  <c r="E8" i="10"/>
  <c r="F8" i="10"/>
  <c r="G8" i="10"/>
  <c r="H8" i="10"/>
  <c r="I8" i="10"/>
  <c r="J8" i="10"/>
  <c r="K8" i="10"/>
  <c r="L8" i="10"/>
  <c r="M8" i="10"/>
  <c r="N8" i="10"/>
  <c r="O8" i="10"/>
  <c r="E9" i="10"/>
  <c r="F9" i="10"/>
  <c r="G9" i="10"/>
  <c r="H9" i="10"/>
  <c r="I9" i="10"/>
  <c r="J9" i="10"/>
  <c r="K9" i="10"/>
  <c r="L9" i="10"/>
  <c r="M9" i="10"/>
  <c r="N9" i="10"/>
  <c r="O9" i="10"/>
  <c r="E10" i="10"/>
  <c r="F10" i="10"/>
  <c r="G10" i="10"/>
  <c r="H10" i="10"/>
  <c r="I10" i="10"/>
  <c r="J10" i="10"/>
  <c r="K10" i="10"/>
  <c r="L10" i="10"/>
  <c r="M10" i="10"/>
  <c r="N10" i="10"/>
  <c r="O10" i="10"/>
  <c r="E11" i="10"/>
  <c r="F11" i="10"/>
  <c r="G11" i="10"/>
  <c r="H11" i="10"/>
  <c r="I11" i="10"/>
  <c r="J11" i="10"/>
  <c r="K11" i="10"/>
  <c r="L11" i="10"/>
  <c r="M11" i="10"/>
  <c r="N11" i="10"/>
  <c r="O11" i="10"/>
  <c r="E12" i="10"/>
  <c r="F12" i="10"/>
  <c r="G12" i="10"/>
  <c r="H12" i="10"/>
  <c r="I12" i="10"/>
  <c r="J12" i="10"/>
  <c r="K12" i="10"/>
  <c r="L12" i="10"/>
  <c r="M12" i="10"/>
  <c r="N12" i="10"/>
  <c r="O12" i="10"/>
  <c r="E13" i="10"/>
  <c r="F13" i="10"/>
  <c r="G13" i="10"/>
  <c r="H13" i="10"/>
  <c r="I13" i="10"/>
  <c r="J13" i="10"/>
  <c r="K13" i="10"/>
  <c r="L13" i="10"/>
  <c r="M13" i="10"/>
  <c r="N13" i="10"/>
  <c r="O13" i="10"/>
  <c r="E14" i="10"/>
  <c r="F5" i="10"/>
  <c r="G5" i="10"/>
  <c r="H5" i="10"/>
  <c r="I5" i="10"/>
  <c r="J5" i="10"/>
  <c r="K5" i="10"/>
  <c r="L5" i="10"/>
  <c r="M5" i="10"/>
  <c r="N5" i="10"/>
  <c r="O5" i="10"/>
  <c r="E5" i="10"/>
  <c r="F3" i="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2" i="1"/>
  <c r="B5" i="27"/>
  <c r="C5" i="27"/>
  <c r="D5" i="27"/>
  <c r="B6" i="27"/>
  <c r="C6" i="27"/>
  <c r="D6" i="27"/>
  <c r="B7" i="27"/>
  <c r="C7" i="27"/>
  <c r="D7" i="27"/>
  <c r="B8" i="27"/>
  <c r="C8" i="27"/>
  <c r="D8" i="27"/>
  <c r="B9" i="27"/>
  <c r="C9" i="27"/>
  <c r="D9" i="27"/>
  <c r="B10" i="27"/>
  <c r="C10" i="27"/>
  <c r="D10" i="27"/>
  <c r="B11" i="27"/>
  <c r="C11" i="27"/>
  <c r="D11" i="27"/>
  <c r="B12" i="27"/>
  <c r="C12" i="27"/>
  <c r="D12" i="27"/>
  <c r="B13" i="27"/>
  <c r="C13" i="27"/>
  <c r="D13" i="27"/>
  <c r="B14" i="27"/>
  <c r="C14" i="27"/>
  <c r="D14" i="27"/>
  <c r="B15" i="27"/>
  <c r="C15" i="27"/>
  <c r="D15" i="27"/>
  <c r="B16" i="27"/>
  <c r="C16" i="27"/>
  <c r="D16" i="27"/>
  <c r="B17" i="27"/>
  <c r="C17" i="27"/>
  <c r="D17" i="27"/>
  <c r="B18" i="27"/>
  <c r="C18" i="27"/>
  <c r="D18" i="27"/>
  <c r="B19" i="27"/>
  <c r="C19" i="27"/>
  <c r="D19" i="27"/>
  <c r="B20" i="27"/>
  <c r="C20" i="27"/>
  <c r="D20" i="27"/>
  <c r="B21" i="27"/>
  <c r="C21" i="27"/>
  <c r="D21" i="27"/>
  <c r="B22" i="27"/>
  <c r="C22" i="27"/>
  <c r="D22" i="27"/>
  <c r="B23" i="27"/>
  <c r="C23" i="27"/>
  <c r="D23" i="27"/>
  <c r="B24" i="27"/>
  <c r="C24" i="27"/>
  <c r="D24" i="27"/>
  <c r="B25" i="27"/>
  <c r="C25" i="27"/>
  <c r="D25" i="27"/>
  <c r="B26" i="27"/>
  <c r="C26" i="27"/>
  <c r="D26" i="27"/>
  <c r="B27" i="27"/>
  <c r="C27" i="27"/>
  <c r="D27" i="27"/>
  <c r="B28" i="27"/>
  <c r="C28" i="27"/>
  <c r="D28" i="27"/>
  <c r="B29" i="27"/>
  <c r="C29" i="27"/>
  <c r="D29" i="27"/>
  <c r="B30" i="27"/>
  <c r="C30" i="27"/>
  <c r="D30" i="27"/>
  <c r="B31" i="27"/>
  <c r="C31" i="27"/>
  <c r="D31" i="27"/>
  <c r="B32" i="27"/>
  <c r="C32" i="27"/>
  <c r="D32" i="27"/>
  <c r="B33" i="27"/>
  <c r="C33" i="27"/>
  <c r="D33" i="27"/>
  <c r="B34" i="27"/>
  <c r="C34" i="27"/>
  <c r="D34" i="27"/>
  <c r="A3" i="1"/>
  <c r="A4" i="1"/>
  <c r="A5" i="1"/>
  <c r="A6" i="1"/>
  <c r="A7" i="1"/>
  <c r="A8" i="1"/>
  <c r="A9" i="1"/>
  <c r="A10" i="1"/>
  <c r="A11" i="1"/>
  <c r="A12" i="1"/>
  <c r="G12" i="1" s="1" a="1"/>
  <c r="G12" i="1" s="1"/>
  <c r="A13" i="1"/>
  <c r="G13" i="1" s="1" a="1"/>
  <c r="G13" i="1" s="1"/>
  <c r="A14" i="1"/>
  <c r="A15" i="1"/>
  <c r="A16" i="1"/>
  <c r="A17" i="1"/>
  <c r="A18" i="1"/>
  <c r="A19" i="1"/>
  <c r="A20" i="1"/>
  <c r="A21" i="1"/>
  <c r="A22" i="1"/>
  <c r="A23" i="1"/>
  <c r="A24" i="1"/>
  <c r="A25" i="1"/>
  <c r="A26" i="1"/>
  <c r="A27" i="1"/>
  <c r="A28" i="1"/>
  <c r="A29" i="1"/>
  <c r="A30" i="1"/>
  <c r="A31" i="1"/>
  <c r="A2" i="1"/>
  <c r="D34" i="35"/>
  <c r="C34" i="35"/>
  <c r="B34" i="35"/>
  <c r="D33" i="35"/>
  <c r="C33" i="35"/>
  <c r="B33" i="35"/>
  <c r="D32" i="35"/>
  <c r="C32" i="35"/>
  <c r="B32" i="35"/>
  <c r="D31" i="35"/>
  <c r="C31" i="35"/>
  <c r="B31" i="35"/>
  <c r="D30" i="35"/>
  <c r="C30" i="35"/>
  <c r="B30" i="35"/>
  <c r="D29" i="35"/>
  <c r="C29" i="35"/>
  <c r="B29" i="35"/>
  <c r="D28" i="35"/>
  <c r="C28" i="35"/>
  <c r="B28" i="35"/>
  <c r="D27" i="35"/>
  <c r="C27" i="35"/>
  <c r="B27" i="35"/>
  <c r="D26" i="35"/>
  <c r="C26" i="35"/>
  <c r="B26" i="35"/>
  <c r="D25" i="35"/>
  <c r="C25" i="35"/>
  <c r="B25" i="35"/>
  <c r="D24" i="35"/>
  <c r="C24" i="35"/>
  <c r="B24" i="35"/>
  <c r="D23" i="35"/>
  <c r="C23" i="35"/>
  <c r="B23" i="35"/>
  <c r="D22" i="35"/>
  <c r="C22" i="35"/>
  <c r="B22" i="35"/>
  <c r="D21" i="35"/>
  <c r="C21" i="35"/>
  <c r="B21" i="35"/>
  <c r="D20" i="35"/>
  <c r="C20" i="35"/>
  <c r="B20" i="35"/>
  <c r="D19" i="35"/>
  <c r="C19" i="35"/>
  <c r="B19" i="35"/>
  <c r="D18" i="35"/>
  <c r="C18" i="35"/>
  <c r="B18" i="35"/>
  <c r="D17" i="35"/>
  <c r="C17" i="35"/>
  <c r="B17" i="35"/>
  <c r="D16" i="35"/>
  <c r="C16" i="35"/>
  <c r="B16" i="35"/>
  <c r="D15" i="35"/>
  <c r="C15" i="35"/>
  <c r="B15" i="35"/>
  <c r="D14" i="35"/>
  <c r="C14" i="35"/>
  <c r="B14" i="35"/>
  <c r="D13" i="35"/>
  <c r="C13" i="35"/>
  <c r="B13" i="35"/>
  <c r="D12" i="35"/>
  <c r="C12" i="35"/>
  <c r="B12" i="35"/>
  <c r="D11" i="35"/>
  <c r="C11" i="35"/>
  <c r="B11" i="35"/>
  <c r="D10" i="35"/>
  <c r="C10" i="35"/>
  <c r="B10" i="35"/>
  <c r="D9" i="35"/>
  <c r="C9" i="35"/>
  <c r="B9" i="35"/>
  <c r="D8" i="35"/>
  <c r="C8" i="35"/>
  <c r="B8" i="35"/>
  <c r="D7" i="35"/>
  <c r="C7" i="35"/>
  <c r="B7" i="35"/>
  <c r="D6" i="35"/>
  <c r="C6" i="35"/>
  <c r="B6" i="35"/>
  <c r="D5" i="35"/>
  <c r="C5" i="35"/>
  <c r="B5" i="35"/>
  <c r="G15" i="1" l="1" a="1"/>
  <c r="G15" i="1" s="1"/>
  <c r="G14" i="1" a="1"/>
  <c r="G14" i="1" s="1"/>
  <c r="G17" i="1" a="1"/>
  <c r="G17" i="1" s="1"/>
  <c r="G16" i="1" a="1"/>
  <c r="G16" i="1" s="1"/>
  <c r="J23" i="1" a="1"/>
  <c r="J23" i="1" s="1"/>
  <c r="L23" i="1" a="1"/>
  <c r="L23" i="1" s="1"/>
  <c r="M23" i="1" a="1"/>
  <c r="M23" i="1" s="1"/>
  <c r="K23" i="1" a="1"/>
  <c r="K23" i="1" s="1"/>
  <c r="H23" i="1" a="1"/>
  <c r="H23" i="1" s="1"/>
  <c r="I23" i="1" a="1"/>
  <c r="I23" i="1" s="1"/>
  <c r="M25" i="1" a="1"/>
  <c r="M25" i="1" s="1"/>
  <c r="K25" i="1" a="1"/>
  <c r="K25" i="1" s="1"/>
  <c r="H25" i="1" a="1"/>
  <c r="H25" i="1" s="1"/>
  <c r="L25" i="1" a="1"/>
  <c r="L25" i="1" s="1"/>
  <c r="J25" i="1" a="1"/>
  <c r="J25" i="1" s="1"/>
  <c r="I25" i="1" a="1"/>
  <c r="I25" i="1" s="1"/>
  <c r="K24" i="1" a="1"/>
  <c r="K24" i="1" s="1"/>
  <c r="H24" i="1" a="1"/>
  <c r="H24" i="1" s="1"/>
  <c r="J24" i="1" a="1"/>
  <c r="J24" i="1" s="1"/>
  <c r="L24" i="1" a="1"/>
  <c r="L24" i="1" s="1"/>
  <c r="M24" i="1" a="1"/>
  <c r="M24" i="1" s="1"/>
  <c r="I24" i="1" a="1"/>
  <c r="I24" i="1" s="1"/>
  <c r="H31" i="1" a="1"/>
  <c r="H31" i="1" s="1"/>
  <c r="J31" i="1" a="1"/>
  <c r="J31" i="1" s="1"/>
  <c r="L31" i="1" a="1"/>
  <c r="L31" i="1" s="1"/>
  <c r="K31" i="1" a="1"/>
  <c r="K31" i="1" s="1"/>
  <c r="M31" i="1" a="1"/>
  <c r="M31" i="1" s="1"/>
  <c r="I31" i="1" a="1"/>
  <c r="I31" i="1" s="1"/>
  <c r="H30" i="1" a="1"/>
  <c r="H30" i="1" s="1"/>
  <c r="J30" i="1" a="1"/>
  <c r="J30" i="1" s="1"/>
  <c r="L30" i="1" a="1"/>
  <c r="L30" i="1" s="1"/>
  <c r="M30" i="1" a="1"/>
  <c r="M30" i="1" s="1"/>
  <c r="K30" i="1" a="1"/>
  <c r="K30" i="1" s="1"/>
  <c r="I30" i="1" a="1"/>
  <c r="I30" i="1" s="1"/>
  <c r="J22" i="1" a="1"/>
  <c r="J22" i="1" s="1"/>
  <c r="H22" i="1" a="1"/>
  <c r="H22" i="1" s="1"/>
  <c r="L22" i="1" a="1"/>
  <c r="L22" i="1" s="1"/>
  <c r="M22" i="1" a="1"/>
  <c r="M22" i="1" s="1"/>
  <c r="K22" i="1" a="1"/>
  <c r="K22" i="1" s="1"/>
  <c r="I22" i="1" a="1"/>
  <c r="I22" i="1" s="1"/>
  <c r="L29" i="1" a="1"/>
  <c r="L29" i="1" s="1"/>
  <c r="M29" i="1" a="1"/>
  <c r="M29" i="1" s="1"/>
  <c r="J29" i="1" a="1"/>
  <c r="J29" i="1" s="1"/>
  <c r="K29" i="1" a="1"/>
  <c r="K29" i="1" s="1"/>
  <c r="H29" i="1" a="1"/>
  <c r="H29" i="1" s="1"/>
  <c r="I29" i="1" a="1"/>
  <c r="I29" i="1" s="1"/>
  <c r="G21" i="1" a="1"/>
  <c r="G21" i="1" s="1"/>
  <c r="I21" i="1" a="1"/>
  <c r="I21" i="1" s="1"/>
  <c r="R21" i="1" s="1"/>
  <c r="L28" i="1" a="1"/>
  <c r="L28" i="1" s="1"/>
  <c r="M28" i="1" a="1"/>
  <c r="M28" i="1" s="1"/>
  <c r="K28" i="1" a="1"/>
  <c r="K28" i="1" s="1"/>
  <c r="H28" i="1" a="1"/>
  <c r="H28" i="1" s="1"/>
  <c r="J28" i="1" a="1"/>
  <c r="J28" i="1" s="1"/>
  <c r="I28" i="1" a="1"/>
  <c r="I28" i="1" s="1"/>
  <c r="G20" i="1" a="1"/>
  <c r="G20" i="1" s="1"/>
  <c r="I20" i="1" a="1"/>
  <c r="I20" i="1" s="1"/>
  <c r="R20" i="1" s="1"/>
  <c r="L27" i="1" a="1"/>
  <c r="L27" i="1" s="1"/>
  <c r="K27" i="1" a="1"/>
  <c r="K27" i="1" s="1"/>
  <c r="M27" i="1" a="1"/>
  <c r="M27" i="1" s="1"/>
  <c r="H27" i="1" a="1"/>
  <c r="H27" i="1" s="1"/>
  <c r="J27" i="1" a="1"/>
  <c r="J27" i="1" s="1"/>
  <c r="I27" i="1" a="1"/>
  <c r="I27" i="1" s="1"/>
  <c r="G19" i="1" a="1"/>
  <c r="G19" i="1" s="1"/>
  <c r="I19" i="1" a="1"/>
  <c r="I19" i="1" s="1"/>
  <c r="R19" i="1" s="1"/>
  <c r="M26" i="1" a="1"/>
  <c r="M26" i="1" s="1"/>
  <c r="K26" i="1" a="1"/>
  <c r="K26" i="1" s="1"/>
  <c r="H26" i="1" a="1"/>
  <c r="H26" i="1" s="1"/>
  <c r="J26" i="1" a="1"/>
  <c r="J26" i="1" s="1"/>
  <c r="L26" i="1" a="1"/>
  <c r="L26" i="1" s="1"/>
  <c r="I26" i="1" a="1"/>
  <c r="I26" i="1" s="1"/>
  <c r="G18" i="1" a="1"/>
  <c r="G18" i="1" s="1"/>
  <c r="I18" i="1" a="1"/>
  <c r="I18" i="1" s="1"/>
  <c r="R18" i="1" s="1"/>
  <c r="G6" i="1" a="1"/>
  <c r="G6" i="1" s="1"/>
  <c r="G9" i="1" a="1"/>
  <c r="G9" i="1" s="1"/>
  <c r="G3" i="1" a="1"/>
  <c r="G3" i="1" s="1"/>
  <c r="G10" i="1" a="1"/>
  <c r="G10" i="1" s="1"/>
  <c r="G11" i="1" a="1"/>
  <c r="G11" i="1" s="1"/>
  <c r="G2" i="1" a="1"/>
  <c r="G2" i="1" s="1"/>
  <c r="G4" i="1" a="1"/>
  <c r="G4" i="1" s="1"/>
  <c r="G7" i="1" a="1"/>
  <c r="G7" i="1" s="1"/>
  <c r="G5" i="1" a="1"/>
  <c r="G5" i="1" s="1"/>
  <c r="G8" i="1" a="1"/>
  <c r="G8" i="1" s="1"/>
  <c r="K14" i="1" a="1"/>
  <c r="K14" i="1" s="1"/>
  <c r="K18" i="1" a="1"/>
  <c r="K18" i="1" s="1"/>
  <c r="K17" i="1" a="1"/>
  <c r="K17" i="1" s="1"/>
  <c r="K15" i="1" a="1"/>
  <c r="K15" i="1" s="1"/>
  <c r="K19" i="1" a="1"/>
  <c r="K19" i="1" s="1"/>
  <c r="K21" i="1" a="1"/>
  <c r="K21" i="1" s="1"/>
  <c r="K12" i="1" a="1"/>
  <c r="K12" i="1" s="1"/>
  <c r="K16" i="1" a="1"/>
  <c r="K16" i="1" s="1"/>
  <c r="K20" i="1" a="1"/>
  <c r="K20" i="1" s="1"/>
  <c r="K13" i="1" a="1"/>
  <c r="K13" i="1" s="1"/>
  <c r="J19" i="1" a="1"/>
  <c r="J19" i="1" s="1"/>
  <c r="J18" i="1" a="1"/>
  <c r="J18" i="1" s="1"/>
  <c r="J20" i="1" a="1"/>
  <c r="J20" i="1" s="1"/>
  <c r="J21" i="1" a="1"/>
  <c r="J21" i="1" s="1"/>
  <c r="K5" i="1" a="1"/>
  <c r="K5" i="1" s="1"/>
  <c r="K3" i="1" a="1"/>
  <c r="K3" i="1" s="1"/>
  <c r="P3" i="1" s="1"/>
  <c r="K10" i="1" a="1"/>
  <c r="K10" i="1" s="1"/>
  <c r="K6" i="1" a="1"/>
  <c r="K6" i="1" s="1"/>
  <c r="K9" i="1" a="1"/>
  <c r="K9" i="1" s="1"/>
  <c r="K2" i="1" a="1"/>
  <c r="K2" i="1" s="1"/>
  <c r="N2" i="1" s="1"/>
  <c r="K4" i="1" a="1"/>
  <c r="K4" i="1" s="1"/>
  <c r="K8" i="1" a="1"/>
  <c r="K8" i="1" s="1"/>
  <c r="K11" i="1" a="1"/>
  <c r="K11" i="1" s="1"/>
  <c r="K7" i="1" a="1"/>
  <c r="K7" i="1" s="1"/>
  <c r="A4" i="35"/>
  <c r="A6" i="27"/>
  <c r="A4" i="27"/>
  <c r="A8" i="35"/>
  <c r="A30" i="27"/>
  <c r="A26" i="27"/>
  <c r="A24" i="27"/>
  <c r="A22" i="27"/>
  <c r="A20" i="27"/>
  <c r="A18" i="27"/>
  <c r="A16" i="27"/>
  <c r="A14" i="27"/>
  <c r="A12" i="27"/>
  <c r="A10" i="27"/>
  <c r="A8" i="27"/>
  <c r="A27" i="35"/>
  <c r="A31" i="35"/>
  <c r="A16" i="35"/>
  <c r="M31" i="10"/>
  <c r="M44" i="10"/>
  <c r="L39" i="10"/>
  <c r="L52" i="10"/>
  <c r="K38" i="10"/>
  <c r="K51" i="10"/>
  <c r="J37" i="10"/>
  <c r="J50" i="10"/>
  <c r="I36" i="10"/>
  <c r="I49" i="10"/>
  <c r="O34" i="10"/>
  <c r="O47" i="10"/>
  <c r="N33" i="10"/>
  <c r="N46" i="10"/>
  <c r="M32" i="10"/>
  <c r="M45" i="10"/>
  <c r="L40" i="10"/>
  <c r="L53" i="10"/>
  <c r="E31" i="10"/>
  <c r="I2" i="1" s="1" a="1"/>
  <c r="I2" i="1" s="1"/>
  <c r="R2" i="1" s="1"/>
  <c r="E44" i="10"/>
  <c r="L31" i="10"/>
  <c r="L44" i="10"/>
  <c r="H31" i="10"/>
  <c r="H44" i="10"/>
  <c r="O39" i="10"/>
  <c r="O52" i="10"/>
  <c r="K39" i="10"/>
  <c r="K52" i="10"/>
  <c r="G39" i="10"/>
  <c r="G52" i="10"/>
  <c r="N38" i="10"/>
  <c r="N51" i="10"/>
  <c r="J38" i="10"/>
  <c r="J51" i="10"/>
  <c r="F38" i="10"/>
  <c r="F51" i="10"/>
  <c r="M37" i="10"/>
  <c r="M50" i="10"/>
  <c r="I37" i="10"/>
  <c r="I50" i="10"/>
  <c r="E37" i="10"/>
  <c r="I8" i="1" s="1" a="1"/>
  <c r="I8" i="1" s="1"/>
  <c r="R8" i="1" s="1"/>
  <c r="E50" i="10"/>
  <c r="L36" i="10"/>
  <c r="L49" i="10"/>
  <c r="H36" i="10"/>
  <c r="H49" i="10"/>
  <c r="O35" i="10"/>
  <c r="O48" i="10"/>
  <c r="K35" i="10"/>
  <c r="K48" i="10"/>
  <c r="G35" i="10"/>
  <c r="G48" i="10"/>
  <c r="N34" i="10"/>
  <c r="N47" i="10"/>
  <c r="J34" i="10"/>
  <c r="J47" i="10"/>
  <c r="F34" i="10"/>
  <c r="F47" i="10"/>
  <c r="M33" i="10"/>
  <c r="M46" i="10"/>
  <c r="I33" i="10"/>
  <c r="I46" i="10"/>
  <c r="E33" i="10"/>
  <c r="I4" i="1" s="1" a="1"/>
  <c r="I4" i="1" s="1"/>
  <c r="R4" i="1" s="1"/>
  <c r="E46" i="10"/>
  <c r="L32" i="10"/>
  <c r="L45" i="10"/>
  <c r="H32" i="10"/>
  <c r="H45" i="10"/>
  <c r="O40" i="10"/>
  <c r="O53" i="10"/>
  <c r="K40" i="10"/>
  <c r="K53" i="10"/>
  <c r="G40" i="10"/>
  <c r="G53" i="10"/>
  <c r="E40" i="10"/>
  <c r="I11" i="1" s="1" a="1"/>
  <c r="I11" i="1" s="1"/>
  <c r="R11" i="1" s="1"/>
  <c r="E53" i="10"/>
  <c r="O38" i="10"/>
  <c r="O51" i="10"/>
  <c r="N37" i="10"/>
  <c r="N50" i="10"/>
  <c r="M36" i="10"/>
  <c r="M49" i="10"/>
  <c r="L35" i="10"/>
  <c r="L48" i="10"/>
  <c r="K34" i="10"/>
  <c r="K47" i="10"/>
  <c r="J33" i="10"/>
  <c r="J46" i="10"/>
  <c r="I32" i="10"/>
  <c r="I45" i="10"/>
  <c r="H40" i="10"/>
  <c r="H53" i="10"/>
  <c r="O31" i="10"/>
  <c r="O44" i="10"/>
  <c r="K31" i="10"/>
  <c r="K44" i="10"/>
  <c r="G31" i="10"/>
  <c r="G44" i="10"/>
  <c r="N39" i="10"/>
  <c r="N52" i="10"/>
  <c r="J39" i="10"/>
  <c r="J52" i="10"/>
  <c r="F39" i="10"/>
  <c r="F52" i="10"/>
  <c r="M38" i="10"/>
  <c r="M51" i="10"/>
  <c r="I38" i="10"/>
  <c r="I51" i="10"/>
  <c r="E38" i="10"/>
  <c r="I9" i="1" s="1" a="1"/>
  <c r="I9" i="1" s="1"/>
  <c r="R9" i="1" s="1"/>
  <c r="E51" i="10"/>
  <c r="L37" i="10"/>
  <c r="L50" i="10"/>
  <c r="H37" i="10"/>
  <c r="H50" i="10"/>
  <c r="O36" i="10"/>
  <c r="O49" i="10"/>
  <c r="K36" i="10"/>
  <c r="K49" i="10"/>
  <c r="G36" i="10"/>
  <c r="G49" i="10"/>
  <c r="N35" i="10"/>
  <c r="N48" i="10"/>
  <c r="J35" i="10"/>
  <c r="J48" i="10"/>
  <c r="F35" i="10"/>
  <c r="F48" i="10"/>
  <c r="M34" i="10"/>
  <c r="M47" i="10"/>
  <c r="I34" i="10"/>
  <c r="I47" i="10"/>
  <c r="E34" i="10"/>
  <c r="I5" i="1" s="1" a="1"/>
  <c r="I5" i="1" s="1"/>
  <c r="R5" i="1" s="1"/>
  <c r="E47" i="10"/>
  <c r="L33" i="10"/>
  <c r="L46" i="10"/>
  <c r="H33" i="10"/>
  <c r="H46" i="10"/>
  <c r="O32" i="10"/>
  <c r="O45" i="10"/>
  <c r="K32" i="10"/>
  <c r="K45" i="10"/>
  <c r="G32" i="10"/>
  <c r="G45" i="10"/>
  <c r="N40" i="10"/>
  <c r="N53" i="10"/>
  <c r="J40" i="10"/>
  <c r="J53" i="10"/>
  <c r="F40" i="10"/>
  <c r="F53" i="10"/>
  <c r="I31" i="10"/>
  <c r="I44" i="10"/>
  <c r="H39" i="10"/>
  <c r="H52" i="10"/>
  <c r="G38" i="10"/>
  <c r="G51" i="10"/>
  <c r="F37" i="10"/>
  <c r="F50" i="10"/>
  <c r="E36" i="10"/>
  <c r="I7" i="1" s="1" a="1"/>
  <c r="I7" i="1" s="1"/>
  <c r="R7" i="1" s="1"/>
  <c r="E49" i="10"/>
  <c r="H35" i="10"/>
  <c r="H48" i="10"/>
  <c r="G34" i="10"/>
  <c r="G47" i="10"/>
  <c r="F33" i="10"/>
  <c r="F46" i="10"/>
  <c r="E32" i="10"/>
  <c r="I3" i="1" s="1" a="1"/>
  <c r="I3" i="1" s="1"/>
  <c r="R3" i="1" s="1"/>
  <c r="E45" i="10"/>
  <c r="N31" i="10"/>
  <c r="N44" i="10"/>
  <c r="J31" i="10"/>
  <c r="J44" i="10"/>
  <c r="F31" i="10"/>
  <c r="F44" i="10"/>
  <c r="M39" i="10"/>
  <c r="M52" i="10"/>
  <c r="I39" i="10"/>
  <c r="I52" i="10"/>
  <c r="E39" i="10"/>
  <c r="I10" i="1" s="1" a="1"/>
  <c r="I10" i="1" s="1"/>
  <c r="R10" i="1" s="1"/>
  <c r="E52" i="10"/>
  <c r="L38" i="10"/>
  <c r="L51" i="10"/>
  <c r="H38" i="10"/>
  <c r="H51" i="10"/>
  <c r="O37" i="10"/>
  <c r="O50" i="10"/>
  <c r="K37" i="10"/>
  <c r="K50" i="10"/>
  <c r="G37" i="10"/>
  <c r="G50" i="10"/>
  <c r="N36" i="10"/>
  <c r="N49" i="10"/>
  <c r="J36" i="10"/>
  <c r="J49" i="10"/>
  <c r="F36" i="10"/>
  <c r="F49" i="10"/>
  <c r="M35" i="10"/>
  <c r="M48" i="10"/>
  <c r="I35" i="10"/>
  <c r="I48" i="10"/>
  <c r="E35" i="10"/>
  <c r="I6" i="1" s="1" a="1"/>
  <c r="I6" i="1" s="1"/>
  <c r="R6" i="1" s="1"/>
  <c r="E48" i="10"/>
  <c r="L34" i="10"/>
  <c r="L47" i="10"/>
  <c r="H34" i="10"/>
  <c r="H47" i="10"/>
  <c r="O33" i="10"/>
  <c r="O46" i="10"/>
  <c r="K33" i="10"/>
  <c r="K46" i="10"/>
  <c r="G33" i="10"/>
  <c r="G46" i="10"/>
  <c r="N32" i="10"/>
  <c r="N45" i="10"/>
  <c r="J32" i="10"/>
  <c r="J45" i="10"/>
  <c r="F32" i="10"/>
  <c r="F45" i="10"/>
  <c r="M40" i="10"/>
  <c r="M53" i="10"/>
  <c r="I40" i="10"/>
  <c r="I53" i="10"/>
  <c r="A5" i="35"/>
  <c r="A9" i="35"/>
  <c r="A13" i="35"/>
  <c r="A17" i="35"/>
  <c r="A21" i="35"/>
  <c r="A12" i="35"/>
  <c r="A20" i="35"/>
  <c r="A23" i="27"/>
  <c r="A19" i="27"/>
  <c r="A15" i="27"/>
  <c r="A11" i="27"/>
  <c r="A7" i="27"/>
  <c r="A26" i="35"/>
  <c r="A30" i="35"/>
  <c r="E5" i="9"/>
  <c r="E10" i="9"/>
  <c r="F10" i="9" s="1"/>
  <c r="G10" i="9" s="1"/>
  <c r="H10" i="9" s="1"/>
  <c r="I10" i="9" s="1"/>
  <c r="J10" i="9" s="1"/>
  <c r="K10" i="9" s="1"/>
  <c r="L10" i="9" s="1"/>
  <c r="M10" i="9" s="1"/>
  <c r="N10" i="9" s="1"/>
  <c r="O10" i="9" s="1"/>
  <c r="A21" i="27"/>
  <c r="A17" i="27"/>
  <c r="A13" i="27"/>
  <c r="A9" i="27"/>
  <c r="A5" i="27"/>
  <c r="E6" i="9"/>
  <c r="F6" i="9" s="1"/>
  <c r="G6" i="9" s="1"/>
  <c r="H6" i="9" s="1"/>
  <c r="I6" i="9" s="1"/>
  <c r="J6" i="9" s="1"/>
  <c r="K6" i="9" s="1"/>
  <c r="L6" i="9" s="1"/>
  <c r="M6" i="9" s="1"/>
  <c r="N6" i="9" s="1"/>
  <c r="O6" i="9" s="1"/>
  <c r="A7" i="35"/>
  <c r="A11" i="35"/>
  <c r="A25" i="35"/>
  <c r="A15" i="35"/>
  <c r="A19" i="35"/>
  <c r="A23" i="35"/>
  <c r="A29" i="35"/>
  <c r="A33" i="35"/>
  <c r="E9" i="9"/>
  <c r="F9" i="9" s="1"/>
  <c r="G9" i="9" s="1"/>
  <c r="H9" i="9" s="1"/>
  <c r="I9" i="9" s="1"/>
  <c r="J9" i="9" s="1"/>
  <c r="K9" i="9" s="1"/>
  <c r="L9" i="9" s="1"/>
  <c r="M9" i="9" s="1"/>
  <c r="N9" i="9" s="1"/>
  <c r="O9" i="9" s="1"/>
  <c r="A6" i="35"/>
  <c r="A10" i="35"/>
  <c r="A14" i="35"/>
  <c r="A18" i="35"/>
  <c r="A22" i="35"/>
  <c r="A24" i="35"/>
  <c r="A28" i="35"/>
  <c r="A32" i="35"/>
  <c r="E8" i="9"/>
  <c r="F8" i="9" s="1"/>
  <c r="G8" i="9" s="1"/>
  <c r="H8" i="9" s="1"/>
  <c r="I8" i="9" s="1"/>
  <c r="J8" i="9" s="1"/>
  <c r="K8" i="9" s="1"/>
  <c r="L8" i="9" s="1"/>
  <c r="M8" i="9" s="1"/>
  <c r="N8" i="9" s="1"/>
  <c r="O8" i="9" s="1"/>
  <c r="A33" i="27"/>
  <c r="A29" i="27"/>
  <c r="A25" i="27"/>
  <c r="A31" i="27"/>
  <c r="A27" i="27"/>
  <c r="A32" i="27"/>
  <c r="A28" i="27"/>
  <c r="E7" i="9"/>
  <c r="F7" i="9" s="1"/>
  <c r="G7" i="9" s="1"/>
  <c r="H7" i="9" s="1"/>
  <c r="I7" i="9" s="1"/>
  <c r="J7" i="9" s="1"/>
  <c r="K7" i="9" s="1"/>
  <c r="L7" i="9" s="1"/>
  <c r="M7" i="9" s="1"/>
  <c r="N7" i="9" s="1"/>
  <c r="O7" i="9" s="1"/>
  <c r="E44" i="9" l="1"/>
  <c r="J12" i="1" s="1" a="1"/>
  <c r="J12" i="1" s="1"/>
  <c r="F5" i="9"/>
  <c r="G5" i="9" s="1"/>
  <c r="H5" i="9" s="1"/>
  <c r="I5" i="9" s="1"/>
  <c r="J5" i="9" s="1"/>
  <c r="K5" i="9" s="1"/>
  <c r="L5" i="9" s="1"/>
  <c r="M5" i="9" s="1"/>
  <c r="N5" i="9" s="1"/>
  <c r="O5" i="9" s="1"/>
  <c r="J10" i="1" a="1"/>
  <c r="J10" i="1" s="1"/>
  <c r="J3" i="1" a="1"/>
  <c r="J3" i="1" s="1"/>
  <c r="J7" i="1" a="1"/>
  <c r="J7" i="1" s="1"/>
  <c r="J9" i="1" a="1"/>
  <c r="J9" i="1" s="1"/>
  <c r="J8" i="1" a="1"/>
  <c r="J8" i="1" s="1"/>
  <c r="J6" i="1" a="1"/>
  <c r="J6" i="1" s="1"/>
  <c r="J5" i="1" a="1"/>
  <c r="J5" i="1" s="1"/>
  <c r="J11" i="1" a="1"/>
  <c r="J11" i="1" s="1"/>
  <c r="J4" i="1" a="1"/>
  <c r="J4" i="1" s="1"/>
  <c r="J2" i="1" a="1"/>
  <c r="J2" i="1" s="1"/>
  <c r="AB18" i="1"/>
  <c r="Z18" i="1"/>
  <c r="AB14" i="1"/>
  <c r="Z14" i="1"/>
  <c r="Z17" i="1"/>
  <c r="AB17" i="1"/>
  <c r="Z16" i="1"/>
  <c r="AB16" i="1"/>
  <c r="Z12" i="1"/>
  <c r="AB12" i="1"/>
  <c r="Z13" i="1"/>
  <c r="AB13" i="1"/>
  <c r="Z15" i="1"/>
  <c r="AB15" i="1"/>
  <c r="E34" i="9"/>
  <c r="I15" i="1" s="1" a="1"/>
  <c r="I15" i="1" s="1"/>
  <c r="R15" i="1" s="1"/>
  <c r="E47" i="9"/>
  <c r="E35" i="9"/>
  <c r="I16" i="1" s="1" a="1"/>
  <c r="I16" i="1" s="1"/>
  <c r="R16" i="1" s="1"/>
  <c r="E48" i="9"/>
  <c r="E36" i="9"/>
  <c r="I17" i="1" s="1" a="1"/>
  <c r="I17" i="1" s="1"/>
  <c r="R17" i="1" s="1"/>
  <c r="E49" i="9"/>
  <c r="E32" i="9"/>
  <c r="I13" i="1" s="1" a="1"/>
  <c r="I13" i="1" s="1"/>
  <c r="R13" i="1" s="1"/>
  <c r="E45" i="9"/>
  <c r="E33" i="9"/>
  <c r="I14" i="1" s="1" a="1"/>
  <c r="I14" i="1" s="1"/>
  <c r="R14" i="1" s="1"/>
  <c r="E46" i="9"/>
  <c r="E31" i="9"/>
  <c r="I12" i="1" s="1" a="1"/>
  <c r="I12" i="1" s="1"/>
  <c r="R12" i="1" s="1"/>
  <c r="Z27" i="1"/>
  <c r="AB27" i="1"/>
  <c r="Z23" i="1"/>
  <c r="AB23" i="1"/>
  <c r="AB26" i="1"/>
  <c r="Z26" i="1"/>
  <c r="AB24" i="1"/>
  <c r="Z24" i="1"/>
  <c r="AB29" i="1"/>
  <c r="Z29" i="1"/>
  <c r="AB30" i="1"/>
  <c r="Z30" i="1"/>
  <c r="AB28" i="1"/>
  <c r="Z28" i="1"/>
  <c r="AB31" i="1"/>
  <c r="Z31" i="1"/>
  <c r="AB25" i="1"/>
  <c r="Z25" i="1"/>
  <c r="Z22" i="1"/>
  <c r="AB22" i="1"/>
  <c r="J14" i="1" l="1" a="1"/>
  <c r="J14" i="1" s="1"/>
  <c r="J15" i="1" a="1"/>
  <c r="J15" i="1" s="1"/>
  <c r="J13" i="1" a="1"/>
  <c r="J13" i="1" s="1"/>
  <c r="J16" i="1" a="1"/>
  <c r="J16" i="1" s="1"/>
  <c r="J17" i="1" a="1"/>
  <c r="J17" i="1" s="1"/>
  <c r="Z10" i="1"/>
  <c r="AB10" i="1"/>
  <c r="AB4" i="1"/>
  <c r="Z4" i="1"/>
  <c r="AB3" i="1"/>
  <c r="Z3" i="1"/>
  <c r="Z5" i="1"/>
  <c r="AB5" i="1"/>
  <c r="AB8" i="1"/>
  <c r="Z8" i="1"/>
  <c r="AB6" i="1"/>
  <c r="Z6" i="1"/>
  <c r="Z2" i="1"/>
  <c r="AB2" i="1"/>
  <c r="Z7" i="1"/>
  <c r="AB7" i="1"/>
  <c r="Z9" i="1"/>
  <c r="AB9" i="1"/>
  <c r="D34" i="24" l="1"/>
  <c r="C34" i="24"/>
  <c r="B34" i="24"/>
  <c r="D33" i="24"/>
  <c r="C33" i="24"/>
  <c r="B33" i="24"/>
  <c r="D32" i="24"/>
  <c r="C32" i="24"/>
  <c r="B32" i="24"/>
  <c r="D31" i="24"/>
  <c r="C31" i="24"/>
  <c r="B31" i="24"/>
  <c r="D30" i="24"/>
  <c r="C30" i="24"/>
  <c r="B30" i="24"/>
  <c r="D29" i="24"/>
  <c r="C29" i="24"/>
  <c r="B29" i="24"/>
  <c r="D28" i="24"/>
  <c r="C28" i="24"/>
  <c r="B28" i="24"/>
  <c r="D27" i="24"/>
  <c r="C27" i="24"/>
  <c r="B27" i="24"/>
  <c r="D26" i="24"/>
  <c r="C26" i="24"/>
  <c r="B26" i="24"/>
  <c r="D25" i="24"/>
  <c r="C25" i="24"/>
  <c r="B25" i="24"/>
  <c r="D24" i="24"/>
  <c r="C24" i="24"/>
  <c r="B24" i="24"/>
  <c r="D23" i="24"/>
  <c r="C23" i="24"/>
  <c r="B23" i="24"/>
  <c r="D22" i="24"/>
  <c r="C22" i="24"/>
  <c r="B22" i="24"/>
  <c r="D21" i="24"/>
  <c r="C21" i="24"/>
  <c r="B21" i="24"/>
  <c r="D20" i="24"/>
  <c r="C20" i="24"/>
  <c r="B20" i="24"/>
  <c r="D19" i="24"/>
  <c r="C19" i="24"/>
  <c r="B19" i="24"/>
  <c r="D18" i="24"/>
  <c r="C18" i="24"/>
  <c r="B18" i="24"/>
  <c r="D17" i="24"/>
  <c r="C17" i="24"/>
  <c r="B17" i="24"/>
  <c r="D16" i="24"/>
  <c r="C16" i="24"/>
  <c r="B16" i="24"/>
  <c r="D15" i="24"/>
  <c r="C15" i="24"/>
  <c r="B15" i="24"/>
  <c r="D14" i="24"/>
  <c r="C14" i="24"/>
  <c r="B14" i="24"/>
  <c r="D13" i="24"/>
  <c r="C13" i="24"/>
  <c r="B13" i="24"/>
  <c r="D12" i="24"/>
  <c r="C12" i="24"/>
  <c r="B12" i="24"/>
  <c r="D11" i="24"/>
  <c r="C11" i="24"/>
  <c r="B11" i="24"/>
  <c r="D10" i="24"/>
  <c r="C10" i="24"/>
  <c r="B10" i="24"/>
  <c r="D9" i="24"/>
  <c r="C9" i="24"/>
  <c r="B9" i="24"/>
  <c r="D8" i="24"/>
  <c r="C8" i="24"/>
  <c r="B8" i="24"/>
  <c r="D7" i="24"/>
  <c r="C7" i="24"/>
  <c r="B7" i="24"/>
  <c r="D6" i="24"/>
  <c r="C6" i="24"/>
  <c r="B6" i="24"/>
  <c r="D5" i="24"/>
  <c r="C5" i="24"/>
  <c r="B5" i="24"/>
  <c r="AE19" i="1"/>
  <c r="E22" i="23" s="1"/>
  <c r="F22" i="23" s="1"/>
  <c r="G22" i="23" s="1"/>
  <c r="H22" i="23" s="1"/>
  <c r="I22" i="23" s="1"/>
  <c r="J22" i="23" s="1"/>
  <c r="K22" i="23" s="1"/>
  <c r="L22" i="23" s="1"/>
  <c r="M22" i="23" s="1"/>
  <c r="N22" i="23" s="1"/>
  <c r="O22" i="23" s="1"/>
  <c r="AE20" i="1"/>
  <c r="E23" i="23" s="1"/>
  <c r="F23" i="23" s="1"/>
  <c r="G23" i="23" s="1"/>
  <c r="H23" i="23" s="1"/>
  <c r="I23" i="23" s="1"/>
  <c r="J23" i="23" s="1"/>
  <c r="K23" i="23" s="1"/>
  <c r="L23" i="23" s="1"/>
  <c r="M23" i="23" s="1"/>
  <c r="N23" i="23" s="1"/>
  <c r="O23" i="23" s="1"/>
  <c r="AE21" i="1"/>
  <c r="E24" i="23" s="1"/>
  <c r="F24" i="23" s="1"/>
  <c r="G24" i="23" s="1"/>
  <c r="H24" i="23" s="1"/>
  <c r="I24" i="23" s="1"/>
  <c r="J24" i="23" s="1"/>
  <c r="K24" i="23" s="1"/>
  <c r="L24" i="23" s="1"/>
  <c r="M24" i="23" s="1"/>
  <c r="N24" i="23" s="1"/>
  <c r="O24" i="23" s="1"/>
  <c r="AD3" i="1"/>
  <c r="AD4" i="1"/>
  <c r="AD5" i="1"/>
  <c r="AD6" i="1"/>
  <c r="AD7" i="1"/>
  <c r="AD8" i="1"/>
  <c r="AD9" i="1"/>
  <c r="AD10" i="1"/>
  <c r="AD11" i="1"/>
  <c r="AD12" i="1"/>
  <c r="AD13" i="1"/>
  <c r="AD14" i="1"/>
  <c r="AD15" i="1"/>
  <c r="AD16" i="1"/>
  <c r="AD17" i="1"/>
  <c r="AD18" i="1"/>
  <c r="AD22" i="1"/>
  <c r="AD23" i="1"/>
  <c r="AD24" i="1"/>
  <c r="AD25" i="1"/>
  <c r="AD26" i="1"/>
  <c r="AD27" i="1"/>
  <c r="AD28" i="1"/>
  <c r="AD29" i="1"/>
  <c r="AD30" i="1"/>
  <c r="AD31" i="1"/>
  <c r="AD2" i="1"/>
  <c r="AC22" i="1"/>
  <c r="AC23" i="1"/>
  <c r="AC24" i="1"/>
  <c r="AC25" i="1"/>
  <c r="AC26" i="1"/>
  <c r="AC27" i="1"/>
  <c r="AC28" i="1"/>
  <c r="AC29" i="1"/>
  <c r="AC30" i="1"/>
  <c r="AC31" i="1"/>
  <c r="AC3" i="1"/>
  <c r="AC4" i="1"/>
  <c r="AC5" i="1"/>
  <c r="AC6" i="1"/>
  <c r="AC7" i="1"/>
  <c r="AC8" i="1"/>
  <c r="AC9" i="1"/>
  <c r="AC10" i="1"/>
  <c r="AC11" i="1"/>
  <c r="AC12" i="1"/>
  <c r="AC13" i="1"/>
  <c r="AC14" i="1"/>
  <c r="AC15" i="1"/>
  <c r="AC16" i="1"/>
  <c r="AC17" i="1"/>
  <c r="AC18" i="1"/>
  <c r="AC2" i="1"/>
  <c r="AA12" i="1"/>
  <c r="AA13" i="1"/>
  <c r="AA14" i="1"/>
  <c r="AA15" i="1"/>
  <c r="AA16" i="1"/>
  <c r="AA17" i="1"/>
  <c r="AA18" i="1"/>
  <c r="AA31" i="1"/>
  <c r="AA30" i="1"/>
  <c r="AA29" i="1"/>
  <c r="AA28" i="1"/>
  <c r="AA27" i="1"/>
  <c r="AA26" i="1"/>
  <c r="AA25" i="1"/>
  <c r="AA24" i="1"/>
  <c r="AA23" i="1"/>
  <c r="AA22" i="1"/>
  <c r="AA3" i="1"/>
  <c r="AA4" i="1"/>
  <c r="AA5" i="1"/>
  <c r="AA6" i="1"/>
  <c r="AA7" i="1"/>
  <c r="AA8" i="1"/>
  <c r="AA9" i="1"/>
  <c r="AA10" i="1"/>
  <c r="AA11" i="1"/>
  <c r="AA2" i="1"/>
  <c r="D34" i="23"/>
  <c r="C34" i="23"/>
  <c r="B34" i="23"/>
  <c r="D33" i="23"/>
  <c r="C33" i="23"/>
  <c r="B33" i="23"/>
  <c r="D32" i="23"/>
  <c r="C32" i="23"/>
  <c r="B32" i="23"/>
  <c r="D31" i="23"/>
  <c r="C31" i="23"/>
  <c r="B31" i="23"/>
  <c r="D30" i="23"/>
  <c r="C30" i="23"/>
  <c r="B30" i="23"/>
  <c r="D29" i="23"/>
  <c r="C29" i="23"/>
  <c r="B29" i="23"/>
  <c r="D28" i="23"/>
  <c r="C28" i="23"/>
  <c r="B28" i="23"/>
  <c r="D27" i="23"/>
  <c r="C27" i="23"/>
  <c r="B27" i="23"/>
  <c r="D26" i="23"/>
  <c r="C26" i="23"/>
  <c r="B26" i="23"/>
  <c r="D25" i="23"/>
  <c r="C25" i="23"/>
  <c r="B25" i="23"/>
  <c r="D24" i="23"/>
  <c r="C24" i="23"/>
  <c r="B24" i="23"/>
  <c r="D23" i="23"/>
  <c r="C23" i="23"/>
  <c r="B23" i="23"/>
  <c r="D22" i="23"/>
  <c r="C22" i="23"/>
  <c r="B22" i="23"/>
  <c r="D21" i="23"/>
  <c r="C21" i="23"/>
  <c r="B21" i="23"/>
  <c r="D20" i="23"/>
  <c r="C20" i="23"/>
  <c r="B20" i="23"/>
  <c r="D19" i="23"/>
  <c r="C19" i="23"/>
  <c r="B19" i="23"/>
  <c r="D18" i="23"/>
  <c r="C18" i="23"/>
  <c r="B18" i="23"/>
  <c r="D17" i="23"/>
  <c r="C17" i="23"/>
  <c r="B17" i="23"/>
  <c r="D16" i="23"/>
  <c r="C16" i="23"/>
  <c r="B16" i="23"/>
  <c r="D15" i="23"/>
  <c r="C15" i="23"/>
  <c r="B15" i="23"/>
  <c r="D14" i="23"/>
  <c r="C14" i="23"/>
  <c r="B14" i="23"/>
  <c r="D13" i="23"/>
  <c r="C13" i="23"/>
  <c r="B13" i="23"/>
  <c r="D12" i="23"/>
  <c r="C12" i="23"/>
  <c r="B12" i="23"/>
  <c r="D11" i="23"/>
  <c r="C11" i="23"/>
  <c r="B11" i="23"/>
  <c r="D10" i="23"/>
  <c r="C10" i="23"/>
  <c r="B10" i="23"/>
  <c r="D9" i="23"/>
  <c r="C9" i="23"/>
  <c r="B9" i="23"/>
  <c r="D8" i="23"/>
  <c r="C8" i="23"/>
  <c r="B8" i="23"/>
  <c r="D7" i="23"/>
  <c r="C7" i="23"/>
  <c r="B7" i="23"/>
  <c r="D6" i="23"/>
  <c r="C6" i="23"/>
  <c r="B6" i="23"/>
  <c r="D5" i="23"/>
  <c r="C5" i="23"/>
  <c r="B5" i="23"/>
  <c r="F17" i="17"/>
  <c r="G17" i="17" s="1"/>
  <c r="H17" i="17" s="1"/>
  <c r="I17" i="17" s="1"/>
  <c r="J17" i="17" s="1"/>
  <c r="K17" i="17" s="1"/>
  <c r="L17" i="17" s="1"/>
  <c r="M17" i="17" s="1"/>
  <c r="N17" i="17" s="1"/>
  <c r="O17" i="17" s="1"/>
  <c r="F18" i="17"/>
  <c r="G18" i="17" s="1"/>
  <c r="H18" i="17" s="1"/>
  <c r="I18" i="17" s="1"/>
  <c r="J18" i="17" s="1"/>
  <c r="K18" i="17" s="1"/>
  <c r="L18" i="17" s="1"/>
  <c r="M18" i="17" s="1"/>
  <c r="N18" i="17" s="1"/>
  <c r="O18" i="17" s="1"/>
  <c r="F19" i="17"/>
  <c r="G19" i="17" s="1"/>
  <c r="H19" i="17" s="1"/>
  <c r="I19" i="17" s="1"/>
  <c r="J19" i="17" s="1"/>
  <c r="K19" i="17" s="1"/>
  <c r="L19" i="17" s="1"/>
  <c r="M19" i="17" s="1"/>
  <c r="N19" i="17" s="1"/>
  <c r="O19" i="17" s="1"/>
  <c r="F20" i="17"/>
  <c r="G20" i="17" s="1"/>
  <c r="H20" i="17" s="1"/>
  <c r="I20" i="17" s="1"/>
  <c r="J20" i="17" s="1"/>
  <c r="K20" i="17" s="1"/>
  <c r="L20" i="17" s="1"/>
  <c r="M20" i="17" s="1"/>
  <c r="N20" i="17" s="1"/>
  <c r="O20" i="17" s="1"/>
  <c r="F21" i="17"/>
  <c r="G21" i="17" s="1"/>
  <c r="H21" i="17" s="1"/>
  <c r="I21" i="17" s="1"/>
  <c r="J21" i="17" s="1"/>
  <c r="K21" i="17" s="1"/>
  <c r="L21" i="17" s="1"/>
  <c r="M21" i="17" s="1"/>
  <c r="N21" i="17" s="1"/>
  <c r="O21" i="17" s="1"/>
  <c r="F22" i="17"/>
  <c r="G22" i="17" s="1"/>
  <c r="H22" i="17" s="1"/>
  <c r="I22" i="17" s="1"/>
  <c r="J22" i="17" s="1"/>
  <c r="K22" i="17" s="1"/>
  <c r="L22" i="17" s="1"/>
  <c r="M22" i="17" s="1"/>
  <c r="N22" i="17" s="1"/>
  <c r="O22" i="17" s="1"/>
  <c r="F23" i="17"/>
  <c r="G23" i="17" s="1"/>
  <c r="H23" i="17" s="1"/>
  <c r="I23" i="17" s="1"/>
  <c r="J23" i="17" s="1"/>
  <c r="K23" i="17" s="1"/>
  <c r="L23" i="17" s="1"/>
  <c r="M23" i="17" s="1"/>
  <c r="N23" i="17" s="1"/>
  <c r="O23" i="17" s="1"/>
  <c r="F24" i="17"/>
  <c r="G24" i="17" s="1"/>
  <c r="H24" i="17" s="1"/>
  <c r="I24" i="17" s="1"/>
  <c r="J24" i="17" s="1"/>
  <c r="K24" i="17" s="1"/>
  <c r="L24" i="17" s="1"/>
  <c r="M24" i="17" s="1"/>
  <c r="N24" i="17" s="1"/>
  <c r="O24" i="17" s="1"/>
  <c r="F25" i="17"/>
  <c r="G25" i="17" s="1"/>
  <c r="H25" i="17" s="1"/>
  <c r="I25" i="17" s="1"/>
  <c r="J25" i="17" s="1"/>
  <c r="K25" i="17" s="1"/>
  <c r="L25" i="17" s="1"/>
  <c r="M25" i="17" s="1"/>
  <c r="N25" i="17" s="1"/>
  <c r="O25" i="17" s="1"/>
  <c r="F26" i="17"/>
  <c r="G26" i="17" s="1"/>
  <c r="H26" i="17" s="1"/>
  <c r="I26" i="17" s="1"/>
  <c r="J26" i="17" s="1"/>
  <c r="K26" i="17" s="1"/>
  <c r="L26" i="17" s="1"/>
  <c r="M26" i="17" s="1"/>
  <c r="N26" i="17" s="1"/>
  <c r="O26" i="17" s="1"/>
  <c r="F27" i="17"/>
  <c r="G27" i="17" s="1"/>
  <c r="H27" i="17" s="1"/>
  <c r="I27" i="17" s="1"/>
  <c r="J27" i="17" s="1"/>
  <c r="K27" i="17" s="1"/>
  <c r="L27" i="17" s="1"/>
  <c r="M27" i="17" s="1"/>
  <c r="N27" i="17" s="1"/>
  <c r="O27" i="17" s="1"/>
  <c r="F28" i="17"/>
  <c r="G28" i="17" s="1"/>
  <c r="H28" i="17" s="1"/>
  <c r="I28" i="17" s="1"/>
  <c r="J28" i="17" s="1"/>
  <c r="K28" i="17" s="1"/>
  <c r="L28" i="17" s="1"/>
  <c r="M28" i="17" s="1"/>
  <c r="N28" i="17" s="1"/>
  <c r="O28" i="17" s="1"/>
  <c r="F29" i="17"/>
  <c r="G29" i="17" s="1"/>
  <c r="H29" i="17" s="1"/>
  <c r="I29" i="17" s="1"/>
  <c r="J29" i="17" s="1"/>
  <c r="K29" i="17" s="1"/>
  <c r="L29" i="17" s="1"/>
  <c r="M29" i="17" s="1"/>
  <c r="N29" i="17" s="1"/>
  <c r="O29" i="17" s="1"/>
  <c r="F30" i="17"/>
  <c r="G30" i="17" s="1"/>
  <c r="H30" i="17" s="1"/>
  <c r="I30" i="17" s="1"/>
  <c r="J30" i="17" s="1"/>
  <c r="K30" i="17" s="1"/>
  <c r="L30" i="17" s="1"/>
  <c r="M30" i="17" s="1"/>
  <c r="N30" i="17" s="1"/>
  <c r="O30" i="17" s="1"/>
  <c r="F31" i="17"/>
  <c r="G31" i="17" s="1"/>
  <c r="H31" i="17" s="1"/>
  <c r="I31" i="17" s="1"/>
  <c r="J31" i="17" s="1"/>
  <c r="K31" i="17" s="1"/>
  <c r="L31" i="17" s="1"/>
  <c r="M31" i="17" s="1"/>
  <c r="N31" i="17" s="1"/>
  <c r="O31" i="17" s="1"/>
  <c r="F32" i="17"/>
  <c r="G32" i="17" s="1"/>
  <c r="H32" i="17" s="1"/>
  <c r="I32" i="17" s="1"/>
  <c r="J32" i="17" s="1"/>
  <c r="K32" i="17" s="1"/>
  <c r="L32" i="17" s="1"/>
  <c r="M32" i="17" s="1"/>
  <c r="N32" i="17" s="1"/>
  <c r="O32" i="17" s="1"/>
  <c r="F33" i="17"/>
  <c r="G33" i="17" s="1"/>
  <c r="H33" i="17" s="1"/>
  <c r="I33" i="17" s="1"/>
  <c r="J33" i="17" s="1"/>
  <c r="K33" i="17" s="1"/>
  <c r="L33" i="17" s="1"/>
  <c r="M33" i="17" s="1"/>
  <c r="N33" i="17" s="1"/>
  <c r="O33" i="17" s="1"/>
  <c r="F34" i="17"/>
  <c r="G34" i="17" s="1"/>
  <c r="H34" i="17" s="1"/>
  <c r="I34" i="17" s="1"/>
  <c r="J34" i="17" s="1"/>
  <c r="K34" i="17" s="1"/>
  <c r="L34" i="17" s="1"/>
  <c r="M34" i="17" s="1"/>
  <c r="N34" i="17" s="1"/>
  <c r="O34" i="17" s="1"/>
  <c r="F16" i="17"/>
  <c r="G16" i="17" s="1"/>
  <c r="H16" i="17" s="1"/>
  <c r="I16" i="17" s="1"/>
  <c r="J16" i="17" s="1"/>
  <c r="K16" i="17" s="1"/>
  <c r="L16" i="17" s="1"/>
  <c r="M16" i="17" s="1"/>
  <c r="N16" i="17" s="1"/>
  <c r="O16" i="17" s="1"/>
  <c r="F15" i="17"/>
  <c r="G15" i="17" s="1"/>
  <c r="H15" i="17" s="1"/>
  <c r="I15" i="17" s="1"/>
  <c r="J15" i="17" s="1"/>
  <c r="K15" i="17" s="1"/>
  <c r="L15" i="17" s="1"/>
  <c r="M15" i="17" s="1"/>
  <c r="N15" i="17" s="1"/>
  <c r="O15" i="17" s="1"/>
  <c r="D34" i="17"/>
  <c r="C34" i="17"/>
  <c r="B34" i="17"/>
  <c r="D33" i="17"/>
  <c r="C33" i="17"/>
  <c r="B33" i="17"/>
  <c r="D32" i="17"/>
  <c r="C32" i="17"/>
  <c r="B32" i="17"/>
  <c r="D31" i="17"/>
  <c r="C31" i="17"/>
  <c r="B31" i="17"/>
  <c r="D30" i="17"/>
  <c r="C30" i="17"/>
  <c r="B30" i="17"/>
  <c r="D29" i="17"/>
  <c r="C29" i="17"/>
  <c r="B29" i="17"/>
  <c r="D28" i="17"/>
  <c r="C28" i="17"/>
  <c r="B28" i="17"/>
  <c r="D27" i="17"/>
  <c r="C27" i="17"/>
  <c r="B27" i="17"/>
  <c r="D26" i="17"/>
  <c r="C26" i="17"/>
  <c r="B26" i="17"/>
  <c r="D25" i="17"/>
  <c r="C25" i="17"/>
  <c r="B25" i="17"/>
  <c r="D24" i="17"/>
  <c r="C24" i="17"/>
  <c r="B24" i="17"/>
  <c r="D23" i="17"/>
  <c r="C23" i="17"/>
  <c r="B23" i="17"/>
  <c r="D22" i="17"/>
  <c r="C22" i="17"/>
  <c r="B22" i="17"/>
  <c r="D21" i="17"/>
  <c r="C21" i="17"/>
  <c r="B21" i="17"/>
  <c r="D20" i="17"/>
  <c r="C20" i="17"/>
  <c r="B20" i="17"/>
  <c r="D19" i="17"/>
  <c r="C19" i="17"/>
  <c r="B19" i="17"/>
  <c r="D18" i="17"/>
  <c r="C18" i="17"/>
  <c r="B18" i="17"/>
  <c r="D17" i="17"/>
  <c r="C17" i="17"/>
  <c r="B17" i="17"/>
  <c r="D16" i="17"/>
  <c r="C16" i="17"/>
  <c r="B16" i="17"/>
  <c r="D15" i="17"/>
  <c r="C15" i="17"/>
  <c r="B15" i="17"/>
  <c r="D14" i="17"/>
  <c r="C14" i="17"/>
  <c r="B14" i="17"/>
  <c r="D13" i="17"/>
  <c r="C13" i="17"/>
  <c r="B13" i="17"/>
  <c r="D12" i="17"/>
  <c r="C12" i="17"/>
  <c r="B12" i="17"/>
  <c r="D11" i="17"/>
  <c r="C11" i="17"/>
  <c r="B11" i="17"/>
  <c r="D10" i="17"/>
  <c r="C10" i="17"/>
  <c r="B10" i="17"/>
  <c r="D9" i="17"/>
  <c r="C9" i="17"/>
  <c r="B9" i="17"/>
  <c r="D8" i="17"/>
  <c r="C8" i="17"/>
  <c r="B8" i="17"/>
  <c r="D7" i="17"/>
  <c r="C7" i="17"/>
  <c r="B7" i="17"/>
  <c r="D6" i="17"/>
  <c r="C6" i="17"/>
  <c r="B6" i="17"/>
  <c r="D5" i="17"/>
  <c r="C5" i="17"/>
  <c r="B5" i="17"/>
  <c r="D33" i="18"/>
  <c r="C33" i="18"/>
  <c r="B33" i="18"/>
  <c r="D32" i="18"/>
  <c r="C32" i="18"/>
  <c r="B32" i="18"/>
  <c r="D31" i="18"/>
  <c r="C31" i="18"/>
  <c r="B31" i="18"/>
  <c r="D30" i="18"/>
  <c r="C30" i="18"/>
  <c r="B30" i="18"/>
  <c r="D29" i="18"/>
  <c r="C29" i="18"/>
  <c r="B29" i="18"/>
  <c r="D28" i="18"/>
  <c r="C28" i="18"/>
  <c r="B28" i="18"/>
  <c r="D27" i="18"/>
  <c r="C27" i="18"/>
  <c r="B27" i="18"/>
  <c r="D26" i="18"/>
  <c r="C26" i="18"/>
  <c r="B26" i="18"/>
  <c r="D25" i="18"/>
  <c r="C25" i="18"/>
  <c r="B25" i="18"/>
  <c r="D24" i="18"/>
  <c r="C24" i="18"/>
  <c r="B24" i="18"/>
  <c r="D23" i="18"/>
  <c r="C23" i="18"/>
  <c r="B23" i="18"/>
  <c r="D22" i="18"/>
  <c r="C22" i="18"/>
  <c r="B22" i="18"/>
  <c r="D21" i="18"/>
  <c r="C21" i="18"/>
  <c r="B21" i="18"/>
  <c r="D20" i="18"/>
  <c r="C20" i="18"/>
  <c r="B20" i="18"/>
  <c r="D19" i="18"/>
  <c r="C19" i="18"/>
  <c r="B19" i="18"/>
  <c r="D18" i="18"/>
  <c r="C18" i="18"/>
  <c r="B18" i="18"/>
  <c r="D17" i="18"/>
  <c r="C17" i="18"/>
  <c r="B17" i="18"/>
  <c r="D16" i="18"/>
  <c r="C16" i="18"/>
  <c r="B16" i="18"/>
  <c r="D15" i="18"/>
  <c r="C15" i="18"/>
  <c r="B15" i="18"/>
  <c r="D14" i="18"/>
  <c r="C14" i="18"/>
  <c r="B14" i="18"/>
  <c r="D13" i="18"/>
  <c r="C13" i="18"/>
  <c r="B13" i="18"/>
  <c r="D12" i="18"/>
  <c r="C12" i="18"/>
  <c r="B12" i="18"/>
  <c r="D11" i="18"/>
  <c r="C11" i="18"/>
  <c r="B11" i="18"/>
  <c r="D10" i="18"/>
  <c r="C10" i="18"/>
  <c r="B10" i="18"/>
  <c r="D9" i="18"/>
  <c r="C9" i="18"/>
  <c r="B9" i="18"/>
  <c r="D8" i="18"/>
  <c r="C8" i="18"/>
  <c r="B8" i="18"/>
  <c r="D7" i="18"/>
  <c r="C7" i="18"/>
  <c r="B7" i="18"/>
  <c r="D6" i="18"/>
  <c r="C6" i="18"/>
  <c r="B6" i="18"/>
  <c r="D5" i="18"/>
  <c r="C5" i="18"/>
  <c r="B5" i="18"/>
  <c r="D4" i="18"/>
  <c r="C4" i="18"/>
  <c r="B4" i="18"/>
  <c r="D34" i="21"/>
  <c r="C34" i="21"/>
  <c r="B34" i="21"/>
  <c r="D33" i="21"/>
  <c r="C33" i="21"/>
  <c r="B33" i="21"/>
  <c r="D32" i="21"/>
  <c r="C32" i="21"/>
  <c r="B32" i="21"/>
  <c r="D31" i="21"/>
  <c r="C31" i="21"/>
  <c r="B31" i="21"/>
  <c r="D30" i="21"/>
  <c r="C30" i="21"/>
  <c r="B30" i="21"/>
  <c r="D29" i="21"/>
  <c r="C29" i="21"/>
  <c r="B29" i="21"/>
  <c r="D28" i="21"/>
  <c r="C28" i="21"/>
  <c r="B28" i="21"/>
  <c r="D27" i="21"/>
  <c r="C27" i="21"/>
  <c r="B27" i="21"/>
  <c r="D26" i="21"/>
  <c r="C26" i="21"/>
  <c r="B26" i="21"/>
  <c r="D25" i="21"/>
  <c r="C25" i="21"/>
  <c r="B25" i="21"/>
  <c r="D24" i="21"/>
  <c r="C24" i="21"/>
  <c r="B24" i="21"/>
  <c r="D23" i="21"/>
  <c r="C23" i="21"/>
  <c r="B23" i="21"/>
  <c r="D22" i="21"/>
  <c r="C22" i="21"/>
  <c r="B22" i="21"/>
  <c r="D21" i="21"/>
  <c r="C21" i="21"/>
  <c r="B21" i="21"/>
  <c r="D20" i="21"/>
  <c r="C20" i="21"/>
  <c r="B20" i="21"/>
  <c r="D19" i="21"/>
  <c r="C19" i="21"/>
  <c r="B19" i="21"/>
  <c r="D18" i="21"/>
  <c r="C18" i="21"/>
  <c r="B18" i="21"/>
  <c r="D17" i="21"/>
  <c r="C17" i="21"/>
  <c r="B17" i="21"/>
  <c r="D16" i="21"/>
  <c r="C16" i="21"/>
  <c r="B16" i="21"/>
  <c r="D15" i="21"/>
  <c r="C15" i="21"/>
  <c r="B15" i="21"/>
  <c r="D14" i="21"/>
  <c r="C14" i="21"/>
  <c r="B14" i="21"/>
  <c r="D13" i="21"/>
  <c r="C13" i="21"/>
  <c r="B13" i="21"/>
  <c r="D12" i="21"/>
  <c r="C12" i="21"/>
  <c r="B12" i="21"/>
  <c r="D11" i="21"/>
  <c r="C11" i="21"/>
  <c r="B11" i="21"/>
  <c r="D10" i="21"/>
  <c r="C10" i="21"/>
  <c r="B10" i="21"/>
  <c r="D9" i="21"/>
  <c r="C9" i="21"/>
  <c r="B9" i="21"/>
  <c r="D8" i="21"/>
  <c r="C8" i="21"/>
  <c r="B8" i="21"/>
  <c r="D7" i="21"/>
  <c r="C7" i="21"/>
  <c r="B7" i="21"/>
  <c r="D6" i="21"/>
  <c r="C6" i="21"/>
  <c r="B6" i="21"/>
  <c r="D5" i="21"/>
  <c r="C5" i="21"/>
  <c r="B5" i="21"/>
  <c r="D34" i="20"/>
  <c r="C34" i="20"/>
  <c r="B34" i="20"/>
  <c r="D33" i="20"/>
  <c r="C33" i="20"/>
  <c r="B33" i="20"/>
  <c r="D32" i="20"/>
  <c r="C32" i="20"/>
  <c r="B32" i="20"/>
  <c r="D31" i="20"/>
  <c r="C31" i="20"/>
  <c r="B31" i="20"/>
  <c r="D30" i="20"/>
  <c r="C30" i="20"/>
  <c r="B30" i="20"/>
  <c r="D29" i="20"/>
  <c r="C29" i="20"/>
  <c r="B29" i="20"/>
  <c r="D28" i="20"/>
  <c r="C28" i="20"/>
  <c r="B28" i="20"/>
  <c r="D27" i="20"/>
  <c r="C27" i="20"/>
  <c r="B27" i="20"/>
  <c r="D26" i="20"/>
  <c r="C26" i="20"/>
  <c r="B26" i="20"/>
  <c r="D25" i="20"/>
  <c r="C25" i="20"/>
  <c r="B25" i="20"/>
  <c r="D24" i="20"/>
  <c r="C24" i="20"/>
  <c r="B24" i="20"/>
  <c r="D23" i="20"/>
  <c r="C23" i="20"/>
  <c r="B23" i="20"/>
  <c r="D22" i="20"/>
  <c r="C22" i="20"/>
  <c r="B22" i="20"/>
  <c r="D21" i="20"/>
  <c r="C21" i="20"/>
  <c r="B21" i="20"/>
  <c r="D20" i="20"/>
  <c r="C20" i="20"/>
  <c r="B20" i="20"/>
  <c r="D19" i="20"/>
  <c r="C19" i="20"/>
  <c r="B19" i="20"/>
  <c r="D18" i="20"/>
  <c r="C18" i="20"/>
  <c r="B18" i="20"/>
  <c r="D17" i="20"/>
  <c r="C17" i="20"/>
  <c r="B17" i="20"/>
  <c r="D16" i="20"/>
  <c r="C16" i="20"/>
  <c r="B16" i="20"/>
  <c r="D15" i="20"/>
  <c r="C15" i="20"/>
  <c r="B15" i="20"/>
  <c r="D14" i="20"/>
  <c r="C14" i="20"/>
  <c r="B14" i="20"/>
  <c r="D13" i="20"/>
  <c r="C13" i="20"/>
  <c r="B13" i="20"/>
  <c r="D12" i="20"/>
  <c r="C12" i="20"/>
  <c r="B12" i="20"/>
  <c r="D11" i="20"/>
  <c r="C11" i="20"/>
  <c r="B11" i="20"/>
  <c r="D10" i="20"/>
  <c r="C10" i="20"/>
  <c r="B10" i="20"/>
  <c r="D9" i="20"/>
  <c r="C9" i="20"/>
  <c r="B9" i="20"/>
  <c r="D8" i="20"/>
  <c r="C8" i="20"/>
  <c r="B8" i="20"/>
  <c r="D7" i="20"/>
  <c r="C7" i="20"/>
  <c r="B7" i="20"/>
  <c r="D6" i="20"/>
  <c r="C6" i="20"/>
  <c r="B6" i="20"/>
  <c r="D5" i="20"/>
  <c r="C5" i="20"/>
  <c r="B5" i="20"/>
  <c r="AE27" i="1" l="1"/>
  <c r="E30" i="23" s="1"/>
  <c r="F30" i="23" s="1"/>
  <c r="G30" i="23" s="1"/>
  <c r="H30" i="23" s="1"/>
  <c r="I30" i="23" s="1"/>
  <c r="J30" i="23" s="1"/>
  <c r="K30" i="23" s="1"/>
  <c r="L30" i="23" s="1"/>
  <c r="M30" i="23" s="1"/>
  <c r="N30" i="23" s="1"/>
  <c r="O30" i="23" s="1"/>
  <c r="AE23" i="1"/>
  <c r="E26" i="23" s="1"/>
  <c r="F26" i="23" s="1"/>
  <c r="G26" i="23" s="1"/>
  <c r="H26" i="23" s="1"/>
  <c r="I26" i="23" s="1"/>
  <c r="J26" i="23" s="1"/>
  <c r="K26" i="23" s="1"/>
  <c r="L26" i="23" s="1"/>
  <c r="M26" i="23" s="1"/>
  <c r="N26" i="23" s="1"/>
  <c r="O26" i="23" s="1"/>
  <c r="AE31" i="1"/>
  <c r="E34" i="23" s="1"/>
  <c r="F34" i="23" s="1"/>
  <c r="G34" i="23" s="1"/>
  <c r="H34" i="23" s="1"/>
  <c r="I34" i="23" s="1"/>
  <c r="J34" i="23" s="1"/>
  <c r="K34" i="23" s="1"/>
  <c r="L34" i="23" s="1"/>
  <c r="M34" i="23" s="1"/>
  <c r="N34" i="23" s="1"/>
  <c r="O34" i="23" s="1"/>
  <c r="A6" i="20"/>
  <c r="A4" i="24"/>
  <c r="A27" i="24"/>
  <c r="A31" i="24"/>
  <c r="A14" i="20"/>
  <c r="A8" i="24"/>
  <c r="A12" i="24"/>
  <c r="A16" i="24"/>
  <c r="A20" i="24"/>
  <c r="A10" i="20"/>
  <c r="A18" i="20"/>
  <c r="AE22" i="1"/>
  <c r="E25" i="23" s="1"/>
  <c r="F25" i="23" s="1"/>
  <c r="G25" i="23" s="1"/>
  <c r="H25" i="23" s="1"/>
  <c r="I25" i="23" s="1"/>
  <c r="J25" i="23" s="1"/>
  <c r="K25" i="23" s="1"/>
  <c r="L25" i="23" s="1"/>
  <c r="M25" i="23" s="1"/>
  <c r="N25" i="23" s="1"/>
  <c r="O25" i="23" s="1"/>
  <c r="AE26" i="1"/>
  <c r="E29" i="23" s="1"/>
  <c r="F29" i="23" s="1"/>
  <c r="G29" i="23" s="1"/>
  <c r="H29" i="23" s="1"/>
  <c r="I29" i="23" s="1"/>
  <c r="J29" i="23" s="1"/>
  <c r="K29" i="23" s="1"/>
  <c r="L29" i="23" s="1"/>
  <c r="M29" i="23" s="1"/>
  <c r="N29" i="23" s="1"/>
  <c r="O29" i="23" s="1"/>
  <c r="AE30" i="1"/>
  <c r="E33" i="23" s="1"/>
  <c r="F33" i="23" s="1"/>
  <c r="G33" i="23" s="1"/>
  <c r="H33" i="23" s="1"/>
  <c r="I33" i="23" s="1"/>
  <c r="J33" i="23" s="1"/>
  <c r="K33" i="23" s="1"/>
  <c r="L33" i="23" s="1"/>
  <c r="M33" i="23" s="1"/>
  <c r="N33" i="23" s="1"/>
  <c r="O33" i="23" s="1"/>
  <c r="AE18" i="1"/>
  <c r="E21" i="23" s="1"/>
  <c r="F21" i="23" s="1"/>
  <c r="G21" i="23" s="1"/>
  <c r="H21" i="23" s="1"/>
  <c r="I21" i="23" s="1"/>
  <c r="J21" i="23" s="1"/>
  <c r="K21" i="23" s="1"/>
  <c r="L21" i="23" s="1"/>
  <c r="M21" i="23" s="1"/>
  <c r="N21" i="23" s="1"/>
  <c r="O21" i="23" s="1"/>
  <c r="AE14" i="1"/>
  <c r="E17" i="23" s="1"/>
  <c r="F17" i="23" s="1"/>
  <c r="G17" i="23" s="1"/>
  <c r="H17" i="23" s="1"/>
  <c r="I17" i="23" s="1"/>
  <c r="J17" i="23" s="1"/>
  <c r="K17" i="23" s="1"/>
  <c r="L17" i="23" s="1"/>
  <c r="M17" i="23" s="1"/>
  <c r="N17" i="23" s="1"/>
  <c r="O17" i="23" s="1"/>
  <c r="A7" i="21"/>
  <c r="A11" i="21"/>
  <c r="A15" i="21"/>
  <c r="A19" i="21"/>
  <c r="A4" i="18"/>
  <c r="A8" i="18"/>
  <c r="A12" i="18"/>
  <c r="A16" i="18"/>
  <c r="A24" i="20"/>
  <c r="A28" i="20"/>
  <c r="A32" i="20"/>
  <c r="A25" i="21"/>
  <c r="A29" i="21"/>
  <c r="A33" i="21"/>
  <c r="A26" i="18"/>
  <c r="A30" i="18"/>
  <c r="A5" i="17"/>
  <c r="A9" i="17"/>
  <c r="A13" i="17"/>
  <c r="A17" i="17"/>
  <c r="A27" i="17"/>
  <c r="A31" i="17"/>
  <c r="A6" i="23"/>
  <c r="A10" i="23"/>
  <c r="A14" i="23"/>
  <c r="A18" i="23"/>
  <c r="A24" i="23"/>
  <c r="A28" i="23"/>
  <c r="A32" i="23"/>
  <c r="A5" i="20"/>
  <c r="A9" i="20"/>
  <c r="A13" i="20"/>
  <c r="A17" i="20"/>
  <c r="A21" i="20"/>
  <c r="A6" i="21"/>
  <c r="A10" i="21"/>
  <c r="A14" i="21"/>
  <c r="A18" i="21"/>
  <c r="A22" i="21"/>
  <c r="A7" i="18"/>
  <c r="A11" i="18"/>
  <c r="A15" i="18"/>
  <c r="A19" i="18"/>
  <c r="A23" i="18"/>
  <c r="A4" i="17"/>
  <c r="A8" i="17"/>
  <c r="A12" i="17"/>
  <c r="A16" i="17"/>
  <c r="A20" i="17"/>
  <c r="A5" i="23"/>
  <c r="A9" i="23"/>
  <c r="A13" i="23"/>
  <c r="A17" i="23"/>
  <c r="A21" i="23"/>
  <c r="AE17" i="1"/>
  <c r="E20" i="23" s="1"/>
  <c r="F20" i="23" s="1"/>
  <c r="G20" i="23" s="1"/>
  <c r="H20" i="23" s="1"/>
  <c r="I20" i="23" s="1"/>
  <c r="J20" i="23" s="1"/>
  <c r="K20" i="23" s="1"/>
  <c r="L20" i="23" s="1"/>
  <c r="M20" i="23" s="1"/>
  <c r="N20" i="23" s="1"/>
  <c r="O20" i="23" s="1"/>
  <c r="A5" i="24"/>
  <c r="A9" i="24"/>
  <c r="A13" i="24"/>
  <c r="A17" i="24"/>
  <c r="AE13" i="1"/>
  <c r="E16" i="23" s="1"/>
  <c r="F16" i="23" s="1"/>
  <c r="G16" i="23" s="1"/>
  <c r="H16" i="23" s="1"/>
  <c r="I16" i="23" s="1"/>
  <c r="J16" i="23" s="1"/>
  <c r="K16" i="23" s="1"/>
  <c r="L16" i="23" s="1"/>
  <c r="M16" i="23" s="1"/>
  <c r="N16" i="23" s="1"/>
  <c r="O16" i="23" s="1"/>
  <c r="A22" i="20"/>
  <c r="A23" i="21"/>
  <c r="A20" i="18"/>
  <c r="A21" i="17"/>
  <c r="A22" i="23"/>
  <c r="A21" i="24"/>
  <c r="A31" i="20"/>
  <c r="A24" i="21"/>
  <c r="A28" i="21"/>
  <c r="A32" i="21"/>
  <c r="A25" i="18"/>
  <c r="A29" i="18"/>
  <c r="A33" i="18"/>
  <c r="A26" i="17"/>
  <c r="A30" i="17"/>
  <c r="A27" i="23"/>
  <c r="A31" i="23"/>
  <c r="A26" i="24"/>
  <c r="A30" i="24"/>
  <c r="A27" i="20"/>
  <c r="A4" i="20"/>
  <c r="A8" i="20"/>
  <c r="A12" i="20"/>
  <c r="A16" i="20"/>
  <c r="A20" i="20"/>
  <c r="A26" i="20"/>
  <c r="A30" i="20"/>
  <c r="A5" i="21"/>
  <c r="A9" i="21"/>
  <c r="A13" i="21"/>
  <c r="A17" i="21"/>
  <c r="A21" i="21"/>
  <c r="A27" i="21"/>
  <c r="A31" i="21"/>
  <c r="A6" i="18"/>
  <c r="A10" i="18"/>
  <c r="A14" i="18"/>
  <c r="A18" i="18"/>
  <c r="A22" i="18"/>
  <c r="A24" i="18"/>
  <c r="A28" i="18"/>
  <c r="A32" i="18"/>
  <c r="A7" i="17"/>
  <c r="A11" i="17"/>
  <c r="A15" i="17"/>
  <c r="A19" i="17"/>
  <c r="A23" i="17"/>
  <c r="A25" i="17"/>
  <c r="A29" i="17"/>
  <c r="A33" i="17"/>
  <c r="A4" i="23"/>
  <c r="A8" i="23"/>
  <c r="A12" i="23"/>
  <c r="A16" i="23"/>
  <c r="A20" i="23"/>
  <c r="A26" i="23"/>
  <c r="A30" i="23"/>
  <c r="A7" i="24"/>
  <c r="A11" i="24"/>
  <c r="A15" i="24"/>
  <c r="A19" i="24"/>
  <c r="A23" i="24"/>
  <c r="A25" i="24"/>
  <c r="A29" i="24"/>
  <c r="A33" i="24"/>
  <c r="A7" i="20"/>
  <c r="A11" i="20"/>
  <c r="A15" i="20"/>
  <c r="A19" i="20"/>
  <c r="A23" i="20"/>
  <c r="A25" i="20"/>
  <c r="A29" i="20"/>
  <c r="A33" i="20"/>
  <c r="A4" i="21"/>
  <c r="A8" i="21"/>
  <c r="A12" i="21"/>
  <c r="A16" i="21"/>
  <c r="A20" i="21"/>
  <c r="A26" i="21"/>
  <c r="A30" i="21"/>
  <c r="A5" i="18"/>
  <c r="A9" i="18"/>
  <c r="A13" i="18"/>
  <c r="A17" i="18"/>
  <c r="A21" i="18"/>
  <c r="A27" i="18"/>
  <c r="A31" i="18"/>
  <c r="A6" i="17"/>
  <c r="A10" i="17"/>
  <c r="A14" i="17"/>
  <c r="A18" i="17"/>
  <c r="A22" i="17"/>
  <c r="A24" i="17"/>
  <c r="A28" i="17"/>
  <c r="A32" i="17"/>
  <c r="A7" i="23"/>
  <c r="A11" i="23"/>
  <c r="A15" i="23"/>
  <c r="A19" i="23"/>
  <c r="A23" i="23"/>
  <c r="A25" i="23"/>
  <c r="A29" i="23"/>
  <c r="A33" i="23"/>
  <c r="A6" i="24"/>
  <c r="A10" i="24"/>
  <c r="A14" i="24"/>
  <c r="A18" i="24"/>
  <c r="A22" i="24"/>
  <c r="A24" i="24"/>
  <c r="A28" i="24"/>
  <c r="A32" i="24"/>
  <c r="N6" i="27"/>
  <c r="N8" i="27"/>
  <c r="N10" i="27"/>
  <c r="N14" i="27"/>
  <c r="N16" i="27"/>
  <c r="N18" i="27"/>
  <c r="N20" i="27"/>
  <c r="N22" i="27"/>
  <c r="N19" i="27"/>
  <c r="N23" i="27"/>
  <c r="N24" i="27"/>
  <c r="N26" i="27"/>
  <c r="N28" i="27"/>
  <c r="N30" i="27"/>
  <c r="N32" i="27"/>
  <c r="N34" i="27"/>
  <c r="N17" i="27"/>
  <c r="N5" i="27"/>
  <c r="N21" i="27"/>
  <c r="N9" i="27"/>
  <c r="N7" i="27"/>
  <c r="N15" i="27"/>
  <c r="N25" i="27"/>
  <c r="N27" i="27"/>
  <c r="N29" i="27"/>
  <c r="N31" i="27"/>
  <c r="N33" i="27"/>
  <c r="F6" i="27"/>
  <c r="F8" i="27"/>
  <c r="F10" i="27"/>
  <c r="F12" i="27"/>
  <c r="F14" i="27"/>
  <c r="F16" i="27"/>
  <c r="F18" i="27"/>
  <c r="F20" i="27"/>
  <c r="F22" i="27"/>
  <c r="F24" i="27"/>
  <c r="F7" i="27"/>
  <c r="F15" i="27"/>
  <c r="F23" i="27"/>
  <c r="F26" i="27"/>
  <c r="F28" i="27"/>
  <c r="F30" i="27"/>
  <c r="F32" i="27"/>
  <c r="F34" i="27"/>
  <c r="F13" i="27"/>
  <c r="F9" i="27"/>
  <c r="F17" i="27"/>
  <c r="F5" i="27"/>
  <c r="F11" i="27"/>
  <c r="F19" i="27"/>
  <c r="F25" i="27"/>
  <c r="F27" i="27"/>
  <c r="F29" i="27"/>
  <c r="F31" i="27"/>
  <c r="F33" i="27"/>
  <c r="F21" i="27"/>
  <c r="J6" i="27"/>
  <c r="J8" i="27"/>
  <c r="J10" i="27"/>
  <c r="J14" i="27"/>
  <c r="J16" i="27"/>
  <c r="J18" i="27"/>
  <c r="J20" i="27"/>
  <c r="J22" i="27"/>
  <c r="J24" i="27"/>
  <c r="J5" i="27"/>
  <c r="J21" i="27"/>
  <c r="J26" i="27"/>
  <c r="J28" i="27"/>
  <c r="J30" i="27"/>
  <c r="J32" i="27"/>
  <c r="J34" i="27"/>
  <c r="J7" i="27"/>
  <c r="J15" i="27"/>
  <c r="J19" i="27"/>
  <c r="J9" i="27"/>
  <c r="J17" i="27"/>
  <c r="J23" i="27"/>
  <c r="J25" i="27"/>
  <c r="J27" i="27"/>
  <c r="J29" i="27"/>
  <c r="J31" i="27"/>
  <c r="J33" i="27"/>
  <c r="AE29" i="1"/>
  <c r="E32" i="23" s="1"/>
  <c r="F32" i="23" s="1"/>
  <c r="G32" i="23" s="1"/>
  <c r="H32" i="23" s="1"/>
  <c r="I32" i="23" s="1"/>
  <c r="J32" i="23" s="1"/>
  <c r="K32" i="23" s="1"/>
  <c r="L32" i="23" s="1"/>
  <c r="M32" i="23" s="1"/>
  <c r="N32" i="23" s="1"/>
  <c r="O32" i="23" s="1"/>
  <c r="AE25" i="1"/>
  <c r="E28" i="23" s="1"/>
  <c r="F28" i="23" s="1"/>
  <c r="G28" i="23" s="1"/>
  <c r="H28" i="23" s="1"/>
  <c r="I28" i="23" s="1"/>
  <c r="J28" i="23" s="1"/>
  <c r="K28" i="23" s="1"/>
  <c r="L28" i="23" s="1"/>
  <c r="M28" i="23" s="1"/>
  <c r="N28" i="23" s="1"/>
  <c r="O28" i="23" s="1"/>
  <c r="AE15" i="1"/>
  <c r="E18" i="23" s="1"/>
  <c r="F18" i="23" s="1"/>
  <c r="G18" i="23" s="1"/>
  <c r="H18" i="23" s="1"/>
  <c r="I18" i="23" s="1"/>
  <c r="J18" i="23" s="1"/>
  <c r="K18" i="23" s="1"/>
  <c r="L18" i="23" s="1"/>
  <c r="M18" i="23" s="1"/>
  <c r="N18" i="23" s="1"/>
  <c r="O18" i="23" s="1"/>
  <c r="AE28" i="1"/>
  <c r="E31" i="23" s="1"/>
  <c r="F31" i="23" s="1"/>
  <c r="G31" i="23" s="1"/>
  <c r="H31" i="23" s="1"/>
  <c r="I31" i="23" s="1"/>
  <c r="J31" i="23" s="1"/>
  <c r="K31" i="23" s="1"/>
  <c r="L31" i="23" s="1"/>
  <c r="M31" i="23" s="1"/>
  <c r="N31" i="23" s="1"/>
  <c r="O31" i="23" s="1"/>
  <c r="AE24" i="1"/>
  <c r="E27" i="23" s="1"/>
  <c r="F27" i="23" s="1"/>
  <c r="G27" i="23" s="1"/>
  <c r="H27" i="23" s="1"/>
  <c r="I27" i="23" s="1"/>
  <c r="J27" i="23" s="1"/>
  <c r="K27" i="23" s="1"/>
  <c r="L27" i="23" s="1"/>
  <c r="M27" i="23" s="1"/>
  <c r="N27" i="23" s="1"/>
  <c r="O27" i="23" s="1"/>
  <c r="AE16" i="1"/>
  <c r="E19" i="23" s="1"/>
  <c r="F19" i="23" s="1"/>
  <c r="G19" i="23" s="1"/>
  <c r="H19" i="23" s="1"/>
  <c r="I19" i="23" s="1"/>
  <c r="J19" i="23" s="1"/>
  <c r="K19" i="23" s="1"/>
  <c r="L19" i="23" s="1"/>
  <c r="M19" i="23" s="1"/>
  <c r="N19" i="23" s="1"/>
  <c r="O19" i="23" s="1"/>
  <c r="AE12" i="1"/>
  <c r="E15" i="23" s="1"/>
  <c r="F15" i="23" s="1"/>
  <c r="G15" i="23" s="1"/>
  <c r="H15" i="23" s="1"/>
  <c r="I15" i="23" s="1"/>
  <c r="J15" i="23" s="1"/>
  <c r="K15" i="23" s="1"/>
  <c r="L15" i="23" s="1"/>
  <c r="M15" i="23" s="1"/>
  <c r="N15" i="23" s="1"/>
  <c r="O15" i="23" s="1"/>
  <c r="E8" i="3"/>
  <c r="E12" i="3"/>
  <c r="E11" i="3"/>
  <c r="E7" i="3"/>
  <c r="D34" i="16"/>
  <c r="C34" i="16"/>
  <c r="B34" i="16"/>
  <c r="D33" i="16"/>
  <c r="C33" i="16"/>
  <c r="B33" i="16"/>
  <c r="D32" i="16"/>
  <c r="C32" i="16"/>
  <c r="B32" i="16"/>
  <c r="D31" i="16"/>
  <c r="C31" i="16"/>
  <c r="B31" i="16"/>
  <c r="D30" i="16"/>
  <c r="C30" i="16"/>
  <c r="B30" i="16"/>
  <c r="D29" i="16"/>
  <c r="C29" i="16"/>
  <c r="B29" i="16"/>
  <c r="D28" i="16"/>
  <c r="C28" i="16"/>
  <c r="B28" i="16"/>
  <c r="D27" i="16"/>
  <c r="C27" i="16"/>
  <c r="B27" i="16"/>
  <c r="D26" i="16"/>
  <c r="C26" i="16"/>
  <c r="B26" i="16"/>
  <c r="D25" i="16"/>
  <c r="C25" i="16"/>
  <c r="B25" i="16"/>
  <c r="D24" i="16"/>
  <c r="C24" i="16"/>
  <c r="B24" i="16"/>
  <c r="D23" i="16"/>
  <c r="C23" i="16"/>
  <c r="B23" i="16"/>
  <c r="D22" i="16"/>
  <c r="C22" i="16"/>
  <c r="B22" i="16"/>
  <c r="D21" i="16"/>
  <c r="C21" i="16"/>
  <c r="B21" i="16"/>
  <c r="D20" i="16"/>
  <c r="C20" i="16"/>
  <c r="B20" i="16"/>
  <c r="D19" i="16"/>
  <c r="C19" i="16"/>
  <c r="B19" i="16"/>
  <c r="D18" i="16"/>
  <c r="C18" i="16"/>
  <c r="B18" i="16"/>
  <c r="D17" i="16"/>
  <c r="C17" i="16"/>
  <c r="B17" i="16"/>
  <c r="D16" i="16"/>
  <c r="C16" i="16"/>
  <c r="B16" i="16"/>
  <c r="D15" i="16"/>
  <c r="C15" i="16"/>
  <c r="B15" i="16"/>
  <c r="D14" i="16"/>
  <c r="C14" i="16"/>
  <c r="B14" i="16"/>
  <c r="D13" i="16"/>
  <c r="C13" i="16"/>
  <c r="B13" i="16"/>
  <c r="D12" i="16"/>
  <c r="C12" i="16"/>
  <c r="B12" i="16"/>
  <c r="D11" i="16"/>
  <c r="C11" i="16"/>
  <c r="B11" i="16"/>
  <c r="D10" i="16"/>
  <c r="C10" i="16"/>
  <c r="B10" i="16"/>
  <c r="D9" i="16"/>
  <c r="C9" i="16"/>
  <c r="B9" i="16"/>
  <c r="D8" i="16"/>
  <c r="C8" i="16"/>
  <c r="B8" i="16"/>
  <c r="D7" i="16"/>
  <c r="C7" i="16"/>
  <c r="B7" i="16"/>
  <c r="D6" i="16"/>
  <c r="C6" i="16"/>
  <c r="B6" i="16"/>
  <c r="D5" i="16"/>
  <c r="C5" i="16"/>
  <c r="B5" i="16"/>
  <c r="D34" i="15"/>
  <c r="C34" i="15"/>
  <c r="B34" i="15"/>
  <c r="D33" i="15"/>
  <c r="C33" i="15"/>
  <c r="B33" i="15"/>
  <c r="D32" i="15"/>
  <c r="C32" i="15"/>
  <c r="B32" i="15"/>
  <c r="D31" i="15"/>
  <c r="C31" i="15"/>
  <c r="B31" i="15"/>
  <c r="D30" i="15"/>
  <c r="C30" i="15"/>
  <c r="B30" i="15"/>
  <c r="D29" i="15"/>
  <c r="C29" i="15"/>
  <c r="B29" i="15"/>
  <c r="D28" i="15"/>
  <c r="C28" i="15"/>
  <c r="B28" i="15"/>
  <c r="D27" i="15"/>
  <c r="C27" i="15"/>
  <c r="B27" i="15"/>
  <c r="D26" i="15"/>
  <c r="C26" i="15"/>
  <c r="B26" i="15"/>
  <c r="D25" i="15"/>
  <c r="C25" i="15"/>
  <c r="B25" i="15"/>
  <c r="D24" i="15"/>
  <c r="C24" i="15"/>
  <c r="B24" i="15"/>
  <c r="D23" i="15"/>
  <c r="C23" i="15"/>
  <c r="B23" i="15"/>
  <c r="D22" i="15"/>
  <c r="C22" i="15"/>
  <c r="B22" i="15"/>
  <c r="D21" i="15"/>
  <c r="C21" i="15"/>
  <c r="B21" i="15"/>
  <c r="D20" i="15"/>
  <c r="C20" i="15"/>
  <c r="B20" i="15"/>
  <c r="D19" i="15"/>
  <c r="C19" i="15"/>
  <c r="B19" i="15"/>
  <c r="D18" i="15"/>
  <c r="C18" i="15"/>
  <c r="B18" i="15"/>
  <c r="D17" i="15"/>
  <c r="C17" i="15"/>
  <c r="B17" i="15"/>
  <c r="D16" i="15"/>
  <c r="C16" i="15"/>
  <c r="B16" i="15"/>
  <c r="D15" i="15"/>
  <c r="C15" i="15"/>
  <c r="B15" i="15"/>
  <c r="D14" i="15"/>
  <c r="C14" i="15"/>
  <c r="B14" i="15"/>
  <c r="D13" i="15"/>
  <c r="C13" i="15"/>
  <c r="B13" i="15"/>
  <c r="D12" i="15"/>
  <c r="C12" i="15"/>
  <c r="B12" i="15"/>
  <c r="D11" i="15"/>
  <c r="C11" i="15"/>
  <c r="B11" i="15"/>
  <c r="D10" i="15"/>
  <c r="C10" i="15"/>
  <c r="B10" i="15"/>
  <c r="D9" i="15"/>
  <c r="C9" i="15"/>
  <c r="B9" i="15"/>
  <c r="D8" i="15"/>
  <c r="C8" i="15"/>
  <c r="B8" i="15"/>
  <c r="D7" i="15"/>
  <c r="C7" i="15"/>
  <c r="B7" i="15"/>
  <c r="D6" i="15"/>
  <c r="C6" i="15"/>
  <c r="B6" i="15"/>
  <c r="D5" i="15"/>
  <c r="C5" i="15"/>
  <c r="B5" i="15"/>
  <c r="D34" i="14"/>
  <c r="C34" i="14"/>
  <c r="B34" i="14"/>
  <c r="D33" i="14"/>
  <c r="C33" i="14"/>
  <c r="B33" i="14"/>
  <c r="D32" i="14"/>
  <c r="C32" i="14"/>
  <c r="B32" i="14"/>
  <c r="D31" i="14"/>
  <c r="C31" i="14"/>
  <c r="B31" i="14"/>
  <c r="D30" i="14"/>
  <c r="C30" i="14"/>
  <c r="B30" i="14"/>
  <c r="D29" i="14"/>
  <c r="C29" i="14"/>
  <c r="B29" i="14"/>
  <c r="D28" i="14"/>
  <c r="C28" i="14"/>
  <c r="B28" i="14"/>
  <c r="D27" i="14"/>
  <c r="C27" i="14"/>
  <c r="B27" i="14"/>
  <c r="D26" i="14"/>
  <c r="C26" i="14"/>
  <c r="B26" i="14"/>
  <c r="D25" i="14"/>
  <c r="C25" i="14"/>
  <c r="B25" i="14"/>
  <c r="D24" i="14"/>
  <c r="C24" i="14"/>
  <c r="B24" i="14"/>
  <c r="D23" i="14"/>
  <c r="C23" i="14"/>
  <c r="B23" i="14"/>
  <c r="D22" i="14"/>
  <c r="C22" i="14"/>
  <c r="B22" i="14"/>
  <c r="D21" i="14"/>
  <c r="C21" i="14"/>
  <c r="B21" i="14"/>
  <c r="D20" i="14"/>
  <c r="C20" i="14"/>
  <c r="B20" i="14"/>
  <c r="D19" i="14"/>
  <c r="C19" i="14"/>
  <c r="B19" i="14"/>
  <c r="D18" i="14"/>
  <c r="C18" i="14"/>
  <c r="B18" i="14"/>
  <c r="D17" i="14"/>
  <c r="C17" i="14"/>
  <c r="B17" i="14"/>
  <c r="D16" i="14"/>
  <c r="C16" i="14"/>
  <c r="B16" i="14"/>
  <c r="D15" i="14"/>
  <c r="C15" i="14"/>
  <c r="B15" i="14"/>
  <c r="D14" i="14"/>
  <c r="C14" i="14"/>
  <c r="B14" i="14"/>
  <c r="D13" i="14"/>
  <c r="C13" i="14"/>
  <c r="B13" i="14"/>
  <c r="D12" i="14"/>
  <c r="C12" i="14"/>
  <c r="B12" i="14"/>
  <c r="D11" i="14"/>
  <c r="C11" i="14"/>
  <c r="B11" i="14"/>
  <c r="D10" i="14"/>
  <c r="C10" i="14"/>
  <c r="B10" i="14"/>
  <c r="D9" i="14"/>
  <c r="C9" i="14"/>
  <c r="B9" i="14"/>
  <c r="D8" i="14"/>
  <c r="C8" i="14"/>
  <c r="B8" i="14"/>
  <c r="D7" i="14"/>
  <c r="C7" i="14"/>
  <c r="B7" i="14"/>
  <c r="D6" i="14"/>
  <c r="C6" i="14"/>
  <c r="B6" i="14"/>
  <c r="D5" i="14"/>
  <c r="C5" i="14"/>
  <c r="B5" i="14"/>
  <c r="X22" i="1"/>
  <c r="X23" i="1"/>
  <c r="X24" i="1"/>
  <c r="X25" i="1"/>
  <c r="X26" i="1"/>
  <c r="X27" i="1"/>
  <c r="X28" i="1"/>
  <c r="X29" i="1"/>
  <c r="X30" i="1"/>
  <c r="X31" i="1"/>
  <c r="X3" i="1"/>
  <c r="X4" i="1"/>
  <c r="X5" i="1"/>
  <c r="X6" i="1"/>
  <c r="X7" i="1"/>
  <c r="X8" i="1"/>
  <c r="X9" i="1"/>
  <c r="X10" i="1"/>
  <c r="X11" i="1"/>
  <c r="X2" i="1"/>
  <c r="W3" i="1"/>
  <c r="W4" i="1"/>
  <c r="W5" i="1"/>
  <c r="W6" i="1"/>
  <c r="W7" i="1"/>
  <c r="W8" i="1"/>
  <c r="W9" i="1"/>
  <c r="W10" i="1"/>
  <c r="W11" i="1"/>
  <c r="W12" i="1"/>
  <c r="W13" i="1"/>
  <c r="W14" i="1"/>
  <c r="W15" i="1"/>
  <c r="W16" i="1"/>
  <c r="W17" i="1"/>
  <c r="W18" i="1"/>
  <c r="W19" i="1"/>
  <c r="W20" i="1"/>
  <c r="W21" i="1"/>
  <c r="W22" i="1"/>
  <c r="W23" i="1"/>
  <c r="W24" i="1"/>
  <c r="W25" i="1"/>
  <c r="W26" i="1"/>
  <c r="W27" i="1"/>
  <c r="W28" i="1"/>
  <c r="W29" i="1"/>
  <c r="W30" i="1"/>
  <c r="W31" i="1"/>
  <c r="W2" i="1"/>
  <c r="V3" i="1"/>
  <c r="V4" i="1"/>
  <c r="V5" i="1"/>
  <c r="V6" i="1"/>
  <c r="V7" i="1"/>
  <c r="V8" i="1"/>
  <c r="V9" i="1"/>
  <c r="V10" i="1"/>
  <c r="V11" i="1"/>
  <c r="V12" i="1"/>
  <c r="V13" i="1"/>
  <c r="V14" i="1"/>
  <c r="V15" i="1"/>
  <c r="V16" i="1"/>
  <c r="V17" i="1"/>
  <c r="V18" i="1"/>
  <c r="V19" i="1"/>
  <c r="V20" i="1"/>
  <c r="V21" i="1"/>
  <c r="V22" i="1"/>
  <c r="V23" i="1"/>
  <c r="V24" i="1"/>
  <c r="V25" i="1"/>
  <c r="V26" i="1"/>
  <c r="V27" i="1"/>
  <c r="V28" i="1"/>
  <c r="V29" i="1"/>
  <c r="V30" i="1"/>
  <c r="V31" i="1"/>
  <c r="V2" i="1"/>
  <c r="U3" i="1"/>
  <c r="U4" i="1"/>
  <c r="U5" i="1"/>
  <c r="U6" i="1"/>
  <c r="U7" i="1"/>
  <c r="U8" i="1"/>
  <c r="U9" i="1"/>
  <c r="U10" i="1"/>
  <c r="U11" i="1"/>
  <c r="U12" i="1"/>
  <c r="U13" i="1"/>
  <c r="U14" i="1"/>
  <c r="U15" i="1"/>
  <c r="U16" i="1"/>
  <c r="U17" i="1"/>
  <c r="U18" i="1"/>
  <c r="U19" i="1"/>
  <c r="U20" i="1"/>
  <c r="U21" i="1"/>
  <c r="U22" i="1"/>
  <c r="U23" i="1"/>
  <c r="U24" i="1"/>
  <c r="U25" i="1"/>
  <c r="U26" i="1"/>
  <c r="U27" i="1"/>
  <c r="U28" i="1"/>
  <c r="U29" i="1"/>
  <c r="U30" i="1"/>
  <c r="U31" i="1"/>
  <c r="U2" i="1"/>
  <c r="T3" i="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2" i="1"/>
  <c r="S3" i="1"/>
  <c r="S4" i="1"/>
  <c r="S5" i="1"/>
  <c r="S6" i="1"/>
  <c r="S7" i="1"/>
  <c r="S8" i="1"/>
  <c r="S9" i="1"/>
  <c r="S10" i="1"/>
  <c r="S11" i="1"/>
  <c r="S2" i="1"/>
  <c r="P22" i="1"/>
  <c r="P23" i="1"/>
  <c r="P24" i="1"/>
  <c r="P25" i="1"/>
  <c r="P26" i="1"/>
  <c r="P27" i="1"/>
  <c r="P28" i="1"/>
  <c r="P29" i="1"/>
  <c r="P30" i="1"/>
  <c r="P31" i="1"/>
  <c r="O22" i="1"/>
  <c r="O23" i="1"/>
  <c r="O24" i="1"/>
  <c r="O25" i="1"/>
  <c r="O26" i="1"/>
  <c r="O27" i="1"/>
  <c r="O28" i="1"/>
  <c r="O29" i="1"/>
  <c r="O30" i="1"/>
  <c r="O31" i="1"/>
  <c r="N22" i="1"/>
  <c r="N23" i="1"/>
  <c r="N24" i="1"/>
  <c r="N25" i="1"/>
  <c r="N26" i="1"/>
  <c r="N27" i="1"/>
  <c r="N28" i="1"/>
  <c r="N29" i="1"/>
  <c r="N30" i="1"/>
  <c r="N31" i="1"/>
  <c r="P13" i="1"/>
  <c r="P14" i="1"/>
  <c r="P15" i="1"/>
  <c r="P16" i="1"/>
  <c r="P17" i="1"/>
  <c r="P18" i="1"/>
  <c r="P19" i="1"/>
  <c r="P20" i="1"/>
  <c r="P21" i="1"/>
  <c r="P12" i="1"/>
  <c r="N13" i="1"/>
  <c r="N14" i="1"/>
  <c r="N15" i="1"/>
  <c r="N16" i="1"/>
  <c r="N17" i="1"/>
  <c r="N18" i="1"/>
  <c r="N19" i="1"/>
  <c r="N20" i="1"/>
  <c r="N21" i="1"/>
  <c r="N12" i="1"/>
  <c r="Q12" i="1"/>
  <c r="Q13" i="1"/>
  <c r="Q14" i="1"/>
  <c r="Q15" i="1"/>
  <c r="Q16" i="1"/>
  <c r="Q17" i="1"/>
  <c r="Q18" i="1"/>
  <c r="Q19" i="1"/>
  <c r="Q20" i="1"/>
  <c r="Q21" i="1"/>
  <c r="Q3" i="1"/>
  <c r="Q4" i="1"/>
  <c r="Q5" i="1"/>
  <c r="Q6" i="1"/>
  <c r="Q7" i="1"/>
  <c r="Q8" i="1"/>
  <c r="Q9" i="1"/>
  <c r="Q10" i="1"/>
  <c r="Q11" i="1"/>
  <c r="Q2" i="1"/>
  <c r="P4" i="1"/>
  <c r="P8" i="1"/>
  <c r="O3" i="1"/>
  <c r="O4" i="1"/>
  <c r="O5" i="1"/>
  <c r="O6" i="1"/>
  <c r="O7" i="1"/>
  <c r="O8" i="1"/>
  <c r="O9" i="1"/>
  <c r="O10" i="1"/>
  <c r="O11" i="1"/>
  <c r="O2" i="1"/>
  <c r="N4" i="1"/>
  <c r="N8" i="1"/>
  <c r="E25" i="5"/>
  <c r="F25" i="5"/>
  <c r="G25" i="5"/>
  <c r="H25" i="5"/>
  <c r="I25" i="5"/>
  <c r="J25" i="5"/>
  <c r="K25" i="5"/>
  <c r="L25" i="5"/>
  <c r="M25" i="5"/>
  <c r="N25" i="5"/>
  <c r="O25" i="5"/>
  <c r="E26" i="5"/>
  <c r="F26" i="5"/>
  <c r="G26" i="5"/>
  <c r="H26" i="5"/>
  <c r="I26" i="5"/>
  <c r="J26" i="5"/>
  <c r="K26" i="5"/>
  <c r="L26" i="5"/>
  <c r="M26" i="5"/>
  <c r="N26" i="5"/>
  <c r="O26" i="5"/>
  <c r="E27" i="5"/>
  <c r="F27" i="5"/>
  <c r="G27" i="5"/>
  <c r="H27" i="5"/>
  <c r="I27" i="5"/>
  <c r="J27" i="5"/>
  <c r="K27" i="5"/>
  <c r="L27" i="5"/>
  <c r="M27" i="5"/>
  <c r="N27" i="5"/>
  <c r="O27" i="5"/>
  <c r="E28" i="5"/>
  <c r="F28" i="5"/>
  <c r="G28" i="5"/>
  <c r="H28" i="5"/>
  <c r="I28" i="5"/>
  <c r="J28" i="5"/>
  <c r="K28" i="5"/>
  <c r="L28" i="5"/>
  <c r="M28" i="5"/>
  <c r="N28" i="5"/>
  <c r="O28" i="5"/>
  <c r="E29" i="5"/>
  <c r="F29" i="5"/>
  <c r="G29" i="5"/>
  <c r="H29" i="5"/>
  <c r="I29" i="5"/>
  <c r="J29" i="5"/>
  <c r="K29" i="5"/>
  <c r="L29" i="5"/>
  <c r="M29" i="5"/>
  <c r="N29" i="5"/>
  <c r="O29" i="5"/>
  <c r="E30" i="5"/>
  <c r="F30" i="5"/>
  <c r="G30" i="5"/>
  <c r="H30" i="5"/>
  <c r="I30" i="5"/>
  <c r="J30" i="5"/>
  <c r="K30" i="5"/>
  <c r="L30" i="5"/>
  <c r="M30" i="5"/>
  <c r="N30" i="5"/>
  <c r="O30" i="5"/>
  <c r="E31" i="5"/>
  <c r="F31" i="5"/>
  <c r="G31" i="5"/>
  <c r="H31" i="5"/>
  <c r="I31" i="5"/>
  <c r="J31" i="5"/>
  <c r="K31" i="5"/>
  <c r="L31" i="5"/>
  <c r="M31" i="5"/>
  <c r="N31" i="5"/>
  <c r="O31" i="5"/>
  <c r="E32" i="5"/>
  <c r="F32" i="5"/>
  <c r="G32" i="5"/>
  <c r="H32" i="5"/>
  <c r="I32" i="5"/>
  <c r="J32" i="5"/>
  <c r="K32" i="5"/>
  <c r="L32" i="5"/>
  <c r="M32" i="5"/>
  <c r="N32" i="5"/>
  <c r="O32" i="5"/>
  <c r="E33" i="5"/>
  <c r="F33" i="5"/>
  <c r="G33" i="5"/>
  <c r="H33" i="5"/>
  <c r="I33" i="5"/>
  <c r="J33" i="5"/>
  <c r="K33" i="5"/>
  <c r="L33" i="5"/>
  <c r="M33" i="5"/>
  <c r="N33" i="5"/>
  <c r="O33" i="5"/>
  <c r="E34" i="5"/>
  <c r="F34" i="5"/>
  <c r="G34" i="5"/>
  <c r="H34" i="5"/>
  <c r="I34" i="5"/>
  <c r="J34" i="5"/>
  <c r="K34" i="5"/>
  <c r="L34" i="5"/>
  <c r="M34" i="5"/>
  <c r="N34" i="5"/>
  <c r="O34" i="5"/>
  <c r="E25" i="4"/>
  <c r="F25" i="4"/>
  <c r="G25" i="4"/>
  <c r="H25" i="4"/>
  <c r="I25" i="4"/>
  <c r="J25" i="4"/>
  <c r="K25" i="4"/>
  <c r="L25" i="4"/>
  <c r="M25" i="4"/>
  <c r="N25" i="4"/>
  <c r="O25" i="4"/>
  <c r="E26" i="4"/>
  <c r="F26" i="4"/>
  <c r="G26" i="4"/>
  <c r="H26" i="4"/>
  <c r="I26" i="4"/>
  <c r="J26" i="4"/>
  <c r="K26" i="4"/>
  <c r="L26" i="4"/>
  <c r="M26" i="4"/>
  <c r="N26" i="4"/>
  <c r="O26" i="4"/>
  <c r="E27" i="4"/>
  <c r="F27" i="4"/>
  <c r="G27" i="4"/>
  <c r="H27" i="4"/>
  <c r="I27" i="4"/>
  <c r="J27" i="4"/>
  <c r="K27" i="4"/>
  <c r="L27" i="4"/>
  <c r="M27" i="4"/>
  <c r="N27" i="4"/>
  <c r="O27" i="4"/>
  <c r="E28" i="4"/>
  <c r="F28" i="4"/>
  <c r="G28" i="4"/>
  <c r="H28" i="4"/>
  <c r="I28" i="4"/>
  <c r="J28" i="4"/>
  <c r="K28" i="4"/>
  <c r="L28" i="4"/>
  <c r="M28" i="4"/>
  <c r="N28" i="4"/>
  <c r="O28" i="4"/>
  <c r="E29" i="4"/>
  <c r="F29" i="4"/>
  <c r="G29" i="4"/>
  <c r="H29" i="4"/>
  <c r="I29" i="4"/>
  <c r="J29" i="4"/>
  <c r="K29" i="4"/>
  <c r="L29" i="4"/>
  <c r="M29" i="4"/>
  <c r="N29" i="4"/>
  <c r="O29" i="4"/>
  <c r="E30" i="4"/>
  <c r="F30" i="4"/>
  <c r="G30" i="4"/>
  <c r="H30" i="4"/>
  <c r="I30" i="4"/>
  <c r="J30" i="4"/>
  <c r="K30" i="4"/>
  <c r="L30" i="4"/>
  <c r="M30" i="4"/>
  <c r="N30" i="4"/>
  <c r="O30" i="4"/>
  <c r="E31" i="4"/>
  <c r="F31" i="4"/>
  <c r="G31" i="4"/>
  <c r="H31" i="4"/>
  <c r="I31" i="4"/>
  <c r="J31" i="4"/>
  <c r="K31" i="4"/>
  <c r="L31" i="4"/>
  <c r="M31" i="4"/>
  <c r="N31" i="4"/>
  <c r="O31" i="4"/>
  <c r="E32" i="4"/>
  <c r="F32" i="4"/>
  <c r="G32" i="4"/>
  <c r="H32" i="4"/>
  <c r="I32" i="4"/>
  <c r="J32" i="4"/>
  <c r="K32" i="4"/>
  <c r="L32" i="4"/>
  <c r="M32" i="4"/>
  <c r="N32" i="4"/>
  <c r="O32" i="4"/>
  <c r="E33" i="4"/>
  <c r="F33" i="4"/>
  <c r="G33" i="4"/>
  <c r="H33" i="4"/>
  <c r="I33" i="4"/>
  <c r="J33" i="4"/>
  <c r="K33" i="4"/>
  <c r="L33" i="4"/>
  <c r="M33" i="4"/>
  <c r="N33" i="4"/>
  <c r="O33" i="4"/>
  <c r="E34" i="4"/>
  <c r="F34" i="4"/>
  <c r="G34" i="4"/>
  <c r="H34" i="4"/>
  <c r="I34" i="4"/>
  <c r="J34" i="4"/>
  <c r="K34" i="4"/>
  <c r="L34" i="4"/>
  <c r="M34" i="4"/>
  <c r="N34" i="4"/>
  <c r="O34" i="4"/>
  <c r="E25" i="3"/>
  <c r="F25" i="3"/>
  <c r="G25" i="3"/>
  <c r="H25" i="3"/>
  <c r="I25" i="3"/>
  <c r="J25" i="3"/>
  <c r="K25" i="3"/>
  <c r="L25" i="3"/>
  <c r="M25" i="3"/>
  <c r="N25" i="3"/>
  <c r="O25" i="3"/>
  <c r="E26" i="3"/>
  <c r="F26" i="3"/>
  <c r="G26" i="3"/>
  <c r="H26" i="3"/>
  <c r="I26" i="3"/>
  <c r="J26" i="3"/>
  <c r="K26" i="3"/>
  <c r="L26" i="3"/>
  <c r="M26" i="3"/>
  <c r="N26" i="3"/>
  <c r="O26" i="3"/>
  <c r="E27" i="3"/>
  <c r="F27" i="3"/>
  <c r="G27" i="3"/>
  <c r="H27" i="3"/>
  <c r="I27" i="3"/>
  <c r="J27" i="3"/>
  <c r="K27" i="3"/>
  <c r="L27" i="3"/>
  <c r="M27" i="3"/>
  <c r="N27" i="3"/>
  <c r="O27" i="3"/>
  <c r="E28" i="3"/>
  <c r="F28" i="3"/>
  <c r="G28" i="3"/>
  <c r="H28" i="3"/>
  <c r="I28" i="3"/>
  <c r="J28" i="3"/>
  <c r="K28" i="3"/>
  <c r="L28" i="3"/>
  <c r="M28" i="3"/>
  <c r="N28" i="3"/>
  <c r="O28" i="3"/>
  <c r="E29" i="3"/>
  <c r="F29" i="3"/>
  <c r="G29" i="3"/>
  <c r="H29" i="3"/>
  <c r="I29" i="3"/>
  <c r="J29" i="3"/>
  <c r="K29" i="3"/>
  <c r="L29" i="3"/>
  <c r="M29" i="3"/>
  <c r="N29" i="3"/>
  <c r="O29" i="3"/>
  <c r="E30" i="3"/>
  <c r="F30" i="3"/>
  <c r="G30" i="3"/>
  <c r="H30" i="3"/>
  <c r="I30" i="3"/>
  <c r="J30" i="3"/>
  <c r="K30" i="3"/>
  <c r="L30" i="3"/>
  <c r="M30" i="3"/>
  <c r="N30" i="3"/>
  <c r="O30" i="3"/>
  <c r="E32" i="3"/>
  <c r="F32" i="3"/>
  <c r="G32" i="3"/>
  <c r="H32" i="3"/>
  <c r="I32" i="3"/>
  <c r="J32" i="3"/>
  <c r="K32" i="3"/>
  <c r="L32" i="3"/>
  <c r="M32" i="3"/>
  <c r="N32" i="3"/>
  <c r="O32" i="3"/>
  <c r="E33" i="3"/>
  <c r="F33" i="3"/>
  <c r="G33" i="3"/>
  <c r="H33" i="3"/>
  <c r="I33" i="3"/>
  <c r="J33" i="3"/>
  <c r="K33" i="3"/>
  <c r="L33" i="3"/>
  <c r="M33" i="3"/>
  <c r="N33" i="3"/>
  <c r="O33" i="3"/>
  <c r="E34" i="3"/>
  <c r="F34" i="3"/>
  <c r="G34" i="3"/>
  <c r="H34" i="3"/>
  <c r="I34" i="3"/>
  <c r="J34" i="3"/>
  <c r="K34" i="3"/>
  <c r="L34" i="3"/>
  <c r="M34" i="3"/>
  <c r="N34" i="3"/>
  <c r="O34" i="3"/>
  <c r="I13" i="3"/>
  <c r="D34" i="13"/>
  <c r="C34" i="13"/>
  <c r="B34" i="13"/>
  <c r="D33" i="13"/>
  <c r="C33" i="13"/>
  <c r="B33" i="13"/>
  <c r="D32" i="13"/>
  <c r="C32" i="13"/>
  <c r="B32" i="13"/>
  <c r="D31" i="13"/>
  <c r="C31" i="13"/>
  <c r="B31" i="13"/>
  <c r="D30" i="13"/>
  <c r="C30" i="13"/>
  <c r="B30" i="13"/>
  <c r="D29" i="13"/>
  <c r="C29" i="13"/>
  <c r="B29" i="13"/>
  <c r="D28" i="13"/>
  <c r="C28" i="13"/>
  <c r="B28" i="13"/>
  <c r="D27" i="13"/>
  <c r="C27" i="13"/>
  <c r="B27" i="13"/>
  <c r="D26" i="13"/>
  <c r="C26" i="13"/>
  <c r="B26" i="13"/>
  <c r="D25" i="13"/>
  <c r="C25" i="13"/>
  <c r="B25" i="13"/>
  <c r="D24" i="13"/>
  <c r="C24" i="13"/>
  <c r="B24" i="13"/>
  <c r="D23" i="13"/>
  <c r="C23" i="13"/>
  <c r="B23" i="13"/>
  <c r="D22" i="13"/>
  <c r="C22" i="13"/>
  <c r="B22" i="13"/>
  <c r="D21" i="13"/>
  <c r="C21" i="13"/>
  <c r="B21" i="13"/>
  <c r="D20" i="13"/>
  <c r="C20" i="13"/>
  <c r="B20" i="13"/>
  <c r="D19" i="13"/>
  <c r="C19" i="13"/>
  <c r="B19" i="13"/>
  <c r="D18" i="13"/>
  <c r="C18" i="13"/>
  <c r="B18" i="13"/>
  <c r="D17" i="13"/>
  <c r="C17" i="13"/>
  <c r="B17" i="13"/>
  <c r="D16" i="13"/>
  <c r="C16" i="13"/>
  <c r="B16" i="13"/>
  <c r="D15" i="13"/>
  <c r="C15" i="13"/>
  <c r="B15" i="13"/>
  <c r="D14" i="13"/>
  <c r="C14" i="13"/>
  <c r="B14" i="13"/>
  <c r="D13" i="13"/>
  <c r="C13" i="13"/>
  <c r="B13" i="13"/>
  <c r="D12" i="13"/>
  <c r="C12" i="13"/>
  <c r="B12" i="13"/>
  <c r="D11" i="13"/>
  <c r="C11" i="13"/>
  <c r="B11" i="13"/>
  <c r="D10" i="13"/>
  <c r="C10" i="13"/>
  <c r="B10" i="13"/>
  <c r="D9" i="13"/>
  <c r="C9" i="13"/>
  <c r="B9" i="13"/>
  <c r="D8" i="13"/>
  <c r="C8" i="13"/>
  <c r="B8" i="13"/>
  <c r="D7" i="13"/>
  <c r="C7" i="13"/>
  <c r="B7" i="13"/>
  <c r="D6" i="13"/>
  <c r="C6" i="13"/>
  <c r="B6" i="13"/>
  <c r="D5" i="13"/>
  <c r="C5" i="13"/>
  <c r="B5" i="13"/>
  <c r="D34" i="12"/>
  <c r="C34" i="12"/>
  <c r="B34" i="12"/>
  <c r="D33" i="12"/>
  <c r="C33" i="12"/>
  <c r="B33" i="12"/>
  <c r="D32" i="12"/>
  <c r="C32" i="12"/>
  <c r="B32" i="12"/>
  <c r="D31" i="12"/>
  <c r="C31" i="12"/>
  <c r="B31" i="12"/>
  <c r="D30" i="12"/>
  <c r="C30" i="12"/>
  <c r="B30" i="12"/>
  <c r="D29" i="12"/>
  <c r="C29" i="12"/>
  <c r="B29" i="12"/>
  <c r="D28" i="12"/>
  <c r="C28" i="12"/>
  <c r="B28" i="12"/>
  <c r="D27" i="12"/>
  <c r="C27" i="12"/>
  <c r="B27" i="12"/>
  <c r="D26" i="12"/>
  <c r="C26" i="12"/>
  <c r="B26" i="12"/>
  <c r="D25" i="12"/>
  <c r="C25" i="12"/>
  <c r="B25" i="12"/>
  <c r="D24" i="12"/>
  <c r="C24" i="12"/>
  <c r="B24" i="12"/>
  <c r="D23" i="12"/>
  <c r="C23" i="12"/>
  <c r="B23" i="12"/>
  <c r="D22" i="12"/>
  <c r="C22" i="12"/>
  <c r="B22" i="12"/>
  <c r="D21" i="12"/>
  <c r="C21" i="12"/>
  <c r="B21" i="12"/>
  <c r="D20" i="12"/>
  <c r="C20" i="12"/>
  <c r="B20" i="12"/>
  <c r="D19" i="12"/>
  <c r="C19" i="12"/>
  <c r="B19" i="12"/>
  <c r="D18" i="12"/>
  <c r="C18" i="12"/>
  <c r="B18" i="12"/>
  <c r="D17" i="12"/>
  <c r="C17" i="12"/>
  <c r="B17" i="12"/>
  <c r="D16" i="12"/>
  <c r="C16" i="12"/>
  <c r="B16" i="12"/>
  <c r="D15" i="12"/>
  <c r="C15" i="12"/>
  <c r="B15" i="12"/>
  <c r="D14" i="12"/>
  <c r="C14" i="12"/>
  <c r="B14" i="12"/>
  <c r="D13" i="12"/>
  <c r="C13" i="12"/>
  <c r="B13" i="12"/>
  <c r="D12" i="12"/>
  <c r="C12" i="12"/>
  <c r="B12" i="12"/>
  <c r="D11" i="12"/>
  <c r="C11" i="12"/>
  <c r="B11" i="12"/>
  <c r="D10" i="12"/>
  <c r="C10" i="12"/>
  <c r="B10" i="12"/>
  <c r="D9" i="12"/>
  <c r="C9" i="12"/>
  <c r="B9" i="12"/>
  <c r="D8" i="12"/>
  <c r="C8" i="12"/>
  <c r="B8" i="12"/>
  <c r="D7" i="12"/>
  <c r="C7" i="12"/>
  <c r="B7" i="12"/>
  <c r="D6" i="12"/>
  <c r="C6" i="12"/>
  <c r="B6" i="12"/>
  <c r="D5" i="12"/>
  <c r="C5" i="12"/>
  <c r="B5" i="12"/>
  <c r="D34" i="5"/>
  <c r="C34" i="5"/>
  <c r="B34" i="5"/>
  <c r="D33" i="5"/>
  <c r="C33" i="5"/>
  <c r="B33" i="5"/>
  <c r="D32" i="5"/>
  <c r="C32" i="5"/>
  <c r="B32" i="5"/>
  <c r="D31" i="5"/>
  <c r="C31" i="5"/>
  <c r="B31" i="5"/>
  <c r="D30" i="5"/>
  <c r="C30" i="5"/>
  <c r="B30" i="5"/>
  <c r="D29" i="5"/>
  <c r="C29" i="5"/>
  <c r="B29" i="5"/>
  <c r="D28" i="5"/>
  <c r="C28" i="5"/>
  <c r="B28" i="5"/>
  <c r="D27" i="5"/>
  <c r="C27" i="5"/>
  <c r="B27" i="5"/>
  <c r="D26" i="5"/>
  <c r="C26" i="5"/>
  <c r="B26" i="5"/>
  <c r="D25" i="5"/>
  <c r="C25" i="5"/>
  <c r="B25" i="5"/>
  <c r="D24" i="5"/>
  <c r="C24" i="5"/>
  <c r="B24" i="5"/>
  <c r="D23" i="5"/>
  <c r="C23" i="5"/>
  <c r="B23" i="5"/>
  <c r="D22" i="5"/>
  <c r="C22" i="5"/>
  <c r="B22" i="5"/>
  <c r="D21" i="5"/>
  <c r="C21" i="5"/>
  <c r="B21" i="5"/>
  <c r="D20" i="5"/>
  <c r="C20" i="5"/>
  <c r="B20" i="5"/>
  <c r="D19" i="5"/>
  <c r="C19" i="5"/>
  <c r="B19" i="5"/>
  <c r="D18" i="5"/>
  <c r="C18" i="5"/>
  <c r="B18" i="5"/>
  <c r="D17" i="5"/>
  <c r="C17" i="5"/>
  <c r="B17" i="5"/>
  <c r="D16" i="5"/>
  <c r="C16" i="5"/>
  <c r="B16" i="5"/>
  <c r="D15" i="5"/>
  <c r="C15" i="5"/>
  <c r="B15" i="5"/>
  <c r="D14" i="5"/>
  <c r="C14" i="5"/>
  <c r="B14" i="5"/>
  <c r="D13" i="5"/>
  <c r="C13" i="5"/>
  <c r="B13" i="5"/>
  <c r="D12" i="5"/>
  <c r="C12" i="5"/>
  <c r="B12" i="5"/>
  <c r="D11" i="5"/>
  <c r="C11" i="5"/>
  <c r="B11" i="5"/>
  <c r="D10" i="5"/>
  <c r="C10" i="5"/>
  <c r="B10" i="5"/>
  <c r="D9" i="5"/>
  <c r="C9" i="5"/>
  <c r="B9" i="5"/>
  <c r="D8" i="5"/>
  <c r="C8" i="5"/>
  <c r="B8" i="5"/>
  <c r="D7" i="5"/>
  <c r="C7" i="5"/>
  <c r="B7" i="5"/>
  <c r="D6" i="5"/>
  <c r="C6" i="5"/>
  <c r="B6" i="5"/>
  <c r="D5" i="5"/>
  <c r="C5" i="5"/>
  <c r="B5" i="5"/>
  <c r="D34" i="4"/>
  <c r="C34" i="4"/>
  <c r="B34" i="4"/>
  <c r="D33" i="4"/>
  <c r="C33" i="4"/>
  <c r="B33" i="4"/>
  <c r="D32" i="4"/>
  <c r="C32" i="4"/>
  <c r="B32" i="4"/>
  <c r="D31" i="4"/>
  <c r="C31" i="4"/>
  <c r="B31" i="4"/>
  <c r="D30" i="4"/>
  <c r="C30" i="4"/>
  <c r="B30" i="4"/>
  <c r="D29" i="4"/>
  <c r="C29" i="4"/>
  <c r="B29" i="4"/>
  <c r="D28" i="4"/>
  <c r="C28" i="4"/>
  <c r="B28" i="4"/>
  <c r="D27" i="4"/>
  <c r="C27" i="4"/>
  <c r="B27" i="4"/>
  <c r="D26" i="4"/>
  <c r="C26" i="4"/>
  <c r="B26" i="4"/>
  <c r="D25" i="4"/>
  <c r="C25" i="4"/>
  <c r="B25" i="4"/>
  <c r="D24" i="4"/>
  <c r="C24" i="4"/>
  <c r="B24" i="4"/>
  <c r="D23" i="4"/>
  <c r="C23" i="4"/>
  <c r="B23" i="4"/>
  <c r="D22" i="4"/>
  <c r="C22" i="4"/>
  <c r="B22" i="4"/>
  <c r="D21" i="4"/>
  <c r="C21" i="4"/>
  <c r="B21" i="4"/>
  <c r="D20" i="4"/>
  <c r="C20" i="4"/>
  <c r="B20" i="4"/>
  <c r="D19" i="4"/>
  <c r="C19" i="4"/>
  <c r="B19" i="4"/>
  <c r="D18" i="4"/>
  <c r="C18" i="4"/>
  <c r="B18" i="4"/>
  <c r="D17" i="4"/>
  <c r="C17" i="4"/>
  <c r="B17" i="4"/>
  <c r="D16" i="4"/>
  <c r="C16" i="4"/>
  <c r="B16" i="4"/>
  <c r="D15" i="4"/>
  <c r="C15" i="4"/>
  <c r="B15" i="4"/>
  <c r="D14" i="4"/>
  <c r="C14" i="4"/>
  <c r="B14" i="4"/>
  <c r="D13" i="4"/>
  <c r="C13" i="4"/>
  <c r="B13" i="4"/>
  <c r="D12" i="4"/>
  <c r="C12" i="4"/>
  <c r="B12" i="4"/>
  <c r="D11" i="4"/>
  <c r="C11" i="4"/>
  <c r="B11" i="4"/>
  <c r="D10" i="4"/>
  <c r="C10" i="4"/>
  <c r="B10" i="4"/>
  <c r="D9" i="4"/>
  <c r="C9" i="4"/>
  <c r="B9" i="4"/>
  <c r="D8" i="4"/>
  <c r="C8" i="4"/>
  <c r="B8" i="4"/>
  <c r="D7" i="4"/>
  <c r="C7" i="4"/>
  <c r="B7" i="4"/>
  <c r="D6" i="4"/>
  <c r="C6" i="4"/>
  <c r="B6" i="4"/>
  <c r="D5" i="4"/>
  <c r="C5" i="4"/>
  <c r="B5" i="4"/>
  <c r="D34" i="3"/>
  <c r="C34" i="3"/>
  <c r="B34" i="3"/>
  <c r="D33" i="3"/>
  <c r="C33" i="3"/>
  <c r="B33" i="3"/>
  <c r="D32" i="3"/>
  <c r="C32" i="3"/>
  <c r="B32" i="3"/>
  <c r="D31" i="3"/>
  <c r="C31" i="3"/>
  <c r="B31" i="3"/>
  <c r="D30" i="3"/>
  <c r="C30" i="3"/>
  <c r="B30" i="3"/>
  <c r="D29" i="3"/>
  <c r="C29" i="3"/>
  <c r="B29" i="3"/>
  <c r="D28" i="3"/>
  <c r="C28" i="3"/>
  <c r="B28" i="3"/>
  <c r="D27" i="3"/>
  <c r="C27" i="3"/>
  <c r="B27" i="3"/>
  <c r="D26" i="3"/>
  <c r="C26" i="3"/>
  <c r="B26" i="3"/>
  <c r="D25" i="3"/>
  <c r="C25" i="3"/>
  <c r="B25" i="3"/>
  <c r="D24" i="3"/>
  <c r="C24" i="3"/>
  <c r="B24" i="3"/>
  <c r="D23" i="3"/>
  <c r="C23" i="3"/>
  <c r="B23" i="3"/>
  <c r="D22" i="3"/>
  <c r="C22" i="3"/>
  <c r="B22" i="3"/>
  <c r="D21" i="3"/>
  <c r="C21" i="3"/>
  <c r="B21" i="3"/>
  <c r="D20" i="3"/>
  <c r="C20" i="3"/>
  <c r="B20" i="3"/>
  <c r="D19" i="3"/>
  <c r="C19" i="3"/>
  <c r="B19" i="3"/>
  <c r="D18" i="3"/>
  <c r="C18" i="3"/>
  <c r="B18" i="3"/>
  <c r="D17" i="3"/>
  <c r="C17" i="3"/>
  <c r="B17" i="3"/>
  <c r="D16" i="3"/>
  <c r="C16" i="3"/>
  <c r="B16" i="3"/>
  <c r="D15" i="3"/>
  <c r="C15" i="3"/>
  <c r="B15" i="3"/>
  <c r="D14" i="3"/>
  <c r="C14" i="3"/>
  <c r="B14" i="3"/>
  <c r="D13" i="3"/>
  <c r="C13" i="3"/>
  <c r="B13" i="3"/>
  <c r="D12" i="3"/>
  <c r="C12" i="3"/>
  <c r="B12" i="3"/>
  <c r="D11" i="3"/>
  <c r="C11" i="3"/>
  <c r="B11" i="3"/>
  <c r="D10" i="3"/>
  <c r="C10" i="3"/>
  <c r="B10" i="3"/>
  <c r="D9" i="3"/>
  <c r="C9" i="3"/>
  <c r="B9" i="3"/>
  <c r="D8" i="3"/>
  <c r="C8" i="3"/>
  <c r="B8" i="3"/>
  <c r="D7" i="3"/>
  <c r="C7" i="3"/>
  <c r="B7" i="3"/>
  <c r="D6" i="3"/>
  <c r="C6" i="3"/>
  <c r="B6" i="3"/>
  <c r="D5" i="3"/>
  <c r="C5" i="3"/>
  <c r="B5" i="3"/>
  <c r="D34" i="8"/>
  <c r="C34" i="8"/>
  <c r="B34" i="8"/>
  <c r="D33" i="8"/>
  <c r="C33" i="8"/>
  <c r="B33" i="8"/>
  <c r="D32" i="8"/>
  <c r="C32" i="8"/>
  <c r="B32" i="8"/>
  <c r="D31" i="8"/>
  <c r="C31" i="8"/>
  <c r="B31" i="8"/>
  <c r="D30" i="8"/>
  <c r="C30" i="8"/>
  <c r="B30" i="8"/>
  <c r="D29" i="8"/>
  <c r="C29" i="8"/>
  <c r="B29" i="8"/>
  <c r="D28" i="8"/>
  <c r="C28" i="8"/>
  <c r="B28" i="8"/>
  <c r="D27" i="8"/>
  <c r="C27" i="8"/>
  <c r="B27" i="8"/>
  <c r="D26" i="8"/>
  <c r="C26" i="8"/>
  <c r="B26" i="8"/>
  <c r="D25" i="8"/>
  <c r="C25" i="8"/>
  <c r="B25" i="8"/>
  <c r="D24" i="8"/>
  <c r="C24" i="8"/>
  <c r="B24" i="8"/>
  <c r="D23" i="8"/>
  <c r="C23" i="8"/>
  <c r="B23" i="8"/>
  <c r="D22" i="8"/>
  <c r="C22" i="8"/>
  <c r="B22" i="8"/>
  <c r="D21" i="8"/>
  <c r="C21" i="8"/>
  <c r="B21" i="8"/>
  <c r="D20" i="8"/>
  <c r="C20" i="8"/>
  <c r="B20" i="8"/>
  <c r="D19" i="8"/>
  <c r="C19" i="8"/>
  <c r="B19" i="8"/>
  <c r="D18" i="8"/>
  <c r="C18" i="8"/>
  <c r="B18" i="8"/>
  <c r="D17" i="8"/>
  <c r="C17" i="8"/>
  <c r="B17" i="8"/>
  <c r="D16" i="8"/>
  <c r="C16" i="8"/>
  <c r="B16" i="8"/>
  <c r="D15" i="8"/>
  <c r="C15" i="8"/>
  <c r="B15" i="8"/>
  <c r="D14" i="8"/>
  <c r="C14" i="8"/>
  <c r="B14" i="8"/>
  <c r="D13" i="8"/>
  <c r="C13" i="8"/>
  <c r="B13" i="8"/>
  <c r="D12" i="8"/>
  <c r="C12" i="8"/>
  <c r="B12" i="8"/>
  <c r="D11" i="8"/>
  <c r="C11" i="8"/>
  <c r="B11" i="8"/>
  <c r="D10" i="8"/>
  <c r="C10" i="8"/>
  <c r="B10" i="8"/>
  <c r="D9" i="8"/>
  <c r="C9" i="8"/>
  <c r="B9" i="8"/>
  <c r="D8" i="8"/>
  <c r="C8" i="8"/>
  <c r="B8" i="8"/>
  <c r="D7" i="8"/>
  <c r="C7" i="8"/>
  <c r="B7" i="8"/>
  <c r="D6" i="8"/>
  <c r="C6" i="8"/>
  <c r="B6" i="8"/>
  <c r="D5" i="8"/>
  <c r="C5" i="8"/>
  <c r="B5" i="8"/>
  <c r="O14" i="3"/>
  <c r="N14" i="3"/>
  <c r="M14" i="3"/>
  <c r="L14" i="3"/>
  <c r="K14" i="3"/>
  <c r="J14" i="3"/>
  <c r="I14" i="3"/>
  <c r="H14" i="3"/>
  <c r="G14" i="3"/>
  <c r="F14" i="3"/>
  <c r="E14" i="3"/>
  <c r="O13" i="3"/>
  <c r="N13" i="3"/>
  <c r="M13" i="3"/>
  <c r="L13" i="3"/>
  <c r="K13" i="3"/>
  <c r="J13" i="3"/>
  <c r="H13" i="3"/>
  <c r="G13" i="3"/>
  <c r="F13" i="3"/>
  <c r="E13" i="3"/>
  <c r="O12" i="3"/>
  <c r="N12" i="3"/>
  <c r="M12" i="3"/>
  <c r="L12" i="3"/>
  <c r="K12" i="3"/>
  <c r="J12" i="3"/>
  <c r="I12" i="3"/>
  <c r="H12" i="3"/>
  <c r="G12" i="3"/>
  <c r="F12" i="3"/>
  <c r="O11" i="3"/>
  <c r="N11" i="3"/>
  <c r="M11" i="3"/>
  <c r="L11" i="3"/>
  <c r="K11" i="3"/>
  <c r="J11" i="3"/>
  <c r="I11" i="3"/>
  <c r="H11" i="3"/>
  <c r="G11" i="3"/>
  <c r="F11" i="3"/>
  <c r="O10" i="3"/>
  <c r="N10" i="3"/>
  <c r="M10" i="3"/>
  <c r="L10" i="3"/>
  <c r="K10" i="3"/>
  <c r="J10" i="3"/>
  <c r="I10" i="3"/>
  <c r="H10" i="3"/>
  <c r="G10" i="3"/>
  <c r="F10" i="3"/>
  <c r="E10" i="3"/>
  <c r="O9" i="3"/>
  <c r="N9" i="3"/>
  <c r="M9" i="3"/>
  <c r="L9" i="3"/>
  <c r="K9" i="3"/>
  <c r="J9" i="3"/>
  <c r="I9" i="3"/>
  <c r="H9" i="3"/>
  <c r="G9" i="3"/>
  <c r="F9" i="3"/>
  <c r="E9" i="3"/>
  <c r="O8" i="3"/>
  <c r="N8" i="3"/>
  <c r="M8" i="3"/>
  <c r="L8" i="3"/>
  <c r="K8" i="3"/>
  <c r="J8" i="3"/>
  <c r="I8" i="3"/>
  <c r="H8" i="3"/>
  <c r="G8" i="3"/>
  <c r="F8" i="3"/>
  <c r="O7" i="3"/>
  <c r="N7" i="3"/>
  <c r="M7" i="3"/>
  <c r="L7" i="3"/>
  <c r="K7" i="3"/>
  <c r="J7" i="3"/>
  <c r="I7" i="3"/>
  <c r="H7" i="3"/>
  <c r="G7" i="3"/>
  <c r="F7" i="3"/>
  <c r="O6" i="3"/>
  <c r="N6" i="3"/>
  <c r="M6" i="3"/>
  <c r="L6" i="3"/>
  <c r="K6" i="3"/>
  <c r="J6" i="3"/>
  <c r="I6" i="3"/>
  <c r="H6" i="3"/>
  <c r="G6" i="3"/>
  <c r="F6" i="3"/>
  <c r="E6" i="3"/>
  <c r="O5" i="3"/>
  <c r="N5" i="3"/>
  <c r="M5" i="3"/>
  <c r="L5" i="3"/>
  <c r="K5" i="3"/>
  <c r="J5" i="3"/>
  <c r="I5" i="3"/>
  <c r="H5" i="3"/>
  <c r="G5" i="3"/>
  <c r="F5" i="3"/>
  <c r="E5" i="3"/>
  <c r="A8" i="5" l="1"/>
  <c r="A16" i="5"/>
  <c r="A4" i="5"/>
  <c r="A12" i="5"/>
  <c r="A10" i="15"/>
  <c r="A18" i="15"/>
  <c r="A6" i="15"/>
  <c r="A14" i="15"/>
  <c r="A7" i="16"/>
  <c r="A11" i="16"/>
  <c r="A15" i="16"/>
  <c r="A19" i="16"/>
  <c r="A6" i="3"/>
  <c r="A10" i="3"/>
  <c r="A14" i="3"/>
  <c r="A18" i="3"/>
  <c r="A6" i="13"/>
  <c r="A10" i="13"/>
  <c r="A14" i="13"/>
  <c r="A18" i="13"/>
  <c r="A7" i="4"/>
  <c r="A11" i="4"/>
  <c r="A15" i="4"/>
  <c r="A19" i="4"/>
  <c r="A9" i="12"/>
  <c r="A13" i="12"/>
  <c r="A17" i="12"/>
  <c r="A5" i="14"/>
  <c r="A9" i="14"/>
  <c r="A13" i="14"/>
  <c r="A17" i="14"/>
  <c r="A5" i="8"/>
  <c r="A9" i="8"/>
  <c r="A13" i="8"/>
  <c r="A17" i="8"/>
  <c r="A5" i="12"/>
  <c r="A6" i="8"/>
  <c r="A10" i="8"/>
  <c r="A14" i="8"/>
  <c r="A18" i="8"/>
  <c r="A22" i="8"/>
  <c r="A24" i="8"/>
  <c r="A28" i="8"/>
  <c r="A32" i="8"/>
  <c r="A7" i="3"/>
  <c r="A11" i="3"/>
  <c r="A15" i="3"/>
  <c r="A19" i="3"/>
  <c r="A23" i="3"/>
  <c r="A25" i="3"/>
  <c r="A29" i="3"/>
  <c r="A33" i="3"/>
  <c r="A4" i="4"/>
  <c r="A8" i="4"/>
  <c r="A12" i="4"/>
  <c r="A16" i="4"/>
  <c r="A20" i="4"/>
  <c r="A26" i="4"/>
  <c r="A30" i="4"/>
  <c r="A5" i="5"/>
  <c r="A9" i="5"/>
  <c r="A13" i="5"/>
  <c r="A17" i="5"/>
  <c r="A21" i="5"/>
  <c r="A27" i="5"/>
  <c r="A31" i="5"/>
  <c r="A6" i="12"/>
  <c r="A10" i="12"/>
  <c r="A14" i="12"/>
  <c r="A18" i="12"/>
  <c r="A22" i="12"/>
  <c r="A24" i="12"/>
  <c r="A28" i="12"/>
  <c r="A32" i="12"/>
  <c r="A7" i="13"/>
  <c r="A11" i="13"/>
  <c r="A15" i="13"/>
  <c r="A19" i="13"/>
  <c r="A33" i="13"/>
  <c r="A24" i="14"/>
  <c r="A28" i="14"/>
  <c r="A32" i="14"/>
  <c r="A25" i="15"/>
  <c r="A29" i="15"/>
  <c r="A33" i="15"/>
  <c r="A23" i="13"/>
  <c r="A21" i="8"/>
  <c r="A22" i="3"/>
  <c r="A23" i="4"/>
  <c r="A20" i="5"/>
  <c r="A21" i="12"/>
  <c r="A22" i="13"/>
  <c r="A21" i="14"/>
  <c r="A22" i="15"/>
  <c r="A23" i="16"/>
  <c r="A25" i="13"/>
  <c r="A29" i="13"/>
  <c r="A6" i="14"/>
  <c r="A10" i="14"/>
  <c r="A14" i="14"/>
  <c r="A18" i="14"/>
  <c r="A22" i="14"/>
  <c r="A7" i="15"/>
  <c r="A11" i="15"/>
  <c r="A15" i="15"/>
  <c r="A19" i="15"/>
  <c r="A23" i="15"/>
  <c r="A4" i="16"/>
  <c r="A8" i="16"/>
  <c r="A12" i="16"/>
  <c r="A16" i="16"/>
  <c r="A20" i="16"/>
  <c r="A26" i="16"/>
  <c r="A30" i="16"/>
  <c r="A27" i="8"/>
  <c r="A31" i="8"/>
  <c r="A24" i="3"/>
  <c r="A28" i="3"/>
  <c r="A32" i="3"/>
  <c r="A25" i="4"/>
  <c r="A29" i="4"/>
  <c r="A33" i="4"/>
  <c r="A26" i="5"/>
  <c r="A30" i="5"/>
  <c r="A27" i="12"/>
  <c r="A31" i="12"/>
  <c r="A24" i="13"/>
  <c r="A28" i="13"/>
  <c r="A32" i="13"/>
  <c r="A27" i="14"/>
  <c r="A31" i="14"/>
  <c r="A24" i="15"/>
  <c r="A28" i="15"/>
  <c r="A32" i="15"/>
  <c r="A25" i="16"/>
  <c r="A29" i="16"/>
  <c r="A33" i="16"/>
  <c r="A4" i="8"/>
  <c r="A8" i="8"/>
  <c r="A12" i="8"/>
  <c r="A16" i="8"/>
  <c r="A20" i="8"/>
  <c r="A26" i="8"/>
  <c r="A30" i="8"/>
  <c r="A5" i="3"/>
  <c r="A9" i="3"/>
  <c r="A13" i="3"/>
  <c r="A17" i="3"/>
  <c r="A21" i="3"/>
  <c r="A27" i="3"/>
  <c r="A31" i="3"/>
  <c r="A6" i="4"/>
  <c r="A10" i="4"/>
  <c r="A14" i="4"/>
  <c r="A18" i="4"/>
  <c r="A22" i="4"/>
  <c r="A24" i="4"/>
  <c r="A28" i="4"/>
  <c r="A32" i="4"/>
  <c r="A7" i="5"/>
  <c r="A11" i="5"/>
  <c r="A15" i="5"/>
  <c r="A19" i="5"/>
  <c r="A23" i="5"/>
  <c r="A25" i="5"/>
  <c r="A29" i="5"/>
  <c r="A33" i="5"/>
  <c r="A4" i="12"/>
  <c r="A8" i="12"/>
  <c r="A12" i="12"/>
  <c r="A16" i="12"/>
  <c r="A20" i="12"/>
  <c r="A26" i="12"/>
  <c r="A30" i="12"/>
  <c r="A5" i="13"/>
  <c r="A9" i="13"/>
  <c r="A13" i="13"/>
  <c r="A17" i="13"/>
  <c r="A21" i="13"/>
  <c r="A27" i="13"/>
  <c r="A31" i="13"/>
  <c r="A4" i="14"/>
  <c r="A8" i="14"/>
  <c r="A12" i="14"/>
  <c r="A16" i="14"/>
  <c r="A20" i="14"/>
  <c r="A26" i="14"/>
  <c r="A30" i="14"/>
  <c r="A5" i="15"/>
  <c r="A9" i="15"/>
  <c r="A13" i="15"/>
  <c r="A17" i="15"/>
  <c r="A21" i="15"/>
  <c r="A27" i="15"/>
  <c r="A31" i="15"/>
  <c r="A6" i="16"/>
  <c r="A10" i="16"/>
  <c r="A14" i="16"/>
  <c r="A18" i="16"/>
  <c r="A22" i="16"/>
  <c r="A24" i="16"/>
  <c r="A28" i="16"/>
  <c r="A32" i="16"/>
  <c r="A7" i="8"/>
  <c r="A11" i="8"/>
  <c r="A15" i="8"/>
  <c r="A19" i="8"/>
  <c r="A23" i="8"/>
  <c r="A25" i="8"/>
  <c r="A29" i="8"/>
  <c r="A33" i="8"/>
  <c r="A4" i="3"/>
  <c r="A8" i="3"/>
  <c r="A12" i="3"/>
  <c r="A16" i="3"/>
  <c r="A20" i="3"/>
  <c r="A26" i="3"/>
  <c r="A30" i="3"/>
  <c r="A5" i="4"/>
  <c r="A9" i="4"/>
  <c r="A13" i="4"/>
  <c r="A17" i="4"/>
  <c r="A21" i="4"/>
  <c r="A27" i="4"/>
  <c r="A31" i="4"/>
  <c r="A6" i="5"/>
  <c r="A10" i="5"/>
  <c r="A14" i="5"/>
  <c r="A18" i="5"/>
  <c r="A22" i="5"/>
  <c r="A24" i="5"/>
  <c r="A28" i="5"/>
  <c r="A32" i="5"/>
  <c r="A7" i="12"/>
  <c r="A11" i="12"/>
  <c r="A15" i="12"/>
  <c r="A19" i="12"/>
  <c r="A23" i="12"/>
  <c r="A25" i="12"/>
  <c r="A29" i="12"/>
  <c r="A33" i="12"/>
  <c r="A4" i="13"/>
  <c r="A8" i="13"/>
  <c r="A12" i="13"/>
  <c r="A16" i="13"/>
  <c r="A20" i="13"/>
  <c r="A26" i="13"/>
  <c r="A30" i="13"/>
  <c r="A7" i="14"/>
  <c r="A11" i="14"/>
  <c r="A15" i="14"/>
  <c r="A19" i="14"/>
  <c r="A23" i="14"/>
  <c r="A25" i="14"/>
  <c r="A29" i="14"/>
  <c r="A33" i="14"/>
  <c r="A4" i="15"/>
  <c r="A8" i="15"/>
  <c r="A12" i="15"/>
  <c r="A16" i="15"/>
  <c r="A20" i="15"/>
  <c r="A26" i="15"/>
  <c r="A30" i="15"/>
  <c r="A5" i="16"/>
  <c r="A9" i="16"/>
  <c r="A13" i="16"/>
  <c r="A17" i="16"/>
  <c r="A21" i="16"/>
  <c r="A27" i="16"/>
  <c r="A31" i="16"/>
  <c r="L5" i="27"/>
  <c r="L7" i="27"/>
  <c r="L9" i="27"/>
  <c r="L15" i="27"/>
  <c r="L17" i="27"/>
  <c r="L19" i="27"/>
  <c r="L21" i="27"/>
  <c r="L23" i="27"/>
  <c r="L8" i="27"/>
  <c r="L16" i="27"/>
  <c r="L25" i="27"/>
  <c r="L27" i="27"/>
  <c r="L29" i="27"/>
  <c r="L31" i="27"/>
  <c r="L33" i="27"/>
  <c r="L22" i="27"/>
  <c r="L10" i="27"/>
  <c r="L18" i="27"/>
  <c r="L14" i="27"/>
  <c r="L20" i="27"/>
  <c r="L24" i="27"/>
  <c r="L26" i="27"/>
  <c r="L28" i="27"/>
  <c r="L30" i="27"/>
  <c r="L32" i="27"/>
  <c r="L34" i="27"/>
  <c r="L6" i="27"/>
  <c r="O5" i="27"/>
  <c r="O7" i="27"/>
  <c r="O9" i="27"/>
  <c r="O15" i="27"/>
  <c r="O17" i="27"/>
  <c r="O19" i="27"/>
  <c r="O21" i="27"/>
  <c r="O6" i="27"/>
  <c r="O8" i="27"/>
  <c r="O10" i="27"/>
  <c r="O14" i="27"/>
  <c r="O16" i="27"/>
  <c r="O18" i="27"/>
  <c r="O20" i="27"/>
  <c r="O22" i="27"/>
  <c r="O29" i="27"/>
  <c r="O23" i="27"/>
  <c r="O24" i="27"/>
  <c r="O26" i="27"/>
  <c r="O28" i="27"/>
  <c r="O30" i="27"/>
  <c r="O32" i="27"/>
  <c r="O34" i="27"/>
  <c r="O27" i="27"/>
  <c r="O31" i="27"/>
  <c r="O33" i="27"/>
  <c r="O25" i="27"/>
  <c r="E8" i="27"/>
  <c r="E12" i="27"/>
  <c r="E16" i="27"/>
  <c r="E20" i="27"/>
  <c r="E24" i="27"/>
  <c r="E28" i="27"/>
  <c r="E32" i="27"/>
  <c r="E15" i="27"/>
  <c r="E27" i="27"/>
  <c r="E31" i="27"/>
  <c r="E9" i="27"/>
  <c r="E13" i="27"/>
  <c r="E17" i="27"/>
  <c r="E21" i="27"/>
  <c r="E25" i="27"/>
  <c r="E29" i="27"/>
  <c r="E33" i="27"/>
  <c r="E11" i="27"/>
  <c r="E23" i="27"/>
  <c r="E6" i="27"/>
  <c r="E10" i="27"/>
  <c r="E14" i="27"/>
  <c r="E18" i="27"/>
  <c r="E22" i="27"/>
  <c r="E26" i="27"/>
  <c r="E30" i="27"/>
  <c r="E34" i="27"/>
  <c r="E7" i="27"/>
  <c r="E19" i="27"/>
  <c r="E5" i="27"/>
  <c r="G5" i="27"/>
  <c r="G7" i="27"/>
  <c r="G9" i="27"/>
  <c r="G11" i="27"/>
  <c r="G13" i="27"/>
  <c r="G15" i="27"/>
  <c r="G17" i="27"/>
  <c r="G19" i="27"/>
  <c r="G21" i="27"/>
  <c r="G6" i="27"/>
  <c r="G8" i="27"/>
  <c r="G10" i="27"/>
  <c r="G12" i="27"/>
  <c r="G14" i="27"/>
  <c r="G16" i="27"/>
  <c r="G18" i="27"/>
  <c r="G20" i="27"/>
  <c r="G22" i="27"/>
  <c r="G25" i="27"/>
  <c r="G31" i="27"/>
  <c r="G23" i="27"/>
  <c r="G26" i="27"/>
  <c r="G28" i="27"/>
  <c r="G30" i="27"/>
  <c r="G32" i="27"/>
  <c r="G34" i="27"/>
  <c r="G29" i="27"/>
  <c r="G33" i="27"/>
  <c r="G24" i="27"/>
  <c r="G27" i="27"/>
  <c r="M6" i="27"/>
  <c r="M8" i="27"/>
  <c r="M10" i="27"/>
  <c r="M14" i="27"/>
  <c r="M16" i="27"/>
  <c r="M18" i="27"/>
  <c r="M20" i="27"/>
  <c r="M22" i="27"/>
  <c r="M5" i="27"/>
  <c r="M7" i="27"/>
  <c r="M9" i="27"/>
  <c r="M15" i="27"/>
  <c r="M17" i="27"/>
  <c r="M19" i="27"/>
  <c r="M21" i="27"/>
  <c r="M23" i="27"/>
  <c r="M28" i="27"/>
  <c r="M34" i="27"/>
  <c r="M25" i="27"/>
  <c r="M27" i="27"/>
  <c r="M29" i="27"/>
  <c r="M31" i="27"/>
  <c r="M33" i="27"/>
  <c r="M26" i="27"/>
  <c r="M30" i="27"/>
  <c r="M24" i="27"/>
  <c r="M32" i="27"/>
  <c r="H5" i="27"/>
  <c r="H7" i="27"/>
  <c r="H9" i="27"/>
  <c r="H11" i="27"/>
  <c r="H13" i="27"/>
  <c r="H15" i="27"/>
  <c r="H17" i="27"/>
  <c r="H19" i="27"/>
  <c r="H21" i="27"/>
  <c r="H23" i="27"/>
  <c r="H10" i="27"/>
  <c r="H18" i="27"/>
  <c r="H25" i="27"/>
  <c r="H27" i="27"/>
  <c r="H29" i="27"/>
  <c r="H31" i="27"/>
  <c r="H33" i="27"/>
  <c r="H8" i="27"/>
  <c r="H12" i="27"/>
  <c r="H20" i="27"/>
  <c r="H6" i="27"/>
  <c r="H14" i="27"/>
  <c r="H22" i="27"/>
  <c r="H26" i="27"/>
  <c r="H28" i="27"/>
  <c r="H30" i="27"/>
  <c r="H32" i="27"/>
  <c r="H34" i="27"/>
  <c r="H16" i="27"/>
  <c r="H24" i="27"/>
  <c r="K5" i="27"/>
  <c r="K7" i="27"/>
  <c r="K9" i="27"/>
  <c r="K15" i="27"/>
  <c r="K17" i="27"/>
  <c r="K19" i="27"/>
  <c r="K21" i="27"/>
  <c r="K6" i="27"/>
  <c r="K8" i="27"/>
  <c r="K10" i="27"/>
  <c r="K14" i="27"/>
  <c r="K16" i="27"/>
  <c r="K18" i="27"/>
  <c r="K20" i="27"/>
  <c r="K22" i="27"/>
  <c r="K27" i="27"/>
  <c r="K33" i="27"/>
  <c r="K24" i="27"/>
  <c r="K26" i="27"/>
  <c r="K28" i="27"/>
  <c r="K30" i="27"/>
  <c r="K32" i="27"/>
  <c r="K34" i="27"/>
  <c r="K23" i="27"/>
  <c r="K25" i="27"/>
  <c r="K29" i="27"/>
  <c r="K31" i="27"/>
  <c r="I6" i="27"/>
  <c r="I8" i="27"/>
  <c r="I10" i="27"/>
  <c r="I14" i="27"/>
  <c r="I16" i="27"/>
  <c r="I18" i="27"/>
  <c r="I20" i="27"/>
  <c r="I22" i="27"/>
  <c r="I5" i="27"/>
  <c r="I7" i="27"/>
  <c r="I9" i="27"/>
  <c r="I15" i="27"/>
  <c r="I17" i="27"/>
  <c r="I19" i="27"/>
  <c r="I21" i="27"/>
  <c r="I23" i="27"/>
  <c r="I24" i="27"/>
  <c r="I26" i="27"/>
  <c r="I32" i="27"/>
  <c r="I25" i="27"/>
  <c r="I27" i="27"/>
  <c r="I29" i="27"/>
  <c r="I31" i="27"/>
  <c r="I33" i="27"/>
  <c r="I28" i="27"/>
  <c r="I30" i="27"/>
  <c r="I34" i="27"/>
  <c r="Y30" i="1"/>
  <c r="E33" i="14" s="1"/>
  <c r="F33" i="14" s="1"/>
  <c r="G33" i="14" s="1"/>
  <c r="H33" i="14" s="1"/>
  <c r="I33" i="14" s="1"/>
  <c r="J33" i="14" s="1"/>
  <c r="K33" i="14" s="1"/>
  <c r="L33" i="14" s="1"/>
  <c r="M33" i="14" s="1"/>
  <c r="N33" i="14" s="1"/>
  <c r="O33" i="14" s="1"/>
  <c r="Y26" i="1"/>
  <c r="E29" i="14" s="1"/>
  <c r="F29" i="14" s="1"/>
  <c r="G29" i="14" s="1"/>
  <c r="H29" i="14" s="1"/>
  <c r="I29" i="14" s="1"/>
  <c r="J29" i="14" s="1"/>
  <c r="K29" i="14" s="1"/>
  <c r="L29" i="14" s="1"/>
  <c r="M29" i="14" s="1"/>
  <c r="N29" i="14" s="1"/>
  <c r="O29" i="14" s="1"/>
  <c r="Y22" i="1"/>
  <c r="E25" i="14" s="1"/>
  <c r="F25" i="14" s="1"/>
  <c r="G25" i="14" s="1"/>
  <c r="H25" i="14" s="1"/>
  <c r="I25" i="14" s="1"/>
  <c r="J25" i="14" s="1"/>
  <c r="K25" i="14" s="1"/>
  <c r="L25" i="14" s="1"/>
  <c r="M25" i="14" s="1"/>
  <c r="N25" i="14" s="1"/>
  <c r="O25" i="14" s="1"/>
  <c r="Y29" i="1"/>
  <c r="E32" i="14" s="1"/>
  <c r="F32" i="14" s="1"/>
  <c r="G32" i="14" s="1"/>
  <c r="H32" i="14" s="1"/>
  <c r="I32" i="14" s="1"/>
  <c r="J32" i="14" s="1"/>
  <c r="K32" i="14" s="1"/>
  <c r="L32" i="14" s="1"/>
  <c r="M32" i="14" s="1"/>
  <c r="N32" i="14" s="1"/>
  <c r="O32" i="14" s="1"/>
  <c r="Y25" i="1"/>
  <c r="E28" i="14" s="1"/>
  <c r="F28" i="14" s="1"/>
  <c r="G28" i="14" s="1"/>
  <c r="H28" i="14" s="1"/>
  <c r="I28" i="14" s="1"/>
  <c r="J28" i="14" s="1"/>
  <c r="K28" i="14" s="1"/>
  <c r="L28" i="14" s="1"/>
  <c r="M28" i="14" s="1"/>
  <c r="N28" i="14" s="1"/>
  <c r="O28" i="14" s="1"/>
  <c r="Y28" i="1"/>
  <c r="E31" i="14" s="1"/>
  <c r="F31" i="14" s="1"/>
  <c r="G31" i="14" s="1"/>
  <c r="H31" i="14" s="1"/>
  <c r="I31" i="14" s="1"/>
  <c r="J31" i="14" s="1"/>
  <c r="K31" i="14" s="1"/>
  <c r="L31" i="14" s="1"/>
  <c r="M31" i="14" s="1"/>
  <c r="N31" i="14" s="1"/>
  <c r="O31" i="14" s="1"/>
  <c r="Y24" i="1"/>
  <c r="E27" i="14" s="1"/>
  <c r="F27" i="14" s="1"/>
  <c r="G27" i="14" s="1"/>
  <c r="H27" i="14" s="1"/>
  <c r="I27" i="14" s="1"/>
  <c r="J27" i="14" s="1"/>
  <c r="K27" i="14" s="1"/>
  <c r="L27" i="14" s="1"/>
  <c r="M27" i="14" s="1"/>
  <c r="N27" i="14" s="1"/>
  <c r="O27" i="14" s="1"/>
  <c r="I13" i="27"/>
  <c r="I11" i="27"/>
  <c r="I12" i="27"/>
  <c r="P7" i="1"/>
  <c r="N7" i="1"/>
  <c r="N3" i="1"/>
  <c r="Y31" i="1"/>
  <c r="E34" i="14" s="1"/>
  <c r="F34" i="14" s="1"/>
  <c r="G34" i="14" s="1"/>
  <c r="H34" i="14" s="1"/>
  <c r="I34" i="14" s="1"/>
  <c r="J34" i="14" s="1"/>
  <c r="K34" i="14" s="1"/>
  <c r="L34" i="14" s="1"/>
  <c r="M34" i="14" s="1"/>
  <c r="N34" i="14" s="1"/>
  <c r="O34" i="14" s="1"/>
  <c r="Y27" i="1"/>
  <c r="E30" i="14" s="1"/>
  <c r="F30" i="14" s="1"/>
  <c r="G30" i="14" s="1"/>
  <c r="H30" i="14" s="1"/>
  <c r="I30" i="14" s="1"/>
  <c r="J30" i="14" s="1"/>
  <c r="K30" i="14" s="1"/>
  <c r="L30" i="14" s="1"/>
  <c r="M30" i="14" s="1"/>
  <c r="N30" i="14" s="1"/>
  <c r="O30" i="14" s="1"/>
  <c r="Y23" i="1"/>
  <c r="E26" i="14" s="1"/>
  <c r="F26" i="14" s="1"/>
  <c r="G26" i="14" s="1"/>
  <c r="H26" i="14" s="1"/>
  <c r="I26" i="14" s="1"/>
  <c r="J26" i="14" s="1"/>
  <c r="K26" i="14" s="1"/>
  <c r="L26" i="14" s="1"/>
  <c r="M26" i="14" s="1"/>
  <c r="N26" i="14" s="1"/>
  <c r="O26" i="14" s="1"/>
  <c r="P10" i="1"/>
  <c r="P6" i="1"/>
  <c r="P9" i="1"/>
  <c r="P5" i="1"/>
  <c r="N10" i="1"/>
  <c r="N9" i="1"/>
  <c r="N5" i="1"/>
  <c r="N6" i="1"/>
  <c r="AE4" i="1" l="1"/>
  <c r="E7" i="23" s="1"/>
  <c r="F7" i="23" s="1"/>
  <c r="G7" i="23" s="1"/>
  <c r="H7" i="23" s="1"/>
  <c r="I7" i="23" s="1"/>
  <c r="J7" i="23" s="1"/>
  <c r="K7" i="23" s="1"/>
  <c r="L7" i="23" s="1"/>
  <c r="M7" i="23" s="1"/>
  <c r="N7" i="23" s="1"/>
  <c r="O7" i="23" s="1"/>
  <c r="AE9" i="1"/>
  <c r="E12" i="23" s="1"/>
  <c r="F12" i="23" s="1"/>
  <c r="G12" i="23" s="1"/>
  <c r="H12" i="23" s="1"/>
  <c r="I12" i="23" s="1"/>
  <c r="J12" i="23" s="1"/>
  <c r="K12" i="23" s="1"/>
  <c r="L12" i="23" s="1"/>
  <c r="M12" i="23" s="1"/>
  <c r="N12" i="23" s="1"/>
  <c r="O12" i="23" s="1"/>
  <c r="AE8" i="1"/>
  <c r="E11" i="23" s="1"/>
  <c r="F11" i="23" s="1"/>
  <c r="G11" i="23" s="1"/>
  <c r="H11" i="23" s="1"/>
  <c r="I11" i="23" s="1"/>
  <c r="J11" i="23" s="1"/>
  <c r="K11" i="23" s="1"/>
  <c r="L11" i="23" s="1"/>
  <c r="M11" i="23" s="1"/>
  <c r="N11" i="23" s="1"/>
  <c r="O11" i="23" s="1"/>
  <c r="AE5" i="1"/>
  <c r="E8" i="23" s="1"/>
  <c r="F8" i="23" s="1"/>
  <c r="G8" i="23" s="1"/>
  <c r="H8" i="23" s="1"/>
  <c r="I8" i="23" s="1"/>
  <c r="J8" i="23" s="1"/>
  <c r="K8" i="23" s="1"/>
  <c r="L8" i="23" s="1"/>
  <c r="M8" i="23" s="1"/>
  <c r="N8" i="23" s="1"/>
  <c r="O8" i="23" s="1"/>
  <c r="AE10" i="1"/>
  <c r="E13" i="23" s="1"/>
  <c r="F13" i="23" s="1"/>
  <c r="G13" i="23" s="1"/>
  <c r="H13" i="23" s="1"/>
  <c r="I13" i="23" s="1"/>
  <c r="J13" i="23" s="1"/>
  <c r="K13" i="23" s="1"/>
  <c r="L13" i="23" s="1"/>
  <c r="M13" i="23" s="1"/>
  <c r="N13" i="23" s="1"/>
  <c r="O13" i="23" s="1"/>
  <c r="AE3" i="1"/>
  <c r="E6" i="23" s="1"/>
  <c r="F6" i="23" s="1"/>
  <c r="G6" i="23" s="1"/>
  <c r="H6" i="23" s="1"/>
  <c r="I6" i="23" s="1"/>
  <c r="J6" i="23" s="1"/>
  <c r="K6" i="23" s="1"/>
  <c r="L6" i="23" s="1"/>
  <c r="M6" i="23" s="1"/>
  <c r="N6" i="23" s="1"/>
  <c r="O6" i="23" s="1"/>
  <c r="AE7" i="1"/>
  <c r="E10" i="23" s="1"/>
  <c r="F10" i="23" s="1"/>
  <c r="G10" i="23" s="1"/>
  <c r="H10" i="23" s="1"/>
  <c r="I10" i="23" s="1"/>
  <c r="J10" i="23" s="1"/>
  <c r="K10" i="23" s="1"/>
  <c r="L10" i="23" s="1"/>
  <c r="M10" i="23" s="1"/>
  <c r="N10" i="23" s="1"/>
  <c r="O10" i="23" s="1"/>
  <c r="AE6" i="1"/>
  <c r="E9" i="23" s="1"/>
  <c r="F9" i="23" s="1"/>
  <c r="G9" i="23" s="1"/>
  <c r="H9" i="23" s="1"/>
  <c r="I9" i="23" s="1"/>
  <c r="J9" i="23" s="1"/>
  <c r="K9" i="23" s="1"/>
  <c r="L9" i="23" s="1"/>
  <c r="M9" i="23" s="1"/>
  <c r="N9" i="23" s="1"/>
  <c r="O9" i="23" s="1"/>
  <c r="J11" i="27"/>
  <c r="J12" i="27"/>
  <c r="J13" i="27"/>
  <c r="K12" i="27" l="1"/>
  <c r="K13" i="27"/>
  <c r="K11" i="27"/>
  <c r="B33" i="2"/>
  <c r="C33" i="2"/>
  <c r="D33" i="2"/>
  <c r="B34" i="2"/>
  <c r="C34" i="2"/>
  <c r="D34" i="2"/>
  <c r="B30" i="2"/>
  <c r="C30" i="2"/>
  <c r="D30" i="2"/>
  <c r="B31" i="2"/>
  <c r="C31" i="2"/>
  <c r="D31" i="2"/>
  <c r="B32" i="2"/>
  <c r="C32" i="2"/>
  <c r="D32" i="2"/>
  <c r="B25" i="2"/>
  <c r="C25" i="2"/>
  <c r="D25" i="2"/>
  <c r="B26" i="2"/>
  <c r="C26" i="2"/>
  <c r="D26" i="2"/>
  <c r="B27" i="2"/>
  <c r="C27" i="2"/>
  <c r="D27" i="2"/>
  <c r="B28" i="2"/>
  <c r="C28" i="2"/>
  <c r="D28" i="2"/>
  <c r="B29" i="2"/>
  <c r="C29" i="2"/>
  <c r="D29" i="2"/>
  <c r="B5" i="2"/>
  <c r="C5" i="2"/>
  <c r="D5" i="2"/>
  <c r="B6" i="2"/>
  <c r="C6" i="2"/>
  <c r="D6" i="2"/>
  <c r="B7" i="2"/>
  <c r="C7" i="2"/>
  <c r="D7" i="2"/>
  <c r="B8" i="2"/>
  <c r="C8" i="2"/>
  <c r="D8" i="2"/>
  <c r="B9" i="2"/>
  <c r="C9" i="2"/>
  <c r="D9" i="2"/>
  <c r="B10" i="2"/>
  <c r="C10" i="2"/>
  <c r="D10" i="2"/>
  <c r="B11" i="2"/>
  <c r="C11" i="2"/>
  <c r="D11" i="2"/>
  <c r="B12" i="2"/>
  <c r="C12" i="2"/>
  <c r="D12" i="2"/>
  <c r="B13" i="2"/>
  <c r="C13" i="2"/>
  <c r="D13" i="2"/>
  <c r="B14" i="2"/>
  <c r="C14" i="2"/>
  <c r="D14" i="2"/>
  <c r="B15" i="2"/>
  <c r="C15" i="2"/>
  <c r="D15" i="2"/>
  <c r="B16" i="2"/>
  <c r="C16" i="2"/>
  <c r="D16" i="2"/>
  <c r="B17" i="2"/>
  <c r="C17" i="2"/>
  <c r="D17" i="2"/>
  <c r="B18" i="2"/>
  <c r="C18" i="2"/>
  <c r="D18" i="2"/>
  <c r="B19" i="2"/>
  <c r="C19" i="2"/>
  <c r="D19" i="2"/>
  <c r="B20" i="2"/>
  <c r="C20" i="2"/>
  <c r="D20" i="2"/>
  <c r="B21" i="2"/>
  <c r="C21" i="2"/>
  <c r="D21" i="2"/>
  <c r="B22" i="2"/>
  <c r="C22" i="2"/>
  <c r="D22" i="2"/>
  <c r="B23" i="2"/>
  <c r="C23" i="2"/>
  <c r="D23" i="2"/>
  <c r="B24" i="2"/>
  <c r="C24" i="2"/>
  <c r="D24" i="2"/>
  <c r="E33" i="2" l="1" a="1"/>
  <c r="E33" i="2" s="1"/>
  <c r="A27" i="2"/>
  <c r="E28" i="2" s="1" a="1"/>
  <c r="E28" i="2" s="1"/>
  <c r="A31" i="2"/>
  <c r="E32" i="2" s="1" a="1"/>
  <c r="E32" i="2" s="1"/>
  <c r="A32" i="2"/>
  <c r="A20" i="2"/>
  <c r="E21" i="2" s="1" a="1"/>
  <c r="E21" i="2" s="1"/>
  <c r="A16" i="2"/>
  <c r="E17" i="2" s="1" a="1"/>
  <c r="E17" i="2" s="1"/>
  <c r="A4" i="2"/>
  <c r="E5" i="2" s="1" a="1"/>
  <c r="E5" i="2" s="1"/>
  <c r="A12" i="2"/>
  <c r="E13" i="2" s="1" a="1"/>
  <c r="E13" i="2" s="1"/>
  <c r="A8" i="2"/>
  <c r="E9" i="2" s="1" a="1"/>
  <c r="E9" i="2" s="1"/>
  <c r="A28" i="2"/>
  <c r="E29" i="2" s="1" a="1"/>
  <c r="E29" i="2" s="1"/>
  <c r="A24" i="2"/>
  <c r="E25" i="2" s="1" a="1"/>
  <c r="E25" i="2" s="1"/>
  <c r="A33" i="2"/>
  <c r="E34" i="2" s="1" a="1"/>
  <c r="E34" i="2" s="1"/>
  <c r="A21" i="2"/>
  <c r="E22" i="2" s="1" a="1"/>
  <c r="E22" i="2" s="1"/>
  <c r="A17" i="2"/>
  <c r="E18" i="2" s="1" a="1"/>
  <c r="E18" i="2" s="1"/>
  <c r="A13" i="2"/>
  <c r="E14" i="2" s="1" a="1"/>
  <c r="E14" i="2" s="1"/>
  <c r="A9" i="2"/>
  <c r="E10" i="2" s="1" a="1"/>
  <c r="E10" i="2" s="1"/>
  <c r="A5" i="2"/>
  <c r="E6" i="2" s="1" a="1"/>
  <c r="E6" i="2" s="1"/>
  <c r="A22" i="2"/>
  <c r="E23" i="2" s="1" a="1"/>
  <c r="E23" i="2" s="1"/>
  <c r="A18" i="2"/>
  <c r="E19" i="2" s="1" a="1"/>
  <c r="E19" i="2" s="1"/>
  <c r="A14" i="2"/>
  <c r="E15" i="2" s="1" a="1"/>
  <c r="E15" i="2" s="1"/>
  <c r="A10" i="2"/>
  <c r="E11" i="2" s="1" a="1"/>
  <c r="E11" i="2" s="1"/>
  <c r="A6" i="2"/>
  <c r="E7" i="2" s="1" a="1"/>
  <c r="E7" i="2" s="1"/>
  <c r="A25" i="2"/>
  <c r="E26" i="2" s="1" a="1"/>
  <c r="E26" i="2" s="1"/>
  <c r="A29" i="2"/>
  <c r="E30" i="2" s="1" a="1"/>
  <c r="E30" i="2" s="1"/>
  <c r="A23" i="2"/>
  <c r="E24" i="2" s="1" a="1"/>
  <c r="E24" i="2" s="1"/>
  <c r="A19" i="2"/>
  <c r="E20" i="2" s="1" a="1"/>
  <c r="E20" i="2" s="1"/>
  <c r="A15" i="2"/>
  <c r="E16" i="2" s="1" a="1"/>
  <c r="E16" i="2" s="1"/>
  <c r="A11" i="2"/>
  <c r="E12" i="2" s="1" a="1"/>
  <c r="E12" i="2" s="1"/>
  <c r="A7" i="2"/>
  <c r="E8" i="2" s="1" a="1"/>
  <c r="E8" i="2" s="1"/>
  <c r="A26" i="2"/>
  <c r="E27" i="2" s="1" a="1"/>
  <c r="E27" i="2" s="1"/>
  <c r="A30" i="2"/>
  <c r="E31" i="2" s="1" a="1"/>
  <c r="E31" i="2" s="1"/>
  <c r="I15" i="3"/>
  <c r="M15" i="3"/>
  <c r="G16" i="3"/>
  <c r="K16" i="3"/>
  <c r="O16" i="3"/>
  <c r="I17" i="3"/>
  <c r="M17" i="3"/>
  <c r="G18" i="3"/>
  <c r="K18" i="3"/>
  <c r="O18" i="3"/>
  <c r="I19" i="3"/>
  <c r="M19" i="3"/>
  <c r="G20" i="3"/>
  <c r="K20" i="3"/>
  <c r="O20" i="3"/>
  <c r="I21" i="3"/>
  <c r="M21" i="3"/>
  <c r="G22" i="3"/>
  <c r="K22" i="3"/>
  <c r="O22" i="3"/>
  <c r="I23" i="3"/>
  <c r="M23" i="3"/>
  <c r="G24" i="3"/>
  <c r="K24" i="3"/>
  <c r="O24" i="3"/>
  <c r="E19" i="3"/>
  <c r="E23" i="3"/>
  <c r="N21" i="3"/>
  <c r="L22" i="3"/>
  <c r="J23" i="3"/>
  <c r="H24" i="3"/>
  <c r="E16" i="3"/>
  <c r="E24" i="3"/>
  <c r="L15" i="3"/>
  <c r="N16" i="3"/>
  <c r="L17" i="3"/>
  <c r="N18" i="3"/>
  <c r="J20" i="3"/>
  <c r="L21" i="3"/>
  <c r="N22" i="3"/>
  <c r="L23" i="3"/>
  <c r="J24" i="3"/>
  <c r="E22" i="3"/>
  <c r="F15" i="3"/>
  <c r="J15" i="3"/>
  <c r="N15" i="3"/>
  <c r="H16" i="3"/>
  <c r="L16" i="3"/>
  <c r="F17" i="3"/>
  <c r="J17" i="3"/>
  <c r="N17" i="3"/>
  <c r="H18" i="3"/>
  <c r="L18" i="3"/>
  <c r="F19" i="3"/>
  <c r="J19" i="3"/>
  <c r="N19" i="3"/>
  <c r="H20" i="3"/>
  <c r="L20" i="3"/>
  <c r="F21" i="3"/>
  <c r="J21" i="3"/>
  <c r="H22" i="3"/>
  <c r="F23" i="3"/>
  <c r="N23" i="3"/>
  <c r="L24" i="3"/>
  <c r="E20" i="3"/>
  <c r="F16" i="3"/>
  <c r="H17" i="3"/>
  <c r="J18" i="3"/>
  <c r="L19" i="3"/>
  <c r="N20" i="3"/>
  <c r="F22" i="3"/>
  <c r="H23" i="3"/>
  <c r="N24" i="3"/>
  <c r="G15" i="3"/>
  <c r="K15" i="3"/>
  <c r="O15" i="3"/>
  <c r="I16" i="3"/>
  <c r="M16" i="3"/>
  <c r="G17" i="3"/>
  <c r="K17" i="3"/>
  <c r="O17" i="3"/>
  <c r="I18" i="3"/>
  <c r="M18" i="3"/>
  <c r="G19" i="3"/>
  <c r="K19" i="3"/>
  <c r="O19" i="3"/>
  <c r="I20" i="3"/>
  <c r="M20" i="3"/>
  <c r="G21" i="3"/>
  <c r="K21" i="3"/>
  <c r="O21" i="3"/>
  <c r="I22" i="3"/>
  <c r="M22" i="3"/>
  <c r="G23" i="3"/>
  <c r="K23" i="3"/>
  <c r="O23" i="3"/>
  <c r="I24" i="3"/>
  <c r="M24" i="3"/>
  <c r="E17" i="3"/>
  <c r="E21" i="3"/>
  <c r="E15" i="3"/>
  <c r="H15" i="3"/>
  <c r="J16" i="3"/>
  <c r="F18" i="3"/>
  <c r="H19" i="3"/>
  <c r="F20" i="3"/>
  <c r="H21" i="3"/>
  <c r="J22" i="3"/>
  <c r="F24" i="3"/>
  <c r="E18" i="3"/>
  <c r="L13" i="27"/>
  <c r="L11" i="27"/>
  <c r="L12" i="27"/>
  <c r="G8" i="2" l="1" a="1"/>
  <c r="G8" i="2" s="1"/>
  <c r="L8" i="2" a="1"/>
  <c r="L8" i="2" s="1"/>
  <c r="M8" i="2" a="1"/>
  <c r="M8" i="2" s="1"/>
  <c r="J8" i="2" a="1"/>
  <c r="J8" i="2" s="1"/>
  <c r="H8" i="2" a="1"/>
  <c r="H8" i="2" s="1"/>
  <c r="I8" i="2" a="1"/>
  <c r="I8" i="2" s="1"/>
  <c r="N8" i="2" a="1"/>
  <c r="N8" i="2" s="1"/>
  <c r="F8" i="2" a="1"/>
  <c r="F8" i="2" s="1"/>
  <c r="K8" i="2" a="1"/>
  <c r="K8" i="2" s="1"/>
  <c r="O8" i="2" a="1"/>
  <c r="O8" i="2" s="1"/>
  <c r="J11" i="2" a="1"/>
  <c r="J11" i="2" s="1"/>
  <c r="O11" i="2" a="1"/>
  <c r="O11" i="2" s="1"/>
  <c r="N11" i="2" a="1"/>
  <c r="N11" i="2" s="1"/>
  <c r="I11" i="2" a="1"/>
  <c r="I11" i="2" s="1"/>
  <c r="F11" i="2" a="1"/>
  <c r="F11" i="2" s="1"/>
  <c r="L11" i="2" a="1"/>
  <c r="L11" i="2" s="1"/>
  <c r="K11" i="2" a="1"/>
  <c r="K11" i="2" s="1"/>
  <c r="G11" i="2" a="1"/>
  <c r="G11" i="2" s="1"/>
  <c r="M11" i="2" a="1"/>
  <c r="M11" i="2" s="1"/>
  <c r="H11" i="2" a="1"/>
  <c r="H11" i="2" s="1"/>
  <c r="O12" i="2" a="1"/>
  <c r="O12" i="2" s="1"/>
  <c r="I12" i="2" a="1"/>
  <c r="I12" i="2" s="1"/>
  <c r="M12" i="2" a="1"/>
  <c r="M12" i="2" s="1"/>
  <c r="G12" i="2" a="1"/>
  <c r="G12" i="2" s="1"/>
  <c r="N12" i="2" a="1"/>
  <c r="N12" i="2" s="1"/>
  <c r="J12" i="2" a="1"/>
  <c r="J12" i="2" s="1"/>
  <c r="K12" i="2" a="1"/>
  <c r="K12" i="2" s="1"/>
  <c r="F12" i="2" a="1"/>
  <c r="F12" i="2" s="1"/>
  <c r="H12" i="2" a="1"/>
  <c r="H12" i="2" s="1"/>
  <c r="L12" i="2" a="1"/>
  <c r="L12" i="2" s="1"/>
  <c r="G30" i="2" a="1"/>
  <c r="G30" i="2" s="1"/>
  <c r="G30" i="8" s="1"/>
  <c r="G30" i="15" s="1"/>
  <c r="K30" i="2" a="1"/>
  <c r="K30" i="2" s="1"/>
  <c r="K30" i="8" s="1"/>
  <c r="K30" i="15" s="1"/>
  <c r="O30" i="2" a="1"/>
  <c r="O30" i="2" s="1"/>
  <c r="O30" i="8" s="1"/>
  <c r="O30" i="15" s="1"/>
  <c r="H30" i="2" a="1"/>
  <c r="H30" i="2" s="1"/>
  <c r="H30" i="8" s="1"/>
  <c r="H30" i="15" s="1"/>
  <c r="L30" i="2" a="1"/>
  <c r="L30" i="2" s="1"/>
  <c r="L30" i="8" s="1"/>
  <c r="L30" i="15" s="1"/>
  <c r="J30" i="2" a="1"/>
  <c r="J30" i="2" s="1"/>
  <c r="J30" i="8" s="1"/>
  <c r="J30" i="15" s="1"/>
  <c r="N30" i="2" a="1"/>
  <c r="N30" i="2" s="1"/>
  <c r="N30" i="8" s="1"/>
  <c r="N30" i="15" s="1"/>
  <c r="I30" i="2" a="1"/>
  <c r="I30" i="2" s="1"/>
  <c r="I30" i="8" s="1"/>
  <c r="I30" i="15" s="1"/>
  <c r="M30" i="2" a="1"/>
  <c r="M30" i="2" s="1"/>
  <c r="M30" i="8" s="1"/>
  <c r="M30" i="15" s="1"/>
  <c r="F30" i="2" a="1"/>
  <c r="F30" i="2" s="1"/>
  <c r="F30" i="8" s="1"/>
  <c r="F30" i="15" s="1"/>
  <c r="K10" i="2" a="1"/>
  <c r="K10" i="2" s="1"/>
  <c r="J10" i="2" a="1"/>
  <c r="J10" i="2" s="1"/>
  <c r="L10" i="2" a="1"/>
  <c r="L10" i="2" s="1"/>
  <c r="G10" i="2" a="1"/>
  <c r="G10" i="2" s="1"/>
  <c r="I10" i="2" a="1"/>
  <c r="I10" i="2" s="1"/>
  <c r="O10" i="2" a="1"/>
  <c r="O10" i="2" s="1"/>
  <c r="N10" i="2" a="1"/>
  <c r="N10" i="2" s="1"/>
  <c r="F10" i="2" a="1"/>
  <c r="F10" i="2" s="1"/>
  <c r="H10" i="2" a="1"/>
  <c r="H10" i="2" s="1"/>
  <c r="M10" i="2" a="1"/>
  <c r="M10" i="2" s="1"/>
  <c r="G34" i="2" a="1"/>
  <c r="G34" i="2" s="1"/>
  <c r="G34" i="8" s="1"/>
  <c r="G34" i="15" s="1"/>
  <c r="K34" i="2" a="1"/>
  <c r="K34" i="2" s="1"/>
  <c r="K34" i="8" s="1"/>
  <c r="K34" i="15" s="1"/>
  <c r="O34" i="2" a="1"/>
  <c r="O34" i="2" s="1"/>
  <c r="O34" i="8" s="1"/>
  <c r="O34" i="15" s="1"/>
  <c r="H34" i="2" a="1"/>
  <c r="H34" i="2" s="1"/>
  <c r="H34" i="8" s="1"/>
  <c r="H34" i="15" s="1"/>
  <c r="L34" i="2" a="1"/>
  <c r="L34" i="2" s="1"/>
  <c r="L34" i="8" s="1"/>
  <c r="L34" i="15" s="1"/>
  <c r="J34" i="2" a="1"/>
  <c r="J34" i="2" s="1"/>
  <c r="J34" i="8" s="1"/>
  <c r="J34" i="15" s="1"/>
  <c r="I34" i="2" a="1"/>
  <c r="I34" i="2" s="1"/>
  <c r="I34" i="8" s="1"/>
  <c r="I34" i="15" s="1"/>
  <c r="M34" i="2" a="1"/>
  <c r="M34" i="2" s="1"/>
  <c r="M34" i="8" s="1"/>
  <c r="M34" i="15" s="1"/>
  <c r="F34" i="2" a="1"/>
  <c r="F34" i="2" s="1"/>
  <c r="F34" i="8" s="1"/>
  <c r="F34" i="15" s="1"/>
  <c r="N34" i="2" a="1"/>
  <c r="N34" i="2" s="1"/>
  <c r="N34" i="8" s="1"/>
  <c r="N34" i="15" s="1"/>
  <c r="G13" i="2" a="1"/>
  <c r="G13" i="2" s="1"/>
  <c r="K13" i="2" a="1"/>
  <c r="K13" i="2" s="1"/>
  <c r="M13" i="2" a="1"/>
  <c r="M13" i="2" s="1"/>
  <c r="O13" i="2" a="1"/>
  <c r="O13" i="2" s="1"/>
  <c r="J13" i="2" a="1"/>
  <c r="J13" i="2" s="1"/>
  <c r="F13" i="2" a="1"/>
  <c r="F13" i="2" s="1"/>
  <c r="L13" i="2" a="1"/>
  <c r="L13" i="2" s="1"/>
  <c r="I13" i="2" a="1"/>
  <c r="I13" i="2" s="1"/>
  <c r="H13" i="2" a="1"/>
  <c r="H13" i="2" s="1"/>
  <c r="N13" i="2" a="1"/>
  <c r="N13" i="2" s="1"/>
  <c r="I33" i="2" a="1"/>
  <c r="I33" i="2" s="1"/>
  <c r="I33" i="8" s="1"/>
  <c r="I33" i="15" s="1"/>
  <c r="M33" i="2" a="1"/>
  <c r="M33" i="2" s="1"/>
  <c r="M33" i="8" s="1"/>
  <c r="M33" i="15" s="1"/>
  <c r="F33" i="2" a="1"/>
  <c r="F33" i="2" s="1"/>
  <c r="F33" i="8" s="1"/>
  <c r="F33" i="15" s="1"/>
  <c r="J33" i="2" a="1"/>
  <c r="J33" i="2" s="1"/>
  <c r="J33" i="8" s="1"/>
  <c r="J33" i="15" s="1"/>
  <c r="N33" i="2" a="1"/>
  <c r="N33" i="2" s="1"/>
  <c r="N33" i="8" s="1"/>
  <c r="N33" i="15" s="1"/>
  <c r="E33" i="8"/>
  <c r="E33" i="15" s="1"/>
  <c r="L33" i="2" a="1"/>
  <c r="L33" i="2" s="1"/>
  <c r="L33" i="8" s="1"/>
  <c r="L33" i="15" s="1"/>
  <c r="G33" i="2" a="1"/>
  <c r="G33" i="2" s="1"/>
  <c r="G33" i="8" s="1"/>
  <c r="G33" i="15" s="1"/>
  <c r="K33" i="2" a="1"/>
  <c r="K33" i="2" s="1"/>
  <c r="K33" i="8" s="1"/>
  <c r="K33" i="15" s="1"/>
  <c r="O33" i="2" a="1"/>
  <c r="O33" i="2" s="1"/>
  <c r="O33" i="8" s="1"/>
  <c r="O33" i="15" s="1"/>
  <c r="H33" i="2" a="1"/>
  <c r="H33" i="2" s="1"/>
  <c r="H33" i="8" s="1"/>
  <c r="H33" i="15" s="1"/>
  <c r="J6" i="2" a="1"/>
  <c r="J6" i="2" s="1"/>
  <c r="K6" i="2" a="1"/>
  <c r="K6" i="2" s="1"/>
  <c r="I6" i="2" a="1"/>
  <c r="I6" i="2" s="1"/>
  <c r="N6" i="2" a="1"/>
  <c r="N6" i="2" s="1"/>
  <c r="L6" i="2" a="1"/>
  <c r="L6" i="2" s="1"/>
  <c r="F6" i="2" a="1"/>
  <c r="F6" i="2" s="1"/>
  <c r="H6" i="2" a="1"/>
  <c r="H6" i="2" s="1"/>
  <c r="O6" i="2" a="1"/>
  <c r="O6" i="2" s="1"/>
  <c r="G6" i="2" a="1"/>
  <c r="G6" i="2" s="1"/>
  <c r="M6" i="2" a="1"/>
  <c r="M6" i="2" s="1"/>
  <c r="N9" i="2" a="1"/>
  <c r="N9" i="2" s="1"/>
  <c r="L9" i="2" a="1"/>
  <c r="L9" i="2" s="1"/>
  <c r="H9" i="2" a="1"/>
  <c r="H9" i="2" s="1"/>
  <c r="F9" i="2" a="1"/>
  <c r="F9" i="2" s="1"/>
  <c r="M9" i="2" a="1"/>
  <c r="M9" i="2" s="1"/>
  <c r="I9" i="2" a="1"/>
  <c r="I9" i="2" s="1"/>
  <c r="K9" i="2" a="1"/>
  <c r="K9" i="2" s="1"/>
  <c r="J9" i="2" a="1"/>
  <c r="J9" i="2" s="1"/>
  <c r="G9" i="2" a="1"/>
  <c r="G9" i="2" s="1"/>
  <c r="O9" i="2" a="1"/>
  <c r="O9" i="2" s="1"/>
  <c r="I31" i="2" a="1"/>
  <c r="I31" i="2" s="1"/>
  <c r="I31" i="8" s="1"/>
  <c r="I31" i="15" s="1"/>
  <c r="M31" i="2" a="1"/>
  <c r="M31" i="2" s="1"/>
  <c r="M31" i="8" s="1"/>
  <c r="M31" i="15" s="1"/>
  <c r="E31" i="8"/>
  <c r="E31" i="15" s="1"/>
  <c r="F31" i="2" a="1"/>
  <c r="F31" i="2" s="1"/>
  <c r="F31" i="8" s="1"/>
  <c r="F31" i="15" s="1"/>
  <c r="J31" i="2" a="1"/>
  <c r="J31" i="2" s="1"/>
  <c r="J31" i="8" s="1"/>
  <c r="J31" i="15" s="1"/>
  <c r="N31" i="2" a="1"/>
  <c r="N31" i="2" s="1"/>
  <c r="N31" i="8" s="1"/>
  <c r="N31" i="15" s="1"/>
  <c r="G31" i="2" a="1"/>
  <c r="G31" i="2" s="1"/>
  <c r="G31" i="8" s="1"/>
  <c r="G31" i="15" s="1"/>
  <c r="K31" i="2" a="1"/>
  <c r="K31" i="2" s="1"/>
  <c r="K31" i="8" s="1"/>
  <c r="K31" i="15" s="1"/>
  <c r="O31" i="2" a="1"/>
  <c r="O31" i="2" s="1"/>
  <c r="O31" i="8" s="1"/>
  <c r="O31" i="15" s="1"/>
  <c r="H31" i="2" a="1"/>
  <c r="H31" i="2" s="1"/>
  <c r="H31" i="8" s="1"/>
  <c r="H31" i="15" s="1"/>
  <c r="L31" i="2" a="1"/>
  <c r="L31" i="2" s="1"/>
  <c r="L31" i="8" s="1"/>
  <c r="L31" i="15" s="1"/>
  <c r="G26" i="2" a="1"/>
  <c r="G26" i="2" s="1"/>
  <c r="G26" i="8" s="1"/>
  <c r="G26" i="15" s="1"/>
  <c r="K26" i="2" a="1"/>
  <c r="K26" i="2" s="1"/>
  <c r="K26" i="8" s="1"/>
  <c r="K26" i="15" s="1"/>
  <c r="O26" i="2" a="1"/>
  <c r="O26" i="2" s="1"/>
  <c r="O26" i="8" s="1"/>
  <c r="O26" i="15" s="1"/>
  <c r="H26" i="2" a="1"/>
  <c r="H26" i="2" s="1"/>
  <c r="H26" i="8" s="1"/>
  <c r="H26" i="15" s="1"/>
  <c r="L26" i="2" a="1"/>
  <c r="L26" i="2" s="1"/>
  <c r="L26" i="8" s="1"/>
  <c r="L26" i="15" s="1"/>
  <c r="F26" i="2" a="1"/>
  <c r="F26" i="2" s="1"/>
  <c r="F26" i="8" s="1"/>
  <c r="F26" i="15" s="1"/>
  <c r="N26" i="2" a="1"/>
  <c r="N26" i="2" s="1"/>
  <c r="N26" i="8" s="1"/>
  <c r="N26" i="15" s="1"/>
  <c r="I26" i="2" a="1"/>
  <c r="I26" i="2" s="1"/>
  <c r="I26" i="8" s="1"/>
  <c r="I26" i="15" s="1"/>
  <c r="M26" i="2" a="1"/>
  <c r="M26" i="2" s="1"/>
  <c r="M26" i="8" s="1"/>
  <c r="M26" i="15" s="1"/>
  <c r="J26" i="2" a="1"/>
  <c r="J26" i="2" s="1"/>
  <c r="J26" i="8" s="1"/>
  <c r="J26" i="15" s="1"/>
  <c r="M14" i="2" a="1"/>
  <c r="M14" i="2" s="1"/>
  <c r="G14" i="2" a="1"/>
  <c r="G14" i="2" s="1"/>
  <c r="I14" i="2" a="1"/>
  <c r="I14" i="2" s="1"/>
  <c r="J14" i="2" a="1"/>
  <c r="J14" i="2" s="1"/>
  <c r="O14" i="2" a="1"/>
  <c r="O14" i="2" s="1"/>
  <c r="L14" i="2" a="1"/>
  <c r="L14" i="2" s="1"/>
  <c r="K14" i="2" a="1"/>
  <c r="K14" i="2" s="1"/>
  <c r="F14" i="2" a="1"/>
  <c r="F14" i="2" s="1"/>
  <c r="N14" i="2" a="1"/>
  <c r="N14" i="2" s="1"/>
  <c r="H14" i="2" a="1"/>
  <c r="H14" i="2" s="1"/>
  <c r="I25" i="2" a="1"/>
  <c r="I25" i="2" s="1"/>
  <c r="I25" i="8" s="1"/>
  <c r="I25" i="15" s="1"/>
  <c r="M25" i="2" a="1"/>
  <c r="M25" i="2" s="1"/>
  <c r="M25" i="8" s="1"/>
  <c r="M25" i="15" s="1"/>
  <c r="F25" i="2" a="1"/>
  <c r="F25" i="2" s="1"/>
  <c r="F25" i="8" s="1"/>
  <c r="F25" i="15" s="1"/>
  <c r="J25" i="2" a="1"/>
  <c r="J25" i="2" s="1"/>
  <c r="J25" i="8" s="1"/>
  <c r="J25" i="15" s="1"/>
  <c r="N25" i="2" a="1"/>
  <c r="N25" i="2" s="1"/>
  <c r="N25" i="8" s="1"/>
  <c r="N25" i="15" s="1"/>
  <c r="E25" i="8"/>
  <c r="E25" i="15" s="1"/>
  <c r="L25" i="2" a="1"/>
  <c r="L25" i="2" s="1"/>
  <c r="L25" i="8" s="1"/>
  <c r="L25" i="15" s="1"/>
  <c r="G25" i="2" a="1"/>
  <c r="G25" i="2" s="1"/>
  <c r="G25" i="8" s="1"/>
  <c r="G25" i="15" s="1"/>
  <c r="K25" i="2" a="1"/>
  <c r="K25" i="2" s="1"/>
  <c r="K25" i="8" s="1"/>
  <c r="K25" i="15" s="1"/>
  <c r="O25" i="2" a="1"/>
  <c r="O25" i="2" s="1"/>
  <c r="O25" i="8" s="1"/>
  <c r="O25" i="15" s="1"/>
  <c r="H25" i="2" a="1"/>
  <c r="H25" i="2" s="1"/>
  <c r="H25" i="8" s="1"/>
  <c r="H25" i="15" s="1"/>
  <c r="J5" i="2" a="1"/>
  <c r="J5" i="2" s="1"/>
  <c r="N5" i="2" a="1"/>
  <c r="N5" i="2" s="1"/>
  <c r="I5" i="2" a="1"/>
  <c r="I5" i="2" s="1"/>
  <c r="H5" i="2" a="1"/>
  <c r="H5" i="2" s="1"/>
  <c r="F5" i="2" a="1"/>
  <c r="F5" i="2" s="1"/>
  <c r="G5" i="2" a="1"/>
  <c r="G5" i="2" s="1"/>
  <c r="L5" i="2" a="1"/>
  <c r="L5" i="2" s="1"/>
  <c r="O5" i="2" a="1"/>
  <c r="O5" i="2" s="1"/>
  <c r="K5" i="2" a="1"/>
  <c r="K5" i="2" s="1"/>
  <c r="M5" i="2" a="1"/>
  <c r="M5" i="2" s="1"/>
  <c r="G32" i="2" a="1"/>
  <c r="G32" i="2" s="1"/>
  <c r="G32" i="8" s="1"/>
  <c r="G32" i="15" s="1"/>
  <c r="K32" i="2" a="1"/>
  <c r="K32" i="2" s="1"/>
  <c r="K32" i="8" s="1"/>
  <c r="K32" i="15" s="1"/>
  <c r="O32" i="2" a="1"/>
  <c r="O32" i="2" s="1"/>
  <c r="O32" i="8" s="1"/>
  <c r="O32" i="15" s="1"/>
  <c r="E32" i="8"/>
  <c r="E32" i="15" s="1"/>
  <c r="H32" i="2" a="1"/>
  <c r="H32" i="2" s="1"/>
  <c r="H32" i="8" s="1"/>
  <c r="H32" i="15" s="1"/>
  <c r="L32" i="2" a="1"/>
  <c r="L32" i="2" s="1"/>
  <c r="L32" i="8" s="1"/>
  <c r="L32" i="15" s="1"/>
  <c r="F32" i="2" a="1"/>
  <c r="F32" i="2" s="1"/>
  <c r="F32" i="8" s="1"/>
  <c r="F32" i="15" s="1"/>
  <c r="N32" i="2" a="1"/>
  <c r="N32" i="2" s="1"/>
  <c r="N32" i="8" s="1"/>
  <c r="N32" i="15" s="1"/>
  <c r="I32" i="2" a="1"/>
  <c r="I32" i="2" s="1"/>
  <c r="I32" i="8" s="1"/>
  <c r="I32" i="15" s="1"/>
  <c r="M32" i="2" a="1"/>
  <c r="M32" i="2" s="1"/>
  <c r="M32" i="8" s="1"/>
  <c r="M32" i="15" s="1"/>
  <c r="J32" i="2" a="1"/>
  <c r="J32" i="2" s="1"/>
  <c r="J32" i="8" s="1"/>
  <c r="J32" i="15" s="1"/>
  <c r="I27" i="2" a="1"/>
  <c r="I27" i="2" s="1"/>
  <c r="I27" i="8" s="1"/>
  <c r="I27" i="15" s="1"/>
  <c r="M27" i="2" a="1"/>
  <c r="M27" i="2" s="1"/>
  <c r="M27" i="8" s="1"/>
  <c r="M27" i="15" s="1"/>
  <c r="F27" i="2" a="1"/>
  <c r="F27" i="2" s="1"/>
  <c r="F27" i="8" s="1"/>
  <c r="F27" i="15" s="1"/>
  <c r="J27" i="2" a="1"/>
  <c r="J27" i="2" s="1"/>
  <c r="J27" i="8" s="1"/>
  <c r="J27" i="15" s="1"/>
  <c r="N27" i="2" a="1"/>
  <c r="N27" i="2" s="1"/>
  <c r="N27" i="8" s="1"/>
  <c r="N27" i="15" s="1"/>
  <c r="L27" i="2" a="1"/>
  <c r="L27" i="2" s="1"/>
  <c r="L27" i="8" s="1"/>
  <c r="L27" i="15" s="1"/>
  <c r="E27" i="8"/>
  <c r="E27" i="15" s="1"/>
  <c r="G27" i="2" a="1"/>
  <c r="G27" i="2" s="1"/>
  <c r="G27" i="8" s="1"/>
  <c r="G27" i="15" s="1"/>
  <c r="K27" i="2" a="1"/>
  <c r="K27" i="2" s="1"/>
  <c r="K27" i="8" s="1"/>
  <c r="K27" i="15" s="1"/>
  <c r="O27" i="2" a="1"/>
  <c r="O27" i="2" s="1"/>
  <c r="O27" i="8" s="1"/>
  <c r="O27" i="15" s="1"/>
  <c r="H27" i="2" a="1"/>
  <c r="H27" i="2" s="1"/>
  <c r="H27" i="8" s="1"/>
  <c r="H27" i="15" s="1"/>
  <c r="N7" i="2" a="1"/>
  <c r="N7" i="2" s="1"/>
  <c r="F7" i="2" a="1"/>
  <c r="F7" i="2" s="1"/>
  <c r="M7" i="2" a="1"/>
  <c r="M7" i="2" s="1"/>
  <c r="I7" i="2" a="1"/>
  <c r="I7" i="2" s="1"/>
  <c r="O7" i="2" a="1"/>
  <c r="O7" i="2" s="1"/>
  <c r="H7" i="2" a="1"/>
  <c r="H7" i="2" s="1"/>
  <c r="K7" i="2" a="1"/>
  <c r="K7" i="2" s="1"/>
  <c r="G7" i="2" a="1"/>
  <c r="G7" i="2" s="1"/>
  <c r="L7" i="2" a="1"/>
  <c r="L7" i="2" s="1"/>
  <c r="J7" i="2" a="1"/>
  <c r="J7" i="2" s="1"/>
  <c r="I29" i="2" a="1"/>
  <c r="I29" i="2" s="1"/>
  <c r="I29" i="8" s="1"/>
  <c r="I29" i="15" s="1"/>
  <c r="M29" i="2" a="1"/>
  <c r="M29" i="2" s="1"/>
  <c r="M29" i="8" s="1"/>
  <c r="M29" i="15" s="1"/>
  <c r="F29" i="2" a="1"/>
  <c r="F29" i="2" s="1"/>
  <c r="F29" i="8" s="1"/>
  <c r="F29" i="15" s="1"/>
  <c r="J29" i="2" a="1"/>
  <c r="J29" i="2" s="1"/>
  <c r="J29" i="8" s="1"/>
  <c r="J29" i="15" s="1"/>
  <c r="N29" i="2" a="1"/>
  <c r="N29" i="2" s="1"/>
  <c r="N29" i="8" s="1"/>
  <c r="N29" i="15" s="1"/>
  <c r="E29" i="8"/>
  <c r="E29" i="15" s="1"/>
  <c r="L29" i="2" a="1"/>
  <c r="L29" i="2" s="1"/>
  <c r="L29" i="8" s="1"/>
  <c r="L29" i="15" s="1"/>
  <c r="G29" i="2" a="1"/>
  <c r="G29" i="2" s="1"/>
  <c r="G29" i="8" s="1"/>
  <c r="G29" i="15" s="1"/>
  <c r="K29" i="2" a="1"/>
  <c r="K29" i="2" s="1"/>
  <c r="K29" i="8" s="1"/>
  <c r="K29" i="15" s="1"/>
  <c r="O29" i="2" a="1"/>
  <c r="O29" i="2" s="1"/>
  <c r="O29" i="8" s="1"/>
  <c r="O29" i="15" s="1"/>
  <c r="H29" i="2" a="1"/>
  <c r="H29" i="2" s="1"/>
  <c r="H29" i="8" s="1"/>
  <c r="H29" i="15" s="1"/>
  <c r="G28" i="2" a="1"/>
  <c r="G28" i="2" s="1"/>
  <c r="G28" i="8" s="1"/>
  <c r="G28" i="15" s="1"/>
  <c r="K28" i="2" a="1"/>
  <c r="K28" i="2" s="1"/>
  <c r="K28" i="8" s="1"/>
  <c r="K28" i="15" s="1"/>
  <c r="O28" i="2" a="1"/>
  <c r="O28" i="2" s="1"/>
  <c r="O28" i="8" s="1"/>
  <c r="O28" i="15" s="1"/>
  <c r="E28" i="8"/>
  <c r="E28" i="15" s="1"/>
  <c r="H28" i="2" a="1"/>
  <c r="H28" i="2" s="1"/>
  <c r="H28" i="8" s="1"/>
  <c r="H28" i="15" s="1"/>
  <c r="L28" i="2" a="1"/>
  <c r="L28" i="2" s="1"/>
  <c r="L28" i="8" s="1"/>
  <c r="L28" i="15" s="1"/>
  <c r="N28" i="2" a="1"/>
  <c r="N28" i="2" s="1"/>
  <c r="N28" i="8" s="1"/>
  <c r="N28" i="15" s="1"/>
  <c r="I28" i="2" a="1"/>
  <c r="I28" i="2" s="1"/>
  <c r="I28" i="8" s="1"/>
  <c r="I28" i="15" s="1"/>
  <c r="M28" i="2" a="1"/>
  <c r="M28" i="2" s="1"/>
  <c r="M28" i="8" s="1"/>
  <c r="M28" i="15" s="1"/>
  <c r="F28" i="2" a="1"/>
  <c r="F28" i="2" s="1"/>
  <c r="F28" i="8" s="1"/>
  <c r="F28" i="15" s="1"/>
  <c r="J28" i="2" a="1"/>
  <c r="J28" i="2" s="1"/>
  <c r="J28" i="8" s="1"/>
  <c r="J28" i="15" s="1"/>
  <c r="E30" i="8"/>
  <c r="E30" i="15" s="1"/>
  <c r="E26" i="8"/>
  <c r="E26" i="15" s="1"/>
  <c r="E34" i="8"/>
  <c r="E34" i="15" s="1"/>
  <c r="M11" i="27"/>
  <c r="M12" i="27"/>
  <c r="M13" i="27"/>
  <c r="J181" i="18" l="1"/>
  <c r="J211" i="18"/>
  <c r="J151" i="18"/>
  <c r="J241" i="18"/>
  <c r="J121" i="18"/>
  <c r="J91" i="18"/>
  <c r="J61" i="18"/>
  <c r="J31" i="18"/>
  <c r="S182" i="18"/>
  <c r="S242" i="18"/>
  <c r="S212" i="18"/>
  <c r="S152" i="18"/>
  <c r="S92" i="18"/>
  <c r="S62" i="18"/>
  <c r="S122" i="18"/>
  <c r="S32" i="18"/>
  <c r="S147" i="18"/>
  <c r="S57" i="18"/>
  <c r="S87" i="18"/>
  <c r="S27" i="18"/>
  <c r="I88" i="18"/>
  <c r="I148" i="18"/>
  <c r="I58" i="18"/>
  <c r="I28" i="18"/>
  <c r="L146" i="18"/>
  <c r="L86" i="18"/>
  <c r="L26" i="18"/>
  <c r="L56" i="18"/>
  <c r="J146" i="18"/>
  <c r="J86" i="18"/>
  <c r="J56" i="18"/>
  <c r="J26" i="18"/>
  <c r="P181" i="18"/>
  <c r="P151" i="18"/>
  <c r="P241" i="18"/>
  <c r="P121" i="18"/>
  <c r="P91" i="18"/>
  <c r="P31" i="18"/>
  <c r="P211" i="18"/>
  <c r="P61" i="18"/>
  <c r="L84" i="18"/>
  <c r="L144" i="18"/>
  <c r="L24" i="18"/>
  <c r="L54" i="18"/>
  <c r="J144" i="18"/>
  <c r="J54" i="18"/>
  <c r="J84" i="18"/>
  <c r="J24" i="18"/>
  <c r="R145" i="18"/>
  <c r="R85" i="18"/>
  <c r="R55" i="18"/>
  <c r="R25" i="18"/>
  <c r="L180" i="18"/>
  <c r="L210" i="18"/>
  <c r="L150" i="18"/>
  <c r="L240" i="18"/>
  <c r="L120" i="18"/>
  <c r="L90" i="18"/>
  <c r="L30" i="18"/>
  <c r="L60" i="18"/>
  <c r="Q180" i="18"/>
  <c r="Q240" i="18"/>
  <c r="Q210" i="18"/>
  <c r="Q120" i="18"/>
  <c r="Q90" i="18"/>
  <c r="Q60" i="18"/>
  <c r="Q30" i="18"/>
  <c r="Q150" i="18"/>
  <c r="O182" i="18"/>
  <c r="O152" i="18"/>
  <c r="O242" i="18"/>
  <c r="O212" i="18"/>
  <c r="O122" i="18"/>
  <c r="O92" i="18"/>
  <c r="O62" i="18"/>
  <c r="O32" i="18"/>
  <c r="M182" i="18"/>
  <c r="M242" i="18"/>
  <c r="M212" i="18"/>
  <c r="M122" i="18"/>
  <c r="M152" i="18"/>
  <c r="M92" i="18"/>
  <c r="M62" i="18"/>
  <c r="M32" i="18"/>
  <c r="Q149" i="18"/>
  <c r="Q89" i="18"/>
  <c r="Q59" i="18"/>
  <c r="Q29" i="18"/>
  <c r="K149" i="18"/>
  <c r="K89" i="18"/>
  <c r="K59" i="18"/>
  <c r="K29" i="18"/>
  <c r="N144" i="18"/>
  <c r="N84" i="18"/>
  <c r="N54" i="18"/>
  <c r="N24" i="18"/>
  <c r="I180" i="18"/>
  <c r="I150" i="18"/>
  <c r="I240" i="18"/>
  <c r="I210" i="18"/>
  <c r="I120" i="18"/>
  <c r="I90" i="18"/>
  <c r="I30" i="18"/>
  <c r="I60" i="18"/>
  <c r="O87" i="18"/>
  <c r="O57" i="18"/>
  <c r="O27" i="18"/>
  <c r="O147" i="18"/>
  <c r="Q86" i="18"/>
  <c r="Q146" i="18"/>
  <c r="Q56" i="18"/>
  <c r="Q26" i="18"/>
  <c r="L181" i="18"/>
  <c r="L241" i="18"/>
  <c r="L211" i="18"/>
  <c r="L151" i="18"/>
  <c r="L61" i="18"/>
  <c r="L121" i="18"/>
  <c r="L91" i="18"/>
  <c r="L31" i="18"/>
  <c r="S144" i="18"/>
  <c r="S84" i="18"/>
  <c r="S54" i="18"/>
  <c r="S24" i="18"/>
  <c r="Q144" i="18"/>
  <c r="Q54" i="18"/>
  <c r="Q84" i="18"/>
  <c r="Q24" i="18"/>
  <c r="J85" i="18"/>
  <c r="J55" i="18"/>
  <c r="J145" i="18"/>
  <c r="J25" i="18"/>
  <c r="S180" i="18"/>
  <c r="S150" i="18"/>
  <c r="S240" i="18"/>
  <c r="S120" i="18"/>
  <c r="S90" i="18"/>
  <c r="S60" i="18"/>
  <c r="S30" i="18"/>
  <c r="S210" i="18"/>
  <c r="M180" i="18"/>
  <c r="M210" i="18"/>
  <c r="M150" i="18"/>
  <c r="M60" i="18"/>
  <c r="M120" i="18"/>
  <c r="M240" i="18"/>
  <c r="M30" i="18"/>
  <c r="M90" i="18"/>
  <c r="K182" i="18"/>
  <c r="K242" i="18"/>
  <c r="K212" i="18"/>
  <c r="K152" i="18"/>
  <c r="K92" i="18"/>
  <c r="K62" i="18"/>
  <c r="K122" i="18"/>
  <c r="K32" i="18"/>
  <c r="L183" i="18"/>
  <c r="L153" i="18"/>
  <c r="L243" i="18"/>
  <c r="L123" i="18"/>
  <c r="L213" i="18"/>
  <c r="L93" i="18"/>
  <c r="L33" i="18"/>
  <c r="L63" i="18"/>
  <c r="M149" i="18"/>
  <c r="M89" i="18"/>
  <c r="M59" i="18"/>
  <c r="M29" i="18"/>
  <c r="I87" i="18"/>
  <c r="I147" i="18"/>
  <c r="I57" i="18"/>
  <c r="I27" i="18"/>
  <c r="J147" i="18"/>
  <c r="J87" i="18"/>
  <c r="J27" i="18"/>
  <c r="J57" i="18"/>
  <c r="Q147" i="18"/>
  <c r="Q87" i="18"/>
  <c r="Q57" i="18"/>
  <c r="Q27" i="18"/>
  <c r="K147" i="18"/>
  <c r="K57" i="18"/>
  <c r="K27" i="18"/>
  <c r="K87" i="18"/>
  <c r="N148" i="18"/>
  <c r="N88" i="18"/>
  <c r="N28" i="18"/>
  <c r="N58" i="18"/>
  <c r="O146" i="18"/>
  <c r="O86" i="18"/>
  <c r="O56" i="18"/>
  <c r="O26" i="18"/>
  <c r="M146" i="18"/>
  <c r="M56" i="18"/>
  <c r="M26" i="18"/>
  <c r="M86" i="18"/>
  <c r="I181" i="18"/>
  <c r="I211" i="18"/>
  <c r="I151" i="18"/>
  <c r="I241" i="18"/>
  <c r="I121" i="18"/>
  <c r="I91" i="18"/>
  <c r="I31" i="18"/>
  <c r="I61" i="18"/>
  <c r="O144" i="18"/>
  <c r="O84" i="18"/>
  <c r="O54" i="18"/>
  <c r="O24" i="18"/>
  <c r="M84" i="18"/>
  <c r="M54" i="18"/>
  <c r="M24" i="18"/>
  <c r="M144" i="18"/>
  <c r="P145" i="18"/>
  <c r="P55" i="18"/>
  <c r="P85" i="18"/>
  <c r="P25" i="18"/>
  <c r="P182" i="18"/>
  <c r="P212" i="18"/>
  <c r="P152" i="18"/>
  <c r="P242" i="18"/>
  <c r="P122" i="18"/>
  <c r="P92" i="18"/>
  <c r="P32" i="18"/>
  <c r="P62" i="18"/>
  <c r="S183" i="18"/>
  <c r="S243" i="18"/>
  <c r="S213" i="18"/>
  <c r="S123" i="18"/>
  <c r="S93" i="18"/>
  <c r="S63" i="18"/>
  <c r="S33" i="18"/>
  <c r="S153" i="18"/>
  <c r="P183" i="18"/>
  <c r="P243" i="18"/>
  <c r="P213" i="18"/>
  <c r="P153" i="18"/>
  <c r="P123" i="18"/>
  <c r="P93" i="18"/>
  <c r="P63" i="18"/>
  <c r="P33" i="18"/>
  <c r="P180" i="18"/>
  <c r="P240" i="18"/>
  <c r="P210" i="18"/>
  <c r="P90" i="18"/>
  <c r="P150" i="18"/>
  <c r="P120" i="18"/>
  <c r="P60" i="18"/>
  <c r="P30" i="18"/>
  <c r="J149" i="18"/>
  <c r="J89" i="18"/>
  <c r="J29" i="18"/>
  <c r="J59" i="18"/>
  <c r="R148" i="18"/>
  <c r="R58" i="18"/>
  <c r="R88" i="18"/>
  <c r="R28" i="18"/>
  <c r="S89" i="18"/>
  <c r="S149" i="18"/>
  <c r="S59" i="18"/>
  <c r="S29" i="18"/>
  <c r="M147" i="18"/>
  <c r="M87" i="18"/>
  <c r="M57" i="18"/>
  <c r="M27" i="18"/>
  <c r="L88" i="18"/>
  <c r="L58" i="18"/>
  <c r="L148" i="18"/>
  <c r="L28" i="18"/>
  <c r="J148" i="18"/>
  <c r="J58" i="18"/>
  <c r="J88" i="18"/>
  <c r="J28" i="18"/>
  <c r="K146" i="18"/>
  <c r="K86" i="18"/>
  <c r="K56" i="18"/>
  <c r="K26" i="18"/>
  <c r="N181" i="18"/>
  <c r="N241" i="18"/>
  <c r="N211" i="18"/>
  <c r="N91" i="18"/>
  <c r="N151" i="18"/>
  <c r="N121" i="18"/>
  <c r="N61" i="18"/>
  <c r="N31" i="18"/>
  <c r="S181" i="18"/>
  <c r="S211" i="18"/>
  <c r="S151" i="18"/>
  <c r="S241" i="18"/>
  <c r="S61" i="18"/>
  <c r="S121" i="18"/>
  <c r="S91" i="18"/>
  <c r="S31" i="18"/>
  <c r="K144" i="18"/>
  <c r="K84" i="18"/>
  <c r="K54" i="18"/>
  <c r="K24" i="18"/>
  <c r="L145" i="18"/>
  <c r="L85" i="18"/>
  <c r="L25" i="18"/>
  <c r="L55" i="18"/>
  <c r="K180" i="18"/>
  <c r="K150" i="18"/>
  <c r="K240" i="18"/>
  <c r="K120" i="18"/>
  <c r="K210" i="18"/>
  <c r="K90" i="18"/>
  <c r="K30" i="18"/>
  <c r="K60" i="18"/>
  <c r="I182" i="18"/>
  <c r="I212" i="18"/>
  <c r="I152" i="18"/>
  <c r="I242" i="18"/>
  <c r="I122" i="18"/>
  <c r="I62" i="18"/>
  <c r="I92" i="18"/>
  <c r="I32" i="18"/>
  <c r="R183" i="18"/>
  <c r="R243" i="18"/>
  <c r="R213" i="18"/>
  <c r="R93" i="18"/>
  <c r="R153" i="18"/>
  <c r="R123" i="18"/>
  <c r="R63" i="18"/>
  <c r="R33" i="18"/>
  <c r="O183" i="18"/>
  <c r="O213" i="18"/>
  <c r="O153" i="18"/>
  <c r="O63" i="18"/>
  <c r="O243" i="18"/>
  <c r="O123" i="18"/>
  <c r="O33" i="18"/>
  <c r="O93" i="18"/>
  <c r="N149" i="18"/>
  <c r="N89" i="18"/>
  <c r="N29" i="18"/>
  <c r="N59" i="18"/>
  <c r="P148" i="18"/>
  <c r="P88" i="18"/>
  <c r="P58" i="18"/>
  <c r="P28" i="18"/>
  <c r="M145" i="18"/>
  <c r="M85" i="18"/>
  <c r="M25" i="18"/>
  <c r="M55" i="18"/>
  <c r="N183" i="18"/>
  <c r="N213" i="18"/>
  <c r="N153" i="18"/>
  <c r="N243" i="18"/>
  <c r="N123" i="18"/>
  <c r="N93" i="18"/>
  <c r="N33" i="18"/>
  <c r="N63" i="18"/>
  <c r="I183" i="18"/>
  <c r="I243" i="18"/>
  <c r="I213" i="18"/>
  <c r="I153" i="18"/>
  <c r="I123" i="18"/>
  <c r="I63" i="18"/>
  <c r="I33" i="18"/>
  <c r="I93" i="18"/>
  <c r="R147" i="18"/>
  <c r="R87" i="18"/>
  <c r="R57" i="18"/>
  <c r="R27" i="18"/>
  <c r="S148" i="18"/>
  <c r="S88" i="18"/>
  <c r="S58" i="18"/>
  <c r="S28" i="18"/>
  <c r="Q148" i="18"/>
  <c r="Q58" i="18"/>
  <c r="Q88" i="18"/>
  <c r="Q28" i="18"/>
  <c r="I146" i="18"/>
  <c r="I86" i="18"/>
  <c r="I56" i="18"/>
  <c r="I26" i="18"/>
  <c r="Q181" i="18"/>
  <c r="Q151" i="18"/>
  <c r="Q241" i="18"/>
  <c r="Q211" i="18"/>
  <c r="Q121" i="18"/>
  <c r="Q91" i="18"/>
  <c r="Q31" i="18"/>
  <c r="Q61" i="18"/>
  <c r="O181" i="18"/>
  <c r="O241" i="18"/>
  <c r="O211" i="18"/>
  <c r="O151" i="18"/>
  <c r="O121" i="18"/>
  <c r="O91" i="18"/>
  <c r="O61" i="18"/>
  <c r="O31" i="18"/>
  <c r="P144" i="18"/>
  <c r="P84" i="18"/>
  <c r="P54" i="18"/>
  <c r="P24" i="18"/>
  <c r="S145" i="18"/>
  <c r="S85" i="18"/>
  <c r="S55" i="18"/>
  <c r="S25" i="18"/>
  <c r="R180" i="18"/>
  <c r="R150" i="18"/>
  <c r="R240" i="18"/>
  <c r="R120" i="18"/>
  <c r="R90" i="18"/>
  <c r="R210" i="18"/>
  <c r="R60" i="18"/>
  <c r="R30" i="18"/>
  <c r="R182" i="18"/>
  <c r="R242" i="18"/>
  <c r="R212" i="18"/>
  <c r="R152" i="18"/>
  <c r="R122" i="18"/>
  <c r="R62" i="18"/>
  <c r="R92" i="18"/>
  <c r="R32" i="18"/>
  <c r="J183" i="18"/>
  <c r="J243" i="18"/>
  <c r="J213" i="18"/>
  <c r="J93" i="18"/>
  <c r="J153" i="18"/>
  <c r="J123" i="18"/>
  <c r="J63" i="18"/>
  <c r="J33" i="18"/>
  <c r="K183" i="18"/>
  <c r="K243" i="18"/>
  <c r="K213" i="18"/>
  <c r="K123" i="18"/>
  <c r="K93" i="18"/>
  <c r="K153" i="18"/>
  <c r="K63" i="18"/>
  <c r="K33" i="18"/>
  <c r="P149" i="18"/>
  <c r="P59" i="18"/>
  <c r="P89" i="18"/>
  <c r="P29" i="18"/>
  <c r="N146" i="18"/>
  <c r="N56" i="18"/>
  <c r="N86" i="18"/>
  <c r="N26" i="18"/>
  <c r="O149" i="18"/>
  <c r="O59" i="18"/>
  <c r="O29" i="18"/>
  <c r="O89" i="18"/>
  <c r="S146" i="18"/>
  <c r="S86" i="18"/>
  <c r="S26" i="18"/>
  <c r="S56" i="18"/>
  <c r="R89" i="18"/>
  <c r="R149" i="18"/>
  <c r="R59" i="18"/>
  <c r="R29" i="18"/>
  <c r="I145" i="18"/>
  <c r="I55" i="18"/>
  <c r="I85" i="18"/>
  <c r="I25" i="18"/>
  <c r="P147" i="18"/>
  <c r="P87" i="18"/>
  <c r="P57" i="18"/>
  <c r="P27" i="18"/>
  <c r="O148" i="18"/>
  <c r="O88" i="18"/>
  <c r="O28" i="18"/>
  <c r="O58" i="18"/>
  <c r="M148" i="18"/>
  <c r="M88" i="18"/>
  <c r="M58" i="18"/>
  <c r="M28" i="18"/>
  <c r="P86" i="18"/>
  <c r="P146" i="18"/>
  <c r="P56" i="18"/>
  <c r="P26" i="18"/>
  <c r="M181" i="18"/>
  <c r="M241" i="18"/>
  <c r="M211" i="18"/>
  <c r="M151" i="18"/>
  <c r="M91" i="18"/>
  <c r="M61" i="18"/>
  <c r="M31" i="18"/>
  <c r="M121" i="18"/>
  <c r="K181" i="18"/>
  <c r="K211" i="18"/>
  <c r="K151" i="18"/>
  <c r="K61" i="18"/>
  <c r="K121" i="18"/>
  <c r="K241" i="18"/>
  <c r="K91" i="18"/>
  <c r="K31" i="18"/>
  <c r="I144" i="18"/>
  <c r="I54" i="18"/>
  <c r="I84" i="18"/>
  <c r="I24" i="18"/>
  <c r="N145" i="18"/>
  <c r="N85" i="18"/>
  <c r="N25" i="18"/>
  <c r="N55" i="18"/>
  <c r="O145" i="18"/>
  <c r="O55" i="18"/>
  <c r="O85" i="18"/>
  <c r="O25" i="18"/>
  <c r="N180" i="18"/>
  <c r="N240" i="18"/>
  <c r="N210" i="18"/>
  <c r="N150" i="18"/>
  <c r="N60" i="18"/>
  <c r="N120" i="18"/>
  <c r="N90" i="18"/>
  <c r="N30" i="18"/>
  <c r="N182" i="18"/>
  <c r="N152" i="18"/>
  <c r="N242" i="18"/>
  <c r="N212" i="18"/>
  <c r="N122" i="18"/>
  <c r="N92" i="18"/>
  <c r="N62" i="18"/>
  <c r="N32" i="18"/>
  <c r="Q183" i="18"/>
  <c r="Q243" i="18"/>
  <c r="Q213" i="18"/>
  <c r="Q153" i="18"/>
  <c r="Q93" i="18"/>
  <c r="Q63" i="18"/>
  <c r="Q123" i="18"/>
  <c r="Q33" i="18"/>
  <c r="L149" i="18"/>
  <c r="L89" i="18"/>
  <c r="L59" i="18"/>
  <c r="L29" i="18"/>
  <c r="Q182" i="18"/>
  <c r="Q212" i="18"/>
  <c r="Q152" i="18"/>
  <c r="Q62" i="18"/>
  <c r="Q242" i="18"/>
  <c r="Q122" i="18"/>
  <c r="Q32" i="18"/>
  <c r="Q92" i="18"/>
  <c r="N87" i="18"/>
  <c r="N147" i="18"/>
  <c r="N57" i="18"/>
  <c r="N27" i="18"/>
  <c r="O180" i="18"/>
  <c r="O240" i="18"/>
  <c r="O210" i="18"/>
  <c r="O150" i="18"/>
  <c r="O90" i="18"/>
  <c r="O60" i="18"/>
  <c r="O120" i="18"/>
  <c r="O30" i="18"/>
  <c r="I149" i="18"/>
  <c r="I89" i="18"/>
  <c r="I29" i="18"/>
  <c r="I59" i="18"/>
  <c r="L147" i="18"/>
  <c r="L57" i="18"/>
  <c r="L87" i="18"/>
  <c r="L27" i="18"/>
  <c r="K148" i="18"/>
  <c r="K88" i="18"/>
  <c r="K58" i="18"/>
  <c r="K28" i="18"/>
  <c r="R146" i="18"/>
  <c r="R86" i="18"/>
  <c r="R26" i="18"/>
  <c r="R56" i="18"/>
  <c r="R181" i="18"/>
  <c r="R211" i="18"/>
  <c r="R151" i="18"/>
  <c r="R241" i="18"/>
  <c r="R121" i="18"/>
  <c r="R91" i="18"/>
  <c r="R31" i="18"/>
  <c r="R61" i="18"/>
  <c r="R144" i="18"/>
  <c r="R54" i="18"/>
  <c r="R84" i="18"/>
  <c r="R24" i="18"/>
  <c r="Q145" i="18"/>
  <c r="Q85" i="18"/>
  <c r="Q55" i="18"/>
  <c r="Q25" i="18"/>
  <c r="K145" i="18"/>
  <c r="K85" i="18"/>
  <c r="K55" i="18"/>
  <c r="K25" i="18"/>
  <c r="J180" i="18"/>
  <c r="J150" i="18"/>
  <c r="J240" i="18"/>
  <c r="J210" i="18"/>
  <c r="J120" i="18"/>
  <c r="J90" i="18"/>
  <c r="J30" i="18"/>
  <c r="J60" i="18"/>
  <c r="L182" i="18"/>
  <c r="L242" i="18"/>
  <c r="L212" i="18"/>
  <c r="L152" i="18"/>
  <c r="L92" i="18"/>
  <c r="L122" i="18"/>
  <c r="L32" i="18"/>
  <c r="L62" i="18"/>
  <c r="J182" i="18"/>
  <c r="J242" i="18"/>
  <c r="J212" i="18"/>
  <c r="J152" i="18"/>
  <c r="J62" i="18"/>
  <c r="J122" i="18"/>
  <c r="J92" i="18"/>
  <c r="J32" i="18"/>
  <c r="M183" i="18"/>
  <c r="M153" i="18"/>
  <c r="M243" i="18"/>
  <c r="M123" i="18"/>
  <c r="M213" i="18"/>
  <c r="M93" i="18"/>
  <c r="M33" i="18"/>
  <c r="M63" i="18"/>
  <c r="N12" i="27"/>
  <c r="N13" i="27"/>
  <c r="N11" i="27"/>
  <c r="O13" i="27" l="1"/>
  <c r="O11" i="27"/>
  <c r="O12" i="27"/>
  <c r="E5" i="8" l="1"/>
  <c r="L7" i="8"/>
  <c r="M8" i="8"/>
  <c r="H12" i="8"/>
  <c r="J10" i="8"/>
  <c r="O10" i="8"/>
  <c r="H5" i="8"/>
  <c r="F9" i="8"/>
  <c r="O6" i="8"/>
  <c r="M6" i="8"/>
  <c r="O8" i="8"/>
  <c r="L12" i="8"/>
  <c r="F6" i="8"/>
  <c r="I7" i="8"/>
  <c r="N11" i="8"/>
  <c r="F7" i="8"/>
  <c r="I11" i="8"/>
  <c r="L11" i="8"/>
  <c r="I12" i="8"/>
  <c r="O12" i="8"/>
  <c r="G12" i="8"/>
  <c r="L5" i="8"/>
  <c r="M5" i="8"/>
  <c r="I9" i="8"/>
  <c r="K9" i="8"/>
  <c r="M13" i="8"/>
  <c r="G6" i="8"/>
  <c r="H11" i="8"/>
  <c r="J12" i="8"/>
  <c r="L9" i="8"/>
  <c r="G13" i="8"/>
  <c r="O7" i="8"/>
  <c r="M11" i="8"/>
  <c r="G11" i="8"/>
  <c r="N10" i="8"/>
  <c r="F5" i="8"/>
  <c r="F13" i="8"/>
  <c r="L6" i="8"/>
  <c r="AB11" i="1"/>
  <c r="Z11" i="1"/>
  <c r="P11" i="1"/>
  <c r="N11" i="1"/>
  <c r="H14" i="8"/>
  <c r="N14" i="8"/>
  <c r="H8" i="8"/>
  <c r="I10" i="8"/>
  <c r="H9" i="8"/>
  <c r="O13" i="8"/>
  <c r="Y4" i="1"/>
  <c r="E7" i="14" s="1"/>
  <c r="F7" i="14" s="1"/>
  <c r="G7" i="14" s="1"/>
  <c r="H7" i="14" s="1"/>
  <c r="I7" i="14" s="1"/>
  <c r="J7" i="14" s="1"/>
  <c r="K7" i="14" s="1"/>
  <c r="L7" i="14" s="1"/>
  <c r="M7" i="14" s="1"/>
  <c r="N7" i="14" s="1"/>
  <c r="O7" i="14" s="1"/>
  <c r="Y8" i="1"/>
  <c r="E11" i="14" s="1"/>
  <c r="F11" i="14" s="1"/>
  <c r="G11" i="14" s="1"/>
  <c r="H11" i="14" s="1"/>
  <c r="I11" i="14" s="1"/>
  <c r="J11" i="14" s="1"/>
  <c r="K11" i="14" s="1"/>
  <c r="L11" i="14" s="1"/>
  <c r="M11" i="14" s="1"/>
  <c r="N11" i="14" s="1"/>
  <c r="O11" i="14" s="1"/>
  <c r="I14" i="8"/>
  <c r="J14" i="8"/>
  <c r="G8" i="8"/>
  <c r="I8" i="8"/>
  <c r="O5" i="8"/>
  <c r="N9" i="8"/>
  <c r="K13" i="8"/>
  <c r="J13" i="8"/>
  <c r="H13" i="8"/>
  <c r="L14" i="8"/>
  <c r="N12" i="8"/>
  <c r="F11" i="8"/>
  <c r="J11" i="8"/>
  <c r="K14" i="8"/>
  <c r="G14" i="8"/>
  <c r="N8" i="8"/>
  <c r="J8" i="8"/>
  <c r="M10" i="8"/>
  <c r="L10" i="8"/>
  <c r="K10" i="8"/>
  <c r="N6" i="8"/>
  <c r="H7" i="8"/>
  <c r="M14" i="8"/>
  <c r="J9" i="8"/>
  <c r="H6" i="8"/>
  <c r="N7" i="8"/>
  <c r="M7" i="8"/>
  <c r="O11" i="8"/>
  <c r="K11" i="8"/>
  <c r="F14" i="8"/>
  <c r="O14" i="8"/>
  <c r="Y5" i="1"/>
  <c r="E8" i="14" s="1"/>
  <c r="F8" i="14" s="1"/>
  <c r="G8" i="14" s="1"/>
  <c r="H8" i="14" s="1"/>
  <c r="I8" i="14" s="1"/>
  <c r="J8" i="14" s="1"/>
  <c r="K8" i="14" s="1"/>
  <c r="L8" i="14" s="1"/>
  <c r="M8" i="14" s="1"/>
  <c r="N8" i="14" s="1"/>
  <c r="O8" i="14" s="1"/>
  <c r="K12" i="8"/>
  <c r="Y9" i="1"/>
  <c r="E12" i="14" s="1"/>
  <c r="F12" i="14" s="1"/>
  <c r="G12" i="14" s="1"/>
  <c r="H12" i="14" s="1"/>
  <c r="I12" i="14" s="1"/>
  <c r="J12" i="14" s="1"/>
  <c r="K12" i="14" s="1"/>
  <c r="L12" i="14" s="1"/>
  <c r="M12" i="14" s="1"/>
  <c r="N12" i="14" s="1"/>
  <c r="O12" i="14" s="1"/>
  <c r="Y7" i="1"/>
  <c r="E10" i="14" s="1"/>
  <c r="F10" i="14" s="1"/>
  <c r="G10" i="14" s="1"/>
  <c r="H10" i="14" s="1"/>
  <c r="I10" i="14" s="1"/>
  <c r="J10" i="14" s="1"/>
  <c r="K10" i="14" s="1"/>
  <c r="L10" i="14" s="1"/>
  <c r="M10" i="14" s="1"/>
  <c r="N10" i="14" s="1"/>
  <c r="O10" i="14" s="1"/>
  <c r="N5" i="8"/>
  <c r="G9" i="8"/>
  <c r="M9" i="8"/>
  <c r="Y6" i="1"/>
  <c r="E9" i="14" s="1"/>
  <c r="F9" i="14" s="1"/>
  <c r="G9" i="14" s="1"/>
  <c r="H9" i="14" s="1"/>
  <c r="I9" i="14" s="1"/>
  <c r="J9" i="14" s="1"/>
  <c r="K9" i="14" s="1"/>
  <c r="L9" i="14" s="1"/>
  <c r="M9" i="14" s="1"/>
  <c r="N9" i="14" s="1"/>
  <c r="O9" i="14" s="1"/>
  <c r="N13" i="8"/>
  <c r="Y10" i="1"/>
  <c r="E13" i="14" s="1"/>
  <c r="F13" i="14" s="1"/>
  <c r="G13" i="14" s="1"/>
  <c r="H13" i="14" s="1"/>
  <c r="I13" i="14" s="1"/>
  <c r="J13" i="14" s="1"/>
  <c r="K13" i="14" s="1"/>
  <c r="L13" i="14" s="1"/>
  <c r="M13" i="14" s="1"/>
  <c r="N13" i="14" s="1"/>
  <c r="O13" i="14" s="1"/>
  <c r="I6" i="8"/>
  <c r="Y3" i="1"/>
  <c r="E6" i="14" s="1"/>
  <c r="F6" i="14" s="1"/>
  <c r="G6" i="14" s="1"/>
  <c r="H6" i="14" s="1"/>
  <c r="I6" i="14" s="1"/>
  <c r="J6" i="14" s="1"/>
  <c r="K6" i="14" s="1"/>
  <c r="L6" i="14" s="1"/>
  <c r="M6" i="14" s="1"/>
  <c r="N6" i="14" s="1"/>
  <c r="O6" i="14" s="1"/>
  <c r="G7" i="8" l="1"/>
  <c r="G7" i="15" s="1"/>
  <c r="K66" i="18" s="1"/>
  <c r="J7" i="8"/>
  <c r="J7" i="15" s="1"/>
  <c r="N66" i="18" s="1"/>
  <c r="H10" i="8"/>
  <c r="H10" i="15" s="1"/>
  <c r="L69" i="18" s="1"/>
  <c r="L8" i="8"/>
  <c r="L8" i="15" s="1"/>
  <c r="P67" i="18" s="1"/>
  <c r="F10" i="8"/>
  <c r="F10" i="15" s="1"/>
  <c r="J69" i="18" s="1"/>
  <c r="K6" i="8"/>
  <c r="K6" i="15" s="1"/>
  <c r="O65" i="18" s="1"/>
  <c r="G5" i="8"/>
  <c r="K7" i="8"/>
  <c r="K7" i="15" s="1"/>
  <c r="O66" i="18" s="1"/>
  <c r="K8" i="8"/>
  <c r="K8" i="15" s="1"/>
  <c r="O67" i="18" s="1"/>
  <c r="J6" i="8"/>
  <c r="J6" i="15" s="1"/>
  <c r="N65" i="18" s="1"/>
  <c r="M12" i="8"/>
  <c r="M12" i="15" s="1"/>
  <c r="Q71" i="18" s="1"/>
  <c r="F8" i="8"/>
  <c r="F8" i="15" s="1"/>
  <c r="J67" i="18" s="1"/>
  <c r="I13" i="8"/>
  <c r="I13" i="15" s="1"/>
  <c r="M72" i="18" s="1"/>
  <c r="L13" i="8"/>
  <c r="L13" i="15" s="1"/>
  <c r="P72" i="18" s="1"/>
  <c r="F12" i="8"/>
  <c r="F12" i="15" s="1"/>
  <c r="J71" i="18" s="1"/>
  <c r="G10" i="8"/>
  <c r="G10" i="15" s="1"/>
  <c r="K69" i="18" s="1"/>
  <c r="O9" i="8"/>
  <c r="O9" i="15" s="1"/>
  <c r="S68" i="18" s="1"/>
  <c r="J5" i="8"/>
  <c r="Y11" i="1"/>
  <c r="E14" i="14" s="1"/>
  <c r="AE11" i="1"/>
  <c r="E14" i="23" s="1"/>
  <c r="F14" i="23" s="1"/>
  <c r="G14" i="23" s="1"/>
  <c r="H14" i="23" s="1"/>
  <c r="I14" i="23" s="1"/>
  <c r="J14" i="23" s="1"/>
  <c r="K14" i="23" s="1"/>
  <c r="L14" i="23" s="1"/>
  <c r="M14" i="23" s="1"/>
  <c r="N14" i="23" s="1"/>
  <c r="O14" i="23" s="1"/>
  <c r="I11" i="15"/>
  <c r="M70" i="18" s="1"/>
  <c r="L7" i="15"/>
  <c r="P66" i="18" s="1"/>
  <c r="J12" i="15"/>
  <c r="N71" i="18" s="1"/>
  <c r="N11" i="15"/>
  <c r="R70" i="18" s="1"/>
  <c r="H11" i="15"/>
  <c r="L70" i="18" s="1"/>
  <c r="F11" i="15"/>
  <c r="J70" i="18" s="1"/>
  <c r="G11" i="15"/>
  <c r="K70" i="18" s="1"/>
  <c r="K11" i="15"/>
  <c r="O70" i="18" s="1"/>
  <c r="O11" i="15"/>
  <c r="S70" i="18" s="1"/>
  <c r="L12" i="15"/>
  <c r="P71" i="18" s="1"/>
  <c r="N6" i="15"/>
  <c r="R65" i="18" s="1"/>
  <c r="J11" i="15"/>
  <c r="N70" i="18" s="1"/>
  <c r="O12" i="15"/>
  <c r="S71" i="18" s="1"/>
  <c r="N13" i="15"/>
  <c r="R72" i="18" s="1"/>
  <c r="K9" i="15"/>
  <c r="O68" i="18" s="1"/>
  <c r="M6" i="15"/>
  <c r="Q65" i="18" s="1"/>
  <c r="J13" i="15"/>
  <c r="N72" i="18" s="1"/>
  <c r="F9" i="15"/>
  <c r="J68" i="18" s="1"/>
  <c r="E14" i="8"/>
  <c r="E12" i="8"/>
  <c r="E12" i="15" s="1"/>
  <c r="I71" i="18" s="1"/>
  <c r="E6" i="8"/>
  <c r="E6" i="15" s="1"/>
  <c r="I65" i="18" s="1"/>
  <c r="E11" i="8"/>
  <c r="E11" i="15" s="1"/>
  <c r="I70" i="18" s="1"/>
  <c r="E13" i="8"/>
  <c r="E13" i="15" s="1"/>
  <c r="I72" i="18" s="1"/>
  <c r="E9" i="8"/>
  <c r="E9" i="15" s="1"/>
  <c r="I68" i="18" s="1"/>
  <c r="L6" i="15"/>
  <c r="P65" i="18" s="1"/>
  <c r="G9" i="15"/>
  <c r="K68" i="18" s="1"/>
  <c r="E10" i="8"/>
  <c r="E10" i="15" s="1"/>
  <c r="I69" i="18" s="1"/>
  <c r="E8" i="8"/>
  <c r="E8" i="15" s="1"/>
  <c r="I67" i="18" s="1"/>
  <c r="M7" i="15"/>
  <c r="Q66" i="18" s="1"/>
  <c r="N7" i="15"/>
  <c r="R66" i="18" s="1"/>
  <c r="K10" i="15"/>
  <c r="O69" i="18" s="1"/>
  <c r="M10" i="15"/>
  <c r="Q69" i="18" s="1"/>
  <c r="J8" i="15"/>
  <c r="N67" i="18" s="1"/>
  <c r="N8" i="15"/>
  <c r="R67" i="18" s="1"/>
  <c r="G13" i="15"/>
  <c r="K72" i="18" s="1"/>
  <c r="O6" i="15"/>
  <c r="S65" i="18" s="1"/>
  <c r="H13" i="15"/>
  <c r="L72" i="18" s="1"/>
  <c r="K13" i="15"/>
  <c r="O72" i="18" s="1"/>
  <c r="N9" i="15"/>
  <c r="R68" i="18" s="1"/>
  <c r="I8" i="15"/>
  <c r="M67" i="18" s="1"/>
  <c r="E7" i="8"/>
  <c r="E7" i="15" s="1"/>
  <c r="I66" i="18" s="1"/>
  <c r="F6" i="15"/>
  <c r="J65" i="18" s="1"/>
  <c r="H8" i="15"/>
  <c r="L67" i="18" s="1"/>
  <c r="L11" i="15"/>
  <c r="P70" i="18" s="1"/>
  <c r="F7" i="15"/>
  <c r="J66" i="18" s="1"/>
  <c r="F13" i="15"/>
  <c r="J72" i="18" s="1"/>
  <c r="K12" i="15"/>
  <c r="O71" i="18" s="1"/>
  <c r="H7" i="15"/>
  <c r="L66" i="18" s="1"/>
  <c r="M13" i="15"/>
  <c r="Q72" i="18" s="1"/>
  <c r="I9" i="15"/>
  <c r="M68" i="18" s="1"/>
  <c r="L10" i="15"/>
  <c r="P69" i="18" s="1"/>
  <c r="G12" i="15"/>
  <c r="K71" i="18" s="1"/>
  <c r="L9" i="15"/>
  <c r="P68" i="18" s="1"/>
  <c r="N12" i="15"/>
  <c r="R71" i="18" s="1"/>
  <c r="O10" i="15"/>
  <c r="S69" i="18" s="1"/>
  <c r="H12" i="15"/>
  <c r="L71" i="18" s="1"/>
  <c r="M8" i="15"/>
  <c r="Q67" i="18" s="1"/>
  <c r="M11" i="15"/>
  <c r="Q70" i="18" s="1"/>
  <c r="O13" i="15"/>
  <c r="S72" i="18" s="1"/>
  <c r="I10" i="15"/>
  <c r="M69" i="18" s="1"/>
  <c r="O8" i="15"/>
  <c r="S67" i="18" s="1"/>
  <c r="I6" i="15"/>
  <c r="M65" i="18" s="1"/>
  <c r="M9" i="15"/>
  <c r="Q68" i="18" s="1"/>
  <c r="N10" i="15"/>
  <c r="R69" i="18" s="1"/>
  <c r="I7" i="15"/>
  <c r="M66" i="18" s="1"/>
  <c r="H6" i="15"/>
  <c r="L65" i="18" s="1"/>
  <c r="J9" i="15"/>
  <c r="N68" i="18" s="1"/>
  <c r="G6" i="15"/>
  <c r="K65" i="18" s="1"/>
  <c r="I12" i="15"/>
  <c r="M71" i="18" s="1"/>
  <c r="J10" i="15"/>
  <c r="N69" i="18" s="1"/>
  <c r="G8" i="15"/>
  <c r="K67" i="18" s="1"/>
  <c r="O7" i="15"/>
  <c r="S66" i="18" s="1"/>
  <c r="H9" i="15"/>
  <c r="L68" i="18" s="1"/>
  <c r="P160" i="18" l="1"/>
  <c r="P100" i="18"/>
  <c r="P220" i="18"/>
  <c r="P190" i="18"/>
  <c r="P130" i="18"/>
  <c r="P10" i="18"/>
  <c r="I160" i="18"/>
  <c r="I220" i="18"/>
  <c r="I190" i="18"/>
  <c r="I130" i="18"/>
  <c r="I100" i="18"/>
  <c r="I10" i="18"/>
  <c r="O160" i="18"/>
  <c r="O220" i="18"/>
  <c r="O190" i="18"/>
  <c r="O130" i="18"/>
  <c r="O100" i="18"/>
  <c r="O10" i="18"/>
  <c r="P127" i="18"/>
  <c r="P7" i="18"/>
  <c r="L128" i="18"/>
  <c r="L8" i="18"/>
  <c r="M126" i="18"/>
  <c r="M6" i="18"/>
  <c r="Q160" i="18"/>
  <c r="Q100" i="18"/>
  <c r="Q220" i="18"/>
  <c r="Q190" i="18"/>
  <c r="Q130" i="18"/>
  <c r="Q10" i="18"/>
  <c r="P129" i="18"/>
  <c r="P9" i="18"/>
  <c r="L127" i="18"/>
  <c r="L7" i="18"/>
  <c r="Q126" i="18"/>
  <c r="Q6" i="18"/>
  <c r="O128" i="18"/>
  <c r="O8" i="18"/>
  <c r="K160" i="18"/>
  <c r="K130" i="18"/>
  <c r="K100" i="18"/>
  <c r="K220" i="18"/>
  <c r="K190" i="18"/>
  <c r="K10" i="18"/>
  <c r="Q161" i="18"/>
  <c r="Q131" i="18"/>
  <c r="Q101" i="18"/>
  <c r="Q221" i="18"/>
  <c r="Q191" i="18"/>
  <c r="Q11" i="18"/>
  <c r="L129" i="18"/>
  <c r="L9" i="18"/>
  <c r="J126" i="18"/>
  <c r="J6" i="18"/>
  <c r="S160" i="18"/>
  <c r="S130" i="18"/>
  <c r="S100" i="18"/>
  <c r="S220" i="18"/>
  <c r="S190" i="18"/>
  <c r="S10" i="18"/>
  <c r="L125" i="18"/>
  <c r="L5" i="18"/>
  <c r="K161" i="18"/>
  <c r="K191" i="18"/>
  <c r="K131" i="18"/>
  <c r="K101" i="18"/>
  <c r="K221" i="18"/>
  <c r="K11" i="18"/>
  <c r="S125" i="18"/>
  <c r="S5" i="18"/>
  <c r="R126" i="18"/>
  <c r="R6" i="18"/>
  <c r="Q125" i="18"/>
  <c r="Q5" i="18"/>
  <c r="J127" i="18"/>
  <c r="J7" i="18"/>
  <c r="S126" i="18"/>
  <c r="S6" i="18"/>
  <c r="R129" i="18"/>
  <c r="R9" i="18"/>
  <c r="Q127" i="18"/>
  <c r="Q7" i="18"/>
  <c r="M8" i="18"/>
  <c r="M128" i="18"/>
  <c r="J125" i="18"/>
  <c r="J5" i="18"/>
  <c r="I127" i="18"/>
  <c r="I7" i="18"/>
  <c r="I125" i="18"/>
  <c r="I5" i="18"/>
  <c r="R162" i="18"/>
  <c r="R222" i="18"/>
  <c r="R192" i="18"/>
  <c r="R132" i="18"/>
  <c r="R102" i="18"/>
  <c r="R12" i="18"/>
  <c r="J160" i="18"/>
  <c r="J130" i="18"/>
  <c r="J100" i="18"/>
  <c r="J220" i="18"/>
  <c r="J190" i="18"/>
  <c r="J10" i="18"/>
  <c r="N125" i="18"/>
  <c r="N5" i="18"/>
  <c r="N126" i="18"/>
  <c r="N6" i="18"/>
  <c r="M160" i="18"/>
  <c r="M190" i="18"/>
  <c r="M130" i="18"/>
  <c r="M100" i="18"/>
  <c r="M220" i="18"/>
  <c r="M10" i="18"/>
  <c r="Q162" i="18"/>
  <c r="Q192" i="18"/>
  <c r="Q132" i="18"/>
  <c r="Q102" i="18"/>
  <c r="Q12" i="18"/>
  <c r="Q222" i="18"/>
  <c r="K126" i="18"/>
  <c r="K6" i="18"/>
  <c r="N128" i="18"/>
  <c r="N8" i="18"/>
  <c r="O129" i="18"/>
  <c r="O9" i="18"/>
  <c r="M162" i="18"/>
  <c r="M102" i="18"/>
  <c r="M222" i="18"/>
  <c r="M192" i="18"/>
  <c r="M132" i="18"/>
  <c r="M12" i="18"/>
  <c r="Q128" i="18"/>
  <c r="Q8" i="18"/>
  <c r="I129" i="18"/>
  <c r="I9" i="18"/>
  <c r="S128" i="18"/>
  <c r="S8" i="18"/>
  <c r="N129" i="18"/>
  <c r="N9" i="18"/>
  <c r="M125" i="18"/>
  <c r="M5" i="18"/>
  <c r="S129" i="18"/>
  <c r="S9" i="18"/>
  <c r="L126" i="18"/>
  <c r="L6" i="18"/>
  <c r="M127" i="18"/>
  <c r="M7" i="18"/>
  <c r="R127" i="18"/>
  <c r="R7" i="18"/>
  <c r="K128" i="18"/>
  <c r="K8" i="18"/>
  <c r="I161" i="18"/>
  <c r="I221" i="18"/>
  <c r="I191" i="18"/>
  <c r="I131" i="18"/>
  <c r="I101" i="18"/>
  <c r="I11" i="18"/>
  <c r="N160" i="18"/>
  <c r="N220" i="18"/>
  <c r="N190" i="18"/>
  <c r="N130" i="18"/>
  <c r="N100" i="18"/>
  <c r="N10" i="18"/>
  <c r="R160" i="18"/>
  <c r="R130" i="18"/>
  <c r="R100" i="18"/>
  <c r="R220" i="18"/>
  <c r="R190" i="18"/>
  <c r="R10" i="18"/>
  <c r="K129" i="18"/>
  <c r="K9" i="18"/>
  <c r="O126" i="18"/>
  <c r="O6" i="18"/>
  <c r="S162" i="18"/>
  <c r="S222" i="18"/>
  <c r="S192" i="18"/>
  <c r="S132" i="18"/>
  <c r="S102" i="18"/>
  <c r="S12" i="18"/>
  <c r="N162" i="18"/>
  <c r="N132" i="18"/>
  <c r="N102" i="18"/>
  <c r="N222" i="18"/>
  <c r="N192" i="18"/>
  <c r="N12" i="18"/>
  <c r="K127" i="18"/>
  <c r="K7" i="18"/>
  <c r="I126" i="18"/>
  <c r="I6" i="18"/>
  <c r="O127" i="18"/>
  <c r="O7" i="18"/>
  <c r="M161" i="18"/>
  <c r="M221" i="18"/>
  <c r="M191" i="18"/>
  <c r="M131" i="18"/>
  <c r="M101" i="18"/>
  <c r="M11" i="18"/>
  <c r="S127" i="18"/>
  <c r="S7" i="18"/>
  <c r="R161" i="18"/>
  <c r="R191" i="18"/>
  <c r="R131" i="18"/>
  <c r="R101" i="18"/>
  <c r="R221" i="18"/>
  <c r="R11" i="18"/>
  <c r="O161" i="18"/>
  <c r="O101" i="18"/>
  <c r="O221" i="18"/>
  <c r="O191" i="18"/>
  <c r="O11" i="18"/>
  <c r="O131" i="18"/>
  <c r="R128" i="18"/>
  <c r="R8" i="18"/>
  <c r="N127" i="18"/>
  <c r="N7" i="18"/>
  <c r="P125" i="18"/>
  <c r="P5" i="18"/>
  <c r="R125" i="18"/>
  <c r="R5" i="18"/>
  <c r="N161" i="18"/>
  <c r="N101" i="18"/>
  <c r="N221" i="18"/>
  <c r="N191" i="18"/>
  <c r="N131" i="18"/>
  <c r="N11" i="18"/>
  <c r="J161" i="18"/>
  <c r="J191" i="18"/>
  <c r="J131" i="18"/>
  <c r="J101" i="18"/>
  <c r="J221" i="18"/>
  <c r="J11" i="18"/>
  <c r="L162" i="18"/>
  <c r="L102" i="18"/>
  <c r="L222" i="18"/>
  <c r="L192" i="18"/>
  <c r="L132" i="18"/>
  <c r="L12" i="18"/>
  <c r="J129" i="18"/>
  <c r="J9" i="18"/>
  <c r="L161" i="18"/>
  <c r="L221" i="18"/>
  <c r="L191" i="18"/>
  <c r="L131" i="18"/>
  <c r="L101" i="18"/>
  <c r="L11" i="18"/>
  <c r="K162" i="18"/>
  <c r="K222" i="18"/>
  <c r="K192" i="18"/>
  <c r="K132" i="18"/>
  <c r="K12" i="18"/>
  <c r="K102" i="18"/>
  <c r="S161" i="18"/>
  <c r="S191" i="18"/>
  <c r="S131" i="18"/>
  <c r="S101" i="18"/>
  <c r="S221" i="18"/>
  <c r="S11" i="18"/>
  <c r="L160" i="18"/>
  <c r="L190" i="18"/>
  <c r="L130" i="18"/>
  <c r="L100" i="18"/>
  <c r="L220" i="18"/>
  <c r="L10" i="18"/>
  <c r="K5" i="18"/>
  <c r="K125" i="18"/>
  <c r="M129" i="18"/>
  <c r="M9" i="18"/>
  <c r="P128" i="18"/>
  <c r="P8" i="18"/>
  <c r="J162" i="18"/>
  <c r="J222" i="18"/>
  <c r="J192" i="18"/>
  <c r="J132" i="18"/>
  <c r="J102" i="18"/>
  <c r="J12" i="18"/>
  <c r="O162" i="18"/>
  <c r="O132" i="18"/>
  <c r="O102" i="18"/>
  <c r="O222" i="18"/>
  <c r="O192" i="18"/>
  <c r="O12" i="18"/>
  <c r="Q129" i="18"/>
  <c r="Q9" i="18"/>
  <c r="I128" i="18"/>
  <c r="I8" i="18"/>
  <c r="J128" i="18"/>
  <c r="J8" i="18"/>
  <c r="P161" i="18"/>
  <c r="P131" i="18"/>
  <c r="P101" i="18"/>
  <c r="P221" i="18"/>
  <c r="P191" i="18"/>
  <c r="P11" i="18"/>
  <c r="P126" i="18"/>
  <c r="P6" i="18"/>
  <c r="P162" i="18"/>
  <c r="P192" i="18"/>
  <c r="P132" i="18"/>
  <c r="P102" i="18"/>
  <c r="P222" i="18"/>
  <c r="P12" i="18"/>
  <c r="O125" i="18"/>
  <c r="O5" i="18"/>
  <c r="I162" i="18"/>
  <c r="I222" i="18"/>
  <c r="I192" i="18"/>
  <c r="I132" i="18"/>
  <c r="I102" i="18"/>
  <c r="I12" i="18"/>
  <c r="F14" i="14"/>
  <c r="G14" i="14" s="1"/>
  <c r="H14" i="14" s="1"/>
  <c r="I14" i="14" s="1"/>
  <c r="J14" i="14" s="1"/>
  <c r="K14" i="14" s="1"/>
  <c r="L14" i="14" s="1"/>
  <c r="M14" i="14" s="1"/>
  <c r="N14" i="14" s="1"/>
  <c r="O14" i="14" s="1"/>
  <c r="O14" i="15" s="1"/>
  <c r="S73" i="18" s="1"/>
  <c r="E14" i="15"/>
  <c r="I73" i="18" s="1"/>
  <c r="S163" i="18" l="1"/>
  <c r="S103" i="18"/>
  <c r="S223" i="18"/>
  <c r="S193" i="18"/>
  <c r="S133" i="18"/>
  <c r="S13" i="18"/>
  <c r="I163" i="18"/>
  <c r="I133" i="18"/>
  <c r="I223" i="18"/>
  <c r="I103" i="18"/>
  <c r="I193" i="18"/>
  <c r="I13" i="18"/>
  <c r="G14" i="15"/>
  <c r="K73" i="18" s="1"/>
  <c r="J14" i="15"/>
  <c r="N73" i="18" s="1"/>
  <c r="N14" i="15"/>
  <c r="R73" i="18" s="1"/>
  <c r="H14" i="15"/>
  <c r="L73" i="18" s="1"/>
  <c r="M14" i="15"/>
  <c r="Q73" i="18" s="1"/>
  <c r="F14" i="15"/>
  <c r="J73" i="18" s="1"/>
  <c r="K14" i="15"/>
  <c r="O73" i="18" s="1"/>
  <c r="I14" i="15"/>
  <c r="M73" i="18" s="1"/>
  <c r="L14" i="15"/>
  <c r="P73" i="18" s="1"/>
  <c r="J163" i="18" l="1"/>
  <c r="J223" i="18"/>
  <c r="J193" i="18"/>
  <c r="J133" i="18"/>
  <c r="J103" i="18"/>
  <c r="J13" i="18"/>
  <c r="Q163" i="18"/>
  <c r="Q223" i="18"/>
  <c r="Q193" i="18"/>
  <c r="Q133" i="18"/>
  <c r="Q103" i="18"/>
  <c r="Q13" i="18"/>
  <c r="L163" i="18"/>
  <c r="L133" i="18"/>
  <c r="L103" i="18"/>
  <c r="L223" i="18"/>
  <c r="L193" i="18"/>
  <c r="L13" i="18"/>
  <c r="R163" i="18"/>
  <c r="R223" i="18"/>
  <c r="R193" i="18"/>
  <c r="R133" i="18"/>
  <c r="R103" i="18"/>
  <c r="R13" i="18"/>
  <c r="P163" i="18"/>
  <c r="P223" i="18"/>
  <c r="P193" i="18"/>
  <c r="P133" i="18"/>
  <c r="P103" i="18"/>
  <c r="P13" i="18"/>
  <c r="K163" i="18"/>
  <c r="K103" i="18"/>
  <c r="K223" i="18"/>
  <c r="K193" i="18"/>
  <c r="K133" i="18"/>
  <c r="K13" i="18"/>
  <c r="N163" i="18"/>
  <c r="N193" i="18"/>
  <c r="N133" i="18"/>
  <c r="N103" i="18"/>
  <c r="N223" i="18"/>
  <c r="N13" i="18"/>
  <c r="M163" i="18"/>
  <c r="M133" i="18"/>
  <c r="M103" i="18"/>
  <c r="M223" i="18"/>
  <c r="M193" i="18"/>
  <c r="M13" i="18"/>
  <c r="O163" i="18"/>
  <c r="O193" i="18"/>
  <c r="O133" i="18"/>
  <c r="O103" i="18"/>
  <c r="O223" i="18"/>
  <c r="O13" i="18"/>
  <c r="P2" i="1" l="1"/>
  <c r="I5" i="8" l="1"/>
  <c r="K5" i="8"/>
  <c r="AE2" i="1"/>
  <c r="E5" i="23" s="1"/>
  <c r="F5" i="23" s="1"/>
  <c r="G5" i="23" s="1"/>
  <c r="H5" i="23" s="1"/>
  <c r="I5" i="23" s="1"/>
  <c r="J5" i="23" s="1"/>
  <c r="K5" i="23" s="1"/>
  <c r="L5" i="23" s="1"/>
  <c r="M5" i="23" s="1"/>
  <c r="N5" i="23" s="1"/>
  <c r="O5" i="23" s="1"/>
  <c r="Y2" i="1"/>
  <c r="E5" i="14" s="1"/>
  <c r="E5" i="15" l="1"/>
  <c r="I64" i="18" s="1"/>
  <c r="F5" i="14"/>
  <c r="G5" i="14" s="1"/>
  <c r="H5" i="14" s="1"/>
  <c r="I5" i="14" s="1"/>
  <c r="J5" i="14" s="1"/>
  <c r="K5" i="14" s="1"/>
  <c r="L5" i="14" s="1"/>
  <c r="M5" i="14" s="1"/>
  <c r="N5" i="14" s="1"/>
  <c r="O5" i="14" s="1"/>
  <c r="I124" i="18" l="1"/>
  <c r="I4" i="18"/>
  <c r="F5" i="15"/>
  <c r="J64" i="18" s="1"/>
  <c r="J124" i="18" l="1"/>
  <c r="J4" i="18"/>
  <c r="G5" i="15"/>
  <c r="K64" i="18" s="1"/>
  <c r="K124" i="18" l="1"/>
  <c r="K4" i="18"/>
  <c r="H5" i="15"/>
  <c r="L64" i="18" s="1"/>
  <c r="L124" i="18" l="1"/>
  <c r="L4" i="18"/>
  <c r="I5" i="15"/>
  <c r="M64" i="18" s="1"/>
  <c r="M124" i="18" l="1"/>
  <c r="M4" i="18"/>
  <c r="J5" i="15"/>
  <c r="N64" i="18" s="1"/>
  <c r="N124" i="18" l="1"/>
  <c r="N4" i="18"/>
  <c r="K5" i="15"/>
  <c r="O64" i="18" s="1"/>
  <c r="O124" i="18" l="1"/>
  <c r="O4" i="18"/>
  <c r="L5" i="15"/>
  <c r="P64" i="18" s="1"/>
  <c r="P124" i="18" l="1"/>
  <c r="P4" i="18"/>
  <c r="M5" i="15"/>
  <c r="Q64" i="18" s="1"/>
  <c r="Q124" i="18" l="1"/>
  <c r="Q4" i="18"/>
  <c r="N5" i="15"/>
  <c r="R64" i="18" s="1"/>
  <c r="O5" i="15"/>
  <c r="S64" i="18" s="1"/>
  <c r="S124" i="18" l="1"/>
  <c r="S4" i="18"/>
  <c r="R124" i="18"/>
  <c r="R4" i="18"/>
  <c r="F46" i="9"/>
  <c r="F47" i="9"/>
  <c r="F48" i="9"/>
  <c r="Y18" i="1"/>
  <c r="E21" i="14" s="1"/>
  <c r="F21" i="14" s="1"/>
  <c r="G21" i="14" s="1"/>
  <c r="H21" i="14" s="1"/>
  <c r="I21" i="14" s="1"/>
  <c r="J21" i="14" s="1"/>
  <c r="K21" i="14" s="1"/>
  <c r="L21" i="14" s="1"/>
  <c r="M21" i="14" s="1"/>
  <c r="N21" i="14" s="1"/>
  <c r="O21" i="14" s="1"/>
  <c r="F53" i="9"/>
  <c r="Y21" i="1"/>
  <c r="E24" i="14" s="1"/>
  <c r="F24" i="14" s="1"/>
  <c r="G24" i="14" s="1"/>
  <c r="H24" i="14" s="1"/>
  <c r="I24" i="14" s="1"/>
  <c r="J24" i="14" s="1"/>
  <c r="K24" i="14" s="1"/>
  <c r="L24" i="14" s="1"/>
  <c r="M24" i="14" s="1"/>
  <c r="N24" i="14" s="1"/>
  <c r="O24" i="14" s="1"/>
  <c r="Y20" i="1"/>
  <c r="E23" i="14" s="1"/>
  <c r="F23" i="14" s="1"/>
  <c r="G23" i="14" s="1"/>
  <c r="H23" i="14" s="1"/>
  <c r="I23" i="14" s="1"/>
  <c r="J23" i="14" s="1"/>
  <c r="K23" i="14" s="1"/>
  <c r="L23" i="14" s="1"/>
  <c r="M23" i="14" s="1"/>
  <c r="N23" i="14" s="1"/>
  <c r="O23" i="14" s="1"/>
  <c r="Y19" i="1"/>
  <c r="E22" i="14" s="1"/>
  <c r="F22" i="14" s="1"/>
  <c r="G22" i="14" s="1"/>
  <c r="H22" i="14" s="1"/>
  <c r="I22" i="14" s="1"/>
  <c r="J22" i="14" s="1"/>
  <c r="K22" i="14" s="1"/>
  <c r="L22" i="14" s="1"/>
  <c r="M22" i="14" s="1"/>
  <c r="N22" i="14" s="1"/>
  <c r="O22" i="14" s="1"/>
  <c r="F49" i="9"/>
  <c r="F45" i="9"/>
  <c r="F50" i="9" l="1"/>
  <c r="F21" i="2" s="1" a="1"/>
  <c r="F21" i="2" s="1"/>
  <c r="F36" i="9"/>
  <c r="F20" i="2" a="1"/>
  <c r="F20" i="2" s="1"/>
  <c r="F40" i="9"/>
  <c r="F24" i="2" a="1"/>
  <c r="F24" i="2" s="1"/>
  <c r="F34" i="9"/>
  <c r="F18" i="2" a="1"/>
  <c r="F18" i="2" s="1"/>
  <c r="F35" i="9"/>
  <c r="F19" i="2" a="1"/>
  <c r="F19" i="2" s="1"/>
  <c r="F32" i="9"/>
  <c r="F16" i="2" a="1"/>
  <c r="F16" i="2" s="1"/>
  <c r="F33" i="9"/>
  <c r="F17" i="2" a="1"/>
  <c r="F17" i="2" s="1"/>
  <c r="E23" i="8"/>
  <c r="E23" i="15" s="1"/>
  <c r="E21" i="8"/>
  <c r="E21" i="15" s="1"/>
  <c r="F37" i="9"/>
  <c r="E22" i="8"/>
  <c r="E22" i="15" s="1"/>
  <c r="E15" i="8"/>
  <c r="Y12" i="1"/>
  <c r="E15" i="14" s="1"/>
  <c r="F15" i="14" s="1"/>
  <c r="G15" i="14" s="1"/>
  <c r="H15" i="14" s="1"/>
  <c r="I15" i="14" s="1"/>
  <c r="J15" i="14" s="1"/>
  <c r="K15" i="14" s="1"/>
  <c r="L15" i="14" s="1"/>
  <c r="M15" i="14" s="1"/>
  <c r="N15" i="14" s="1"/>
  <c r="O15" i="14" s="1"/>
  <c r="Y17" i="1"/>
  <c r="E20" i="14" s="1"/>
  <c r="F20" i="14" s="1"/>
  <c r="G20" i="14" s="1"/>
  <c r="H20" i="14" s="1"/>
  <c r="I20" i="14" s="1"/>
  <c r="J20" i="14" s="1"/>
  <c r="K20" i="14" s="1"/>
  <c r="L20" i="14" s="1"/>
  <c r="M20" i="14" s="1"/>
  <c r="N20" i="14" s="1"/>
  <c r="O20" i="14" s="1"/>
  <c r="F52" i="9"/>
  <c r="F51" i="9"/>
  <c r="F44" i="9"/>
  <c r="I170" i="18" l="1"/>
  <c r="I230" i="18"/>
  <c r="I200" i="18"/>
  <c r="I110" i="18"/>
  <c r="I140" i="18"/>
  <c r="I80" i="18"/>
  <c r="I50" i="18"/>
  <c r="I20" i="18"/>
  <c r="I172" i="18"/>
  <c r="I142" i="18"/>
  <c r="I232" i="18"/>
  <c r="I202" i="18"/>
  <c r="I112" i="18"/>
  <c r="I82" i="18"/>
  <c r="I52" i="18"/>
  <c r="I22" i="18"/>
  <c r="I171" i="18"/>
  <c r="I141" i="18"/>
  <c r="I231" i="18"/>
  <c r="I201" i="18"/>
  <c r="I111" i="18"/>
  <c r="I81" i="18"/>
  <c r="I21" i="18"/>
  <c r="I51" i="18"/>
  <c r="H37" i="9"/>
  <c r="H50" i="9"/>
  <c r="H21" i="2" s="1" a="1"/>
  <c r="H21" i="2" s="1"/>
  <c r="G35" i="9"/>
  <c r="G48" i="9"/>
  <c r="G19" i="2" s="1" a="1"/>
  <c r="G19" i="2" s="1"/>
  <c r="G33" i="9"/>
  <c r="G46" i="9"/>
  <c r="G17" i="2" s="1" a="1"/>
  <c r="G17" i="2" s="1"/>
  <c r="F38" i="9"/>
  <c r="F22" i="2" a="1"/>
  <c r="F22" i="2" s="1"/>
  <c r="G40" i="9"/>
  <c r="G53" i="9"/>
  <c r="G24" i="2" s="1" a="1"/>
  <c r="G24" i="2" s="1"/>
  <c r="G32" i="9"/>
  <c r="G45" i="9"/>
  <c r="G16" i="2" s="1" a="1"/>
  <c r="G16" i="2" s="1"/>
  <c r="F39" i="9"/>
  <c r="F23" i="2" a="1"/>
  <c r="F23" i="2" s="1"/>
  <c r="F31" i="9"/>
  <c r="F15" i="2" a="1"/>
  <c r="F15" i="2" s="1"/>
  <c r="G34" i="9"/>
  <c r="G47" i="9"/>
  <c r="G18" i="2" s="1" a="1"/>
  <c r="G18" i="2" s="1"/>
  <c r="G36" i="9"/>
  <c r="G49" i="9"/>
  <c r="G20" i="2" s="1" a="1"/>
  <c r="G20" i="2" s="1"/>
  <c r="G37" i="9"/>
  <c r="G50" i="9"/>
  <c r="E24" i="8"/>
  <c r="E24" i="15" s="1"/>
  <c r="E15" i="15"/>
  <c r="Y14" i="1"/>
  <c r="E17" i="14" s="1"/>
  <c r="F17" i="14" s="1"/>
  <c r="G17" i="14" s="1"/>
  <c r="H17" i="14" s="1"/>
  <c r="I17" i="14" s="1"/>
  <c r="J17" i="14" s="1"/>
  <c r="K17" i="14" s="1"/>
  <c r="L17" i="14" s="1"/>
  <c r="M17" i="14" s="1"/>
  <c r="N17" i="14" s="1"/>
  <c r="O17" i="14" s="1"/>
  <c r="Y15" i="1"/>
  <c r="E18" i="14" s="1"/>
  <c r="F18" i="14" s="1"/>
  <c r="G18" i="14" s="1"/>
  <c r="H18" i="14" s="1"/>
  <c r="I18" i="14" s="1"/>
  <c r="J18" i="14" s="1"/>
  <c r="K18" i="14" s="1"/>
  <c r="L18" i="14" s="1"/>
  <c r="M18" i="14" s="1"/>
  <c r="N18" i="14" s="1"/>
  <c r="O18" i="14" s="1"/>
  <c r="E20" i="8"/>
  <c r="E20" i="15" s="1"/>
  <c r="Y13" i="1"/>
  <c r="E16" i="14" s="1"/>
  <c r="F16" i="14" s="1"/>
  <c r="G16" i="14" s="1"/>
  <c r="H16" i="14" s="1"/>
  <c r="I16" i="14" s="1"/>
  <c r="J16" i="14" s="1"/>
  <c r="K16" i="14" s="1"/>
  <c r="L16" i="14" s="1"/>
  <c r="M16" i="14" s="1"/>
  <c r="N16" i="14" s="1"/>
  <c r="O16" i="14" s="1"/>
  <c r="Y16" i="1"/>
  <c r="E19" i="14" s="1"/>
  <c r="F19" i="14" s="1"/>
  <c r="G19" i="14" s="1"/>
  <c r="H19" i="14" s="1"/>
  <c r="I19" i="14" s="1"/>
  <c r="J19" i="14" s="1"/>
  <c r="K19" i="14" s="1"/>
  <c r="L19" i="14" s="1"/>
  <c r="M19" i="14" s="1"/>
  <c r="N19" i="14" s="1"/>
  <c r="O19" i="14" s="1"/>
  <c r="E17" i="8"/>
  <c r="F18" i="8"/>
  <c r="F20" i="8"/>
  <c r="F20" i="15" s="1"/>
  <c r="F17" i="8"/>
  <c r="F19" i="8"/>
  <c r="F21" i="8"/>
  <c r="F21" i="15" s="1"/>
  <c r="F24" i="8"/>
  <c r="F24" i="15" s="1"/>
  <c r="F16" i="8"/>
  <c r="I173" i="18" l="1"/>
  <c r="I203" i="18"/>
  <c r="I143" i="18"/>
  <c r="I233" i="18"/>
  <c r="I113" i="18"/>
  <c r="I83" i="18"/>
  <c r="I23" i="18"/>
  <c r="I53" i="18"/>
  <c r="J139" i="18"/>
  <c r="J79" i="18"/>
  <c r="J49" i="18"/>
  <c r="J19" i="18"/>
  <c r="I134" i="18"/>
  <c r="I74" i="18"/>
  <c r="I14" i="18"/>
  <c r="I44" i="18"/>
  <c r="J173" i="18"/>
  <c r="J203" i="18"/>
  <c r="J143" i="18"/>
  <c r="J113" i="18"/>
  <c r="J233" i="18"/>
  <c r="J83" i="18"/>
  <c r="J23" i="18"/>
  <c r="J53" i="18"/>
  <c r="I139" i="18"/>
  <c r="I79" i="18"/>
  <c r="I49" i="18"/>
  <c r="I19" i="18"/>
  <c r="J170" i="18"/>
  <c r="J230" i="18"/>
  <c r="J200" i="18"/>
  <c r="J140" i="18"/>
  <c r="J110" i="18"/>
  <c r="J50" i="18"/>
  <c r="J80" i="18"/>
  <c r="J20" i="18"/>
  <c r="G21" i="2" a="1"/>
  <c r="G21" i="2" s="1"/>
  <c r="G21" i="8" s="1"/>
  <c r="G21" i="15" s="1"/>
  <c r="G39" i="9"/>
  <c r="G52" i="9"/>
  <c r="G23" i="2" s="1" a="1"/>
  <c r="G23" i="2" s="1"/>
  <c r="H40" i="9"/>
  <c r="H53" i="9"/>
  <c r="H24" i="2" s="1" a="1"/>
  <c r="H24" i="2" s="1"/>
  <c r="H35" i="9"/>
  <c r="H48" i="9"/>
  <c r="H19" i="2" s="1" a="1"/>
  <c r="H19" i="2" s="1"/>
  <c r="I37" i="9"/>
  <c r="I50" i="9"/>
  <c r="I21" i="2" s="1" a="1"/>
  <c r="I21" i="2" s="1"/>
  <c r="G38" i="9"/>
  <c r="G51" i="9"/>
  <c r="G22" i="2" s="1" a="1"/>
  <c r="G22" i="2" s="1"/>
  <c r="H36" i="9"/>
  <c r="H49" i="9"/>
  <c r="H20" i="2" s="1" a="1"/>
  <c r="H20" i="2" s="1"/>
  <c r="G31" i="9"/>
  <c r="G44" i="9"/>
  <c r="G15" i="2" s="1" a="1"/>
  <c r="G15" i="2" s="1"/>
  <c r="H32" i="9"/>
  <c r="H45" i="9"/>
  <c r="H16" i="2" s="1" a="1"/>
  <c r="H16" i="2" s="1"/>
  <c r="H34" i="9"/>
  <c r="H47" i="9"/>
  <c r="H18" i="2" s="1" a="1"/>
  <c r="H18" i="2" s="1"/>
  <c r="H33" i="9"/>
  <c r="H46" i="9"/>
  <c r="H17" i="2" s="1" a="1"/>
  <c r="H17" i="2" s="1"/>
  <c r="F19" i="15"/>
  <c r="E17" i="15"/>
  <c r="F17" i="15"/>
  <c r="F16" i="15"/>
  <c r="E18" i="8"/>
  <c r="E18" i="15" s="1"/>
  <c r="E16" i="8"/>
  <c r="E16" i="15" s="1"/>
  <c r="E19" i="8"/>
  <c r="E19" i="15" s="1"/>
  <c r="F18" i="15"/>
  <c r="G24" i="8"/>
  <c r="G24" i="15" s="1"/>
  <c r="F15" i="8"/>
  <c r="F15" i="15" s="1"/>
  <c r="G17" i="8"/>
  <c r="G17" i="15" s="1"/>
  <c r="G18" i="8"/>
  <c r="G18" i="15" s="1"/>
  <c r="J50" i="9"/>
  <c r="G16" i="8"/>
  <c r="G16" i="15" s="1"/>
  <c r="G20" i="8"/>
  <c r="G20" i="15" s="1"/>
  <c r="G19" i="8"/>
  <c r="G19" i="15" s="1"/>
  <c r="H21" i="8"/>
  <c r="H21" i="15" s="1"/>
  <c r="F23" i="8"/>
  <c r="F23" i="15" s="1"/>
  <c r="F22" i="8"/>
  <c r="F22" i="15" s="1"/>
  <c r="K139" i="18" l="1"/>
  <c r="K49" i="18"/>
  <c r="K79" i="18"/>
  <c r="K19" i="18"/>
  <c r="K136" i="18"/>
  <c r="K76" i="18"/>
  <c r="K46" i="18"/>
  <c r="K16" i="18"/>
  <c r="I137" i="18"/>
  <c r="I77" i="18"/>
  <c r="I47" i="18"/>
  <c r="I17" i="18"/>
  <c r="J77" i="18"/>
  <c r="J137" i="18"/>
  <c r="J47" i="18"/>
  <c r="J17" i="18"/>
  <c r="L170" i="18"/>
  <c r="L230" i="18"/>
  <c r="L200" i="18"/>
  <c r="L80" i="18"/>
  <c r="L140" i="18"/>
  <c r="L110" i="18"/>
  <c r="L50" i="18"/>
  <c r="L20" i="18"/>
  <c r="K170" i="18"/>
  <c r="K230" i="18"/>
  <c r="K200" i="18"/>
  <c r="K140" i="18"/>
  <c r="K80" i="18"/>
  <c r="K110" i="18"/>
  <c r="K50" i="18"/>
  <c r="K20" i="18"/>
  <c r="I138" i="18"/>
  <c r="I78" i="18"/>
  <c r="I48" i="18"/>
  <c r="I18" i="18"/>
  <c r="I135" i="18"/>
  <c r="I75" i="18"/>
  <c r="I15" i="18"/>
  <c r="I45" i="18"/>
  <c r="J135" i="18"/>
  <c r="J75" i="18"/>
  <c r="J45" i="18"/>
  <c r="J15" i="18"/>
  <c r="K135" i="18"/>
  <c r="K45" i="18"/>
  <c r="K75" i="18"/>
  <c r="K15" i="18"/>
  <c r="J136" i="18"/>
  <c r="J46" i="18"/>
  <c r="J76" i="18"/>
  <c r="J16" i="18"/>
  <c r="J171" i="18"/>
  <c r="J231" i="18"/>
  <c r="J201" i="18"/>
  <c r="J81" i="18"/>
  <c r="J141" i="18"/>
  <c r="J111" i="18"/>
  <c r="J51" i="18"/>
  <c r="J21" i="18"/>
  <c r="I136" i="18"/>
  <c r="I46" i="18"/>
  <c r="I76" i="18"/>
  <c r="I16" i="18"/>
  <c r="K77" i="18"/>
  <c r="K137" i="18"/>
  <c r="K47" i="18"/>
  <c r="K17" i="18"/>
  <c r="K138" i="18"/>
  <c r="K78" i="18"/>
  <c r="K18" i="18"/>
  <c r="K48" i="18"/>
  <c r="J134" i="18"/>
  <c r="J74" i="18"/>
  <c r="J44" i="18"/>
  <c r="J14" i="18"/>
  <c r="J172" i="18"/>
  <c r="J142" i="18"/>
  <c r="J232" i="18"/>
  <c r="J202" i="18"/>
  <c r="J112" i="18"/>
  <c r="J82" i="18"/>
  <c r="J22" i="18"/>
  <c r="J52" i="18"/>
  <c r="K173" i="18"/>
  <c r="K203" i="18"/>
  <c r="K143" i="18"/>
  <c r="K113" i="18"/>
  <c r="K233" i="18"/>
  <c r="K53" i="18"/>
  <c r="K23" i="18"/>
  <c r="K83" i="18"/>
  <c r="J138" i="18"/>
  <c r="J78" i="18"/>
  <c r="J48" i="18"/>
  <c r="J18" i="18"/>
  <c r="I35" i="9"/>
  <c r="I48" i="9"/>
  <c r="I19" i="2" s="1" a="1"/>
  <c r="I19" i="2" s="1"/>
  <c r="I32" i="9"/>
  <c r="I45" i="9"/>
  <c r="I16" i="2" s="1" a="1"/>
  <c r="I16" i="2" s="1"/>
  <c r="H39" i="9"/>
  <c r="H52" i="9"/>
  <c r="H23" i="2" s="1" a="1"/>
  <c r="H23" i="2" s="1"/>
  <c r="I33" i="9"/>
  <c r="I46" i="9"/>
  <c r="I17" i="2" s="1" a="1"/>
  <c r="I17" i="2" s="1"/>
  <c r="I34" i="9"/>
  <c r="I47" i="9"/>
  <c r="I18" i="2" s="1" a="1"/>
  <c r="I18" i="2" s="1"/>
  <c r="I36" i="9"/>
  <c r="I49" i="9"/>
  <c r="I20" i="2" s="1" a="1"/>
  <c r="I20" i="2" s="1"/>
  <c r="I40" i="9"/>
  <c r="I53" i="9"/>
  <c r="I24" i="2" s="1" a="1"/>
  <c r="I24" i="2" s="1"/>
  <c r="H38" i="9"/>
  <c r="H51" i="9"/>
  <c r="H22" i="2" s="1" a="1"/>
  <c r="H22" i="2" s="1"/>
  <c r="J37" i="9"/>
  <c r="J21" i="2" a="1"/>
  <c r="J21" i="2" s="1"/>
  <c r="K50" i="9"/>
  <c r="H31" i="9"/>
  <c r="H44" i="9"/>
  <c r="H15" i="2" s="1" a="1"/>
  <c r="H15" i="2" s="1"/>
  <c r="H17" i="8"/>
  <c r="H17" i="15" s="1"/>
  <c r="H20" i="8"/>
  <c r="H20" i="15" s="1"/>
  <c r="H24" i="8"/>
  <c r="H24" i="15" s="1"/>
  <c r="J48" i="9"/>
  <c r="J45" i="9"/>
  <c r="H18" i="8"/>
  <c r="H18" i="15" s="1"/>
  <c r="H19" i="8"/>
  <c r="H19" i="15" s="1"/>
  <c r="G23" i="8"/>
  <c r="G23" i="15" s="1"/>
  <c r="J46" i="9"/>
  <c r="J49" i="9"/>
  <c r="J53" i="9"/>
  <c r="G22" i="8"/>
  <c r="G22" i="15" s="1"/>
  <c r="I21" i="8"/>
  <c r="I21" i="15" s="1"/>
  <c r="G15" i="8"/>
  <c r="G15" i="15" s="1"/>
  <c r="H16" i="8"/>
  <c r="H16" i="15" s="1"/>
  <c r="J47" i="9"/>
  <c r="L135" i="18" l="1"/>
  <c r="L45" i="18"/>
  <c r="L75" i="18"/>
  <c r="L15" i="18"/>
  <c r="L139" i="18"/>
  <c r="L49" i="18"/>
  <c r="L79" i="18"/>
  <c r="L19" i="18"/>
  <c r="K172" i="18"/>
  <c r="K142" i="18"/>
  <c r="K112" i="18"/>
  <c r="K232" i="18"/>
  <c r="K82" i="18"/>
  <c r="K202" i="18"/>
  <c r="K22" i="18"/>
  <c r="K52" i="18"/>
  <c r="M170" i="18"/>
  <c r="M110" i="18"/>
  <c r="M230" i="18"/>
  <c r="M200" i="18"/>
  <c r="M80" i="18"/>
  <c r="M140" i="18"/>
  <c r="M50" i="18"/>
  <c r="M20" i="18"/>
  <c r="L173" i="18"/>
  <c r="L233" i="18"/>
  <c r="L203" i="18"/>
  <c r="L143" i="18"/>
  <c r="L53" i="18"/>
  <c r="L113" i="18"/>
  <c r="L23" i="18"/>
  <c r="L83" i="18"/>
  <c r="K171" i="18"/>
  <c r="K111" i="18"/>
  <c r="K231" i="18"/>
  <c r="K201" i="18"/>
  <c r="K81" i="18"/>
  <c r="K51" i="18"/>
  <c r="K21" i="18"/>
  <c r="K141" i="18"/>
  <c r="L137" i="18"/>
  <c r="L77" i="18"/>
  <c r="L47" i="18"/>
  <c r="L17" i="18"/>
  <c r="K134" i="18"/>
  <c r="K74" i="18"/>
  <c r="K14" i="18"/>
  <c r="K44" i="18"/>
  <c r="L136" i="18"/>
  <c r="L76" i="18"/>
  <c r="L46" i="18"/>
  <c r="L16" i="18"/>
  <c r="L138" i="18"/>
  <c r="L78" i="18"/>
  <c r="L18" i="18"/>
  <c r="L48" i="18"/>
  <c r="I39" i="9"/>
  <c r="I52" i="9"/>
  <c r="I23" i="2" s="1" a="1"/>
  <c r="I23" i="2" s="1"/>
  <c r="J35" i="9"/>
  <c r="K48" i="9"/>
  <c r="J19" i="2" a="1"/>
  <c r="J19" i="2" s="1"/>
  <c r="I38" i="9"/>
  <c r="I51" i="9"/>
  <c r="I22" i="2" s="1" a="1"/>
  <c r="I22" i="2" s="1"/>
  <c r="J40" i="9"/>
  <c r="J24" i="2" a="1"/>
  <c r="J24" i="2" s="1"/>
  <c r="J33" i="9"/>
  <c r="K46" i="9"/>
  <c r="J17" i="2" a="1"/>
  <c r="J17" i="2" s="1"/>
  <c r="J36" i="9"/>
  <c r="J20" i="2" a="1"/>
  <c r="J20" i="2" s="1"/>
  <c r="I31" i="9"/>
  <c r="I44" i="9"/>
  <c r="I15" i="2" s="1" a="1"/>
  <c r="I15" i="2" s="1"/>
  <c r="K21" i="2" a="1"/>
  <c r="K21" i="2" s="1"/>
  <c r="L50" i="9"/>
  <c r="J34" i="9"/>
  <c r="K47" i="9"/>
  <c r="J18" i="2" a="1"/>
  <c r="J18" i="2" s="1"/>
  <c r="K37" i="9"/>
  <c r="J32" i="9"/>
  <c r="J16" i="2" a="1"/>
  <c r="J16" i="2" s="1"/>
  <c r="J21" i="8"/>
  <c r="J21" i="15" s="1"/>
  <c r="H22" i="8"/>
  <c r="H22" i="15" s="1"/>
  <c r="I18" i="8"/>
  <c r="I18" i="15" s="1"/>
  <c r="J51" i="9"/>
  <c r="J52" i="9"/>
  <c r="I20" i="8"/>
  <c r="I20" i="15" s="1"/>
  <c r="J44" i="9"/>
  <c r="H23" i="8"/>
  <c r="H23" i="15" s="1"/>
  <c r="I16" i="8"/>
  <c r="I16" i="15" s="1"/>
  <c r="I24" i="8"/>
  <c r="I24" i="15" s="1"/>
  <c r="I17" i="8"/>
  <c r="I17" i="15" s="1"/>
  <c r="H15" i="8"/>
  <c r="H15" i="15" s="1"/>
  <c r="I19" i="8"/>
  <c r="I19" i="15" s="1"/>
  <c r="K36" i="9" l="1"/>
  <c r="K49" i="9"/>
  <c r="K40" i="9"/>
  <c r="K53" i="9"/>
  <c r="K24" i="2" s="1" a="1"/>
  <c r="K24" i="2" s="1"/>
  <c r="K32" i="9"/>
  <c r="K45" i="9"/>
  <c r="K16" i="2" s="1" a="1"/>
  <c r="K16" i="2" s="1"/>
  <c r="K34" i="9"/>
  <c r="M173" i="18"/>
  <c r="M233" i="18"/>
  <c r="M203" i="18"/>
  <c r="M143" i="18"/>
  <c r="M113" i="18"/>
  <c r="M83" i="18"/>
  <c r="M53" i="18"/>
  <c r="M23" i="18"/>
  <c r="M137" i="18"/>
  <c r="M77" i="18"/>
  <c r="M47" i="18"/>
  <c r="M17" i="18"/>
  <c r="M136" i="18"/>
  <c r="M76" i="18"/>
  <c r="M46" i="18"/>
  <c r="M16" i="18"/>
  <c r="L171" i="18"/>
  <c r="L141" i="18"/>
  <c r="L111" i="18"/>
  <c r="L231" i="18"/>
  <c r="L201" i="18"/>
  <c r="L81" i="18"/>
  <c r="L51" i="18"/>
  <c r="L21" i="18"/>
  <c r="L134" i="18"/>
  <c r="L74" i="18"/>
  <c r="L14" i="18"/>
  <c r="L44" i="18"/>
  <c r="M135" i="18"/>
  <c r="M75" i="18"/>
  <c r="M45" i="18"/>
  <c r="M15" i="18"/>
  <c r="L172" i="18"/>
  <c r="L202" i="18"/>
  <c r="L142" i="18"/>
  <c r="L112" i="18"/>
  <c r="L232" i="18"/>
  <c r="L82" i="18"/>
  <c r="L22" i="18"/>
  <c r="L52" i="18"/>
  <c r="N170" i="18"/>
  <c r="N140" i="18"/>
  <c r="N110" i="18"/>
  <c r="N230" i="18"/>
  <c r="N200" i="18"/>
  <c r="N80" i="18"/>
  <c r="N50" i="18"/>
  <c r="N20" i="18"/>
  <c r="M139" i="18"/>
  <c r="M79" i="18"/>
  <c r="M49" i="18"/>
  <c r="M19" i="18"/>
  <c r="M138" i="18"/>
  <c r="M48" i="18"/>
  <c r="M78" i="18"/>
  <c r="M18" i="18"/>
  <c r="J31" i="9"/>
  <c r="J15" i="2" a="1"/>
  <c r="J15" i="2" s="1"/>
  <c r="L21" i="2" a="1"/>
  <c r="L21" i="2" s="1"/>
  <c r="L37" i="9"/>
  <c r="L47" i="9"/>
  <c r="K18" i="2" a="1"/>
  <c r="K18" i="2" s="1"/>
  <c r="L53" i="9"/>
  <c r="K17" i="2" a="1"/>
  <c r="K17" i="2" s="1"/>
  <c r="L48" i="9"/>
  <c r="K19" i="2" a="1"/>
  <c r="K19" i="2" s="1"/>
  <c r="K35" i="9"/>
  <c r="J39" i="9"/>
  <c r="J23" i="2" a="1"/>
  <c r="J23" i="2" s="1"/>
  <c r="K20" i="2" a="1"/>
  <c r="K20" i="2" s="1"/>
  <c r="J38" i="9"/>
  <c r="J22" i="2" a="1"/>
  <c r="J22" i="2" s="1"/>
  <c r="K33" i="9"/>
  <c r="I22" i="8"/>
  <c r="I22" i="15" s="1"/>
  <c r="J17" i="8"/>
  <c r="J17" i="15" s="1"/>
  <c r="J19" i="8"/>
  <c r="J19" i="15" s="1"/>
  <c r="K21" i="8"/>
  <c r="K21" i="15" s="1"/>
  <c r="J24" i="8"/>
  <c r="J24" i="15" s="1"/>
  <c r="I15" i="8"/>
  <c r="I15" i="15" s="1"/>
  <c r="J18" i="8"/>
  <c r="J18" i="15" s="1"/>
  <c r="I23" i="8"/>
  <c r="I23" i="15" s="1"/>
  <c r="J16" i="8"/>
  <c r="J16" i="15" s="1"/>
  <c r="J20" i="8"/>
  <c r="J20" i="15" s="1"/>
  <c r="L34" i="9" l="1"/>
  <c r="K38" i="9"/>
  <c r="K51" i="9"/>
  <c r="L32" i="9"/>
  <c r="L45" i="9"/>
  <c r="L36" i="9"/>
  <c r="L49" i="9"/>
  <c r="L20" i="2" s="1" a="1"/>
  <c r="L20" i="2" s="1"/>
  <c r="L33" i="9"/>
  <c r="L46" i="9"/>
  <c r="M37" i="9"/>
  <c r="M50" i="9"/>
  <c r="K31" i="9"/>
  <c r="K44" i="9"/>
  <c r="K39" i="9"/>
  <c r="K52" i="9"/>
  <c r="N139" i="18"/>
  <c r="N79" i="18"/>
  <c r="N49" i="18"/>
  <c r="N19" i="18"/>
  <c r="M134" i="18"/>
  <c r="M44" i="18"/>
  <c r="M14" i="18"/>
  <c r="M74" i="18"/>
  <c r="N138" i="18"/>
  <c r="N48" i="18"/>
  <c r="N78" i="18"/>
  <c r="N18" i="18"/>
  <c r="N136" i="18"/>
  <c r="N76" i="18"/>
  <c r="N46" i="18"/>
  <c r="N16" i="18"/>
  <c r="N173" i="18"/>
  <c r="N233" i="18"/>
  <c r="N203" i="18"/>
  <c r="N113" i="18"/>
  <c r="N83" i="18"/>
  <c r="N143" i="18"/>
  <c r="N53" i="18"/>
  <c r="N23" i="18"/>
  <c r="M172" i="18"/>
  <c r="M202" i="18"/>
  <c r="M142" i="18"/>
  <c r="M112" i="18"/>
  <c r="M52" i="18"/>
  <c r="M232" i="18"/>
  <c r="M82" i="18"/>
  <c r="M22" i="18"/>
  <c r="M171" i="18"/>
  <c r="M141" i="18"/>
  <c r="M111" i="18"/>
  <c r="M231" i="18"/>
  <c r="M201" i="18"/>
  <c r="M81" i="18"/>
  <c r="M51" i="18"/>
  <c r="M21" i="18"/>
  <c r="O170" i="18"/>
  <c r="O140" i="18"/>
  <c r="O110" i="18"/>
  <c r="O230" i="18"/>
  <c r="O200" i="18"/>
  <c r="O80" i="18"/>
  <c r="O20" i="18"/>
  <c r="O50" i="18"/>
  <c r="N75" i="18"/>
  <c r="N45" i="18"/>
  <c r="N135" i="18"/>
  <c r="N15" i="18"/>
  <c r="N137" i="18"/>
  <c r="N77" i="18"/>
  <c r="N17" i="18"/>
  <c r="N47" i="18"/>
  <c r="M21" i="2" a="1"/>
  <c r="M21" i="2" s="1"/>
  <c r="L24" i="2" a="1"/>
  <c r="L24" i="2" s="1"/>
  <c r="K15" i="2" a="1"/>
  <c r="K15" i="2" s="1"/>
  <c r="L52" i="9"/>
  <c r="K23" i="2" a="1"/>
  <c r="K23" i="2" s="1"/>
  <c r="M48" i="9"/>
  <c r="L19" i="2" a="1"/>
  <c r="L19" i="2" s="1"/>
  <c r="L16" i="2" a="1"/>
  <c r="L16" i="2" s="1"/>
  <c r="L35" i="9"/>
  <c r="L40" i="9"/>
  <c r="K22" i="2" a="1"/>
  <c r="K22" i="2" s="1"/>
  <c r="L17" i="2" a="1"/>
  <c r="L17" i="2" s="1"/>
  <c r="M47" i="9"/>
  <c r="L18" i="2" a="1"/>
  <c r="L18" i="2" s="1"/>
  <c r="J15" i="8"/>
  <c r="J15" i="15" s="1"/>
  <c r="K16" i="8"/>
  <c r="K16" i="15" s="1"/>
  <c r="K18" i="8"/>
  <c r="K18" i="15" s="1"/>
  <c r="J23" i="8"/>
  <c r="J23" i="15" s="1"/>
  <c r="K17" i="8"/>
  <c r="K17" i="15" s="1"/>
  <c r="L21" i="8"/>
  <c r="L21" i="15" s="1"/>
  <c r="J22" i="8"/>
  <c r="J22" i="15" s="1"/>
  <c r="K24" i="8"/>
  <c r="K24" i="15" s="1"/>
  <c r="K19" i="8"/>
  <c r="K19" i="15" s="1"/>
  <c r="K20" i="8"/>
  <c r="K20" i="15" s="1"/>
  <c r="M34" i="9" l="1"/>
  <c r="M35" i="9"/>
  <c r="M36" i="9"/>
  <c r="M49" i="9"/>
  <c r="N37" i="9"/>
  <c r="N50" i="9"/>
  <c r="N21" i="2" s="1" a="1"/>
  <c r="N21" i="2" s="1"/>
  <c r="L38" i="9"/>
  <c r="L51" i="9"/>
  <c r="L22" i="2" s="1" a="1"/>
  <c r="L22" i="2" s="1"/>
  <c r="M32" i="9"/>
  <c r="M45" i="9"/>
  <c r="L31" i="9"/>
  <c r="L44" i="9"/>
  <c r="L15" i="2" s="1" a="1"/>
  <c r="L15" i="2" s="1"/>
  <c r="M33" i="9"/>
  <c r="M46" i="9"/>
  <c r="M17" i="2" s="1" a="1"/>
  <c r="M17" i="2" s="1"/>
  <c r="M40" i="9"/>
  <c r="M53" i="9"/>
  <c r="M24" i="2" s="1" a="1"/>
  <c r="M24" i="2" s="1"/>
  <c r="O139" i="18"/>
  <c r="O79" i="18"/>
  <c r="O49" i="18"/>
  <c r="O19" i="18"/>
  <c r="O135" i="18"/>
  <c r="O75" i="18"/>
  <c r="O45" i="18"/>
  <c r="O15" i="18"/>
  <c r="O173" i="18"/>
  <c r="O113" i="18"/>
  <c r="O233" i="18"/>
  <c r="O203" i="18"/>
  <c r="O83" i="18"/>
  <c r="O143" i="18"/>
  <c r="O53" i="18"/>
  <c r="O23" i="18"/>
  <c r="N171" i="18"/>
  <c r="N201" i="18"/>
  <c r="N141" i="18"/>
  <c r="N111" i="18"/>
  <c r="N231" i="18"/>
  <c r="N81" i="18"/>
  <c r="N51" i="18"/>
  <c r="N21" i="18"/>
  <c r="N134" i="18"/>
  <c r="N44" i="18"/>
  <c r="N74" i="18"/>
  <c r="N14" i="18"/>
  <c r="P170" i="18"/>
  <c r="P200" i="18"/>
  <c r="P140" i="18"/>
  <c r="P110" i="18"/>
  <c r="P230" i="18"/>
  <c r="P80" i="18"/>
  <c r="P20" i="18"/>
  <c r="P50" i="18"/>
  <c r="O138" i="18"/>
  <c r="O78" i="18"/>
  <c r="O48" i="18"/>
  <c r="O18" i="18"/>
  <c r="O136" i="18"/>
  <c r="O76" i="18"/>
  <c r="O16" i="18"/>
  <c r="O46" i="18"/>
  <c r="N172" i="18"/>
  <c r="N232" i="18"/>
  <c r="N202" i="18"/>
  <c r="N142" i="18"/>
  <c r="N52" i="18"/>
  <c r="N112" i="18"/>
  <c r="N82" i="18"/>
  <c r="N22" i="18"/>
  <c r="O137" i="18"/>
  <c r="O47" i="18"/>
  <c r="O17" i="18"/>
  <c r="O77" i="18"/>
  <c r="M16" i="2" a="1"/>
  <c r="M16" i="2" s="1"/>
  <c r="L23" i="2" a="1"/>
  <c r="L23" i="2" s="1"/>
  <c r="N53" i="9"/>
  <c r="L39" i="9"/>
  <c r="N47" i="9"/>
  <c r="M18" i="2" a="1"/>
  <c r="M18" i="2" s="1"/>
  <c r="M20" i="2" a="1"/>
  <c r="M20" i="2" s="1"/>
  <c r="N48" i="9"/>
  <c r="M19" i="2" a="1"/>
  <c r="M19" i="2" s="1"/>
  <c r="M21" i="8"/>
  <c r="M21" i="15" s="1"/>
  <c r="L19" i="8"/>
  <c r="L19" i="15" s="1"/>
  <c r="L17" i="8"/>
  <c r="L17" i="15" s="1"/>
  <c r="L16" i="8"/>
  <c r="L16" i="15" s="1"/>
  <c r="K22" i="8"/>
  <c r="K22" i="15" s="1"/>
  <c r="L20" i="8"/>
  <c r="L20" i="15" s="1"/>
  <c r="K23" i="8"/>
  <c r="K23" i="15" s="1"/>
  <c r="K15" i="8"/>
  <c r="K15" i="15" s="1"/>
  <c r="L18" i="8"/>
  <c r="L18" i="15" s="1"/>
  <c r="L24" i="8"/>
  <c r="L24" i="15" s="1"/>
  <c r="N40" i="9" l="1"/>
  <c r="M31" i="9"/>
  <c r="M44" i="9"/>
  <c r="N33" i="9"/>
  <c r="N46" i="9"/>
  <c r="M39" i="9"/>
  <c r="M52" i="9"/>
  <c r="M23" i="2" s="1" a="1"/>
  <c r="M23" i="2" s="1"/>
  <c r="N36" i="9"/>
  <c r="N49" i="9"/>
  <c r="N32" i="9"/>
  <c r="N45" i="9"/>
  <c r="O21" i="2" a="1"/>
  <c r="O21" i="2" s="1"/>
  <c r="O21" i="8" s="1"/>
  <c r="O21" i="15" s="1"/>
  <c r="O50" i="9"/>
  <c r="M38" i="9"/>
  <c r="M51" i="9"/>
  <c r="M22" i="2" s="1" a="1"/>
  <c r="M22" i="2" s="1"/>
  <c r="P137" i="18"/>
  <c r="P47" i="18"/>
  <c r="P77" i="18"/>
  <c r="P17" i="18"/>
  <c r="P78" i="18"/>
  <c r="P138" i="18"/>
  <c r="P48" i="18"/>
  <c r="P18" i="18"/>
  <c r="O134" i="18"/>
  <c r="O74" i="18"/>
  <c r="O44" i="18"/>
  <c r="O14" i="18"/>
  <c r="Q170" i="18"/>
  <c r="Q200" i="18"/>
  <c r="Q140" i="18"/>
  <c r="Q110" i="18"/>
  <c r="Q50" i="18"/>
  <c r="Q230" i="18"/>
  <c r="Q20" i="18"/>
  <c r="Q80" i="18"/>
  <c r="P173" i="18"/>
  <c r="P143" i="18"/>
  <c r="P233" i="18"/>
  <c r="P203" i="18"/>
  <c r="P113" i="18"/>
  <c r="P83" i="18"/>
  <c r="P23" i="18"/>
  <c r="P53" i="18"/>
  <c r="P136" i="18"/>
  <c r="P76" i="18"/>
  <c r="P16" i="18"/>
  <c r="P46" i="18"/>
  <c r="P139" i="18"/>
  <c r="P79" i="18"/>
  <c r="P49" i="18"/>
  <c r="P19" i="18"/>
  <c r="O172" i="18"/>
  <c r="O232" i="18"/>
  <c r="O202" i="18"/>
  <c r="O142" i="18"/>
  <c r="O82" i="18"/>
  <c r="O52" i="18"/>
  <c r="O112" i="18"/>
  <c r="O22" i="18"/>
  <c r="O171" i="18"/>
  <c r="O201" i="18"/>
  <c r="O141" i="18"/>
  <c r="O111" i="18"/>
  <c r="O51" i="18"/>
  <c r="O81" i="18"/>
  <c r="O231" i="18"/>
  <c r="O21" i="18"/>
  <c r="P135" i="18"/>
  <c r="P75" i="18"/>
  <c r="P45" i="18"/>
  <c r="P15" i="18"/>
  <c r="N19" i="2" a="1"/>
  <c r="N19" i="2" s="1"/>
  <c r="N18" i="2" a="1"/>
  <c r="N18" i="2" s="1"/>
  <c r="N34" i="9"/>
  <c r="N35" i="9"/>
  <c r="N52" i="9"/>
  <c r="M15" i="2" a="1"/>
  <c r="M15" i="2" s="1"/>
  <c r="N20" i="2" a="1"/>
  <c r="N20" i="2" s="1"/>
  <c r="N24" i="2" a="1"/>
  <c r="N24" i="2" s="1"/>
  <c r="N16" i="2" a="1"/>
  <c r="N16" i="2" s="1"/>
  <c r="N17" i="2" a="1"/>
  <c r="N17" i="2" s="1"/>
  <c r="O37" i="9"/>
  <c r="M24" i="8"/>
  <c r="M24" i="15" s="1"/>
  <c r="N39" i="9"/>
  <c r="L22" i="8"/>
  <c r="L22" i="15" s="1"/>
  <c r="M19" i="8"/>
  <c r="M19" i="15" s="1"/>
  <c r="L23" i="8"/>
  <c r="L23" i="15" s="1"/>
  <c r="L15" i="8"/>
  <c r="L15" i="15" s="1"/>
  <c r="M16" i="8"/>
  <c r="M16" i="15" s="1"/>
  <c r="M18" i="8"/>
  <c r="M18" i="15" s="1"/>
  <c r="M17" i="8"/>
  <c r="M17" i="15" s="1"/>
  <c r="N21" i="8"/>
  <c r="N21" i="15" s="1"/>
  <c r="M20" i="8"/>
  <c r="M20" i="15" s="1"/>
  <c r="O45" i="9" l="1"/>
  <c r="O16" i="2" s="1" a="1"/>
  <c r="O16" i="2" s="1"/>
  <c r="O16" i="8" s="1"/>
  <c r="O16" i="15" s="1"/>
  <c r="N38" i="9"/>
  <c r="N51" i="9"/>
  <c r="O48" i="9"/>
  <c r="O19" i="2" s="1" a="1"/>
  <c r="O19" i="2" s="1"/>
  <c r="O19" i="8" s="1"/>
  <c r="O19" i="15" s="1"/>
  <c r="O53" i="9"/>
  <c r="O24" i="2" s="1" a="1"/>
  <c r="O24" i="2" s="1"/>
  <c r="O24" i="8" s="1"/>
  <c r="O24" i="15" s="1"/>
  <c r="N31" i="9"/>
  <c r="N44" i="9"/>
  <c r="N15" i="2" s="1" a="1"/>
  <c r="N15" i="2" s="1"/>
  <c r="O49" i="9"/>
  <c r="O20" i="2" s="1" a="1"/>
  <c r="O20" i="2" s="1"/>
  <c r="O20" i="8" s="1"/>
  <c r="O20" i="15" s="1"/>
  <c r="O46" i="9"/>
  <c r="O17" i="2" s="1" a="1"/>
  <c r="O17" i="2" s="1"/>
  <c r="O17" i="8" s="1"/>
  <c r="O17" i="15" s="1"/>
  <c r="O47" i="9"/>
  <c r="O18" i="2" s="1" a="1"/>
  <c r="O18" i="2" s="1"/>
  <c r="O18" i="8" s="1"/>
  <c r="O18" i="15" s="1"/>
  <c r="Q136" i="18"/>
  <c r="Q46" i="18"/>
  <c r="Q16" i="18"/>
  <c r="Q76" i="18"/>
  <c r="Q173" i="18"/>
  <c r="Q143" i="18"/>
  <c r="Q113" i="18"/>
  <c r="Q233" i="18"/>
  <c r="Q83" i="18"/>
  <c r="Q23" i="18"/>
  <c r="Q53" i="18"/>
  <c r="Q203" i="18"/>
  <c r="Q137" i="18"/>
  <c r="Q77" i="18"/>
  <c r="Q47" i="18"/>
  <c r="Q17" i="18"/>
  <c r="Q135" i="18"/>
  <c r="Q75" i="18"/>
  <c r="Q15" i="18"/>
  <c r="Q45" i="18"/>
  <c r="S170" i="18"/>
  <c r="S230" i="18"/>
  <c r="S200" i="18"/>
  <c r="S140" i="18"/>
  <c r="S80" i="18"/>
  <c r="S50" i="18"/>
  <c r="S110" i="18"/>
  <c r="S20" i="18"/>
  <c r="P74" i="18"/>
  <c r="P134" i="18"/>
  <c r="P14" i="18"/>
  <c r="P44" i="18"/>
  <c r="P172" i="18"/>
  <c r="P232" i="18"/>
  <c r="P202" i="18"/>
  <c r="P142" i="18"/>
  <c r="P82" i="18"/>
  <c r="P112" i="18"/>
  <c r="P22" i="18"/>
  <c r="P52" i="18"/>
  <c r="R170" i="18"/>
  <c r="R230" i="18"/>
  <c r="R200" i="18"/>
  <c r="R140" i="18"/>
  <c r="R50" i="18"/>
  <c r="R110" i="18"/>
  <c r="R80" i="18"/>
  <c r="R20" i="18"/>
  <c r="Q138" i="18"/>
  <c r="Q78" i="18"/>
  <c r="Q48" i="18"/>
  <c r="Q18" i="18"/>
  <c r="Q139" i="18"/>
  <c r="Q79" i="18"/>
  <c r="Q49" i="18"/>
  <c r="Q19" i="18"/>
  <c r="P171" i="18"/>
  <c r="P231" i="18"/>
  <c r="P201" i="18"/>
  <c r="P141" i="18"/>
  <c r="P51" i="18"/>
  <c r="P111" i="18"/>
  <c r="P81" i="18"/>
  <c r="P21" i="18"/>
  <c r="N23" i="2" a="1"/>
  <c r="N23" i="2" s="1"/>
  <c r="N22" i="2" a="1"/>
  <c r="N22" i="2" s="1"/>
  <c r="O32" i="9"/>
  <c r="O36" i="9"/>
  <c r="O40" i="9"/>
  <c r="O33" i="9"/>
  <c r="O35" i="9"/>
  <c r="O34" i="9"/>
  <c r="N20" i="8"/>
  <c r="N20" i="15" s="1"/>
  <c r="M15" i="8"/>
  <c r="M15" i="15" s="1"/>
  <c r="M23" i="8"/>
  <c r="M23" i="15" s="1"/>
  <c r="N16" i="8"/>
  <c r="N16" i="15" s="1"/>
  <c r="N19" i="8"/>
  <c r="N19" i="15" s="1"/>
  <c r="N18" i="8"/>
  <c r="N18" i="15" s="1"/>
  <c r="N17" i="8"/>
  <c r="N17" i="15" s="1"/>
  <c r="M22" i="8"/>
  <c r="M22" i="15" s="1"/>
  <c r="N24" i="8"/>
  <c r="N24" i="15" s="1"/>
  <c r="O51" i="9" l="1"/>
  <c r="O22" i="2" s="1" a="1"/>
  <c r="O22" i="2" s="1"/>
  <c r="O22" i="8" s="1"/>
  <c r="O22" i="15" s="1"/>
  <c r="O52" i="9"/>
  <c r="O23" i="2" s="1" a="1"/>
  <c r="O23" i="2" s="1"/>
  <c r="O23" i="8" s="1"/>
  <c r="O23" i="15" s="1"/>
  <c r="O44" i="9"/>
  <c r="O15" i="2" s="1" a="1"/>
  <c r="O15" i="2" s="1"/>
  <c r="O15" i="8" s="1"/>
  <c r="O15" i="15" s="1"/>
  <c r="R138" i="18"/>
  <c r="R78" i="18"/>
  <c r="R48" i="18"/>
  <c r="R18" i="18"/>
  <c r="S138" i="18"/>
  <c r="S78" i="18"/>
  <c r="S18" i="18"/>
  <c r="S48" i="18"/>
  <c r="S135" i="18"/>
  <c r="S45" i="18"/>
  <c r="S75" i="18"/>
  <c r="S15" i="18"/>
  <c r="R135" i="18"/>
  <c r="R75" i="18"/>
  <c r="R15" i="18"/>
  <c r="R45" i="18"/>
  <c r="S136" i="18"/>
  <c r="S76" i="18"/>
  <c r="S46" i="18"/>
  <c r="S16" i="18"/>
  <c r="Q172" i="18"/>
  <c r="Q112" i="18"/>
  <c r="Q232" i="18"/>
  <c r="Q202" i="18"/>
  <c r="Q142" i="18"/>
  <c r="Q82" i="18"/>
  <c r="Q52" i="18"/>
  <c r="Q22" i="18"/>
  <c r="Q74" i="18"/>
  <c r="Q44" i="18"/>
  <c r="Q14" i="18"/>
  <c r="Q134" i="18"/>
  <c r="R139" i="18"/>
  <c r="R79" i="18"/>
  <c r="R19" i="18"/>
  <c r="R49" i="18"/>
  <c r="S173" i="18"/>
  <c r="S203" i="18"/>
  <c r="S143" i="18"/>
  <c r="S53" i="18"/>
  <c r="S233" i="18"/>
  <c r="S113" i="18"/>
  <c r="S23" i="18"/>
  <c r="S83" i="18"/>
  <c r="R77" i="18"/>
  <c r="R137" i="18"/>
  <c r="R47" i="18"/>
  <c r="R17" i="18"/>
  <c r="R173" i="18"/>
  <c r="R203" i="18"/>
  <c r="R143" i="18"/>
  <c r="R233" i="18"/>
  <c r="R113" i="18"/>
  <c r="R83" i="18"/>
  <c r="R53" i="18"/>
  <c r="R23" i="18"/>
  <c r="Q171" i="18"/>
  <c r="Q231" i="18"/>
  <c r="Q201" i="18"/>
  <c r="Q141" i="18"/>
  <c r="Q111" i="18"/>
  <c r="Q81" i="18"/>
  <c r="Q51" i="18"/>
  <c r="Q21" i="18"/>
  <c r="R136" i="18"/>
  <c r="R46" i="18"/>
  <c r="R76" i="18"/>
  <c r="R16" i="18"/>
  <c r="S77" i="18"/>
  <c r="S47" i="18"/>
  <c r="S17" i="18"/>
  <c r="S137" i="18"/>
  <c r="S139" i="18"/>
  <c r="S49" i="18"/>
  <c r="S19" i="18"/>
  <c r="S79" i="18"/>
  <c r="O31" i="9"/>
  <c r="O39" i="9"/>
  <c r="O38" i="9"/>
  <c r="N23" i="8"/>
  <c r="N23" i="15" s="1"/>
  <c r="N22" i="8"/>
  <c r="N22" i="15" s="1"/>
  <c r="N15" i="8"/>
  <c r="N15" i="15" s="1"/>
  <c r="S172" i="18" l="1"/>
  <c r="S142" i="18"/>
  <c r="S112" i="18"/>
  <c r="S232" i="18"/>
  <c r="S82" i="18"/>
  <c r="S52" i="18"/>
  <c r="S22" i="18"/>
  <c r="S202" i="18"/>
  <c r="S134" i="18"/>
  <c r="S74" i="18"/>
  <c r="S44" i="18"/>
  <c r="S14" i="18"/>
  <c r="R171" i="18"/>
  <c r="R231" i="18"/>
  <c r="R201" i="18"/>
  <c r="R111" i="18"/>
  <c r="R81" i="18"/>
  <c r="R141" i="18"/>
  <c r="R51" i="18"/>
  <c r="R21" i="18"/>
  <c r="R134" i="18"/>
  <c r="R74" i="18"/>
  <c r="R44" i="18"/>
  <c r="R14" i="18"/>
  <c r="R172" i="18"/>
  <c r="R142" i="18"/>
  <c r="R232" i="18"/>
  <c r="R202" i="18"/>
  <c r="R82" i="18"/>
  <c r="R52" i="18"/>
  <c r="R22" i="18"/>
  <c r="R112" i="18"/>
  <c r="S171" i="18"/>
  <c r="S111" i="18"/>
  <c r="S231" i="18"/>
  <c r="S201" i="18"/>
  <c r="S141" i="18"/>
  <c r="S81" i="18"/>
  <c r="S51" i="18"/>
  <c r="S21"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Hart, Ryan@ARB</author>
  </authors>
  <commentList>
    <comment ref="U2" authorId="0" shapeId="0" xr:uid="{0188257B-9C3D-4160-8E57-CB9294870716}">
      <text>
        <r>
          <rPr>
            <b/>
            <sz val="9"/>
            <color indexed="81"/>
            <rFont val="Tahoma"/>
            <family val="2"/>
          </rPr>
          <t>Hart, Ryan@ARB:</t>
        </r>
        <r>
          <rPr>
            <sz val="9"/>
            <color indexed="81"/>
            <rFont val="Tahoma"/>
            <family val="2"/>
          </rPr>
          <t xml:space="preserve">
Lookup years table - meant to no be visible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Hart, Ryan@ARB</author>
  </authors>
  <commentList>
    <comment ref="O34" authorId="0" shapeId="0" xr:uid="{9567084E-C0E5-4B15-960E-D7743E27B78E}">
      <text>
        <r>
          <rPr>
            <b/>
            <sz val="9"/>
            <color indexed="81"/>
            <rFont val="Tahoma"/>
            <family val="2"/>
          </rPr>
          <t>Hart, Ryan@ARB:</t>
        </r>
        <r>
          <rPr>
            <sz val="9"/>
            <color indexed="81"/>
            <rFont val="Tahoma"/>
            <family val="2"/>
          </rPr>
          <t xml:space="preserve">
From LEV III ACC I values. In 2025, Car based = $55 and truck =$117. Converted to 2021$. Multiplied by 1.24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Hart, Ryan@ARB</author>
  </authors>
  <commentList>
    <comment ref="B5" authorId="0" shapeId="0" xr:uid="{201F8B96-E29B-4180-8874-7764BB849169}">
      <text>
        <r>
          <rPr>
            <b/>
            <sz val="9"/>
            <color indexed="81"/>
            <rFont val="Tahoma"/>
            <family val="2"/>
          </rPr>
          <t>Hart, Ryan@ARB:</t>
        </r>
        <r>
          <rPr>
            <sz val="9"/>
            <color indexed="81"/>
            <rFont val="Tahoma"/>
            <family val="2"/>
          </rPr>
          <t xml:space="preserve">
Removed to be added outside of model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Hart, Ryan@ARB</author>
  </authors>
  <commentList>
    <comment ref="B5" authorId="0" shapeId="0" xr:uid="{7AFFACE1-8F38-4202-9C29-BAE6D616A1B3}">
      <text>
        <r>
          <rPr>
            <b/>
            <sz val="9"/>
            <color indexed="81"/>
            <rFont val="Tahoma"/>
            <family val="2"/>
          </rPr>
          <t>Hart, Ryan@ARB:</t>
        </r>
        <r>
          <rPr>
            <sz val="9"/>
            <color indexed="81"/>
            <rFont val="Tahoma"/>
            <family val="2"/>
          </rPr>
          <t xml:space="preserve">
Place holder values for ACC II GHG compliance costs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<sst xmlns="http://schemas.openxmlformats.org/spreadsheetml/2006/main" count="3220" uniqueCount="284">
  <si>
    <t>Worksheet Color Legend</t>
  </si>
  <si>
    <t>Description</t>
  </si>
  <si>
    <t>Vehicle Attributes</t>
  </si>
  <si>
    <t>Characteristics and applicability of the ZEV technologies and packages</t>
  </si>
  <si>
    <t>Component and Summary Costs</t>
  </si>
  <si>
    <t>Direct manufacturing costs of the components and packages</t>
  </si>
  <si>
    <t>Cost Reductions</t>
  </si>
  <si>
    <t>Systems and components not required on specific ZEV technology packages, or cost reducing processes that remove cost relative to a conventional ICE vehicle</t>
  </si>
  <si>
    <t>Pivot Tables and Charts</t>
  </si>
  <si>
    <t>Data organized into user configurable pivot tables and charts</t>
  </si>
  <si>
    <t>Worksheet (Linked)</t>
  </si>
  <si>
    <t>Notes</t>
  </si>
  <si>
    <t>Contains assumptions about the vehicle types and the applicability of additional technology packages</t>
  </si>
  <si>
    <t>BEVs</t>
  </si>
  <si>
    <t>Main BEV attribute page</t>
  </si>
  <si>
    <t>PHEVs</t>
  </si>
  <si>
    <t>Main PHEV attribute page</t>
  </si>
  <si>
    <t>FCEVs</t>
  </si>
  <si>
    <t>Main FCEV attribute page</t>
  </si>
  <si>
    <t>Base Vehicle Attributes and Component Costs</t>
  </si>
  <si>
    <t>Summary of base year ZEV technology attributes by vehicle class and non-battery component costs</t>
  </si>
  <si>
    <t>Battery Capacity</t>
  </si>
  <si>
    <t>Battery capacity in kWh for each vehicle class and ZEV technology on a year by year basis for 2025-2035</t>
  </si>
  <si>
    <t>Battery Costs</t>
  </si>
  <si>
    <t>Battery costs for each vehicle class and ZEV technology in current dollars on a year by year basis for 2025-2035</t>
  </si>
  <si>
    <t>Motor Power</t>
  </si>
  <si>
    <t>Electric motor power in kW for each vehicle class and ZEV technology on a year by year basis for 2025-2035</t>
  </si>
  <si>
    <t>Non-Battery Cost Input</t>
  </si>
  <si>
    <t>Cost curves for non-battery components</t>
  </si>
  <si>
    <t>Non-Battery Costs</t>
  </si>
  <si>
    <t>Total non-battery costs in $ for each vehicle class and ZEV technology on a year by year basis for 2025-2035</t>
  </si>
  <si>
    <t>Fuel Cell Tank Sizes</t>
  </si>
  <si>
    <t>Fuel Cell Tank Costs</t>
  </si>
  <si>
    <t>Fuel Cell Stack Power</t>
  </si>
  <si>
    <t>Fuel Cell Stack Power in kW for FCEVs for each vehicle class on a year by year basis for 2025-2035</t>
  </si>
  <si>
    <t>Fuel Cell Stack Costs</t>
  </si>
  <si>
    <t>Fuel Cell Stack Power in $ for FCEVs for each vehicle class on a year by year basis for 2025-2035</t>
  </si>
  <si>
    <t>Rolled Up Non-Incremental Costs</t>
  </si>
  <si>
    <t>Total non-incremental ZEV technology package cost in $ for each vehicle class on a year by year basis for 2025-2035</t>
  </si>
  <si>
    <t>ICE Removal Costs</t>
  </si>
  <si>
    <t>ICE removal cost in $ for each vehicle class and applicable ZEV technology on a year by year basis for 2025-2035</t>
  </si>
  <si>
    <t>Transmission removal cost in $ for each vehicle class and applicable ZEV technology on a year by year basis for 2025-2035</t>
  </si>
  <si>
    <t>LEV3 ICE Criteria Pollutant Emissions Compliance Cost Avoided</t>
  </si>
  <si>
    <t>LEV3 criteria pollutant emissions compliance cost in $ for each vehicle class and applicable ZEV technology on a year by year basis for 2025-2035</t>
  </si>
  <si>
    <t>Projected ACC II Criteria Pollutant Emissions Compliance Cost Avoided</t>
  </si>
  <si>
    <t>Projected ACCII criteria pollutant emissions compliance cost in $ for each vehicle class and applicable ZEV technology on a year by year basis for 2025-2035</t>
  </si>
  <si>
    <t>Projected ACC II ICE GHG Compliance Cost Avoided</t>
  </si>
  <si>
    <t>Projected ACCII GHG compliance cost in $ for each vehicle class and applicable ZEV technology on a year by year basis for 2025-2035</t>
  </si>
  <si>
    <t>ZEV Assembly Reductions</t>
  </si>
  <si>
    <t>ZEV assembly cost reductions in $ for each vehicle class and applicable ZEV technology on a year by year basis for 2025-2035</t>
  </si>
  <si>
    <t>Cold Weather Package</t>
  </si>
  <si>
    <t>Cold weather package cost in $ for applicable BEV vehicle classes on a year by year basis for 2025-2035</t>
  </si>
  <si>
    <t>eAWD-4WD Package</t>
  </si>
  <si>
    <t>eAWD package costs in $ for applicable ZEV technology and vehicle class on a year by year basis for 2025-2035</t>
  </si>
  <si>
    <t>Towing Package - Additional Battery</t>
  </si>
  <si>
    <t>Towing package additional battery in kWh for applicable BEV vehicle classes on a year by year basis for 2025-2035</t>
  </si>
  <si>
    <t>Towing Battery Costs</t>
  </si>
  <si>
    <t>Towing package additional battery cost in $ for applicalbe BEV vehicle classes on a year by year basis for 2025-2035</t>
  </si>
  <si>
    <t>Incremental Costs</t>
  </si>
  <si>
    <t>Rolled up incremental ZEV package costs in $ by vehicle class on a year by year basis for 2025-2035</t>
  </si>
  <si>
    <t>Incremental Costs Pivot</t>
  </si>
  <si>
    <t>General Vehicle Criteria and Assumptions</t>
  </si>
  <si>
    <t>Additional Package Applicability</t>
  </si>
  <si>
    <t>Lookup years</t>
  </si>
  <si>
    <t>Column1</t>
  </si>
  <si>
    <t>Column2</t>
  </si>
  <si>
    <t>VehicleClass</t>
  </si>
  <si>
    <t>Tech Type</t>
  </si>
  <si>
    <t>Base/Premium</t>
  </si>
  <si>
    <t>Cold</t>
  </si>
  <si>
    <t>eAWD</t>
  </si>
  <si>
    <t>Towing</t>
  </si>
  <si>
    <t>eAWD additional motor power % of single motor</t>
  </si>
  <si>
    <t>SmallCar</t>
  </si>
  <si>
    <t>BEV300</t>
  </si>
  <si>
    <t>Base</t>
  </si>
  <si>
    <t>Y</t>
  </si>
  <si>
    <t>N</t>
  </si>
  <si>
    <t>Non-Battery Cost Reduction per Year</t>
  </si>
  <si>
    <t>BEV400</t>
  </si>
  <si>
    <t>Premium</t>
  </si>
  <si>
    <t>Lookup Classes</t>
  </si>
  <si>
    <t>MedCar</t>
  </si>
  <si>
    <t>SmallSUV</t>
  </si>
  <si>
    <t>BEV Efficiency Improvement per Year</t>
  </si>
  <si>
    <t>BEV Battery SOC Utilization</t>
  </si>
  <si>
    <t>MedSUV</t>
  </si>
  <si>
    <t>BEV Motor Power Reduction per Year</t>
  </si>
  <si>
    <t>Towing Package Efficiency Improvement</t>
  </si>
  <si>
    <t>Pickup</t>
  </si>
  <si>
    <t>PickupHT</t>
  </si>
  <si>
    <t>PHEV50</t>
  </si>
  <si>
    <t>Initial PHEV Battery SOC Utilization</t>
  </si>
  <si>
    <t>Final PHEV Battery SOC Utilization</t>
  </si>
  <si>
    <t>FCEVS</t>
  </si>
  <si>
    <t>Used Argonne National Labs Autonomie Report to DOE as basis</t>
  </si>
  <si>
    <t>FCEV320</t>
  </si>
  <si>
    <t>BEV Ranges, Efficiency, Useable Battery Energy, and Total Battery Energy by class per year</t>
  </si>
  <si>
    <t>This is a blank merged cell for visual spacing. There is a table title in the row below, the table headers in the row below that, and the table data in the row below that.</t>
  </si>
  <si>
    <t>Range (mi)</t>
  </si>
  <si>
    <t>Vehicle Class</t>
  </si>
  <si>
    <t>Vehicle Type</t>
  </si>
  <si>
    <t>2025</t>
  </si>
  <si>
    <t>2026</t>
  </si>
  <si>
    <t>2027</t>
  </si>
  <si>
    <t>2028</t>
  </si>
  <si>
    <t>2029</t>
  </si>
  <si>
    <t>2030</t>
  </si>
  <si>
    <t>2031</t>
  </si>
  <si>
    <t>2032</t>
  </si>
  <si>
    <t>2033</t>
  </si>
  <si>
    <t>2034</t>
  </si>
  <si>
    <t>2035</t>
  </si>
  <si>
    <t>HT</t>
  </si>
  <si>
    <t>DC Energy - CD AER Efficiency (Wh/mi)</t>
  </si>
  <si>
    <t>Useable Battery Energy (kWh)</t>
  </si>
  <si>
    <t>Total Battery Energy (kWh)</t>
  </si>
  <si>
    <t>eMotor Power (kW)</t>
  </si>
  <si>
    <t>PHEV Ranges, Efficiency, Useable Battery Energy, Total Battery Energy, and eMotor Power by class per year</t>
  </si>
  <si>
    <t>CD AER Efficiency (Wh/mi)</t>
  </si>
  <si>
    <t>Usable Battery Energy (kWh)</t>
  </si>
  <si>
    <t>FCEV Ranges, Efficiency, Fuel Cell Stack Power, H2 Tank Capacity,Useable Battery Energy, Total Battery Energy, and eMotor Power by class per year</t>
  </si>
  <si>
    <t>Vehicle attributes from US DOE/ANL Autonomie VTO analysis, so no adjustments to usable battery energy - already adjusted</t>
  </si>
  <si>
    <t>FC Range (mi)</t>
  </si>
  <si>
    <t>FC Stack Power (kW)</t>
  </si>
  <si>
    <t>FC Tank Capacity (kg)</t>
  </si>
  <si>
    <t>H2 Efficiency (g H2/mi)</t>
  </si>
  <si>
    <t>Concat Lookup</t>
  </si>
  <si>
    <t>Base Year</t>
  </si>
  <si>
    <t>AER</t>
  </si>
  <si>
    <t>AER CD Efficiency (Wh/mi)</t>
  </si>
  <si>
    <t>AER H2 Efficiency (g/mi)</t>
  </si>
  <si>
    <t>Usable Battery Energy - UBE (kWh)</t>
  </si>
  <si>
    <t>Total Battery Energy - TBE (kWh)</t>
  </si>
  <si>
    <t>Fuel Cell Tank Capacity (kg)</t>
  </si>
  <si>
    <t>Fuel Cell Stack Power (kW)</t>
  </si>
  <si>
    <t>Motor Cost</t>
  </si>
  <si>
    <t>Gearbox Cost</t>
  </si>
  <si>
    <t>Inverter Cost</t>
  </si>
  <si>
    <t>Charge Cord Cost</t>
  </si>
  <si>
    <t>OBC Cost</t>
  </si>
  <si>
    <t>DCFC Cost</t>
  </si>
  <si>
    <t>DC-DC Converter Cost</t>
  </si>
  <si>
    <t>HV Controller Cost</t>
  </si>
  <si>
    <t>Power Electronic Housing Cost</t>
  </si>
  <si>
    <t>HV Cabling Cost</t>
  </si>
  <si>
    <t>e-Powertrain Cooling</t>
  </si>
  <si>
    <t>Total Non-Battery Cost</t>
  </si>
  <si>
    <t>eAWD Motor Cost</t>
  </si>
  <si>
    <t>eAWD Gearbox Cost</t>
  </si>
  <si>
    <t>eAWD Inverter Cost</t>
  </si>
  <si>
    <t>eAWD HV Cabling Cost</t>
  </si>
  <si>
    <t>eAWD Cooling</t>
  </si>
  <si>
    <t>eAWD Powertrain Cost</t>
  </si>
  <si>
    <t>Total Battery Capacity (kWh)</t>
  </si>
  <si>
    <t>Year</t>
  </si>
  <si>
    <t>Column3</t>
  </si>
  <si>
    <t>Column4</t>
  </si>
  <si>
    <t>Column5</t>
  </si>
  <si>
    <t>Column6</t>
  </si>
  <si>
    <t>Column7</t>
  </si>
  <si>
    <t>Column8</t>
  </si>
  <si>
    <t>Column9</t>
  </si>
  <si>
    <t>Column10</t>
  </si>
  <si>
    <t>Column11</t>
  </si>
  <si>
    <t>Column12</t>
  </si>
  <si>
    <t>Column13</t>
  </si>
  <si>
    <t>Column14</t>
  </si>
  <si>
    <t>Battery Pack Costs ($)</t>
  </si>
  <si>
    <t>Specific Battery Costs Curve ($/kWh)</t>
  </si>
  <si>
    <t>Technology</t>
  </si>
  <si>
    <t>BEV</t>
  </si>
  <si>
    <t>PHEV</t>
  </si>
  <si>
    <t>FCEV</t>
  </si>
  <si>
    <t>Electric Motor Power (kW)</t>
  </si>
  <si>
    <t>Non-Battery Component Cost Curves</t>
  </si>
  <si>
    <t>Nominal component set</t>
  </si>
  <si>
    <t>Definition</t>
  </si>
  <si>
    <t>Tech Application</t>
  </si>
  <si>
    <t>$/x</t>
  </si>
  <si>
    <t>Fixed cost</t>
  </si>
  <si>
    <t>Scale by (x)</t>
  </si>
  <si>
    <t>PHEV - Car Based</t>
  </si>
  <si>
    <t>PHEV - Truck Based</t>
  </si>
  <si>
    <t>Traction motor (PMSM)</t>
  </si>
  <si>
    <t>Rotor, stator, shaft only</t>
  </si>
  <si>
    <t>Motor kW</t>
  </si>
  <si>
    <t>Traction motor (Induction)</t>
  </si>
  <si>
    <t>Rest of motor (PMSM)</t>
  </si>
  <si>
    <t>Case, mounts, resolver</t>
  </si>
  <si>
    <t>N*</t>
  </si>
  <si>
    <t>multiplier</t>
  </si>
  <si>
    <t>Rest of motor (Induction)</t>
  </si>
  <si>
    <t>Single-speed gearbox</t>
  </si>
  <si>
    <t>Gears, housing</t>
  </si>
  <si>
    <t>AWD</t>
  </si>
  <si>
    <t>-</t>
  </si>
  <si>
    <t>Traction inverter (IGBT)</t>
  </si>
  <si>
    <t>Motor-integrated</t>
  </si>
  <si>
    <t>Integrated</t>
  </si>
  <si>
    <t>Traction inverter (Si-C)</t>
  </si>
  <si>
    <t>Charging cord and adapters</t>
  </si>
  <si>
    <t>Cord and any adapters</t>
  </si>
  <si>
    <t>For Level 1 and Level 2 (not DCFC)</t>
  </si>
  <si>
    <t>Integrated onboard AC charger</t>
  </si>
  <si>
    <t>operative subcomponents</t>
  </si>
  <si>
    <t>OBC kW</t>
  </si>
  <si>
    <t>AC-DC conversion, control, sensing, any dedicated wiring</t>
  </si>
  <si>
    <t>Integrated onboard DCFC circuitry</t>
  </si>
  <si>
    <t>Any additional control, sensing, parts, wiring for DCFC</t>
  </si>
  <si>
    <t>Integrated DC-DC converter</t>
  </si>
  <si>
    <t>Assuming 3kW</t>
  </si>
  <si>
    <t>Integrated housing+other</t>
  </si>
  <si>
    <t>Housing and other shared parts</t>
  </si>
  <si>
    <t>Integrated HV controller</t>
  </si>
  <si>
    <t>HV relays, contactors, control board</t>
  </si>
  <si>
    <t>HV "orange cables"</t>
  </si>
  <si>
    <t>all HV wiring between components</t>
  </si>
  <si>
    <t>Includes bus bars if used in place of flexible cables</t>
  </si>
  <si>
    <t>Powertrain cooling</t>
  </si>
  <si>
    <t>Conduits, pumps, fans, etc.</t>
  </si>
  <si>
    <t>per motor</t>
  </si>
  <si>
    <t>Second motor HV cables</t>
  </si>
  <si>
    <t>Additional orange cabling for second motor</t>
  </si>
  <si>
    <t>Total Non-Battery Cost ($)</t>
  </si>
  <si>
    <t>Fuel Cell H2 Tank Size (kg)</t>
  </si>
  <si>
    <t>Fuel Cell H2 Tank Cost ($)</t>
  </si>
  <si>
    <t>Fuel Cell Stack Cost ($)</t>
  </si>
  <si>
    <t>Non-Incremental ZEV Package Cost ($)</t>
  </si>
  <si>
    <t>ICE Removal Cost ($)</t>
  </si>
  <si>
    <t>Transmission Removal Cost ($)</t>
  </si>
  <si>
    <t>LEV3 Criteria Pollutant Emissions Removal Cost ($)</t>
  </si>
  <si>
    <t>Projected Future ACC II GHG Emissions Cost of Compliance Avoided ($)</t>
  </si>
  <si>
    <t>Projected Future ACC II Criteria Pollutant Emissions Cost of Compliance Avoided ($)</t>
  </si>
  <si>
    <t>ZEV Assembly Cost Reduction ($)</t>
  </si>
  <si>
    <t>Cold Weather Package Cost ($)</t>
  </si>
  <si>
    <t>eAWD Package Cost ($)</t>
  </si>
  <si>
    <t>Towing Package - Additional Battery Capacity (kWh)</t>
  </si>
  <si>
    <t>Towing Package Additional Battery Cost ($)</t>
  </si>
  <si>
    <t>Rolled Up Incremental ZEV Package Costs ($)</t>
  </si>
  <si>
    <t>Blank Cell</t>
  </si>
  <si>
    <t>Additional Tech</t>
  </si>
  <si>
    <t>Min of 2035</t>
  </si>
  <si>
    <t>Column Labels</t>
  </si>
  <si>
    <t>Base Total</t>
  </si>
  <si>
    <t>Grand Total</t>
  </si>
  <si>
    <t>N Total</t>
  </si>
  <si>
    <t>Row Labels</t>
  </si>
  <si>
    <t>Applicable Package?</t>
  </si>
  <si>
    <t>PHEV Efficiency Improvement per Year</t>
  </si>
  <si>
    <t>PHEV Motor Power Reduction per Year</t>
  </si>
  <si>
    <t>References</t>
  </si>
  <si>
    <t>ACC I GHG</t>
  </si>
  <si>
    <t>Islam, E. et al</t>
  </si>
  <si>
    <t>xEV Industry Insider Report, Total Battery Consulting, 2017, purchased from https://totalbatteryconsulting.com/</t>
  </si>
  <si>
    <t>National Academies of Sciences, Engineering, and Medicine. 2021. Assessment of Technologies for Improving Light-Duty Vehicle Fuel Economy—2025-2035. Washington, DC: The National Academies Press.https://doi.org/10.17226/26092.</t>
  </si>
  <si>
    <t>Islam, E., Kim, N., Moawad, A., Rousseau, A.“Energy Consumption and Cost Reduction of Future Light-Duty Vehicles through Advanced Vehicle Technologies: A Modeling Simulation Study Through 2050”, Report to the US Department of Energy, Contract ANL/ESD-19/10, June 2020, Retreived from: https://www.autonomie.net/publications/fuel_economy_report.html</t>
  </si>
  <si>
    <t>California Air Resources Board. Staff Report: Initial Statement of Reasons for Proposed Rulemaking, Public Hearing to Consider the “LEV III” Amendments to the California Greenhouse Gas and Criteria Pollutant Exhaust and Evaporative Emission Standards and Test Procedures and to the On-Board Diagnostic System Requirements for Passenger Cars, Light-Duty Trucks, and Medium-Duty Vehicles, and to the Evaporative Emission Requirements for Heavy-Duty Vehicles. Table ES-8, page ES-10. December 7, 2011. Retrieved from: https://ww2.arb.ca.gov/sites/default/files/barcu/regact/2012/leviiighg2012/levisor.pdf</t>
  </si>
  <si>
    <t>California Air Resources Board</t>
  </si>
  <si>
    <t>Updated Audi TFSI PHEV Q5, A6, A7 sportback have 14.4kWh usable and 17.9kWh total = 80.4% retreived from https://www.greencarcongress.com/2021/02/20210224-audiphev.html and 2016 Volt - 14.0kWh usable and 18.4kWh total = 76.1% retreived from https://media.gm.com/content/dam/Media/microsites/product/Volt_2016/doc/VOLT_BATTERY.pdf. Expect future models with bigger batteries to have higher percentage usable.</t>
  </si>
  <si>
    <t>Munro &amp; Associates, Inc., 2020a, Twelve Motor Teardown and Benchmark Study – Available at https://leandesign.com/</t>
  </si>
  <si>
    <t>Munro (2020a)</t>
  </si>
  <si>
    <t>Munro &amp; Associates, Inc., 2020b, Inverter Benchmark &amp; Cost Study – available at https://leandesign.com/</t>
  </si>
  <si>
    <t>Munro (2020b)</t>
  </si>
  <si>
    <t>Teardown references on worksheet</t>
  </si>
  <si>
    <t>UBS (2017), Munro (2018a), Munro (2018b)</t>
  </si>
  <si>
    <t>Munro &amp; Associates, Inc., 2018a, Tesla Model 3 Cost Analysis – available at https://leandesign.com/. Munro &amp; Associates, Inc., 2018b, Tesla Model 3 Side-by-Side Analysis – available at https://leandesign.com/.  UBS Evidence Lab Electric Car Teardown – Disruption Ahead?, 18 May 2017, https://neo.ubs.com/shared/d1wkuDlEbYPjF/.  Munro &amp; Associates, Inc., 2020c, Tesla Model Y Benchmark Report – available at https://leandesign.com/</t>
  </si>
  <si>
    <t>Current GHG Compliance</t>
  </si>
  <si>
    <t>Current GHG compliance costs in $ for each vehicle class and applicable ZEV technology on a year by year basis for 2025-2035</t>
  </si>
  <si>
    <t>Summary, Overview, and Additional Information</t>
  </si>
  <si>
    <t>Contains summary information about this workbook and references</t>
  </si>
  <si>
    <t>Vehicle Attributes Overview</t>
  </si>
  <si>
    <t>Hydrogen tank sizes in kg for FCEVs for each vehicle class on a year by year basis for 2025-2035</t>
  </si>
  <si>
    <t>Hydrogen tank costs in $ for FCEVs for each vehicle class on a year by year basis for 2025-2035</t>
  </si>
  <si>
    <t>Transmission Removal Costs</t>
  </si>
  <si>
    <t>Pivot table and chart for incremental ZEV package costs</t>
  </si>
  <si>
    <t>Efficiency and Power developed using NREL FastSIM and market comparisons. Documentation forthcoming.</t>
  </si>
  <si>
    <t>2017 Tesla Model 3 Usable Battery Energy = 78,269.46Wh from certification documention retreived from: https://iaspub.epa.gov/otaqpub/display_file.jsp?docid=40001&amp;flag=1,  Assumed Total Battery Energy derived by: Each cell is 3.6V x 5Ah (18Wh) x 4416 cells  = 79,488Wh,  78,269.46/79,488 Wh = 98.4%. Rounded down to 97%. Has been moved down to 95% to help account for battery durability.</t>
  </si>
  <si>
    <t xml:space="preserve">Lutsey and Nicholas. “Update on electric vehicle costs in the United States through 2030”, April, 2019.  Page 5, Table 3, Other Direct and Indirect Costs. Retrieved from https://theicct.org/publications/update-US-2030-electric-vehicle-cost. </t>
  </si>
  <si>
    <t>Single day, 440-mile trip. Range buffer of 50-miles available at the final destination to cover incidental issues. Assumed efficiency cut in half while towing trailer. One stop during trip with a 20 min 350kW charging session (assuming full 350kW for entire 20 min) – that 20 min stop becomes the limiting factor because only 116kWh can be refilled in that time period, and with such high energy usage the battery needs to be upsized more than if the trip could be split into two equal 220-mile legs.</t>
  </si>
  <si>
    <t>These have been moved off-model and accounted for elsewhere.</t>
  </si>
  <si>
    <t>2018 NHTSA CAFE Model technology input costs and EPA staff work</t>
  </si>
  <si>
    <t>Teardown references on Non-Battery Cost Input worksheet</t>
  </si>
  <si>
    <t>Current ACC I GHG Emissions Cost of Compliance Avoided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</si>
</sst>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0"/>
    <numFmt numFmtId="166" formatCode="_(&quot;$&quot;* #,##0_);_(&quot;$&quot;* \(#,##0\);_(&quot;$&quot;* &quot;-&quot;??_);_(@_)"/>
    <numFmt numFmtId="167" formatCode="0.0000"/>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u/>
      <sz val="11"/>
      <color theme="10"/>
      <name val="Calibri"/>
      <family val="2"/>
      <scheme val="minor"/>
    </font>
    <font>
      <sz val="10"/>
      <color theme="1"/>
      <name val="Calibri"/>
      <family val="2"/>
      <scheme val="minor"/>
    </font>
    <font>
      <sz val="8"/>
      <name val="Calibri"/>
      <family val="2"/>
      <scheme val="minor"/>
    </font>
    <font>
      <sz val="11"/>
      <color theme="0"/>
      <name val="Calibri"/>
      <family val="2"/>
      <scheme val="minor"/>
    </font>
    <font>
      <b/>
      <sz val="11"/>
      <name val="Calibri"/>
      <family val="2"/>
      <scheme val="minor"/>
    </font>
    <font>
      <sz val="11"/>
      <name val="Calibri"/>
      <family val="2"/>
      <scheme val="minor"/>
    </font>
    <font>
      <b/>
      <sz val="12"/>
      <color theme="0"/>
      <name val="Calibri"/>
      <family val="2"/>
      <scheme val="minor"/>
    </font>
    <font>
      <b/>
      <sz val="11"/>
      <color theme="0"/>
      <name val="Calibri"/>
      <family val="2"/>
      <scheme val="minor"/>
    </font>
    <font>
      <b/>
      <u/>
      <sz val="11"/>
      <name val="Calibri"/>
      <family val="2"/>
      <scheme val="minor"/>
    </font>
    <font>
      <sz val="9"/>
      <color indexed="81"/>
      <name val="Tahoma"/>
      <family val="2"/>
    </font>
    <font>
      <b/>
      <sz val="9"/>
      <color indexed="81"/>
      <name val="Tahoma"/>
      <family val="2"/>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
      <patternFill patternType="solid">
        <fgColor rgb="FFFFC000"/>
        <bgColor indexed="64"/>
      </patternFill>
    </fill>
    <fill>
      <patternFill patternType="solid">
        <fgColor rgb="FF4D4D4F"/>
        <bgColor indexed="64"/>
      </patternFill>
    </fill>
    <fill>
      <patternFill patternType="solid">
        <fgColor rgb="FF10597B"/>
        <bgColor indexed="64"/>
      </patternFill>
    </fill>
    <fill>
      <patternFill patternType="solid">
        <fgColor rgb="FF36A393"/>
        <bgColor indexed="64"/>
      </patternFill>
    </fill>
  </fills>
  <borders count="45">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4">
    <xf numFmtId="0" fontId="0" fillId="0" borderId="0"/>
    <xf numFmtId="9" fontId="1"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cellStyleXfs>
  <cellXfs count="218">
    <xf numFmtId="0" fontId="0" fillId="0" borderId="0" xfId="0"/>
    <xf numFmtId="0" fontId="0" fillId="0" borderId="0" xfId="0" applyBorder="1"/>
    <xf numFmtId="0" fontId="0" fillId="0" borderId="0" xfId="0" applyAlignment="1">
      <alignment horizontal="right"/>
    </xf>
    <xf numFmtId="2" fontId="0" fillId="0" borderId="0" xfId="0" applyNumberFormat="1"/>
    <xf numFmtId="1" fontId="0" fillId="0" borderId="0" xfId="0" applyNumberFormat="1"/>
    <xf numFmtId="0" fontId="0" fillId="0" borderId="0" xfId="0" pivotButton="1"/>
    <xf numFmtId="0" fontId="0" fillId="0" borderId="0" xfId="0" applyAlignment="1">
      <alignment horizontal="left"/>
    </xf>
    <xf numFmtId="0" fontId="0" fillId="0" borderId="0" xfId="0" applyNumberFormat="1"/>
    <xf numFmtId="0" fontId="2" fillId="0" borderId="0" xfId="0" applyFont="1"/>
    <xf numFmtId="0" fontId="0" fillId="0" borderId="0" xfId="0" applyFont="1"/>
    <xf numFmtId="0" fontId="0" fillId="0" borderId="0" xfId="0" applyAlignment="1">
      <alignment horizontal="left" indent="1"/>
    </xf>
    <xf numFmtId="0" fontId="0" fillId="0" borderId="0" xfId="0" applyFill="1"/>
    <xf numFmtId="0" fontId="0" fillId="0" borderId="0" xfId="0" applyAlignment="1"/>
    <xf numFmtId="0" fontId="0" fillId="2" borderId="16" xfId="0" applyFill="1" applyBorder="1"/>
    <xf numFmtId="0" fontId="0" fillId="0" borderId="16" xfId="0" applyBorder="1"/>
    <xf numFmtId="0" fontId="2" fillId="2" borderId="10" xfId="0" applyFont="1" applyFill="1" applyBorder="1"/>
    <xf numFmtId="0" fontId="0" fillId="2" borderId="0" xfId="0" applyFill="1"/>
    <xf numFmtId="0" fontId="0" fillId="2" borderId="0" xfId="0" applyFill="1" applyBorder="1"/>
    <xf numFmtId="0" fontId="0" fillId="0" borderId="28" xfId="0" applyBorder="1"/>
    <xf numFmtId="0" fontId="0" fillId="2" borderId="19" xfId="0" applyFill="1" applyBorder="1"/>
    <xf numFmtId="0" fontId="0" fillId="0" borderId="19" xfId="0" applyBorder="1"/>
    <xf numFmtId="0" fontId="0" fillId="2" borderId="20" xfId="0" applyFill="1" applyBorder="1"/>
    <xf numFmtId="165" fontId="0" fillId="0" borderId="16" xfId="0" applyNumberFormat="1" applyFill="1" applyBorder="1"/>
    <xf numFmtId="1" fontId="0" fillId="0" borderId="16" xfId="0" applyNumberFormat="1" applyFill="1" applyBorder="1"/>
    <xf numFmtId="0" fontId="2" fillId="0" borderId="8" xfId="0" applyFont="1" applyBorder="1" applyAlignment="1">
      <alignment wrapText="1"/>
    </xf>
    <xf numFmtId="0" fontId="2" fillId="0" borderId="27" xfId="0" applyFont="1" applyBorder="1"/>
    <xf numFmtId="0" fontId="2" fillId="0" borderId="15" xfId="0" applyFont="1" applyBorder="1"/>
    <xf numFmtId="2" fontId="0" fillId="0" borderId="16" xfId="0" applyNumberFormat="1" applyFill="1" applyBorder="1"/>
    <xf numFmtId="0" fontId="0" fillId="4" borderId="0" xfId="0" applyFill="1"/>
    <xf numFmtId="0" fontId="0" fillId="3" borderId="0" xfId="0" applyFill="1"/>
    <xf numFmtId="0" fontId="0" fillId="3" borderId="0" xfId="0" applyFill="1" applyBorder="1"/>
    <xf numFmtId="0" fontId="0" fillId="0" borderId="0" xfId="0" applyFill="1" applyAlignment="1"/>
    <xf numFmtId="0" fontId="2" fillId="3" borderId="0" xfId="0" applyFont="1" applyFill="1" applyAlignment="1">
      <alignment horizontal="right"/>
    </xf>
    <xf numFmtId="0" fontId="0" fillId="2" borderId="0" xfId="0" applyFill="1" applyBorder="1" applyAlignment="1">
      <alignment horizontal="right"/>
    </xf>
    <xf numFmtId="0" fontId="0" fillId="0" borderId="0" xfId="0" applyBorder="1" applyAlignment="1">
      <alignment horizontal="right"/>
    </xf>
    <xf numFmtId="0" fontId="0" fillId="0" borderId="37" xfId="0" applyBorder="1"/>
    <xf numFmtId="0" fontId="0" fillId="0" borderId="32" xfId="0" applyBorder="1"/>
    <xf numFmtId="0" fontId="0" fillId="0" borderId="4" xfId="0" applyBorder="1"/>
    <xf numFmtId="0" fontId="3" fillId="0" borderId="8" xfId="0" applyFont="1" applyBorder="1"/>
    <xf numFmtId="0" fontId="3" fillId="0" borderId="27" xfId="0" applyFont="1" applyBorder="1"/>
    <xf numFmtId="0" fontId="7" fillId="0" borderId="0" xfId="0" applyFont="1"/>
    <xf numFmtId="0" fontId="9" fillId="0" borderId="0" xfId="0" applyFont="1"/>
    <xf numFmtId="165" fontId="0" fillId="0" borderId="0" xfId="0" applyNumberFormat="1" applyFill="1" applyBorder="1"/>
    <xf numFmtId="1" fontId="0" fillId="0" borderId="0" xfId="0" applyNumberFormat="1" applyFill="1" applyBorder="1"/>
    <xf numFmtId="2" fontId="0" fillId="0" borderId="0" xfId="0" applyNumberFormat="1" applyFill="1" applyBorder="1"/>
    <xf numFmtId="0" fontId="0" fillId="0" borderId="16" xfId="0" applyFill="1" applyBorder="1"/>
    <xf numFmtId="164" fontId="0" fillId="0" borderId="5" xfId="1" applyNumberFormat="1" applyFont="1" applyFill="1" applyBorder="1"/>
    <xf numFmtId="0" fontId="0" fillId="0" borderId="6" xfId="0" applyFill="1" applyBorder="1" applyAlignment="1">
      <alignment horizontal="left"/>
    </xf>
    <xf numFmtId="164" fontId="0" fillId="0" borderId="19" xfId="1" applyNumberFormat="1" applyFont="1" applyFill="1" applyBorder="1"/>
    <xf numFmtId="9" fontId="0" fillId="0" borderId="19" xfId="1" applyFont="1" applyFill="1" applyBorder="1"/>
    <xf numFmtId="164" fontId="0" fillId="0" borderId="20" xfId="1" applyNumberFormat="1" applyFont="1" applyFill="1" applyBorder="1"/>
    <xf numFmtId="0" fontId="0" fillId="0" borderId="9" xfId="0" applyFill="1" applyBorder="1" applyAlignment="1">
      <alignment horizontal="left"/>
    </xf>
    <xf numFmtId="164" fontId="7" fillId="0" borderId="5" xfId="1" applyNumberFormat="1" applyFont="1" applyFill="1" applyBorder="1"/>
    <xf numFmtId="0" fontId="7" fillId="0" borderId="6" xfId="0" applyFont="1" applyFill="1" applyBorder="1" applyAlignment="1">
      <alignment horizontal="left"/>
    </xf>
    <xf numFmtId="0" fontId="12" fillId="0" borderId="0" xfId="3" applyFont="1" applyFill="1" applyBorder="1"/>
    <xf numFmtId="0" fontId="2" fillId="3" borderId="21" xfId="0" applyFont="1" applyFill="1" applyBorder="1" applyAlignment="1"/>
    <xf numFmtId="0" fontId="2" fillId="3" borderId="39" xfId="0" applyFont="1" applyFill="1" applyBorder="1" applyAlignment="1"/>
    <xf numFmtId="0" fontId="2" fillId="3" borderId="16" xfId="0" applyFont="1" applyFill="1" applyBorder="1" applyAlignment="1"/>
    <xf numFmtId="0" fontId="2" fillId="3" borderId="14" xfId="0" applyFont="1" applyFill="1" applyBorder="1" applyAlignment="1"/>
    <xf numFmtId="0" fontId="2" fillId="0" borderId="39" xfId="0" applyFont="1" applyBorder="1" applyAlignment="1">
      <alignment horizontal="center"/>
    </xf>
    <xf numFmtId="0" fontId="2" fillId="0" borderId="21" xfId="0" applyFont="1" applyBorder="1" applyAlignment="1">
      <alignment horizontal="center"/>
    </xf>
    <xf numFmtId="0" fontId="2" fillId="0" borderId="6" xfId="0" applyFont="1" applyBorder="1" applyAlignment="1">
      <alignment horizontal="center"/>
    </xf>
    <xf numFmtId="0" fontId="0" fillId="0" borderId="29" xfId="0" applyFill="1" applyBorder="1" applyAlignment="1">
      <alignment horizontal="right"/>
    </xf>
    <xf numFmtId="0" fontId="0" fillId="0" borderId="29" xfId="0" applyFill="1" applyBorder="1"/>
    <xf numFmtId="1" fontId="0" fillId="0" borderId="29" xfId="0" applyNumberFormat="1" applyFill="1" applyBorder="1"/>
    <xf numFmtId="165" fontId="0" fillId="0" borderId="29" xfId="0" applyNumberFormat="1" applyFill="1" applyBorder="1"/>
    <xf numFmtId="2" fontId="0" fillId="0" borderId="29" xfId="0" applyNumberFormat="1" applyFill="1" applyBorder="1"/>
    <xf numFmtId="1" fontId="0" fillId="0" borderId="23" xfId="0" applyNumberFormat="1" applyFill="1" applyBorder="1"/>
    <xf numFmtId="0" fontId="0" fillId="0" borderId="16" xfId="0" applyFill="1" applyBorder="1" applyAlignment="1">
      <alignment horizontal="right"/>
    </xf>
    <xf numFmtId="0" fontId="11" fillId="0" borderId="15" xfId="0" applyFont="1" applyFill="1" applyBorder="1" applyAlignment="1">
      <alignment horizontal="center"/>
    </xf>
    <xf numFmtId="0" fontId="11" fillId="0" borderId="17" xfId="0" applyFont="1" applyFill="1" applyBorder="1" applyAlignment="1">
      <alignment horizontal="center"/>
    </xf>
    <xf numFmtId="0" fontId="11" fillId="0" borderId="17" xfId="0" applyFont="1" applyFill="1" applyBorder="1" applyAlignment="1">
      <alignment horizontal="center" wrapText="1"/>
    </xf>
    <xf numFmtId="0" fontId="11" fillId="0" borderId="8" xfId="0" applyFont="1" applyFill="1" applyBorder="1" applyAlignment="1">
      <alignment horizontal="center" wrapText="1"/>
    </xf>
    <xf numFmtId="0" fontId="2" fillId="0" borderId="21" xfId="0" applyFont="1" applyFill="1" applyBorder="1" applyAlignment="1"/>
    <xf numFmtId="0" fontId="2" fillId="0" borderId="39" xfId="0" applyFont="1" applyFill="1" applyBorder="1" applyAlignment="1"/>
    <xf numFmtId="0" fontId="2" fillId="0" borderId="16" xfId="0" applyFont="1" applyFill="1" applyBorder="1" applyAlignment="1"/>
    <xf numFmtId="0" fontId="2" fillId="0" borderId="14" xfId="0" applyFont="1" applyFill="1" applyBorder="1" applyAlignment="1"/>
    <xf numFmtId="0" fontId="2" fillId="0" borderId="39" xfId="0" applyFont="1" applyFill="1" applyBorder="1" applyAlignment="1">
      <alignment horizontal="center"/>
    </xf>
    <xf numFmtId="0" fontId="2" fillId="0" borderId="21" xfId="0" applyFont="1" applyFill="1" applyBorder="1" applyAlignment="1">
      <alignment horizontal="center"/>
    </xf>
    <xf numFmtId="0" fontId="0" fillId="0" borderId="14" xfId="0" applyFill="1" applyBorder="1" applyAlignment="1">
      <alignment horizontal="right"/>
    </xf>
    <xf numFmtId="0" fontId="0" fillId="0" borderId="12" xfId="0" applyFill="1" applyBorder="1" applyAlignment="1">
      <alignment horizontal="center"/>
    </xf>
    <xf numFmtId="0" fontId="0" fillId="0" borderId="7" xfId="0" applyFill="1" applyBorder="1" applyAlignment="1">
      <alignment horizontal="left"/>
    </xf>
    <xf numFmtId="0" fontId="0" fillId="0" borderId="10" xfId="0" applyFill="1" applyBorder="1" applyAlignment="1">
      <alignment horizontal="left"/>
    </xf>
    <xf numFmtId="9" fontId="0" fillId="0" borderId="20" xfId="1" applyFont="1" applyFill="1" applyBorder="1"/>
    <xf numFmtId="9" fontId="0" fillId="0" borderId="5" xfId="1" applyFont="1" applyFill="1" applyBorder="1"/>
    <xf numFmtId="0" fontId="0" fillId="0" borderId="18" xfId="0" applyFill="1" applyBorder="1" applyAlignment="1">
      <alignment horizontal="right"/>
    </xf>
    <xf numFmtId="0" fontId="0" fillId="0" borderId="21" xfId="0" applyFill="1" applyBorder="1"/>
    <xf numFmtId="0" fontId="0" fillId="0" borderId="14" xfId="0" applyFill="1" applyBorder="1"/>
    <xf numFmtId="1" fontId="0" fillId="0" borderId="16" xfId="0" applyNumberFormat="1" applyFill="1" applyBorder="1" applyAlignment="1">
      <alignment horizontal="right"/>
    </xf>
    <xf numFmtId="1" fontId="0" fillId="0" borderId="6" xfId="0" applyNumberFormat="1" applyFill="1" applyBorder="1" applyAlignment="1">
      <alignment horizontal="right"/>
    </xf>
    <xf numFmtId="0" fontId="0" fillId="0" borderId="19" xfId="0" applyFill="1" applyBorder="1" applyAlignment="1">
      <alignment horizontal="right"/>
    </xf>
    <xf numFmtId="0" fontId="7" fillId="0" borderId="34" xfId="0" applyFont="1" applyFill="1" applyBorder="1" applyAlignment="1">
      <alignment horizontal="right"/>
    </xf>
    <xf numFmtId="0" fontId="7" fillId="0" borderId="32" xfId="0" applyFont="1" applyFill="1" applyBorder="1" applyAlignment="1">
      <alignment horizontal="right"/>
    </xf>
    <xf numFmtId="0" fontId="7" fillId="0" borderId="38" xfId="0" applyFont="1" applyFill="1" applyBorder="1" applyAlignment="1">
      <alignment horizontal="right"/>
    </xf>
    <xf numFmtId="0" fontId="7" fillId="0" borderId="32" xfId="0" applyNumberFormat="1" applyFont="1" applyFill="1" applyBorder="1" applyAlignment="1">
      <alignment horizontal="right"/>
    </xf>
    <xf numFmtId="0" fontId="7" fillId="0" borderId="35" xfId="0" applyNumberFormat="1" applyFont="1" applyFill="1" applyBorder="1" applyAlignment="1">
      <alignment horizontal="right"/>
    </xf>
    <xf numFmtId="0" fontId="0" fillId="0" borderId="20" xfId="0" applyFill="1" applyBorder="1" applyAlignment="1">
      <alignment horizontal="right"/>
    </xf>
    <xf numFmtId="0" fontId="0" fillId="0" borderId="17" xfId="0" applyFill="1" applyBorder="1"/>
    <xf numFmtId="0" fontId="0" fillId="0" borderId="15" xfId="0" applyFill="1" applyBorder="1"/>
    <xf numFmtId="1" fontId="0" fillId="0" borderId="17" xfId="0" applyNumberFormat="1" applyFill="1" applyBorder="1" applyAlignment="1">
      <alignment horizontal="right"/>
    </xf>
    <xf numFmtId="1" fontId="0" fillId="0" borderId="9" xfId="0" applyNumberFormat="1" applyFill="1" applyBorder="1" applyAlignment="1">
      <alignment horizontal="right"/>
    </xf>
    <xf numFmtId="0" fontId="0" fillId="0" borderId="39" xfId="0" applyFill="1" applyBorder="1" applyAlignment="1">
      <alignment horizontal="right"/>
    </xf>
    <xf numFmtId="1" fontId="0" fillId="0" borderId="0" xfId="0" applyNumberFormat="1" applyFill="1" applyBorder="1" applyAlignment="1">
      <alignment horizontal="right"/>
    </xf>
    <xf numFmtId="0" fontId="0" fillId="0" borderId="28" xfId="0" applyFill="1" applyBorder="1" applyAlignment="1">
      <alignment horizontal="right"/>
    </xf>
    <xf numFmtId="0" fontId="0" fillId="0" borderId="30" xfId="0" applyFill="1" applyBorder="1"/>
    <xf numFmtId="1" fontId="0" fillId="0" borderId="29" xfId="0" applyNumberFormat="1" applyFill="1" applyBorder="1" applyAlignment="1">
      <alignment horizontal="right"/>
    </xf>
    <xf numFmtId="1" fontId="0" fillId="0" borderId="24" xfId="0" applyNumberFormat="1" applyFill="1" applyBorder="1" applyAlignment="1">
      <alignment horizontal="right"/>
    </xf>
    <xf numFmtId="0" fontId="7" fillId="0" borderId="32" xfId="0" applyFont="1" applyFill="1" applyBorder="1" applyAlignment="1">
      <alignment horizontal="left"/>
    </xf>
    <xf numFmtId="0" fontId="7" fillId="0" borderId="38" xfId="0" applyFont="1" applyFill="1" applyBorder="1" applyAlignment="1">
      <alignment horizontal="left"/>
    </xf>
    <xf numFmtId="0" fontId="7" fillId="0" borderId="37" xfId="0" applyFont="1" applyFill="1" applyBorder="1" applyAlignment="1">
      <alignment horizontal="right"/>
    </xf>
    <xf numFmtId="0" fontId="7" fillId="0" borderId="14" xfId="0" applyFont="1" applyFill="1" applyBorder="1" applyAlignment="1">
      <alignment horizontal="right"/>
    </xf>
    <xf numFmtId="0" fontId="7" fillId="0" borderId="16" xfId="0" applyFont="1" applyFill="1" applyBorder="1" applyAlignment="1">
      <alignment horizontal="left"/>
    </xf>
    <xf numFmtId="0" fontId="7" fillId="0" borderId="14" xfId="0" applyFont="1" applyFill="1" applyBorder="1" applyAlignment="1">
      <alignment horizontal="left"/>
    </xf>
    <xf numFmtId="0" fontId="7" fillId="0" borderId="16" xfId="0" applyFont="1" applyFill="1" applyBorder="1" applyAlignment="1">
      <alignment horizontal="right"/>
    </xf>
    <xf numFmtId="0" fontId="7" fillId="0" borderId="0" xfId="0" applyFont="1" applyFill="1" applyBorder="1" applyAlignment="1">
      <alignment horizontal="right"/>
    </xf>
    <xf numFmtId="2" fontId="0" fillId="0" borderId="16" xfId="0" applyNumberFormat="1" applyFill="1" applyBorder="1" applyAlignment="1">
      <alignment horizontal="right"/>
    </xf>
    <xf numFmtId="2" fontId="0" fillId="0" borderId="0" xfId="0" applyNumberFormat="1" applyFill="1" applyBorder="1" applyAlignment="1">
      <alignment horizontal="right"/>
    </xf>
    <xf numFmtId="166" fontId="0" fillId="0" borderId="0" xfId="2" applyNumberFormat="1" applyFont="1" applyFill="1" applyBorder="1"/>
    <xf numFmtId="0" fontId="0" fillId="0" borderId="39" xfId="0" applyFill="1" applyBorder="1"/>
    <xf numFmtId="166" fontId="0" fillId="0" borderId="1" xfId="2" applyNumberFormat="1" applyFont="1" applyFill="1" applyBorder="1"/>
    <xf numFmtId="0" fontId="2" fillId="0" borderId="18" xfId="0" applyFont="1" applyFill="1" applyBorder="1" applyAlignment="1"/>
    <xf numFmtId="0" fontId="2" fillId="0" borderId="2" xfId="0" applyFont="1" applyFill="1" applyBorder="1"/>
    <xf numFmtId="0" fontId="2" fillId="0" borderId="33" xfId="0" applyFont="1" applyFill="1" applyBorder="1"/>
    <xf numFmtId="0" fontId="0" fillId="0" borderId="4" xfId="0" applyFill="1" applyBorder="1" applyAlignment="1">
      <alignment horizontal="center"/>
    </xf>
    <xf numFmtId="0" fontId="0" fillId="0" borderId="0" xfId="0" applyFill="1" applyBorder="1" applyAlignment="1">
      <alignment horizontal="center"/>
    </xf>
    <xf numFmtId="0" fontId="0" fillId="0" borderId="14" xfId="0" applyFill="1" applyBorder="1" applyAlignment="1">
      <alignment horizontal="center"/>
    </xf>
    <xf numFmtId="0" fontId="0" fillId="0" borderId="0" xfId="0" applyFill="1" applyBorder="1"/>
    <xf numFmtId="0" fontId="0" fillId="0" borderId="36" xfId="0" applyFill="1" applyBorder="1" applyAlignment="1">
      <alignment horizontal="center"/>
    </xf>
    <xf numFmtId="0" fontId="0" fillId="0" borderId="23" xfId="0" applyFill="1" applyBorder="1" applyAlignment="1">
      <alignment horizontal="center"/>
    </xf>
    <xf numFmtId="0" fontId="0" fillId="0" borderId="30" xfId="0" applyFill="1" applyBorder="1" applyAlignment="1">
      <alignment horizontal="center"/>
    </xf>
    <xf numFmtId="0" fontId="0" fillId="0" borderId="23" xfId="0" applyFill="1" applyBorder="1"/>
    <xf numFmtId="0" fontId="7" fillId="0" borderId="21" xfId="0" applyFont="1" applyFill="1" applyBorder="1" applyAlignment="1"/>
    <xf numFmtId="0" fontId="7" fillId="0" borderId="32" xfId="0" applyFont="1" applyFill="1" applyBorder="1" applyAlignment="1">
      <alignment horizontal="center"/>
    </xf>
    <xf numFmtId="0" fontId="7" fillId="0" borderId="3" xfId="0" applyFont="1" applyFill="1" applyBorder="1" applyAlignment="1">
      <alignment horizontal="center"/>
    </xf>
    <xf numFmtId="0" fontId="7" fillId="0" borderId="31" xfId="0" applyFont="1" applyFill="1" applyBorder="1" applyAlignment="1">
      <alignment horizontal="center"/>
    </xf>
    <xf numFmtId="1" fontId="7" fillId="0" borderId="31" xfId="0" applyNumberFormat="1" applyFont="1" applyFill="1" applyBorder="1" applyAlignment="1">
      <alignment horizontal="center"/>
    </xf>
    <xf numFmtId="1" fontId="7" fillId="0" borderId="2" xfId="0" applyNumberFormat="1" applyFont="1" applyFill="1" applyBorder="1" applyAlignment="1">
      <alignment horizontal="center"/>
    </xf>
    <xf numFmtId="1" fontId="7" fillId="0" borderId="16" xfId="0" applyNumberFormat="1" applyFont="1" applyFill="1" applyBorder="1"/>
    <xf numFmtId="1" fontId="7" fillId="0" borderId="0" xfId="0" applyNumberFormat="1" applyFont="1" applyFill="1" applyBorder="1"/>
    <xf numFmtId="0" fontId="7" fillId="0" borderId="0" xfId="0" applyFont="1" applyFill="1" applyBorder="1"/>
    <xf numFmtId="0" fontId="7" fillId="0" borderId="0" xfId="0" applyFont="1" applyBorder="1"/>
    <xf numFmtId="0" fontId="8" fillId="3" borderId="14" xfId="0" applyFont="1" applyFill="1" applyBorder="1"/>
    <xf numFmtId="0" fontId="8" fillId="3" borderId="0" xfId="0" applyFont="1" applyFill="1" applyBorder="1"/>
    <xf numFmtId="0" fontId="11" fillId="8" borderId="41" xfId="0" applyFont="1" applyFill="1" applyBorder="1"/>
    <xf numFmtId="0" fontId="11" fillId="6" borderId="41" xfId="0" applyFont="1" applyFill="1" applyBorder="1"/>
    <xf numFmtId="0" fontId="2" fillId="5" borderId="41" xfId="0" applyFont="1" applyFill="1" applyBorder="1"/>
    <xf numFmtId="0" fontId="11" fillId="7" borderId="42" xfId="0" applyFont="1" applyFill="1" applyBorder="1"/>
    <xf numFmtId="0" fontId="2" fillId="0" borderId="31" xfId="0" applyFont="1" applyFill="1" applyBorder="1"/>
    <xf numFmtId="0" fontId="2" fillId="0" borderId="6" xfId="0" applyFont="1" applyFill="1" applyBorder="1" applyAlignment="1">
      <alignment horizontal="center"/>
    </xf>
    <xf numFmtId="9" fontId="0" fillId="0" borderId="0" xfId="1" applyFont="1" applyFill="1" applyBorder="1"/>
    <xf numFmtId="0" fontId="0" fillId="0" borderId="0" xfId="0" applyFill="1" applyBorder="1" applyAlignment="1">
      <alignment horizontal="left"/>
    </xf>
    <xf numFmtId="0" fontId="0" fillId="0" borderId="0" xfId="0" applyFont="1" applyFill="1" applyBorder="1" applyAlignment="1">
      <alignment horizontal="right"/>
    </xf>
    <xf numFmtId="1" fontId="0" fillId="0" borderId="0" xfId="0" applyNumberFormat="1" applyFont="1" applyFill="1" applyBorder="1" applyAlignment="1">
      <alignment horizontal="right"/>
    </xf>
    <xf numFmtId="1" fontId="0" fillId="0" borderId="0" xfId="0" applyNumberFormat="1" applyFill="1"/>
    <xf numFmtId="0" fontId="0" fillId="0" borderId="0" xfId="0" applyFill="1" applyBorder="1" applyAlignment="1">
      <alignment horizontal="right"/>
    </xf>
    <xf numFmtId="0" fontId="2" fillId="0" borderId="0" xfId="0" applyFont="1" applyFill="1" applyBorder="1" applyAlignment="1">
      <alignment horizontal="center"/>
    </xf>
    <xf numFmtId="0" fontId="0" fillId="0" borderId="14" xfId="0" applyBorder="1" applyAlignment="1">
      <alignment horizontal="center"/>
    </xf>
    <xf numFmtId="1" fontId="0" fillId="0" borderId="16" xfId="0" applyNumberFormat="1" applyBorder="1"/>
    <xf numFmtId="167" fontId="0" fillId="0" borderId="0" xfId="0" applyNumberFormat="1"/>
    <xf numFmtId="164" fontId="0" fillId="0" borderId="0" xfId="1" applyNumberFormat="1" applyFont="1" applyFill="1" applyBorder="1"/>
    <xf numFmtId="165" fontId="0" fillId="0" borderId="29" xfId="0" applyNumberFormat="1" applyFill="1" applyBorder="1" applyAlignment="1">
      <alignment horizontal="right"/>
    </xf>
    <xf numFmtId="165" fontId="0" fillId="0" borderId="24" xfId="0" applyNumberFormat="1" applyFill="1" applyBorder="1" applyAlignment="1">
      <alignment horizontal="right"/>
    </xf>
    <xf numFmtId="165" fontId="0" fillId="0" borderId="16" xfId="0" applyNumberFormat="1" applyFill="1" applyBorder="1" applyAlignment="1">
      <alignment horizontal="right"/>
    </xf>
    <xf numFmtId="165" fontId="0" fillId="0" borderId="6" xfId="0" applyNumberFormat="1" applyFill="1" applyBorder="1" applyAlignment="1">
      <alignment horizontal="right"/>
    </xf>
    <xf numFmtId="165" fontId="0" fillId="0" borderId="17" xfId="0" applyNumberFormat="1" applyFill="1" applyBorder="1" applyAlignment="1">
      <alignment horizontal="right"/>
    </xf>
    <xf numFmtId="165" fontId="0" fillId="0" borderId="9" xfId="0" applyNumberFormat="1" applyFill="1" applyBorder="1" applyAlignment="1">
      <alignment horizontal="right"/>
    </xf>
    <xf numFmtId="0" fontId="0" fillId="0" borderId="4" xfId="0" applyBorder="1" applyAlignment="1">
      <alignment wrapText="1"/>
    </xf>
    <xf numFmtId="0" fontId="12" fillId="0" borderId="0" xfId="3" applyFont="1" applyFill="1" applyBorder="1" applyAlignment="1">
      <alignment vertical="top"/>
    </xf>
    <xf numFmtId="0" fontId="0" fillId="0" borderId="16" xfId="0" applyFill="1" applyBorder="1" applyAlignment="1">
      <alignment wrapText="1"/>
    </xf>
    <xf numFmtId="0" fontId="0" fillId="0" borderId="4" xfId="0" applyFill="1" applyBorder="1"/>
    <xf numFmtId="0" fontId="2" fillId="0" borderId="22" xfId="0" applyFont="1" applyFill="1" applyBorder="1" applyAlignment="1">
      <alignment horizontal="center"/>
    </xf>
    <xf numFmtId="0" fontId="2" fillId="0" borderId="24" xfId="0" applyFont="1" applyFill="1" applyBorder="1" applyAlignment="1">
      <alignment horizontal="center"/>
    </xf>
    <xf numFmtId="0" fontId="2" fillId="0" borderId="10" xfId="0" applyFont="1" applyFill="1" applyBorder="1" applyAlignment="1">
      <alignment horizontal="center"/>
    </xf>
    <xf numFmtId="0" fontId="2" fillId="0" borderId="12" xfId="0" applyFont="1" applyFill="1" applyBorder="1" applyAlignment="1">
      <alignment horizontal="center"/>
    </xf>
    <xf numFmtId="0" fontId="2" fillId="0" borderId="11" xfId="0" applyFont="1" applyFill="1" applyBorder="1" applyAlignment="1">
      <alignment horizontal="center"/>
    </xf>
    <xf numFmtId="0" fontId="2" fillId="0" borderId="23" xfId="0" applyFont="1" applyFill="1" applyBorder="1" applyAlignment="1">
      <alignment horizontal="center"/>
    </xf>
    <xf numFmtId="0" fontId="3" fillId="0" borderId="10" xfId="0" applyFont="1" applyBorder="1" applyAlignment="1">
      <alignment horizontal="center" vertical="top"/>
    </xf>
    <xf numFmtId="0" fontId="3" fillId="0" borderId="11" xfId="0" applyFont="1" applyBorder="1" applyAlignment="1">
      <alignment horizontal="center" vertical="top"/>
    </xf>
    <xf numFmtId="0" fontId="3" fillId="0" borderId="12" xfId="0" applyFont="1" applyBorder="1" applyAlignment="1">
      <alignment horizontal="center" vertical="top"/>
    </xf>
    <xf numFmtId="0" fontId="10" fillId="3" borderId="10" xfId="0" applyFont="1" applyFill="1" applyBorder="1" applyAlignment="1">
      <alignment horizontal="center" vertical="top"/>
    </xf>
    <xf numFmtId="0" fontId="10" fillId="3" borderId="11" xfId="0" applyFont="1" applyFill="1" applyBorder="1" applyAlignment="1">
      <alignment horizontal="center" vertical="top"/>
    </xf>
    <xf numFmtId="0" fontId="10" fillId="3" borderId="12" xfId="0" applyFont="1" applyFill="1" applyBorder="1" applyAlignment="1">
      <alignment horizontal="center" vertical="top"/>
    </xf>
    <xf numFmtId="0" fontId="10" fillId="3" borderId="7" xfId="0" applyFont="1" applyFill="1" applyBorder="1" applyAlignment="1">
      <alignment horizontal="center" vertical="top"/>
    </xf>
    <xf numFmtId="0" fontId="10" fillId="3" borderId="8" xfId="0" applyFont="1" applyFill="1" applyBorder="1" applyAlignment="1">
      <alignment horizontal="center" vertical="top"/>
    </xf>
    <xf numFmtId="0" fontId="10" fillId="3" borderId="9" xfId="0" applyFont="1" applyFill="1" applyBorder="1" applyAlignment="1">
      <alignment horizontal="center" vertical="top"/>
    </xf>
    <xf numFmtId="0" fontId="3" fillId="0" borderId="10" xfId="0" applyFont="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24"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2" fillId="0" borderId="40" xfId="0" applyFont="1" applyFill="1" applyBorder="1" applyAlignment="1">
      <alignment horizontal="center"/>
    </xf>
    <xf numFmtId="0" fontId="2" fillId="0" borderId="2" xfId="0" applyFont="1" applyFill="1" applyBorder="1" applyAlignment="1">
      <alignment horizontal="center"/>
    </xf>
    <xf numFmtId="0" fontId="2" fillId="0" borderId="33" xfId="0" applyFont="1" applyFill="1" applyBorder="1" applyAlignment="1">
      <alignment horizontal="center"/>
    </xf>
    <xf numFmtId="0" fontId="0" fillId="0" borderId="43" xfId="0" applyBorder="1" applyAlignment="1">
      <alignment horizontal="center"/>
    </xf>
    <xf numFmtId="0" fontId="0" fillId="0" borderId="44" xfId="0" applyBorder="1" applyAlignment="1">
      <alignment horizontal="center"/>
    </xf>
    <xf numFmtId="0" fontId="2" fillId="0" borderId="5" xfId="0" applyFont="1" applyFill="1" applyBorder="1" applyAlignment="1">
      <alignment horizontal="center"/>
    </xf>
    <xf numFmtId="0" fontId="2" fillId="0" borderId="0" xfId="0" applyFont="1" applyFill="1" applyBorder="1" applyAlignment="1">
      <alignment horizontal="center"/>
    </xf>
    <xf numFmtId="0" fontId="2" fillId="0" borderId="36" xfId="0" applyFont="1" applyBorder="1" applyAlignment="1">
      <alignment horizontal="center"/>
    </xf>
    <xf numFmtId="0" fontId="2" fillId="0" borderId="23" xfId="0" applyFont="1" applyBorder="1" applyAlignment="1">
      <alignment horizontal="center"/>
    </xf>
    <xf numFmtId="0" fontId="2" fillId="0" borderId="30" xfId="0" applyFont="1" applyBorder="1" applyAlignment="1">
      <alignment horizontal="center"/>
    </xf>
    <xf numFmtId="0" fontId="2" fillId="0" borderId="28" xfId="0" applyFont="1" applyBorder="1" applyAlignment="1">
      <alignment horizontal="center"/>
    </xf>
    <xf numFmtId="0" fontId="2" fillId="0" borderId="20" xfId="0" applyFont="1" applyBorder="1" applyAlignment="1">
      <alignment horizontal="center"/>
    </xf>
    <xf numFmtId="0" fontId="2" fillId="0" borderId="29" xfId="0" applyFont="1" applyBorder="1" applyAlignment="1">
      <alignment horizontal="center"/>
    </xf>
    <xf numFmtId="0" fontId="2" fillId="0" borderId="17" xfId="0" applyFont="1" applyBorder="1" applyAlignment="1">
      <alignment horizontal="center"/>
    </xf>
    <xf numFmtId="0" fontId="2" fillId="0" borderId="24" xfId="0" applyFont="1" applyBorder="1" applyAlignment="1">
      <alignment horizontal="left"/>
    </xf>
    <xf numFmtId="0" fontId="2" fillId="0" borderId="9" xfId="0" applyFont="1" applyBorder="1" applyAlignment="1">
      <alignment horizontal="left"/>
    </xf>
    <xf numFmtId="0" fontId="2" fillId="0" borderId="2" xfId="0" applyFont="1" applyBorder="1" applyAlignment="1">
      <alignment horizontal="center"/>
    </xf>
    <xf numFmtId="0" fontId="2" fillId="0" borderId="33" xfId="0" applyFont="1" applyBorder="1" applyAlignment="1">
      <alignment horizontal="center"/>
    </xf>
    <xf numFmtId="0" fontId="2" fillId="0" borderId="25" xfId="0" applyFont="1" applyFill="1" applyBorder="1" applyAlignment="1">
      <alignment horizontal="center"/>
    </xf>
    <xf numFmtId="0" fontId="2" fillId="0" borderId="26" xfId="0" applyFont="1" applyFill="1" applyBorder="1" applyAlignment="1">
      <alignment horizontal="center"/>
    </xf>
    <xf numFmtId="0" fontId="2" fillId="0" borderId="13" xfId="0" applyFont="1" applyFill="1" applyBorder="1" applyAlignment="1">
      <alignment horizontal="center"/>
    </xf>
    <xf numFmtId="0" fontId="2" fillId="0" borderId="4" xfId="0" applyFont="1" applyFill="1" applyBorder="1" applyAlignment="1">
      <alignment horizontal="center"/>
    </xf>
    <xf numFmtId="0" fontId="2" fillId="0" borderId="6" xfId="0" applyFont="1" applyFill="1" applyBorder="1" applyAlignment="1">
      <alignment horizontal="center"/>
    </xf>
    <xf numFmtId="0" fontId="2" fillId="0" borderId="14" xfId="0" applyFont="1" applyFill="1" applyBorder="1" applyAlignment="1">
      <alignment horizontal="center"/>
    </xf>
  </cellXfs>
  <cellStyles count="4">
    <cellStyle name="Currency" xfId="2" builtinId="4"/>
    <cellStyle name="Hyperlink" xfId="3" builtinId="8"/>
    <cellStyle name="Normal" xfId="0" builtinId="0"/>
    <cellStyle name="Percent" xfId="1" builtinId="5"/>
  </cellStyles>
  <dxfs count="789">
    <dxf>
      <numFmt numFmtId="1" formatCode="0"/>
      <fill>
        <patternFill patternType="none">
          <fgColor indexed="64"/>
          <bgColor auto="1"/>
        </patternFill>
      </fill>
      <border diagonalUp="0" diagonalDown="0">
        <left style="thin">
          <color indexed="64"/>
        </left>
        <right style="thin">
          <color indexed="64"/>
        </right>
        <top/>
        <bottom/>
        <vertical/>
        <horizontal/>
      </border>
    </dxf>
    <dxf>
      <numFmt numFmtId="1" formatCode="0"/>
      <fill>
        <patternFill patternType="none">
          <fgColor indexed="64"/>
          <bgColor auto="1"/>
        </patternFill>
      </fill>
      <border diagonalUp="0" diagonalDown="0">
        <left style="thin">
          <color indexed="64"/>
        </left>
        <right style="thin">
          <color indexed="64"/>
        </right>
        <top/>
        <bottom/>
        <vertical/>
        <horizontal/>
      </border>
    </dxf>
    <dxf>
      <numFmt numFmtId="1" formatCode="0"/>
      <fill>
        <patternFill patternType="none">
          <fgColor indexed="64"/>
          <bgColor auto="1"/>
        </patternFill>
      </fill>
      <border diagonalUp="0" diagonalDown="0">
        <left style="thin">
          <color indexed="64"/>
        </left>
        <right style="thin">
          <color indexed="64"/>
        </right>
        <top/>
        <bottom/>
        <vertical/>
        <horizontal/>
      </border>
    </dxf>
    <dxf>
      <numFmt numFmtId="1" formatCode="0"/>
      <fill>
        <patternFill patternType="none">
          <fgColor indexed="64"/>
          <bgColor auto="1"/>
        </patternFill>
      </fill>
      <border diagonalUp="0" diagonalDown="0">
        <left style="thin">
          <color indexed="64"/>
        </left>
        <right style="thin">
          <color indexed="64"/>
        </right>
        <top/>
        <bottom/>
        <vertical/>
        <horizontal/>
      </border>
    </dxf>
    <dxf>
      <numFmt numFmtId="1" formatCode="0"/>
      <fill>
        <patternFill patternType="none">
          <fgColor indexed="64"/>
          <bgColor auto="1"/>
        </patternFill>
      </fill>
      <border diagonalUp="0" diagonalDown="0">
        <left style="thin">
          <color indexed="64"/>
        </left>
        <right style="thin">
          <color indexed="64"/>
        </right>
        <top/>
        <bottom/>
        <vertical/>
        <horizontal/>
      </border>
    </dxf>
    <dxf>
      <numFmt numFmtId="1" formatCode="0"/>
      <fill>
        <patternFill patternType="none">
          <fgColor indexed="64"/>
          <bgColor auto="1"/>
        </patternFill>
      </fill>
      <border diagonalUp="0" diagonalDown="0">
        <left style="thin">
          <color indexed="64"/>
        </left>
        <right style="thin">
          <color indexed="64"/>
        </right>
        <top/>
        <bottom/>
        <vertical/>
        <horizontal/>
      </border>
    </dxf>
    <dxf>
      <numFmt numFmtId="1" formatCode="0"/>
      <fill>
        <patternFill patternType="none">
          <fgColor indexed="64"/>
          <bgColor auto="1"/>
        </patternFill>
      </fill>
      <border diagonalUp="0" diagonalDown="0">
        <left style="thin">
          <color indexed="64"/>
        </left>
        <right style="thin">
          <color indexed="64"/>
        </right>
        <top/>
        <bottom/>
        <vertical/>
        <horizontal/>
      </border>
    </dxf>
    <dxf>
      <numFmt numFmtId="1" formatCode="0"/>
      <fill>
        <patternFill patternType="none">
          <fgColor indexed="64"/>
          <bgColor auto="1"/>
        </patternFill>
      </fill>
      <border diagonalUp="0" diagonalDown="0">
        <left style="thin">
          <color indexed="64"/>
        </left>
        <right style="thin">
          <color indexed="64"/>
        </right>
        <top/>
        <bottom/>
        <vertical/>
        <horizontal/>
      </border>
    </dxf>
    <dxf>
      <numFmt numFmtId="1" formatCode="0"/>
      <fill>
        <patternFill patternType="none">
          <fgColor indexed="64"/>
          <bgColor auto="1"/>
        </patternFill>
      </fill>
      <border diagonalUp="0" diagonalDown="0">
        <left style="thin">
          <color indexed="64"/>
        </left>
        <right style="thin">
          <color indexed="64"/>
        </right>
        <top/>
        <bottom/>
        <vertical/>
        <horizontal/>
      </border>
    </dxf>
    <dxf>
      <numFmt numFmtId="1" formatCode="0"/>
      <fill>
        <patternFill patternType="none">
          <fgColor indexed="64"/>
          <bgColor auto="1"/>
        </patternFill>
      </fill>
      <border diagonalUp="0" diagonalDown="0">
        <left style="thin">
          <color indexed="64"/>
        </left>
        <right style="thin">
          <color indexed="64"/>
        </right>
        <top/>
        <bottom/>
        <vertical/>
        <horizontal/>
      </border>
    </dxf>
    <dxf>
      <numFmt numFmtId="1" formatCode="0"/>
      <fill>
        <patternFill patternType="none">
          <fgColor indexed="64"/>
          <bgColor auto="1"/>
        </patternFill>
      </fill>
      <border diagonalUp="0" diagonalDown="0">
        <left style="thin">
          <color indexed="64"/>
        </left>
        <right style="thin">
          <color indexed="64"/>
        </right>
        <top/>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left/>
        <right style="thin">
          <color indexed="64"/>
        </right>
        <top/>
        <bottom/>
        <vertical/>
        <horizontal/>
      </border>
    </dxf>
    <dxf>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bottom/>
      </border>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alignment horizontal="right" vertical="bottom" textRotation="0" wrapText="0" indent="0" justifyLastLine="0" shrinkToFit="0" readingOrder="0"/>
      <border diagonalUp="0" diagonalDown="0" outline="0">
        <left style="medium">
          <color indexed="64"/>
        </left>
        <right style="thin">
          <color indexed="64"/>
        </right>
        <top/>
        <bottom/>
      </border>
    </dxf>
    <dxf>
      <border outline="0">
        <right style="medium">
          <color indexed="64"/>
        </right>
        <bottom style="medium">
          <color indexed="64"/>
        </bottom>
      </border>
    </dxf>
    <dxf>
      <fill>
        <patternFill patternType="none">
          <fgColor indexed="64"/>
          <bgColor auto="1"/>
        </patternFill>
      </fill>
    </dxf>
    <dxf>
      <border outline="0">
        <bottom style="thin">
          <color indexed="64"/>
        </bottom>
      </border>
    </dxf>
    <dxf>
      <font>
        <strike val="0"/>
        <outline val="0"/>
        <shadow val="0"/>
        <u val="none"/>
        <vertAlign val="baseline"/>
        <sz val="11"/>
        <color theme="0"/>
        <name val="Calibri"/>
        <family val="2"/>
        <scheme val="minor"/>
      </font>
      <numFmt numFmtId="1" formatCode="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alignment horizontal="right" vertical="bottom" textRotation="0" wrapText="0" indent="0" justifyLastLine="0" shrinkToFit="0" readingOrder="0"/>
      <border diagonalUp="0" diagonalDown="0" outline="0">
        <left/>
        <right style="thin">
          <color indexed="64"/>
        </right>
        <top/>
        <bottom/>
      </border>
    </dxf>
    <dxf>
      <border outline="0">
        <left style="medium">
          <color indexed="64"/>
        </left>
        <right style="medium">
          <color indexed="64"/>
        </right>
        <top style="thin">
          <color indexed="64"/>
        </top>
        <bottom style="medium">
          <color indexed="64"/>
        </bottom>
      </border>
    </dxf>
    <dxf>
      <numFmt numFmtId="1" formatCode="0"/>
      <fill>
        <patternFill patternType="none">
          <fgColor indexed="64"/>
          <bgColor auto="1"/>
        </patternFill>
      </fill>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alignment horizontal="right" vertical="bottom" textRotation="0" wrapText="0" indent="0" justifyLastLine="0" shrinkToFit="0" readingOrder="0"/>
      <border diagonalUp="0" diagonalDown="0" outline="0">
        <left/>
        <right style="thin">
          <color indexed="64"/>
        </right>
        <top/>
        <bottom/>
      </border>
    </dxf>
    <dxf>
      <border outline="0">
        <left style="medium">
          <color indexed="64"/>
        </left>
        <right style="medium">
          <color indexed="64"/>
        </right>
        <top style="thin">
          <color indexed="64"/>
        </top>
        <bottom style="medium">
          <color indexed="64"/>
        </bottom>
      </border>
    </dxf>
    <dxf>
      <numFmt numFmtId="1" formatCode="0"/>
      <fill>
        <patternFill patternType="none">
          <fgColor indexed="64"/>
          <bgColor auto="1"/>
        </patternFill>
      </fill>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alignment horizontal="right" vertical="bottom" textRotation="0" wrapText="0" indent="0" justifyLastLine="0" shrinkToFit="0" readingOrder="0"/>
      <border diagonalUp="0" diagonalDown="0" outline="0">
        <left/>
        <right style="thin">
          <color indexed="64"/>
        </right>
        <top/>
        <bottom/>
      </border>
    </dxf>
    <dxf>
      <border outline="0">
        <left style="medium">
          <color indexed="64"/>
        </left>
        <right style="medium">
          <color indexed="64"/>
        </right>
        <top style="thin">
          <color indexed="64"/>
        </top>
        <bottom style="medium">
          <color indexed="64"/>
        </bottom>
      </border>
    </dxf>
    <dxf>
      <numFmt numFmtId="1" formatCode="0"/>
      <fill>
        <patternFill patternType="none">
          <fgColor indexed="64"/>
          <bgColor auto="1"/>
        </patternFill>
      </fill>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alignment horizontal="right" vertical="bottom" textRotation="0" wrapText="0" indent="0" justifyLastLine="0" shrinkToFit="0" readingOrder="0"/>
      <border diagonalUp="0" diagonalDown="0" outline="0">
        <left/>
        <right style="thin">
          <color indexed="64"/>
        </right>
        <top/>
        <bottom/>
      </border>
    </dxf>
    <dxf>
      <border outline="0">
        <left style="medium">
          <color indexed="64"/>
        </left>
        <right style="medium">
          <color indexed="64"/>
        </right>
        <top style="thin">
          <color indexed="64"/>
        </top>
        <bottom style="medium">
          <color indexed="64"/>
        </bottom>
      </border>
    </dxf>
    <dxf>
      <numFmt numFmtId="1" formatCode="0"/>
      <fill>
        <patternFill patternType="none">
          <fgColor indexed="64"/>
          <bgColor auto="1"/>
        </patternFill>
      </fill>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alignment horizontal="right" vertical="bottom" textRotation="0" wrapText="0" indent="0" justifyLastLine="0" shrinkToFit="0" readingOrder="0"/>
      <border diagonalUp="0" diagonalDown="0" outline="0">
        <left/>
        <right style="thin">
          <color indexed="64"/>
        </right>
        <top/>
        <bottom/>
      </border>
    </dxf>
    <dxf>
      <border outline="0">
        <left style="medium">
          <color indexed="64"/>
        </left>
        <right style="medium">
          <color indexed="64"/>
        </right>
        <top style="thin">
          <color indexed="64"/>
        </top>
        <bottom style="medium">
          <color indexed="64"/>
        </bottom>
      </border>
    </dxf>
    <dxf>
      <numFmt numFmtId="1" formatCode="0"/>
      <fill>
        <patternFill patternType="none">
          <fgColor indexed="64"/>
          <bgColor auto="1"/>
        </patternFill>
      </fill>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alignment horizontal="right" vertical="bottom" textRotation="0" wrapText="0" indent="0" justifyLastLine="0" shrinkToFit="0" readingOrder="0"/>
      <border diagonalUp="0" diagonalDown="0" outline="0">
        <left/>
        <right style="thin">
          <color indexed="64"/>
        </right>
        <top/>
        <bottom/>
      </border>
    </dxf>
    <dxf>
      <border outline="0">
        <left style="medium">
          <color rgb="FF000000"/>
        </left>
        <right style="medium">
          <color rgb="FF000000"/>
        </right>
        <top style="thin">
          <color rgb="FF000000"/>
        </top>
        <bottom style="medium">
          <color rgb="FF000000"/>
        </bottom>
      </border>
    </dxf>
    <dxf>
      <numFmt numFmtId="1" formatCode="0"/>
      <fill>
        <patternFill patternType="none">
          <fgColor rgb="FF000000"/>
          <bgColor auto="1"/>
        </patternFill>
      </fill>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alignment horizontal="right" vertical="bottom" textRotation="0" wrapText="0" indent="0" justifyLastLine="0" shrinkToFit="0" readingOrder="0"/>
      <border diagonalUp="0" diagonalDown="0" outline="0">
        <left/>
        <right style="thin">
          <color indexed="64"/>
        </right>
        <top/>
        <bottom/>
      </border>
    </dxf>
    <dxf>
      <border outline="0">
        <left style="medium">
          <color rgb="FF000000"/>
        </left>
        <right style="medium">
          <color rgb="FF000000"/>
        </right>
        <top style="thin">
          <color rgb="FF000000"/>
        </top>
        <bottom style="medium">
          <color rgb="FF000000"/>
        </bottom>
      </border>
    </dxf>
    <dxf>
      <numFmt numFmtId="1" formatCode="0"/>
      <fill>
        <patternFill patternType="none">
          <fgColor rgb="FF000000"/>
          <bgColor auto="1"/>
        </patternFill>
      </fill>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alignment horizontal="right" vertical="bottom" textRotation="0" wrapText="0" indent="0" justifyLastLine="0" shrinkToFit="0" readingOrder="0"/>
      <border diagonalUp="0" diagonalDown="0" outline="0">
        <left/>
        <right style="thin">
          <color indexed="64"/>
        </right>
        <top/>
        <bottom/>
      </border>
    </dxf>
    <dxf>
      <border outline="0">
        <left style="medium">
          <color rgb="FF000000"/>
        </left>
        <right style="medium">
          <color rgb="FF000000"/>
        </right>
        <top style="thin">
          <color rgb="FF000000"/>
        </top>
        <bottom style="medium">
          <color rgb="FF000000"/>
        </bottom>
      </border>
    </dxf>
    <dxf>
      <numFmt numFmtId="1" formatCode="0"/>
      <fill>
        <patternFill patternType="none">
          <fgColor rgb="FF000000"/>
          <bgColor auto="1"/>
        </patternFill>
      </fill>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alignment horizontal="right" vertical="bottom" textRotation="0" wrapText="0" indent="0" justifyLastLine="0" shrinkToFit="0" readingOrder="0"/>
      <border diagonalUp="0" diagonalDown="0" outline="0">
        <left/>
        <right style="thin">
          <color indexed="64"/>
        </right>
        <top/>
        <bottom/>
      </border>
    </dxf>
    <dxf>
      <border outline="0">
        <left style="medium">
          <color indexed="64"/>
        </left>
        <right style="medium">
          <color indexed="64"/>
        </right>
        <top style="thin">
          <color indexed="64"/>
        </top>
        <bottom style="medium">
          <color indexed="64"/>
        </bottom>
      </border>
    </dxf>
    <dxf>
      <numFmt numFmtId="1" formatCode="0"/>
      <fill>
        <patternFill patternType="none">
          <fgColor indexed="64"/>
          <bgColor auto="1"/>
        </patternFill>
      </fill>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alignment horizontal="right" vertical="bottom" textRotation="0" wrapText="0" indent="0" justifyLastLine="0" shrinkToFit="0" readingOrder="0"/>
      <border diagonalUp="0" diagonalDown="0" outline="0">
        <left/>
        <right style="thin">
          <color indexed="64"/>
        </right>
        <top/>
        <bottom/>
      </border>
    </dxf>
    <dxf>
      <border outline="0">
        <left style="medium">
          <color indexed="64"/>
        </left>
        <right style="medium">
          <color indexed="64"/>
        </right>
        <top style="thin">
          <color indexed="64"/>
        </top>
        <bottom style="medium">
          <color indexed="64"/>
        </bottom>
      </border>
    </dxf>
    <dxf>
      <numFmt numFmtId="1" formatCode="0"/>
      <fill>
        <patternFill patternType="none">
          <fgColor indexed="64"/>
          <bgColor auto="1"/>
        </patternFill>
      </fill>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alignment horizontal="right" vertical="bottom" textRotation="0" wrapText="0" indent="0" justifyLastLine="0" shrinkToFit="0" readingOrder="0"/>
      <border diagonalUp="0" diagonalDown="0" outline="0">
        <left/>
        <right style="thin">
          <color indexed="64"/>
        </right>
        <top/>
        <bottom/>
      </border>
    </dxf>
    <dxf>
      <border outline="0">
        <left style="medium">
          <color indexed="64"/>
        </left>
        <right style="medium">
          <color indexed="64"/>
        </right>
        <top style="thin">
          <color indexed="64"/>
        </top>
        <bottom style="medium">
          <color indexed="64"/>
        </bottom>
      </border>
    </dxf>
    <dxf>
      <numFmt numFmtId="1" formatCode="0"/>
      <fill>
        <patternFill patternType="none">
          <fgColor indexed="64"/>
          <bgColor auto="1"/>
        </patternFill>
      </fill>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alignment horizontal="right" vertical="bottom" textRotation="0" wrapText="0" indent="0" justifyLastLine="0" shrinkToFit="0" readingOrder="0"/>
      <border diagonalUp="0" diagonalDown="0" outline="0">
        <left/>
        <right style="thin">
          <color indexed="64"/>
        </right>
        <top/>
        <bottom/>
      </border>
    </dxf>
    <dxf>
      <border outline="0">
        <left style="medium">
          <color indexed="64"/>
        </left>
        <right style="medium">
          <color indexed="64"/>
        </right>
        <top style="thin">
          <color indexed="64"/>
        </top>
        <bottom style="medium">
          <color indexed="64"/>
        </bottom>
      </border>
    </dxf>
    <dxf>
      <numFmt numFmtId="1" formatCode="0"/>
      <fill>
        <patternFill patternType="none">
          <fgColor indexed="64"/>
          <bgColor auto="1"/>
        </patternFill>
      </fill>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alignment horizontal="right" vertical="bottom" textRotation="0" wrapText="0" indent="0" justifyLastLine="0" shrinkToFit="0" readingOrder="0"/>
      <border diagonalUp="0" diagonalDown="0" outline="0">
        <left/>
        <right style="thin">
          <color indexed="64"/>
        </right>
        <top/>
        <bottom/>
      </border>
    </dxf>
    <dxf>
      <border outline="0">
        <left style="medium">
          <color indexed="64"/>
        </left>
        <right style="medium">
          <color indexed="64"/>
        </right>
        <top style="thin">
          <color indexed="64"/>
        </top>
        <bottom style="medium">
          <color indexed="64"/>
        </bottom>
      </border>
    </dxf>
    <dxf>
      <numFmt numFmtId="1" formatCode="0"/>
      <fill>
        <patternFill patternType="none">
          <fgColor indexed="64"/>
          <bgColor auto="1"/>
        </patternFill>
      </fill>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alignment horizontal="right" vertical="bottom" textRotation="0" wrapText="0" indent="0" justifyLastLine="0" shrinkToFit="0" readingOrder="0"/>
      <border diagonalUp="0" diagonalDown="0" outline="0">
        <left/>
        <right style="thin">
          <color indexed="64"/>
        </right>
        <top/>
        <bottom/>
      </border>
    </dxf>
    <dxf>
      <border outline="0">
        <left style="medium">
          <color indexed="64"/>
        </left>
        <right style="medium">
          <color indexed="64"/>
        </right>
        <top style="thin">
          <color indexed="64"/>
        </top>
        <bottom style="medium">
          <color indexed="64"/>
        </bottom>
      </border>
    </dxf>
    <dxf>
      <numFmt numFmtId="1" formatCode="0"/>
      <fill>
        <patternFill patternType="none">
          <fgColor indexed="64"/>
          <bgColor auto="1"/>
        </patternFill>
      </fill>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alignment horizontal="right" vertical="bottom" textRotation="0" wrapText="0" indent="0" justifyLastLine="0" shrinkToFit="0" readingOrder="0"/>
      <border diagonalUp="0" diagonalDown="0" outline="0">
        <left/>
        <right style="thin">
          <color indexed="64"/>
        </right>
        <top/>
        <bottom/>
      </border>
    </dxf>
    <dxf>
      <border outline="0">
        <left style="medium">
          <color indexed="64"/>
        </left>
        <right style="medium">
          <color indexed="64"/>
        </right>
        <top style="thin">
          <color indexed="64"/>
        </top>
        <bottom style="medium">
          <color indexed="64"/>
        </bottom>
      </border>
    </dxf>
    <dxf>
      <numFmt numFmtId="1" formatCode="0"/>
      <fill>
        <patternFill patternType="none">
          <fgColor indexed="64"/>
          <bgColor auto="1"/>
        </patternFill>
      </fill>
    </dxf>
    <dxf>
      <numFmt numFmtId="1" formatCode="0"/>
      <fill>
        <patternFill patternType="none">
          <fgColor indexed="64"/>
          <bgColor auto="1"/>
        </patternFill>
      </fill>
      <border diagonalUp="0" diagonalDown="0" outline="0">
        <left style="thin">
          <color indexed="64"/>
        </left>
        <right style="thin">
          <color indexed="64"/>
        </right>
        <top/>
        <bottom/>
      </border>
    </dxf>
    <dxf>
      <numFmt numFmtId="2" formatCode="0.00"/>
      <fill>
        <patternFill patternType="none">
          <fgColor indexed="64"/>
          <bgColor auto="1"/>
        </patternFill>
      </fill>
    </dxf>
    <dxf>
      <numFmt numFmtId="2" formatCode="0.00"/>
      <fill>
        <patternFill patternType="none">
          <fgColor indexed="64"/>
          <bgColor auto="1"/>
        </patternFill>
      </fill>
      <border diagonalUp="0" diagonalDown="0" outline="0">
        <left style="thin">
          <color indexed="64"/>
        </left>
        <right style="thin">
          <color indexed="64"/>
        </right>
        <top/>
        <bottom/>
      </border>
    </dxf>
    <dxf>
      <numFmt numFmtId="2" formatCode="0.00"/>
      <fill>
        <patternFill patternType="none">
          <fgColor indexed="64"/>
          <bgColor auto="1"/>
        </patternFill>
      </fill>
      <border diagonalUp="0" diagonalDown="0" outline="0">
        <left style="thin">
          <color indexed="64"/>
        </left>
        <right style="thin">
          <color indexed="64"/>
        </right>
        <top/>
        <bottom/>
      </border>
    </dxf>
    <dxf>
      <numFmt numFmtId="2" formatCode="0.00"/>
      <fill>
        <patternFill patternType="none">
          <fgColor indexed="64"/>
          <bgColor auto="1"/>
        </patternFill>
      </fill>
      <border diagonalUp="0" diagonalDown="0" outline="0">
        <left style="thin">
          <color indexed="64"/>
        </left>
        <right style="thin">
          <color indexed="64"/>
        </right>
        <top/>
        <bottom/>
      </border>
    </dxf>
    <dxf>
      <numFmt numFmtId="2" formatCode="0.00"/>
      <fill>
        <patternFill patternType="none">
          <fgColor indexed="64"/>
          <bgColor auto="1"/>
        </patternFill>
      </fill>
      <border diagonalUp="0" diagonalDown="0" outline="0">
        <left style="thin">
          <color indexed="64"/>
        </left>
        <right style="thin">
          <color indexed="64"/>
        </right>
        <top/>
        <bottom/>
      </border>
    </dxf>
    <dxf>
      <numFmt numFmtId="2" formatCode="0.00"/>
      <fill>
        <patternFill patternType="none">
          <fgColor indexed="64"/>
          <bgColor auto="1"/>
        </patternFill>
      </fill>
      <border diagonalUp="0" diagonalDown="0" outline="0">
        <left style="thin">
          <color indexed="64"/>
        </left>
        <right style="thin">
          <color indexed="64"/>
        </right>
        <top/>
        <bottom/>
      </border>
    </dxf>
    <dxf>
      <numFmt numFmtId="2" formatCode="0.00"/>
      <fill>
        <patternFill patternType="none">
          <fgColor indexed="64"/>
          <bgColor auto="1"/>
        </patternFill>
      </fill>
      <border diagonalUp="0" diagonalDown="0" outline="0">
        <left style="thin">
          <color indexed="64"/>
        </left>
        <right style="thin">
          <color indexed="64"/>
        </right>
        <top/>
        <bottom/>
      </border>
    </dxf>
    <dxf>
      <numFmt numFmtId="2" formatCode="0.00"/>
      <fill>
        <patternFill patternType="none">
          <fgColor indexed="64"/>
          <bgColor auto="1"/>
        </patternFill>
      </fill>
      <border diagonalUp="0" diagonalDown="0" outline="0">
        <left style="thin">
          <color indexed="64"/>
        </left>
        <right style="thin">
          <color indexed="64"/>
        </right>
        <top/>
        <bottom/>
      </border>
    </dxf>
    <dxf>
      <numFmt numFmtId="2" formatCode="0.00"/>
      <fill>
        <patternFill patternType="none">
          <fgColor indexed="64"/>
          <bgColor auto="1"/>
        </patternFill>
      </fill>
      <border diagonalUp="0" diagonalDown="0" outline="0">
        <left style="thin">
          <color indexed="64"/>
        </left>
        <right style="thin">
          <color indexed="64"/>
        </right>
        <top/>
        <bottom/>
      </border>
    </dxf>
    <dxf>
      <numFmt numFmtId="2" formatCode="0.00"/>
      <fill>
        <patternFill patternType="none">
          <fgColor indexed="64"/>
          <bgColor auto="1"/>
        </patternFill>
      </fill>
      <border diagonalUp="0" diagonalDown="0" outline="0">
        <left style="thin">
          <color indexed="64"/>
        </left>
        <right style="thin">
          <color indexed="64"/>
        </right>
        <top/>
        <bottom/>
      </border>
    </dxf>
    <dxf>
      <numFmt numFmtId="2" formatCode="0.00"/>
      <fill>
        <patternFill patternType="none">
          <fgColor indexed="64"/>
          <bgColor auto="1"/>
        </patternFill>
      </fill>
      <border diagonalUp="0" diagonalDown="0" outline="0">
        <left style="thin">
          <color indexed="64"/>
        </left>
        <right style="thin">
          <color indexed="64"/>
        </right>
        <top/>
        <bottom/>
      </border>
    </dxf>
    <dxf>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alignment horizontal="right" vertical="bottom" textRotation="0" wrapText="0" indent="0" justifyLastLine="0" shrinkToFit="0" readingOrder="0"/>
      <border diagonalUp="0" diagonalDown="0" outline="0">
        <left/>
        <right style="thin">
          <color indexed="64"/>
        </right>
        <top/>
        <bottom/>
      </border>
    </dxf>
    <dxf>
      <border outline="0">
        <left style="medium">
          <color indexed="64"/>
        </left>
        <right style="medium">
          <color indexed="64"/>
        </right>
        <top style="thin">
          <color indexed="64"/>
        </top>
        <bottom style="medium">
          <color indexed="64"/>
        </bottom>
      </border>
    </dxf>
    <dxf>
      <numFmt numFmtId="2" formatCode="0.00"/>
      <fill>
        <patternFill patternType="none">
          <fgColor indexed="64"/>
          <bgColor auto="1"/>
        </patternFill>
      </fill>
    </dxf>
    <dxf>
      <numFmt numFmtId="2" formatCode="0.0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alignment horizontal="right" vertical="bottom" textRotation="0" wrapText="0" indent="0" justifyLastLine="0" shrinkToFit="0" readingOrder="0"/>
      <border diagonalUp="0" diagonalDown="0" outline="0">
        <left/>
        <right style="thin">
          <color indexed="64"/>
        </right>
        <top/>
        <bottom/>
      </border>
    </dxf>
    <dxf>
      <border outline="0">
        <left style="medium">
          <color indexed="64"/>
        </left>
        <right style="medium">
          <color indexed="64"/>
        </right>
        <top style="thin">
          <color indexed="64"/>
        </top>
        <bottom style="medium">
          <color indexed="64"/>
        </bottom>
      </border>
    </dxf>
    <dxf>
      <numFmt numFmtId="1" formatCode="0"/>
      <fill>
        <patternFill patternType="none">
          <fgColor indexed="64"/>
          <bgColor auto="1"/>
        </patternFill>
      </fill>
    </dxf>
    <dxf>
      <numFmt numFmtId="1" formatCode="0"/>
      <fill>
        <patternFill patternType="none">
          <fgColor indexed="64"/>
          <bgColor auto="1"/>
        </patternFill>
      </fill>
      <border diagonalUp="0" diagonalDown="0" outline="0">
        <left style="thin">
          <color indexed="64"/>
        </left>
        <right style="thin">
          <color indexed="64"/>
        </right>
        <top/>
        <bottom/>
      </border>
    </dxf>
    <dxf>
      <fill>
        <patternFill patternType="none">
          <fgColor indexed="64"/>
          <bgColor auto="1"/>
        </patternFill>
      </fill>
      <border diagonalUp="0" diagonalDown="0">
        <left style="thin">
          <color indexed="64"/>
        </left>
        <right style="thin">
          <color indexed="64"/>
        </right>
        <top/>
        <bottom/>
      </border>
    </dxf>
    <dxf>
      <fill>
        <patternFill patternType="none">
          <fgColor indexed="64"/>
          <bgColor auto="1"/>
        </patternFill>
      </fill>
    </dxf>
    <dxf>
      <fill>
        <patternFill patternType="none">
          <fgColor indexed="64"/>
          <bgColor auto="1"/>
        </patternFill>
      </fill>
      <border diagonalUp="0" diagonalDown="0" outline="0">
        <left style="thin">
          <color indexed="64"/>
        </left>
        <right style="thin">
          <color indexed="64"/>
        </right>
        <top/>
        <bottom/>
      </border>
    </dxf>
    <dxf>
      <fill>
        <patternFill patternType="none">
          <fgColor indexed="64"/>
          <bgColor auto="1"/>
        </patternFill>
      </fill>
      <border diagonalUp="0" diagonalDown="0" outline="0">
        <left style="thin">
          <color indexed="64"/>
        </left>
        <right style="thin">
          <color indexed="64"/>
        </right>
        <top/>
        <bottom/>
      </border>
    </dxf>
    <dxf>
      <fill>
        <patternFill patternType="none">
          <fgColor indexed="64"/>
          <bgColor auto="1"/>
        </patternFill>
      </fill>
      <border diagonalUp="0" diagonalDown="0" outline="0">
        <left style="thin">
          <color indexed="64"/>
        </left>
        <right style="thin">
          <color indexed="64"/>
        </right>
        <top/>
        <bottom/>
      </border>
    </dxf>
    <dxf>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bottom/>
      </border>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top/>
        <bottom/>
      </border>
    </dxf>
    <dxf>
      <fill>
        <patternFill patternType="none">
          <fgColor indexed="64"/>
          <bgColor auto="1"/>
        </patternFill>
      </fill>
      <border diagonalUp="0" diagonalDown="0" outline="0">
        <left style="thin">
          <color indexed="64"/>
        </left>
        <right style="thin">
          <color indexed="64"/>
        </right>
        <top/>
        <bottom/>
      </border>
    </dxf>
    <dxf>
      <fill>
        <patternFill patternType="none">
          <fgColor indexed="64"/>
          <bgColor auto="1"/>
        </patternFill>
      </fill>
      <border diagonalUp="0" diagonalDown="0" outline="0">
        <left/>
        <right style="thin">
          <color indexed="64"/>
        </right>
        <top/>
        <bottom/>
      </border>
    </dxf>
    <dxf>
      <border outline="0">
        <left style="medium">
          <color indexed="64"/>
        </left>
        <right style="medium">
          <color indexed="64"/>
        </right>
        <top style="medium">
          <color indexed="64"/>
        </top>
        <bottom style="medium">
          <color indexed="64"/>
        </bottom>
      </border>
    </dxf>
    <dxf>
      <fill>
        <patternFill patternType="none">
          <fgColor indexed="64"/>
          <bgColor auto="1"/>
        </patternFill>
      </fill>
    </dxf>
    <dxf>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alignment horizontal="right" vertical="bottom" textRotation="0" wrapText="0" indent="0" justifyLastLine="0" shrinkToFit="0" readingOrder="0"/>
      <border diagonalUp="0" diagonalDown="0" outline="0">
        <left/>
        <right style="thin">
          <color indexed="64"/>
        </right>
        <top/>
        <bottom/>
      </border>
    </dxf>
    <dxf>
      <border outline="0">
        <left style="medium">
          <color indexed="64"/>
        </left>
        <right style="medium">
          <color indexed="64"/>
        </right>
        <top style="thin">
          <color indexed="64"/>
        </top>
        <bottom style="medium">
          <color indexed="64"/>
        </bottom>
      </border>
    </dxf>
    <dxf>
      <numFmt numFmtId="1" formatCode="0"/>
      <fill>
        <patternFill patternType="none">
          <fgColor indexed="64"/>
          <bgColor auto="1"/>
        </patternFill>
      </fill>
    </dxf>
    <dxf>
      <numFmt numFmtId="1" formatCode="0"/>
      <fill>
        <patternFill patternType="none">
          <fgColor indexed="64"/>
          <bgColor auto="1"/>
        </patternFill>
      </fill>
      <border diagonalUp="0" diagonalDown="0" outline="0">
        <left style="thin">
          <color indexed="64"/>
        </left>
        <right style="thin">
          <color indexed="64"/>
        </right>
        <top/>
        <bottom/>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border outline="0">
        <left style="medium">
          <color indexed="64"/>
        </left>
        <right style="medium">
          <color indexed="64"/>
        </right>
        <top style="thin">
          <color indexed="64"/>
        </top>
        <bottom style="medium">
          <color indexed="64"/>
        </bottom>
      </border>
    </dxf>
    <dxf>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6" formatCode="_(&quot;$&quot;* #,##0_);_(&quot;$&quot;* \(#,##0\);_(&quot;$&quot;* &quot;-&quot;??_);_(@_)"/>
      <fill>
        <patternFill patternType="none">
          <fgColor indexed="64"/>
          <bgColor auto="1"/>
        </patternFill>
      </fill>
    </dxf>
    <dxf>
      <numFmt numFmtId="1" formatCode="0"/>
      <fill>
        <patternFill patternType="none">
          <fgColor indexed="64"/>
          <bgColor auto="1"/>
        </patternFill>
      </fill>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alignment horizontal="right" vertical="bottom" textRotation="0" wrapText="0" indent="0" justifyLastLine="0" shrinkToFit="0" readingOrder="0"/>
      <border diagonalUp="0" diagonalDown="0" outline="0">
        <left/>
        <right style="thin">
          <color indexed="64"/>
        </right>
        <top/>
        <bottom/>
      </border>
    </dxf>
    <dxf>
      <border outline="0">
        <left style="medium">
          <color indexed="64"/>
        </left>
        <right style="medium">
          <color indexed="64"/>
        </right>
        <top style="thin">
          <color indexed="64"/>
        </top>
        <bottom style="medium">
          <color indexed="64"/>
        </bottom>
      </border>
    </dxf>
    <dxf>
      <numFmt numFmtId="1" formatCode="0"/>
      <fill>
        <patternFill patternType="none">
          <fgColor indexed="64"/>
          <bgColor auto="1"/>
        </patternFill>
      </fill>
    </dxf>
    <dxf>
      <font>
        <strike val="0"/>
        <outline val="0"/>
        <shadow val="0"/>
        <u val="none"/>
        <vertAlign val="baseline"/>
        <sz val="11"/>
        <color theme="0"/>
        <name val="Calibri"/>
        <family val="2"/>
        <scheme val="minor"/>
      </font>
      <numFmt numFmtId="1" formatCode="0"/>
      <fill>
        <patternFill patternType="none">
          <fgColor indexed="64"/>
          <bgColor auto="1"/>
        </patternFill>
      </fill>
      <border diagonalUp="0" diagonalDown="0" outline="0">
        <left style="thin">
          <color indexed="64"/>
        </left>
        <right style="thin">
          <color indexed="64"/>
        </right>
        <top/>
        <bottom/>
      </border>
    </dxf>
    <dxf>
      <numFmt numFmtId="165" formatCode="0.0"/>
      <fill>
        <patternFill patternType="none">
          <fgColor indexed="64"/>
          <bgColor auto="1"/>
        </patternFill>
      </fill>
    </dxf>
    <dxf>
      <numFmt numFmtId="165" formatCode="0.0"/>
      <fill>
        <patternFill patternType="none">
          <fgColor indexed="64"/>
          <bgColor auto="1"/>
        </patternFill>
      </fill>
      <border diagonalUp="0" diagonalDown="0" outline="0">
        <left style="thin">
          <color indexed="64"/>
        </left>
        <right style="thin">
          <color indexed="64"/>
        </right>
        <top/>
        <bottom/>
      </border>
    </dxf>
    <dxf>
      <numFmt numFmtId="165" formatCode="0.0"/>
      <fill>
        <patternFill patternType="none">
          <fgColor indexed="64"/>
          <bgColor auto="1"/>
        </patternFill>
      </fill>
      <border diagonalUp="0" diagonalDown="0" outline="0">
        <left style="thin">
          <color indexed="64"/>
        </left>
        <right style="thin">
          <color indexed="64"/>
        </right>
        <top/>
        <bottom/>
      </border>
    </dxf>
    <dxf>
      <numFmt numFmtId="165" formatCode="0.0"/>
      <fill>
        <patternFill patternType="none">
          <fgColor indexed="64"/>
          <bgColor auto="1"/>
        </patternFill>
      </fill>
      <border diagonalUp="0" diagonalDown="0" outline="0">
        <left style="thin">
          <color indexed="64"/>
        </left>
        <right style="thin">
          <color indexed="64"/>
        </right>
        <top/>
        <bottom/>
      </border>
    </dxf>
    <dxf>
      <numFmt numFmtId="165" formatCode="0.0"/>
      <fill>
        <patternFill patternType="none">
          <fgColor indexed="64"/>
          <bgColor auto="1"/>
        </patternFill>
      </fill>
      <border diagonalUp="0" diagonalDown="0" outline="0">
        <left style="thin">
          <color indexed="64"/>
        </left>
        <right style="thin">
          <color indexed="64"/>
        </right>
        <top/>
        <bottom/>
      </border>
    </dxf>
    <dxf>
      <numFmt numFmtId="165" formatCode="0.0"/>
      <fill>
        <patternFill patternType="none">
          <fgColor indexed="64"/>
          <bgColor auto="1"/>
        </patternFill>
      </fill>
      <border diagonalUp="0" diagonalDown="0" outline="0">
        <left style="thin">
          <color indexed="64"/>
        </left>
        <right style="thin">
          <color indexed="64"/>
        </right>
        <top/>
        <bottom/>
      </border>
    </dxf>
    <dxf>
      <numFmt numFmtId="165" formatCode="0.0"/>
      <fill>
        <patternFill patternType="none">
          <fgColor indexed="64"/>
          <bgColor auto="1"/>
        </patternFill>
      </fill>
      <border diagonalUp="0" diagonalDown="0" outline="0">
        <left style="thin">
          <color indexed="64"/>
        </left>
        <right style="thin">
          <color indexed="64"/>
        </right>
        <top/>
        <bottom/>
      </border>
    </dxf>
    <dxf>
      <numFmt numFmtId="165" formatCode="0.0"/>
      <fill>
        <patternFill patternType="none">
          <fgColor indexed="64"/>
          <bgColor auto="1"/>
        </patternFill>
      </fill>
      <border diagonalUp="0" diagonalDown="0" outline="0">
        <left style="thin">
          <color indexed="64"/>
        </left>
        <right style="thin">
          <color indexed="64"/>
        </right>
        <top/>
        <bottom/>
      </border>
    </dxf>
    <dxf>
      <numFmt numFmtId="165" formatCode="0.0"/>
      <fill>
        <patternFill patternType="none">
          <fgColor indexed="64"/>
          <bgColor auto="1"/>
        </patternFill>
      </fill>
      <border diagonalUp="0" diagonalDown="0" outline="0">
        <left style="thin">
          <color indexed="64"/>
        </left>
        <right style="thin">
          <color indexed="64"/>
        </right>
        <top/>
        <bottom/>
      </border>
    </dxf>
    <dxf>
      <numFmt numFmtId="165" formatCode="0.0"/>
      <fill>
        <patternFill patternType="none">
          <fgColor indexed="64"/>
          <bgColor auto="1"/>
        </patternFill>
      </fill>
      <border diagonalUp="0" diagonalDown="0" outline="0">
        <left style="thin">
          <color indexed="64"/>
        </left>
        <right style="thin">
          <color indexed="64"/>
        </right>
        <top/>
        <bottom/>
      </border>
    </dxf>
    <dxf>
      <numFmt numFmtId="165" formatCode="0.0"/>
      <fill>
        <patternFill patternType="none">
          <fgColor indexed="64"/>
          <bgColor auto="1"/>
        </patternFill>
      </fill>
      <border diagonalUp="0" diagonalDown="0" outline="0">
        <left style="thin">
          <color indexed="64"/>
        </left>
        <right style="thin">
          <color indexed="64"/>
        </right>
        <top/>
        <bottom/>
      </border>
    </dxf>
    <dxf>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alignment horizontal="right" vertical="bottom" textRotation="0" wrapText="0" indent="0" justifyLastLine="0" shrinkToFit="0" readingOrder="0"/>
      <border diagonalUp="0" diagonalDown="0" outline="0">
        <left/>
        <right style="thin">
          <color indexed="64"/>
        </right>
        <top/>
        <bottom/>
      </border>
    </dxf>
    <dxf>
      <border outline="0">
        <left style="medium">
          <color indexed="64"/>
        </left>
        <right style="medium">
          <color indexed="64"/>
        </right>
        <top style="thin">
          <color indexed="64"/>
        </top>
        <bottom style="medium">
          <color indexed="64"/>
        </bottom>
      </border>
    </dxf>
    <dxf>
      <numFmt numFmtId="165" formatCode="0.0"/>
      <fill>
        <patternFill patternType="none">
          <fgColor indexed="64"/>
          <bgColor auto="1"/>
        </patternFill>
      </fill>
    </dxf>
    <dxf>
      <numFmt numFmtId="165" formatCode="0.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dxf>
    <dxf>
      <fill>
        <patternFill patternType="none">
          <fgColor indexed="64"/>
          <bgColor auto="1"/>
        </patternFill>
      </fill>
      <border diagonalUp="0" diagonalDown="0" outline="0">
        <left style="thin">
          <color indexed="64"/>
        </left>
        <right style="thin">
          <color indexed="64"/>
        </right>
        <top/>
        <bottom/>
      </border>
    </dxf>
    <dxf>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fill>
        <patternFill patternType="none">
          <fgColor indexed="64"/>
          <bgColor auto="1"/>
        </patternFill>
      </fill>
      <border diagonalUp="0" diagonalDown="0" outline="0">
        <left style="thin">
          <color indexed="64"/>
        </left>
        <right style="thin">
          <color indexed="64"/>
        </right>
        <top/>
        <bottom/>
      </border>
    </dxf>
    <dxf>
      <fill>
        <patternFill patternType="none">
          <fgColor indexed="64"/>
          <bgColor auto="1"/>
        </patternFill>
      </fill>
      <border diagonalUp="0" diagonalDown="0" outline="0">
        <left style="thin">
          <color indexed="64"/>
        </left>
        <right style="thin">
          <color indexed="64"/>
        </right>
        <top/>
        <bottom/>
      </border>
    </dxf>
    <dxf>
      <fill>
        <patternFill patternType="none">
          <fgColor indexed="64"/>
          <bgColor auto="1"/>
        </patternFill>
      </fill>
      <border diagonalUp="0" diagonalDown="0" outline="0">
        <left style="thin">
          <color indexed="64"/>
        </left>
        <right style="thin">
          <color indexed="64"/>
        </right>
        <top/>
        <bottom/>
      </border>
    </dxf>
    <dxf>
      <fill>
        <patternFill patternType="none">
          <fgColor indexed="64"/>
          <bgColor auto="1"/>
        </patternFill>
      </fill>
      <border diagonalUp="0" diagonalDown="0" outline="0">
        <left style="thin">
          <color indexed="64"/>
        </left>
        <right style="thin">
          <color indexed="64"/>
        </right>
        <top/>
        <bottom/>
      </border>
    </dxf>
    <dxf>
      <fill>
        <patternFill patternType="none">
          <fgColor indexed="64"/>
          <bgColor auto="1"/>
        </patternFill>
      </fill>
      <border diagonalUp="0" diagonalDown="0" outline="0">
        <left style="thin">
          <color indexed="64"/>
        </left>
        <right style="thin">
          <color indexed="64"/>
        </right>
        <top/>
        <bottom/>
      </border>
    </dxf>
    <dxf>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2" formatCode="0.0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numFmt numFmtId="165" formatCode="0.0"/>
      <fill>
        <patternFill patternType="none">
          <fgColor indexed="64"/>
          <bgColor auto="1"/>
        </patternFill>
      </fill>
      <border diagonalUp="0" diagonalDown="0" outline="0">
        <left style="thin">
          <color indexed="64"/>
        </left>
        <right style="thin">
          <color indexed="64"/>
        </right>
        <top/>
        <bottom/>
      </border>
    </dxf>
    <dxf>
      <numFmt numFmtId="165" formatCode="0.0"/>
      <fill>
        <patternFill patternType="none">
          <fgColor indexed="64"/>
          <bgColor auto="1"/>
        </patternFill>
      </fill>
      <border diagonalUp="0" diagonalDown="0" outline="0">
        <left style="thin">
          <color indexed="64"/>
        </left>
        <right style="thin">
          <color indexed="64"/>
        </right>
        <top/>
        <bottom/>
      </border>
    </dxf>
    <dxf>
      <numFmt numFmtId="165" formatCode="0.0"/>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border diagonalUp="0" diagonalDown="0" outline="0">
        <left style="thin">
          <color indexed="64"/>
        </left>
        <right style="thin">
          <color indexed="64"/>
        </right>
        <top/>
        <bottom/>
      </border>
    </dxf>
    <dxf>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border diagonalUp="0" diagonalDown="0" outline="0">
        <left style="thin">
          <color indexed="64"/>
        </left>
        <right style="thin">
          <color indexed="64"/>
        </right>
        <top/>
        <bottom/>
      </border>
    </dxf>
    <dxf>
      <fill>
        <patternFill patternType="none">
          <fgColor indexed="64"/>
          <bgColor auto="1"/>
        </patternFill>
      </fill>
      <border diagonalUp="0" diagonalDown="0" outline="0">
        <left style="thin">
          <color indexed="64"/>
        </left>
        <right style="thin">
          <color indexed="64"/>
        </right>
        <top/>
        <bottom/>
      </border>
    </dxf>
    <dxf>
      <fill>
        <patternFill patternType="none">
          <fgColor indexed="64"/>
          <bgColor auto="1"/>
        </patternFill>
      </fill>
      <border diagonalUp="0" diagonalDown="0" outline="0">
        <left style="thin">
          <color indexed="64"/>
        </left>
        <right style="thin">
          <color indexed="64"/>
        </right>
        <top/>
        <bottom/>
      </border>
    </dxf>
    <dxf>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border outline="0">
        <right style="medium">
          <color indexed="64"/>
        </right>
        <top style="medium">
          <color indexed="64"/>
        </top>
        <bottom style="medium">
          <color indexed="64"/>
        </bottom>
      </border>
    </dxf>
    <dxf>
      <fill>
        <patternFill patternType="none">
          <fgColor indexed="64"/>
          <bgColor auto="1"/>
        </patternFill>
      </fill>
    </dxf>
    <dxf>
      <border outline="0">
        <bottom style="medium">
          <color indexed="64"/>
        </bottom>
      </border>
    </dxf>
    <dxf>
      <font>
        <b/>
        <i val="0"/>
        <strike val="0"/>
        <condense val="0"/>
        <extend val="0"/>
        <outline val="0"/>
        <shadow val="0"/>
        <u val="none"/>
        <vertAlign val="baseline"/>
        <sz val="11"/>
        <color theme="0"/>
        <name val="Calibri"/>
        <family val="2"/>
        <scheme val="minor"/>
      </font>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border diagonalUp="0" diagonalDown="0" outline="0">
        <left/>
        <right style="thin">
          <color indexed="64"/>
        </right>
        <top/>
        <bottom/>
      </border>
    </dxf>
    <dxf>
      <fill>
        <patternFill patternType="none">
          <fgColor indexed="64"/>
          <bgColor auto="1"/>
        </patternFill>
      </fill>
      <border diagonalUp="0" diagonalDown="0" outline="0">
        <left style="thin">
          <color indexed="64"/>
        </left>
        <right style="thin">
          <color indexed="64"/>
        </right>
        <top/>
        <bottom/>
      </border>
    </dxf>
    <dxf>
      <fill>
        <patternFill patternType="none">
          <fgColor indexed="64"/>
          <bgColor auto="1"/>
        </patternFill>
      </fill>
      <alignment horizontal="right" vertical="bottom" textRotation="0" wrapText="0" indent="0" justifyLastLine="0" shrinkToFit="0" readingOrder="0"/>
      <border diagonalUp="0" diagonalDown="0" outline="0">
        <left/>
        <right style="thin">
          <color indexed="64"/>
        </right>
        <top/>
        <bottom/>
      </border>
    </dxf>
    <dxf>
      <border outline="0">
        <left style="medium">
          <color indexed="64"/>
        </left>
        <right style="medium">
          <color indexed="64"/>
        </right>
        <top style="medium">
          <color indexed="64"/>
        </top>
        <bottom style="medium">
          <color indexed="64"/>
        </bottom>
      </border>
    </dxf>
    <dxf>
      <fill>
        <patternFill patternType="none">
          <fgColor indexed="64"/>
          <bgColor auto="1"/>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Calibri"/>
        <family val="2"/>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2" formatCode="0.00"/>
      <fill>
        <patternFill patternType="none">
          <fgColor indexed="64"/>
          <bgColor indexed="65"/>
        </patternFill>
      </fill>
      <alignment horizontal="right" vertical="bottom" textRotation="0" wrapText="0" indent="0" justifyLastLine="0" shrinkToFit="0" readingOrder="0"/>
    </dxf>
    <dxf>
      <numFmt numFmtId="2" formatCode="0.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2" formatCode="0.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2" formatCode="0.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2" formatCode="0.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2" formatCode="0.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2" formatCode="0.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2" formatCode="0.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2" formatCode="0.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2" formatCode="0.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2" formatCode="0.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ill>
        <patternFill patternType="none">
          <fgColor indexed="64"/>
          <bgColor auto="1"/>
        </patternFill>
      </fill>
      <border diagonalUp="0" diagonalDown="0" outline="0">
        <left/>
        <right style="thin">
          <color indexed="64"/>
        </right>
        <top/>
        <bottom/>
      </border>
    </dxf>
    <dxf>
      <fill>
        <patternFill patternType="none">
          <fgColor indexed="64"/>
          <bgColor auto="1"/>
        </patternFill>
      </fill>
      <border diagonalUp="0" diagonalDown="0" outline="0">
        <left style="thin">
          <color indexed="64"/>
        </left>
        <right style="thin">
          <color indexed="64"/>
        </right>
        <top/>
        <bottom/>
      </border>
    </dxf>
    <dxf>
      <fill>
        <patternFill patternType="none">
          <fgColor indexed="64"/>
          <bgColor auto="1"/>
        </patternFill>
      </fill>
      <alignment horizontal="right" vertical="bottom" textRotation="0" wrapText="0" indent="0" justifyLastLine="0" shrinkToFit="0" readingOrder="0"/>
      <border diagonalUp="0" diagonalDown="0" outline="0">
        <left/>
        <right style="thin">
          <color indexed="64"/>
        </right>
        <top/>
        <bottom/>
      </border>
    </dxf>
    <dxf>
      <border outline="0">
        <left style="medium">
          <color indexed="64"/>
        </left>
        <right style="medium">
          <color indexed="64"/>
        </right>
        <top style="medium">
          <color indexed="64"/>
        </top>
        <bottom style="medium">
          <color indexed="64"/>
        </bottom>
      </border>
    </dxf>
    <dxf>
      <fill>
        <patternFill patternType="none">
          <fgColor indexed="64"/>
          <bgColor auto="1"/>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Calibri"/>
        <family val="2"/>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2" formatCode="0.00"/>
      <fill>
        <patternFill patternType="none">
          <fgColor indexed="64"/>
          <bgColor auto="1"/>
        </patternFill>
      </fill>
      <alignment horizontal="right" vertical="bottom" textRotation="0" wrapText="0" indent="0" justifyLastLine="0" shrinkToFit="0" readingOrder="0"/>
    </dxf>
    <dxf>
      <numFmt numFmtId="2"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2"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2"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2"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2"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2"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2"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2"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2"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2"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border diagonalUp="0" diagonalDown="0" outline="0">
        <left/>
        <right style="thin">
          <color indexed="64"/>
        </right>
        <top/>
        <bottom/>
      </border>
    </dxf>
    <dxf>
      <fill>
        <patternFill patternType="none">
          <fgColor indexed="64"/>
          <bgColor auto="1"/>
        </patternFill>
      </fill>
      <border diagonalUp="0" diagonalDown="0" outline="0">
        <left style="thin">
          <color indexed="64"/>
        </left>
        <right style="thin">
          <color indexed="64"/>
        </right>
        <top/>
        <bottom/>
      </border>
    </dxf>
    <dxf>
      <fill>
        <patternFill patternType="none">
          <fgColor indexed="64"/>
          <bgColor auto="1"/>
        </patternFill>
      </fill>
      <alignment horizontal="right" vertical="bottom" textRotation="0" wrapText="0" indent="0" justifyLastLine="0" shrinkToFit="0" readingOrder="0"/>
      <border diagonalUp="0" diagonalDown="0" outline="0">
        <left/>
        <right style="thin">
          <color indexed="64"/>
        </right>
        <top/>
        <bottom/>
      </border>
    </dxf>
    <dxf>
      <border outline="0">
        <left style="medium">
          <color indexed="64"/>
        </left>
        <right style="medium">
          <color indexed="64"/>
        </right>
        <top style="medium">
          <color indexed="64"/>
        </top>
        <bottom style="medium">
          <color indexed="64"/>
        </bottom>
      </border>
    </dxf>
    <dxf>
      <fill>
        <patternFill patternType="none">
          <fgColor indexed="64"/>
          <bgColor auto="1"/>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Calibri"/>
        <family val="2"/>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2" formatCode="0.00"/>
      <fill>
        <patternFill patternType="none">
          <fgColor indexed="64"/>
          <bgColor auto="1"/>
        </patternFill>
      </fill>
      <alignment horizontal="right" vertical="bottom" textRotation="0" wrapText="0" indent="0" justifyLastLine="0" shrinkToFit="0" readingOrder="0"/>
    </dxf>
    <dxf>
      <numFmt numFmtId="2"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2"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2"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2"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2"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2"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2"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2"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2"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2"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border diagonalUp="0" diagonalDown="0" outline="0">
        <left/>
        <right style="thin">
          <color indexed="64"/>
        </right>
        <top/>
        <bottom/>
      </border>
    </dxf>
    <dxf>
      <fill>
        <patternFill patternType="none">
          <fgColor indexed="64"/>
          <bgColor auto="1"/>
        </patternFill>
      </fill>
      <border diagonalUp="0" diagonalDown="0" outline="0">
        <left style="thin">
          <color indexed="64"/>
        </left>
        <right style="thin">
          <color indexed="64"/>
        </right>
        <top/>
        <bottom/>
      </border>
    </dxf>
    <dxf>
      <fill>
        <patternFill patternType="none">
          <fgColor indexed="64"/>
          <bgColor auto="1"/>
        </patternFill>
      </fill>
      <alignment horizontal="right" vertical="bottom" textRotation="0" wrapText="0" indent="0" justifyLastLine="0" shrinkToFit="0" readingOrder="0"/>
      <border diagonalUp="0" diagonalDown="0" outline="0">
        <left/>
        <right style="thin">
          <color indexed="64"/>
        </right>
        <top/>
        <bottom/>
      </border>
    </dxf>
    <dxf>
      <border outline="0">
        <left style="medium">
          <color indexed="64"/>
        </left>
        <right style="medium">
          <color indexed="64"/>
        </right>
        <top style="medium">
          <color indexed="64"/>
        </top>
        <bottom style="medium">
          <color indexed="64"/>
        </bottom>
      </border>
    </dxf>
    <dxf>
      <fill>
        <patternFill patternType="none">
          <fgColor indexed="64"/>
          <bgColor auto="1"/>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Calibri"/>
        <family val="2"/>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2" formatCode="0.00"/>
      <fill>
        <patternFill patternType="none">
          <fgColor indexed="64"/>
          <bgColor auto="1"/>
        </patternFill>
      </fill>
      <alignment horizontal="right" vertical="bottom" textRotation="0" wrapText="0" indent="0" justifyLastLine="0" shrinkToFit="0" readingOrder="0"/>
    </dxf>
    <dxf>
      <numFmt numFmtId="2"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2"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2"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2"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2"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2"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2"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2"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2"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2"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border diagonalUp="0" diagonalDown="0" outline="0">
        <left/>
        <right style="thin">
          <color indexed="64"/>
        </right>
        <top/>
        <bottom/>
      </border>
    </dxf>
    <dxf>
      <fill>
        <patternFill patternType="none">
          <fgColor indexed="64"/>
          <bgColor auto="1"/>
        </patternFill>
      </fill>
      <border diagonalUp="0" diagonalDown="0" outline="0">
        <left style="thin">
          <color indexed="64"/>
        </left>
        <right style="thin">
          <color indexed="64"/>
        </right>
        <top/>
        <bottom/>
      </border>
    </dxf>
    <dxf>
      <fill>
        <patternFill patternType="none">
          <fgColor indexed="64"/>
          <bgColor auto="1"/>
        </patternFill>
      </fill>
      <alignment horizontal="right" vertical="bottom" textRotation="0" wrapText="0" indent="0" justifyLastLine="0" shrinkToFit="0" readingOrder="0"/>
      <border diagonalUp="0" diagonalDown="0" outline="0">
        <left/>
        <right style="thin">
          <color indexed="64"/>
        </right>
        <top/>
        <bottom/>
      </border>
    </dxf>
    <dxf>
      <border outline="0">
        <left style="medium">
          <color indexed="64"/>
        </left>
        <right style="medium">
          <color indexed="64"/>
        </right>
        <top style="medium">
          <color indexed="64"/>
        </top>
        <bottom style="medium">
          <color indexed="64"/>
        </bottom>
      </border>
    </dxf>
    <dxf>
      <fill>
        <patternFill patternType="none">
          <fgColor indexed="64"/>
          <bgColor auto="1"/>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Calibri"/>
        <family val="2"/>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border diagonalUp="0" diagonalDown="0" outline="0">
        <left/>
        <right style="thin">
          <color indexed="64"/>
        </right>
        <top/>
        <bottom/>
      </border>
    </dxf>
    <dxf>
      <fill>
        <patternFill patternType="none">
          <fgColor indexed="64"/>
          <bgColor auto="1"/>
        </patternFill>
      </fill>
      <border diagonalUp="0" diagonalDown="0" outline="0">
        <left style="thin">
          <color indexed="64"/>
        </left>
        <right style="thin">
          <color indexed="64"/>
        </right>
        <top/>
        <bottom/>
      </border>
    </dxf>
    <dxf>
      <fill>
        <patternFill patternType="none">
          <fgColor indexed="64"/>
          <bgColor auto="1"/>
        </patternFill>
      </fill>
      <alignment horizontal="right" vertical="bottom" textRotation="0" wrapText="0" indent="0" justifyLastLine="0" shrinkToFit="0" readingOrder="0"/>
      <border diagonalUp="0" diagonalDown="0" outline="0">
        <left/>
        <right style="thin">
          <color indexed="64"/>
        </right>
        <top/>
        <bottom/>
      </border>
    </dxf>
    <dxf>
      <border outline="0">
        <top style="medium">
          <color indexed="64"/>
        </top>
        <bottom style="medium">
          <color indexed="64"/>
        </bottom>
      </border>
    </dxf>
    <dxf>
      <fill>
        <patternFill patternType="none">
          <fgColor indexed="64"/>
          <bgColor auto="1"/>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Calibri"/>
        <family val="2"/>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border diagonalUp="0" diagonalDown="0" outline="0">
        <left/>
        <right style="thin">
          <color indexed="64"/>
        </right>
        <top/>
        <bottom/>
      </border>
    </dxf>
    <dxf>
      <fill>
        <patternFill patternType="none">
          <fgColor indexed="64"/>
          <bgColor auto="1"/>
        </patternFill>
      </fill>
      <border diagonalUp="0" diagonalDown="0" outline="0">
        <left style="thin">
          <color indexed="64"/>
        </left>
        <right style="thin">
          <color indexed="64"/>
        </right>
        <top/>
        <bottom/>
      </border>
    </dxf>
    <dxf>
      <fill>
        <patternFill patternType="none">
          <fgColor indexed="64"/>
          <bgColor auto="1"/>
        </patternFill>
      </fill>
      <alignment horizontal="right" vertical="bottom" textRotation="0" wrapText="0" indent="0" justifyLastLine="0" shrinkToFit="0" readingOrder="0"/>
      <border diagonalUp="0" diagonalDown="0" outline="0">
        <left/>
        <right style="thin">
          <color indexed="64"/>
        </right>
        <top/>
        <bottom/>
      </border>
    </dxf>
    <dxf>
      <border outline="0">
        <left style="medium">
          <color indexed="64"/>
        </left>
        <right style="medium">
          <color indexed="64"/>
        </right>
        <top style="medium">
          <color indexed="64"/>
        </top>
        <bottom style="medium">
          <color indexed="64"/>
        </bottom>
      </border>
    </dxf>
    <dxf>
      <fill>
        <patternFill patternType="none">
          <fgColor indexed="64"/>
          <bgColor auto="1"/>
        </patternFill>
      </fill>
      <alignment horizontal="right" vertical="bottom" textRotation="0" wrapText="0" indent="0" justifyLastLine="0" shrinkToFit="0" readingOrder="0"/>
    </dxf>
    <dxf>
      <border outline="0">
        <bottom style="thin">
          <color indexed="64"/>
        </bottom>
      </border>
    </dxf>
    <dxf>
      <font>
        <strike val="0"/>
        <outline val="0"/>
        <shadow val="0"/>
        <u val="none"/>
        <vertAlign val="baseline"/>
        <sz val="11"/>
        <color theme="0"/>
        <name val="Calibri"/>
        <family val="2"/>
        <scheme val="minor"/>
      </font>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border diagonalUp="0" diagonalDown="0" outline="0">
        <left/>
        <right style="thin">
          <color indexed="64"/>
        </right>
        <top/>
        <bottom/>
      </border>
    </dxf>
    <dxf>
      <fill>
        <patternFill patternType="none">
          <fgColor indexed="64"/>
          <bgColor auto="1"/>
        </patternFill>
      </fill>
      <border diagonalUp="0" diagonalDown="0" outline="0">
        <left style="thin">
          <color indexed="64"/>
        </left>
        <right style="thin">
          <color indexed="64"/>
        </right>
        <top/>
        <bottom/>
      </border>
    </dxf>
    <dxf>
      <fill>
        <patternFill patternType="none">
          <fgColor indexed="64"/>
          <bgColor auto="1"/>
        </patternFill>
      </fill>
      <alignment horizontal="right" vertical="bottom" textRotation="0" wrapText="0" indent="0" justifyLastLine="0" shrinkToFit="0" readingOrder="0"/>
      <border diagonalUp="0" diagonalDown="0" outline="0">
        <left/>
        <right style="thin">
          <color indexed="64"/>
        </right>
        <top/>
        <bottom/>
      </border>
    </dxf>
    <dxf>
      <border outline="0">
        <top style="medium">
          <color indexed="64"/>
        </top>
      </border>
    </dxf>
    <dxf>
      <fill>
        <patternFill patternType="none">
          <fgColor indexed="64"/>
          <bgColor auto="1"/>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Calibri"/>
        <family val="2"/>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65" formatCode="0.0"/>
      <fill>
        <patternFill patternType="none">
          <fgColor indexed="64"/>
          <bgColor auto="1"/>
        </patternFill>
      </fill>
      <alignment horizontal="right" vertical="bottom" textRotation="0" wrapText="0" indent="0" justifyLastLine="0" shrinkToFit="0" readingOrder="0"/>
    </dxf>
    <dxf>
      <numFmt numFmtId="165"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65"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65"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65"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65"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65"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65"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65"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65"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65"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border diagonalUp="0" diagonalDown="0" outline="0">
        <left/>
        <right style="thin">
          <color indexed="64"/>
        </right>
        <top/>
        <bottom/>
      </border>
    </dxf>
    <dxf>
      <fill>
        <patternFill patternType="none">
          <fgColor indexed="64"/>
          <bgColor auto="1"/>
        </patternFill>
      </fill>
      <border diagonalUp="0" diagonalDown="0" outline="0">
        <left style="thin">
          <color indexed="64"/>
        </left>
        <right style="thin">
          <color indexed="64"/>
        </right>
        <top/>
        <bottom/>
      </border>
    </dxf>
    <dxf>
      <fill>
        <patternFill patternType="none">
          <fgColor indexed="64"/>
          <bgColor auto="1"/>
        </patternFill>
      </fill>
      <alignment horizontal="right" vertical="bottom" textRotation="0" wrapText="0" indent="0" justifyLastLine="0" shrinkToFit="0" readingOrder="0"/>
      <border diagonalUp="0" diagonalDown="0" outline="0">
        <left/>
        <right style="thin">
          <color indexed="64"/>
        </right>
        <top/>
        <bottom/>
      </border>
    </dxf>
    <dxf>
      <border outline="0">
        <top style="medium">
          <color indexed="64"/>
        </top>
        <bottom style="medium">
          <color indexed="64"/>
        </bottom>
      </border>
    </dxf>
    <dxf>
      <fill>
        <patternFill patternType="none">
          <fgColor indexed="64"/>
          <bgColor auto="1"/>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Calibri"/>
        <family val="2"/>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65" formatCode="0.0"/>
      <fill>
        <patternFill patternType="none">
          <fgColor indexed="64"/>
          <bgColor auto="1"/>
        </patternFill>
      </fill>
      <alignment horizontal="right" vertical="bottom" textRotation="0" wrapText="0" indent="0" justifyLastLine="0" shrinkToFit="0" readingOrder="0"/>
    </dxf>
    <dxf>
      <numFmt numFmtId="165"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65"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65"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65"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65"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65"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65"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65"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65"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65"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border diagonalUp="0" diagonalDown="0" outline="0">
        <left/>
        <right style="thin">
          <color indexed="64"/>
        </right>
        <top/>
        <bottom/>
      </border>
    </dxf>
    <dxf>
      <fill>
        <patternFill patternType="none">
          <fgColor indexed="64"/>
          <bgColor auto="1"/>
        </patternFill>
      </fill>
      <border diagonalUp="0" diagonalDown="0" outline="0">
        <left style="thin">
          <color indexed="64"/>
        </left>
        <right style="thin">
          <color indexed="64"/>
        </right>
        <top/>
        <bottom/>
      </border>
    </dxf>
    <dxf>
      <fill>
        <patternFill patternType="none">
          <fgColor indexed="64"/>
          <bgColor auto="1"/>
        </patternFill>
      </fill>
      <alignment horizontal="right" vertical="bottom" textRotation="0" wrapText="0" indent="0" justifyLastLine="0" shrinkToFit="0" readingOrder="0"/>
      <border diagonalUp="0" diagonalDown="0" outline="0">
        <left/>
        <right style="thin">
          <color indexed="64"/>
        </right>
        <top/>
        <bottom/>
      </border>
    </dxf>
    <dxf>
      <border outline="0">
        <top style="medium">
          <color indexed="64"/>
        </top>
        <bottom style="medium">
          <color indexed="64"/>
        </bottom>
      </border>
    </dxf>
    <dxf>
      <fill>
        <patternFill patternType="none">
          <fgColor indexed="64"/>
          <bgColor auto="1"/>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Calibri"/>
        <family val="2"/>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border diagonalUp="0" diagonalDown="0" outline="0">
        <left/>
        <right style="thin">
          <color indexed="64"/>
        </right>
        <top/>
        <bottom/>
      </border>
    </dxf>
    <dxf>
      <fill>
        <patternFill patternType="none">
          <fgColor indexed="64"/>
          <bgColor auto="1"/>
        </patternFill>
      </fill>
      <border diagonalUp="0" diagonalDown="0" outline="0">
        <left style="thin">
          <color indexed="64"/>
        </left>
        <right style="thin">
          <color indexed="64"/>
        </right>
        <top/>
        <bottom/>
      </border>
    </dxf>
    <dxf>
      <fill>
        <patternFill patternType="none">
          <fgColor indexed="64"/>
          <bgColor auto="1"/>
        </patternFill>
      </fill>
      <alignment horizontal="right" vertical="bottom" textRotation="0" wrapText="0" indent="0" justifyLastLine="0" shrinkToFit="0" readingOrder="0"/>
      <border diagonalUp="0" diagonalDown="0" outline="0">
        <left/>
        <right style="thin">
          <color indexed="64"/>
        </right>
        <top/>
        <bottom/>
      </border>
    </dxf>
    <dxf>
      <border outline="0">
        <left style="medium">
          <color indexed="64"/>
        </left>
        <right style="medium">
          <color indexed="64"/>
        </right>
        <top style="medium">
          <color indexed="64"/>
        </top>
        <bottom style="medium">
          <color indexed="64"/>
        </bottom>
      </border>
    </dxf>
    <dxf>
      <fill>
        <patternFill patternType="none">
          <fgColor indexed="64"/>
          <bgColor auto="1"/>
        </patternFill>
      </fill>
      <alignment horizontal="right" vertical="bottom" textRotation="0" wrapText="0" indent="0" justifyLastLine="0" shrinkToFit="0" readingOrder="0"/>
    </dxf>
    <dxf>
      <border outline="0">
        <bottom style="thin">
          <color indexed="64"/>
        </bottom>
      </border>
    </dxf>
    <dxf>
      <font>
        <strike val="0"/>
        <outline val="0"/>
        <shadow val="0"/>
        <u val="none"/>
        <vertAlign val="baseline"/>
        <sz val="11"/>
        <color theme="0"/>
        <name val="Calibri"/>
        <family val="2"/>
        <scheme val="minor"/>
      </font>
      <fill>
        <patternFill patternType="none">
          <fgColor indexed="64"/>
          <bgColor auto="1"/>
        </patternFill>
      </fill>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border diagonalUp="0" diagonalDown="0" outline="0">
        <left/>
        <right style="thin">
          <color indexed="64"/>
        </right>
        <top/>
        <bottom/>
      </border>
    </dxf>
    <dxf>
      <fill>
        <patternFill patternType="none">
          <fgColor indexed="64"/>
          <bgColor auto="1"/>
        </patternFill>
      </fill>
      <border diagonalUp="0" diagonalDown="0" outline="0">
        <left style="thin">
          <color indexed="64"/>
        </left>
        <right style="thin">
          <color indexed="64"/>
        </right>
        <top/>
        <bottom/>
      </border>
    </dxf>
    <dxf>
      <fill>
        <patternFill patternType="none">
          <fgColor indexed="64"/>
          <bgColor auto="1"/>
        </patternFill>
      </fill>
      <alignment horizontal="right" vertical="bottom" textRotation="0" wrapText="0" indent="0" justifyLastLine="0" shrinkToFit="0" readingOrder="0"/>
      <border diagonalUp="0" diagonalDown="0" outline="0">
        <left/>
        <right style="thin">
          <color indexed="64"/>
        </right>
        <top/>
        <bottom/>
      </border>
    </dxf>
    <dxf>
      <border outline="0">
        <left style="medium">
          <color indexed="64"/>
        </left>
        <right style="medium">
          <color indexed="64"/>
        </right>
        <top style="medium">
          <color indexed="64"/>
        </top>
        <bottom style="medium">
          <color indexed="64"/>
        </bottom>
      </border>
    </dxf>
    <dxf>
      <fill>
        <patternFill patternType="none">
          <fgColor indexed="64"/>
          <bgColor auto="1"/>
        </patternFill>
      </fill>
      <alignment horizontal="right" vertical="bottom" textRotation="0" wrapText="0" indent="0" justifyLastLine="0" shrinkToFit="0" readingOrder="0"/>
    </dxf>
    <dxf>
      <border outline="0">
        <bottom style="thin">
          <color indexed="64"/>
        </bottom>
      </border>
    </dxf>
    <dxf>
      <font>
        <strike val="0"/>
        <outline val="0"/>
        <shadow val="0"/>
        <u val="none"/>
        <vertAlign val="baseline"/>
        <sz val="11"/>
        <color theme="0"/>
        <name val="Calibri"/>
        <family val="2"/>
        <scheme val="minor"/>
      </font>
      <fill>
        <patternFill patternType="none">
          <fgColor indexed="64"/>
          <bgColor auto="1"/>
        </patternFill>
      </fill>
      <border diagonalUp="0" diagonalDown="0" outline="0">
        <left style="thin">
          <color indexed="64"/>
        </left>
        <right style="thin">
          <color indexed="64"/>
        </right>
        <top/>
        <bottom/>
      </border>
    </dxf>
    <dxf>
      <fill>
        <patternFill patternType="solid">
          <fgColor indexed="64"/>
          <bgColor theme="0"/>
        </patternFill>
      </fill>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border diagonalUp="0" diagonalDown="0" outline="0">
        <left/>
        <right style="thin">
          <color indexed="64"/>
        </right>
        <top/>
        <bottom/>
      </border>
    </dxf>
    <dxf>
      <fill>
        <patternFill patternType="none">
          <fgColor indexed="64"/>
          <bgColor auto="1"/>
        </patternFill>
      </fill>
      <border diagonalUp="0" diagonalDown="0" outline="0">
        <left/>
        <right style="thin">
          <color indexed="64"/>
        </right>
        <top/>
        <bottom/>
      </border>
    </dxf>
    <dxf>
      <fill>
        <patternFill patternType="solid">
          <fgColor indexed="64"/>
          <bgColor theme="0"/>
        </patternFill>
      </fill>
      <border diagonalUp="0" diagonalDown="0" outline="0">
        <left style="thin">
          <color indexed="64"/>
        </left>
        <right style="thin">
          <color indexed="64"/>
        </right>
        <top/>
        <bottom/>
      </border>
    </dxf>
    <dxf>
      <fill>
        <patternFill patternType="none">
          <fgColor indexed="64"/>
          <bgColor auto="1"/>
        </patternFill>
      </fill>
      <border diagonalUp="0" diagonalDown="0" outline="0">
        <left style="thin">
          <color indexed="64"/>
        </left>
        <right style="thin">
          <color indexed="64"/>
        </right>
        <top/>
        <bottom/>
      </border>
    </dxf>
    <dxf>
      <fill>
        <patternFill patternType="solid">
          <fgColor indexed="64"/>
          <bgColor theme="0"/>
        </patternFill>
      </fill>
      <alignment horizontal="right" vertical="bottom" textRotation="0" wrapText="0" indent="0" justifyLastLine="0" shrinkToFit="0" readingOrder="0"/>
      <border diagonalUp="0" diagonalDown="0" outline="0">
        <left/>
        <right style="thin">
          <color indexed="64"/>
        </right>
        <top/>
        <bottom/>
      </border>
    </dxf>
    <dxf>
      <fill>
        <patternFill patternType="none">
          <fgColor indexed="64"/>
          <bgColor auto="1"/>
        </patternFill>
      </fill>
      <alignment horizontal="right" vertical="bottom" textRotation="0" wrapText="0" indent="0" justifyLastLine="0" shrinkToFit="0" readingOrder="0"/>
      <border diagonalUp="0" diagonalDown="0" outline="0">
        <left/>
        <right style="thin">
          <color indexed="64"/>
        </right>
        <top/>
        <bottom/>
      </border>
    </dxf>
    <dxf>
      <fill>
        <patternFill patternType="none">
          <fgColor indexed="64"/>
          <bgColor auto="1"/>
        </patternFill>
      </fill>
    </dxf>
    <dxf>
      <border outline="0">
        <left style="medium">
          <color indexed="64"/>
        </left>
        <right style="medium">
          <color indexed="64"/>
        </right>
        <top style="medium">
          <color indexed="64"/>
        </top>
        <bottom style="medium">
          <color indexed="64"/>
        </bottom>
      </border>
    </dxf>
    <dxf>
      <fill>
        <patternFill patternType="none">
          <fgColor indexed="64"/>
          <bgColor auto="1"/>
        </patternFill>
      </fill>
      <alignment horizontal="right" vertical="bottom" textRotation="0" wrapText="0" indent="0" justifyLastLine="0" shrinkToFit="0" readingOrder="0"/>
    </dxf>
    <dxf>
      <border outline="0">
        <bottom style="thin">
          <color indexed="64"/>
        </bottom>
      </border>
    </dxf>
    <dxf>
      <font>
        <strike val="0"/>
        <outline val="0"/>
        <shadow val="0"/>
        <u val="none"/>
        <vertAlign val="baseline"/>
        <sz val="11"/>
        <color theme="0"/>
        <name val="Calibri"/>
        <family val="2"/>
        <scheme val="minor"/>
      </font>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outline="0">
        <left/>
        <right style="thin">
          <color indexed="64"/>
        </right>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right" vertical="bottom" textRotation="0" wrapText="0" indent="0" justifyLastLine="0" shrinkToFit="0" readingOrder="0"/>
      <border diagonalUp="0" diagonalDown="0" outline="0">
        <left/>
        <right style="thin">
          <color indexed="64"/>
        </right>
        <top/>
        <bottom/>
      </border>
    </dxf>
    <dxf>
      <border outline="0">
        <top style="medium">
          <color indexed="64"/>
        </top>
        <bottom style="medium">
          <color indexed="64"/>
        </bottom>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Calibri"/>
        <family val="2"/>
        <scheme val="minor"/>
      </font>
      <numFmt numFmtId="0" formatCode="General"/>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border diagonalUp="0" diagonalDown="0" outline="0">
        <left/>
        <right style="thin">
          <color indexed="64"/>
        </right>
        <top/>
        <bottom/>
      </border>
    </dxf>
    <dxf>
      <fill>
        <patternFill patternType="none">
          <fgColor indexed="64"/>
          <bgColor auto="1"/>
        </patternFill>
      </fill>
      <border diagonalUp="0" diagonalDown="0" outline="0">
        <left style="thin">
          <color indexed="64"/>
        </left>
        <right style="thin">
          <color indexed="64"/>
        </right>
        <top/>
        <bottom/>
      </border>
    </dxf>
    <dxf>
      <fill>
        <patternFill patternType="none">
          <fgColor indexed="64"/>
          <bgColor auto="1"/>
        </patternFill>
      </fill>
      <alignment horizontal="right" vertical="bottom" textRotation="0" wrapText="0" indent="0" justifyLastLine="0" shrinkToFit="0" readingOrder="0"/>
      <border diagonalUp="0" diagonalDown="0" outline="0">
        <left/>
        <right style="thin">
          <color indexed="64"/>
        </right>
        <top/>
        <bottom/>
      </border>
    </dxf>
    <dxf>
      <border outline="0">
        <top style="medium">
          <color indexed="64"/>
        </top>
        <bottom style="medium">
          <color indexed="64"/>
        </bottom>
      </border>
    </dxf>
    <dxf>
      <numFmt numFmtId="0" formatCode="General"/>
      <fill>
        <patternFill patternType="none">
          <fgColor indexed="64"/>
          <bgColor auto="1"/>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Calibri"/>
        <family val="2"/>
        <scheme val="minor"/>
      </font>
      <numFmt numFmtId="0" formatCode="General"/>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border diagonalUp="0" diagonalDown="0" outline="0">
        <left/>
        <right style="thin">
          <color indexed="64"/>
        </right>
        <top/>
        <bottom/>
      </border>
    </dxf>
    <dxf>
      <fill>
        <patternFill patternType="none">
          <fgColor indexed="64"/>
          <bgColor auto="1"/>
        </patternFill>
      </fill>
      <border diagonalUp="0" diagonalDown="0" outline="0">
        <left style="thin">
          <color indexed="64"/>
        </left>
        <right style="thin">
          <color indexed="64"/>
        </right>
        <top/>
        <bottom/>
      </border>
    </dxf>
    <dxf>
      <fill>
        <patternFill patternType="none">
          <fgColor indexed="64"/>
          <bgColor auto="1"/>
        </patternFill>
      </fill>
      <alignment horizontal="right" vertical="bottom" textRotation="0" wrapText="0" indent="0" justifyLastLine="0" shrinkToFit="0" readingOrder="0"/>
      <border diagonalUp="0" diagonalDown="0" outline="0">
        <left/>
        <right style="thin">
          <color indexed="64"/>
        </right>
        <top/>
        <bottom/>
      </border>
    </dxf>
    <dxf>
      <border outline="0">
        <top style="medium">
          <color indexed="64"/>
        </top>
      </border>
    </dxf>
    <dxf>
      <numFmt numFmtId="0" formatCode="General"/>
      <fill>
        <patternFill patternType="none">
          <fgColor indexed="64"/>
          <bgColor auto="1"/>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Calibri"/>
        <family val="2"/>
        <scheme val="minor"/>
      </font>
      <numFmt numFmtId="0" formatCode="General"/>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border diagonalUp="0" diagonalDown="0" outline="0">
        <left/>
        <right style="thin">
          <color indexed="64"/>
        </right>
        <top/>
        <bottom/>
      </border>
    </dxf>
    <dxf>
      <fill>
        <patternFill patternType="none">
          <fgColor indexed="64"/>
          <bgColor auto="1"/>
        </patternFill>
      </fill>
      <border diagonalUp="0" diagonalDown="0" outline="0">
        <left style="thin">
          <color indexed="64"/>
        </left>
        <right style="thin">
          <color indexed="64"/>
        </right>
        <top/>
        <bottom/>
      </border>
    </dxf>
    <dxf>
      <fill>
        <patternFill patternType="none">
          <fgColor indexed="64"/>
          <bgColor auto="1"/>
        </patternFill>
      </fill>
      <alignment horizontal="right" vertical="bottom" textRotation="0" wrapText="0" indent="0" justifyLastLine="0" shrinkToFit="0" readingOrder="0"/>
      <border diagonalUp="0" diagonalDown="0" outline="0">
        <left/>
        <right style="thin">
          <color indexed="64"/>
        </right>
        <top/>
        <bottom/>
      </border>
    </dxf>
    <dxf>
      <border outline="0">
        <top style="medium">
          <color indexed="64"/>
        </top>
        <bottom style="medium">
          <color indexed="64"/>
        </bottom>
      </border>
    </dxf>
    <dxf>
      <numFmt numFmtId="0" formatCode="General"/>
      <fill>
        <patternFill patternType="none">
          <fgColor indexed="64"/>
          <bgColor auto="1"/>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Calibri"/>
        <family val="2"/>
        <scheme val="minor"/>
      </font>
      <numFmt numFmtId="0" formatCode="General"/>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dxf>
    <dxf>
      <fill>
        <patternFill patternType="none">
          <fgColor indexed="64"/>
          <bgColor auto="1"/>
        </patternFill>
      </fill>
    </dxf>
    <dxf>
      <border outline="0">
        <left style="medium">
          <color indexed="64"/>
        </left>
        <top style="medium">
          <color indexed="64"/>
        </top>
        <bottom style="medium">
          <color indexed="64"/>
        </bottom>
      </border>
    </dxf>
    <dxf>
      <fill>
        <patternFill patternType="none">
          <fgColor indexed="64"/>
          <bgColor auto="1"/>
        </patternFill>
      </fill>
    </dxf>
    <dxf>
      <font>
        <strike val="0"/>
        <outline val="0"/>
        <shadow val="0"/>
        <u val="none"/>
        <vertAlign val="baseline"/>
        <sz val="11"/>
        <color theme="0"/>
        <name val="Calibri"/>
        <family val="2"/>
        <scheme val="minor"/>
      </font>
      <fill>
        <patternFill patternType="none">
          <fgColor indexed="64"/>
          <bgColor auto="1"/>
        </patternFill>
      </fill>
    </dxf>
    <dxf>
      <fill>
        <patternFill patternType="none">
          <fgColor indexed="64"/>
          <bgColor auto="1"/>
        </patternFill>
      </fill>
      <alignment horizontal="center" vertical="bottom" textRotation="0" wrapText="0" indent="0" justifyLastLine="0" shrinkToFit="0" readingOrder="0"/>
      <border diagonalUp="0" diagonalDown="0" outline="0">
        <left/>
        <right/>
        <top style="medium">
          <color indexed="64"/>
        </top>
        <bottom/>
      </border>
    </dxf>
    <dxf>
      <fill>
        <patternFill patternType="none">
          <fgColor indexed="64"/>
          <bgColor auto="1"/>
        </patternFill>
      </fill>
      <alignment horizontal="left" vertical="bottom" textRotation="0" wrapText="0" indent="0" justifyLastLine="0" shrinkToFit="0" readingOrder="0"/>
      <border diagonalUp="0" diagonalDown="0" outline="0">
        <left/>
        <right/>
        <top style="medium">
          <color indexed="64"/>
        </top>
        <bottom/>
      </border>
    </dxf>
    <dxf>
      <border outline="0">
        <top style="medium">
          <color indexed="64"/>
        </top>
      </border>
    </dxf>
    <dxf>
      <border outline="0">
        <left style="medium">
          <color indexed="64"/>
        </left>
        <top style="medium">
          <color indexed="64"/>
        </top>
        <bottom style="medium">
          <color indexed="64"/>
        </bottom>
      </border>
    </dxf>
    <dxf>
      <fill>
        <patternFill patternType="none">
          <fgColor indexed="64"/>
          <bgColor auto="1"/>
        </patternFill>
      </fill>
      <alignment horizontal="center" vertical="bottom" textRotation="0" wrapText="0" indent="0" justifyLastLine="0" shrinkToFit="0" readingOrder="0"/>
    </dxf>
    <dxf>
      <border outline="0">
        <bottom style="medium">
          <color indexed="64"/>
        </bottom>
      </border>
    </dxf>
    <dxf>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border outline="0">
        <left style="medium">
          <color indexed="64"/>
        </left>
        <top style="medium">
          <color indexed="64"/>
        </top>
        <bottom style="medium">
          <color indexed="64"/>
        </bottom>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border outline="0">
        <left style="medium">
          <color indexed="64"/>
        </left>
        <top style="medium">
          <color indexed="64"/>
        </top>
        <bottom style="medium">
          <color indexed="64"/>
        </bottom>
      </border>
    </dxf>
    <dxf>
      <fill>
        <patternFill patternType="none">
          <fgColor indexed="64"/>
          <bgColor auto="1"/>
        </patternFill>
      </fill>
    </dxf>
    <dxf>
      <fill>
        <patternFill patternType="none">
          <fgColor indexed="64"/>
          <bgColor auto="1"/>
        </patternFill>
      </fill>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alignment horizontal="right"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border outline="0">
        <bottom style="thin">
          <color indexed="64"/>
        </bottom>
      </border>
    </dxf>
    <dxf>
      <border diagonalUp="0" diagonalDown="0" outline="0">
        <left style="thin">
          <color indexed="64"/>
        </left>
        <right style="thin">
          <color indexed="64"/>
        </right>
        <top/>
        <bottom/>
      </border>
    </dxf>
    <dxf>
      <font>
        <b/>
        <strike val="0"/>
        <outline val="0"/>
        <shadow val="0"/>
        <u/>
        <vertAlign val="baseline"/>
        <sz val="11"/>
        <color auto="1"/>
        <name val="Calibri"/>
        <family val="2"/>
        <scheme val="minor"/>
      </font>
      <fill>
        <patternFill patternType="none">
          <fgColor indexed="64"/>
          <bgColor auto="1"/>
        </patternFill>
      </fill>
      <alignment horizontal="general" vertical="top" textRotation="0" wrapText="0" indent="0" justifyLastLine="0" shrinkToFit="0" readingOrder="0"/>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theme="1"/>
        <name val="Calibri"/>
        <family val="2"/>
        <scheme val="minor"/>
      </font>
    </dxf>
    <dxf>
      <border>
        <left style="thin">
          <color rgb="FFFFFFFF"/>
        </left>
        <right style="thin">
          <color rgb="FFFFFFFF"/>
        </right>
        <top style="thin">
          <color rgb="FFFFFFFF"/>
        </top>
        <bottom style="thin">
          <color rgb="FFFFFFFF"/>
        </bottom>
        <vertical style="thin">
          <color rgb="FFFFFFFF"/>
        </vertical>
        <horizontal style="thin">
          <color rgb="FFFFFFFF"/>
        </horizontal>
      </border>
    </dxf>
    <dxf>
      <border>
        <left style="thin">
          <color rgb="FFFFFFFF"/>
        </left>
        <right style="thin">
          <color rgb="FFFFFFFF"/>
        </right>
        <top style="thin">
          <color rgb="FFFFFFFF"/>
        </top>
        <bottom style="thin">
          <color rgb="FFFFFFFF"/>
        </bottom>
        <vertical style="thin">
          <color rgb="FFFFFFFF"/>
        </vertical>
        <horizontal style="thin">
          <color rgb="FFFFFFFF"/>
        </horizontal>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0"/>
        </patternFill>
      </fill>
      <border diagonalUp="0" diagonalDown="0" outline="0">
        <left style="thin">
          <color indexed="64"/>
        </left>
        <right style="thin">
          <color indexed="64"/>
        </right>
        <top/>
        <bottom/>
      </border>
    </dxf>
    <dxf>
      <font>
        <b/>
        <strike val="0"/>
        <outline val="0"/>
        <shadow val="0"/>
        <u/>
        <vertAlign val="baseline"/>
        <sz val="11"/>
        <color auto="1"/>
        <name val="Calibri"/>
        <family val="2"/>
        <scheme val="minor"/>
      </font>
      <fill>
        <patternFill patternType="none">
          <fgColor indexed="64"/>
          <bgColor auto="1"/>
        </patternFill>
      </fill>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theme="1"/>
        <name val="Calibri"/>
        <family val="2"/>
        <scheme val="minor"/>
      </font>
    </dxf>
  </dxfs>
  <tableStyles count="0" defaultTableStyle="TableStyleMedium2" defaultPivotStyle="PivotStyleLight16"/>
  <colors>
    <mruColors>
      <color rgb="FF36A393"/>
      <color rgb="FF10597B"/>
      <color rgb="FF4D4D4F"/>
      <color rgb="FF00CC99"/>
      <color rgb="FF2EB883"/>
      <color rgb="FF777777"/>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microsoft.com/office/2007/relationships/slicerCache" Target="slicerCaches/slicerCache3.xml"/><Relationship Id="rId42" Type="http://schemas.openxmlformats.org/officeDocument/2006/relationships/calcChain" Target="calcChain.xml"/><Relationship Id="rId47" Type="http://schemas.openxmlformats.org/officeDocument/2006/relationships/customXml" Target="../customXml/item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microsoft.com/office/2007/relationships/slicerCache" Target="slicerCaches/slicerCache1.xml"/><Relationship Id="rId37" Type="http://schemas.microsoft.com/office/2007/relationships/slicerCache" Target="slicerCaches/slicerCache6.xml"/><Relationship Id="rId40" Type="http://schemas.openxmlformats.org/officeDocument/2006/relationships/sharedStrings" Target="sharedString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07/relationships/slicerCache" Target="slicerCaches/slicerCache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pivotCacheDefinition" Target="pivotCache/pivotCacheDefinition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microsoft.com/office/2007/relationships/slicerCache" Target="slicerCaches/slicerCache4.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microsoft.com/office/2007/relationships/slicerCache" Target="slicerCaches/slicerCache2.xml"/><Relationship Id="rId38" Type="http://schemas.openxmlformats.org/officeDocument/2006/relationships/theme" Target="theme/theme1.xml"/><Relationship Id="rId46" Type="http://schemas.openxmlformats.org/officeDocument/2006/relationships/customXml" Target="../customXml/item4.xml"/><Relationship Id="rId20" Type="http://schemas.openxmlformats.org/officeDocument/2006/relationships/worksheet" Target="worksheets/sheet20.xml"/><Relationship Id="rId41"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tx>
            <c:strRef>
              <c:f>'Battery Costs'!$Q$6</c:f>
              <c:strCache>
                <c:ptCount val="1"/>
                <c:pt idx="0">
                  <c:v>BEV</c:v>
                </c:pt>
              </c:strCache>
            </c:strRef>
          </c:tx>
          <c:spPr>
            <a:ln w="19050" cap="rnd">
              <a:solidFill>
                <a:schemeClr val="accent1"/>
              </a:solidFill>
              <a:round/>
            </a:ln>
            <a:effectLst/>
          </c:spPr>
          <c:marker>
            <c:symbol val="none"/>
          </c:marker>
          <c:dLbls>
            <c:dLbl>
              <c:idx val="1"/>
              <c:layout>
                <c:manualLayout>
                  <c:x val="-7.6243607624360762E-2"/>
                  <c:y val="-0.13720316622691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9A9-4B9F-8E2B-0E698FF2A3FD}"/>
                </c:ext>
              </c:extLst>
            </c:dLbl>
            <c:dLbl>
              <c:idx val="5"/>
              <c:layout>
                <c:manualLayout>
                  <c:x val="-6.3226406322640705E-2"/>
                  <c:y val="-0.1336851363236588"/>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9A9-4B9F-8E2B-0E698FF2A3FD}"/>
                </c:ext>
              </c:extLst>
            </c:dLbl>
            <c:dLbl>
              <c:idx val="10"/>
              <c:layout>
                <c:manualLayout>
                  <c:x val="-6.5086006508600816E-2"/>
                  <c:y val="-0.11785386325390065"/>
                </c:manualLayout>
              </c:layout>
              <c:showLegendKey val="0"/>
              <c:showVal val="1"/>
              <c:showCatName val="1"/>
              <c:showSerName val="0"/>
              <c:showPercent val="0"/>
              <c:showBubbleSize val="0"/>
              <c:extLst>
                <c:ext xmlns:c15="http://schemas.microsoft.com/office/drawing/2012/chart" uri="{CE6537A1-D6FC-4f65-9D91-7224C49458BB}">
                  <c15:layout>
                    <c:manualLayout>
                      <c:w val="0.15599673471778366"/>
                      <c:h val="8.1495301213997312E-2"/>
                    </c:manualLayout>
                  </c15:layout>
                </c:ext>
                <c:ext xmlns:c16="http://schemas.microsoft.com/office/drawing/2014/chart" uri="{C3380CC4-5D6E-409C-BE32-E72D297353CC}">
                  <c16:uniqueId val="{00000006-69A9-4B9F-8E2B-0E698FF2A3FD}"/>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16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xVal>
            <c:numRef>
              <c:f>'Battery Costs'!$R$4:$AB$4</c:f>
              <c:numCache>
                <c:formatCode>General</c:formatCode>
                <c:ptCount val="11"/>
                <c:pt idx="0">
                  <c:v>2025</c:v>
                </c:pt>
                <c:pt idx="1">
                  <c:v>2026</c:v>
                </c:pt>
                <c:pt idx="2">
                  <c:v>2027</c:v>
                </c:pt>
                <c:pt idx="3">
                  <c:v>2028</c:v>
                </c:pt>
                <c:pt idx="4">
                  <c:v>2029</c:v>
                </c:pt>
                <c:pt idx="5">
                  <c:v>2030</c:v>
                </c:pt>
                <c:pt idx="6">
                  <c:v>2031</c:v>
                </c:pt>
                <c:pt idx="7">
                  <c:v>2032</c:v>
                </c:pt>
                <c:pt idx="8">
                  <c:v>2033</c:v>
                </c:pt>
                <c:pt idx="9">
                  <c:v>2034</c:v>
                </c:pt>
                <c:pt idx="10">
                  <c:v>2035</c:v>
                </c:pt>
              </c:numCache>
            </c:numRef>
          </c:xVal>
          <c:yVal>
            <c:numRef>
              <c:f>'Battery Costs'!$R$6:$AB$6</c:f>
              <c:numCache>
                <c:formatCode>_("$"* #,##0_);_("$"* \(#,##0\);_("$"* "-"??_);_(@_)</c:formatCode>
                <c:ptCount val="11"/>
                <c:pt idx="0">
                  <c:v>102.5</c:v>
                </c:pt>
                <c:pt idx="1">
                  <c:v>95.325000000000003</c:v>
                </c:pt>
                <c:pt idx="2">
                  <c:v>88.652250000000009</c:v>
                </c:pt>
                <c:pt idx="3">
                  <c:v>82.446592500000008</c:v>
                </c:pt>
                <c:pt idx="4">
                  <c:v>76.675331025000006</c:v>
                </c:pt>
                <c:pt idx="5">
                  <c:v>72.5</c:v>
                </c:pt>
                <c:pt idx="6">
                  <c:v>68.875</c:v>
                </c:pt>
                <c:pt idx="7">
                  <c:v>65.431249999999991</c:v>
                </c:pt>
                <c:pt idx="8">
                  <c:v>62.15968749999999</c:v>
                </c:pt>
                <c:pt idx="9">
                  <c:v>59.051703124999989</c:v>
                </c:pt>
                <c:pt idx="10">
                  <c:v>56.099117968749987</c:v>
                </c:pt>
              </c:numCache>
            </c:numRef>
          </c:yVal>
          <c:smooth val="1"/>
          <c:extLst>
            <c:ext xmlns:c16="http://schemas.microsoft.com/office/drawing/2014/chart" uri="{C3380CC4-5D6E-409C-BE32-E72D297353CC}">
              <c16:uniqueId val="{00000000-69A9-4B9F-8E2B-0E698FF2A3FD}"/>
            </c:ext>
          </c:extLst>
        </c:ser>
        <c:ser>
          <c:idx val="1"/>
          <c:order val="1"/>
          <c:tx>
            <c:strRef>
              <c:f>'Battery Costs'!$Q$7</c:f>
              <c:strCache>
                <c:ptCount val="1"/>
                <c:pt idx="0">
                  <c:v>PHEV</c:v>
                </c:pt>
              </c:strCache>
            </c:strRef>
          </c:tx>
          <c:spPr>
            <a:ln w="19050" cap="rnd">
              <a:solidFill>
                <a:schemeClr val="accent2"/>
              </a:solidFill>
              <a:round/>
            </a:ln>
            <a:effectLst/>
          </c:spPr>
          <c:marker>
            <c:symbol val="none"/>
          </c:marker>
          <c:xVal>
            <c:numRef>
              <c:f>'Battery Costs'!$R$4:$AB$4</c:f>
              <c:numCache>
                <c:formatCode>General</c:formatCode>
                <c:ptCount val="11"/>
                <c:pt idx="0">
                  <c:v>2025</c:v>
                </c:pt>
                <c:pt idx="1">
                  <c:v>2026</c:v>
                </c:pt>
                <c:pt idx="2">
                  <c:v>2027</c:v>
                </c:pt>
                <c:pt idx="3">
                  <c:v>2028</c:v>
                </c:pt>
                <c:pt idx="4">
                  <c:v>2029</c:v>
                </c:pt>
                <c:pt idx="5">
                  <c:v>2030</c:v>
                </c:pt>
                <c:pt idx="6">
                  <c:v>2031</c:v>
                </c:pt>
                <c:pt idx="7">
                  <c:v>2032</c:v>
                </c:pt>
                <c:pt idx="8">
                  <c:v>2033</c:v>
                </c:pt>
                <c:pt idx="9">
                  <c:v>2034</c:v>
                </c:pt>
                <c:pt idx="10">
                  <c:v>2035</c:v>
                </c:pt>
              </c:numCache>
            </c:numRef>
          </c:xVal>
          <c:yVal>
            <c:numRef>
              <c:f>'Battery Costs'!$R$7:$AB$7</c:f>
              <c:numCache>
                <c:formatCode>_("$"* #,##0_);_("$"* \(#,##0\);_("$"* "-"??_);_(@_)</c:formatCode>
                <c:ptCount val="11"/>
                <c:pt idx="0">
                  <c:v>143.5</c:v>
                </c:pt>
                <c:pt idx="1">
                  <c:v>133.45499999999998</c:v>
                </c:pt>
                <c:pt idx="2">
                  <c:v>124.11315</c:v>
                </c:pt>
                <c:pt idx="3">
                  <c:v>115.4252295</c:v>
                </c:pt>
                <c:pt idx="4">
                  <c:v>107.345463435</c:v>
                </c:pt>
                <c:pt idx="5">
                  <c:v>101.5</c:v>
                </c:pt>
                <c:pt idx="6">
                  <c:v>96.424999999999997</c:v>
                </c:pt>
                <c:pt idx="7">
                  <c:v>91.603749999999977</c:v>
                </c:pt>
                <c:pt idx="8">
                  <c:v>87.023562499999983</c:v>
                </c:pt>
                <c:pt idx="9">
                  <c:v>82.672384374999979</c:v>
                </c:pt>
                <c:pt idx="10">
                  <c:v>78.53876515624998</c:v>
                </c:pt>
              </c:numCache>
            </c:numRef>
          </c:yVal>
          <c:smooth val="1"/>
          <c:extLst>
            <c:ext xmlns:c16="http://schemas.microsoft.com/office/drawing/2014/chart" uri="{C3380CC4-5D6E-409C-BE32-E72D297353CC}">
              <c16:uniqueId val="{00000001-69A9-4B9F-8E2B-0E698FF2A3FD}"/>
            </c:ext>
          </c:extLst>
        </c:ser>
        <c:dLbls>
          <c:showLegendKey val="0"/>
          <c:showVal val="0"/>
          <c:showCatName val="0"/>
          <c:showSerName val="0"/>
          <c:showPercent val="0"/>
          <c:showBubbleSize val="0"/>
        </c:dLbls>
        <c:axId val="2031593695"/>
        <c:axId val="2031590367"/>
      </c:scatterChart>
      <c:valAx>
        <c:axId val="2031593695"/>
        <c:scaling>
          <c:orientation val="minMax"/>
          <c:max val="2035"/>
          <c:min val="2025"/>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US" sz="1800"/>
                  <a:t>Year</a:t>
                </a:r>
              </a:p>
            </c:rich>
          </c:tx>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2031590367"/>
        <c:crosses val="autoZero"/>
        <c:crossBetween val="midCat"/>
      </c:valAx>
      <c:valAx>
        <c:axId val="203159036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US" sz="1800"/>
                  <a:t>$/kWh</a:t>
                </a:r>
              </a:p>
            </c:rich>
          </c:tx>
          <c:overlay val="0"/>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2031593695"/>
        <c:crosses val="autoZero"/>
        <c:crossBetween val="midCat"/>
        <c:majorUnit val="200"/>
      </c:valAx>
      <c:spPr>
        <a:noFill/>
        <a:ln>
          <a:noFill/>
        </a:ln>
        <a:effectLst/>
      </c:spPr>
    </c:plotArea>
    <c:legend>
      <c:legendPos val="r"/>
      <c:layout>
        <c:manualLayout>
          <c:xMode val="edge"/>
          <c:yMode val="edge"/>
          <c:x val="0.83353161909448814"/>
          <c:y val="2.5273090516005611E-2"/>
          <c:w val="0.12111590653678748"/>
          <c:h val="0.26738412315874766"/>
        </c:manualLayout>
      </c:layout>
      <c:overlay val="1"/>
      <c:spPr>
        <a:solidFill>
          <a:schemeClr val="bg1"/>
        </a:solidFill>
        <a:ln w="12700">
          <a:solidFill>
            <a:schemeClr val="accent1"/>
          </a:solid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[ZEV_Cost_Modeling_Workbook_Update_October2021.xlsx]Incremental Cost Pivot!PivotTable1</c:name>
    <c:fmtId val="38"/>
  </c:pivotSource>
  <c:chart>
    <c:title>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layout>
            <c:manualLayout>
              <c:x val="0"/>
              <c:y val="8.0996884735202487E-2"/>
            </c:manualLayout>
          </c:layout>
          <c:numFmt formatCode="#,##0_);[Red]\(#,##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numFmt formatCode="#,##0_);[Red]\(#,##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1"/>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1"/>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chemeClr val="accent1"/>
          </a:solidFill>
          <a:ln>
            <a:noFill/>
          </a:ln>
          <a:effectLst/>
        </c:spPr>
        <c:marker>
          <c:symbol val="none"/>
        </c:marker>
      </c:pivotFmt>
      <c:pivotFmt>
        <c:idx val="45"/>
        <c:spPr>
          <a:solidFill>
            <a:schemeClr val="accent1"/>
          </a:solidFill>
          <a:ln>
            <a:noFill/>
          </a:ln>
          <a:effectLst/>
        </c:spPr>
        <c:marker>
          <c:symbol val="none"/>
        </c:marker>
      </c:pivotFmt>
      <c:pivotFmt>
        <c:idx val="46"/>
        <c:spPr>
          <a:solidFill>
            <a:schemeClr val="accent1"/>
          </a:solidFill>
          <a:ln>
            <a:noFill/>
          </a:ln>
          <a:effectLst/>
        </c:spPr>
        <c:marker>
          <c:symbol val="none"/>
        </c:marker>
      </c:pivotFmt>
      <c:pivotFmt>
        <c:idx val="47"/>
        <c:spPr>
          <a:solidFill>
            <a:schemeClr val="accent1"/>
          </a:solidFill>
          <a:ln>
            <a:noFill/>
          </a:ln>
          <a:effectLst/>
        </c:spPr>
        <c:marker>
          <c:symbol val="none"/>
        </c:marker>
      </c:pivotFmt>
      <c:pivotFmt>
        <c:idx val="48"/>
        <c:spPr>
          <a:solidFill>
            <a:schemeClr val="accent1"/>
          </a:solidFill>
          <a:ln>
            <a:noFill/>
          </a:ln>
          <a:effectLst/>
        </c:spPr>
        <c:marker>
          <c:symbol val="none"/>
        </c:marker>
      </c:pivotFmt>
      <c:pivotFmt>
        <c:idx val="49"/>
        <c:spPr>
          <a:solidFill>
            <a:schemeClr val="accent1"/>
          </a:solidFill>
          <a:ln>
            <a:noFill/>
          </a:ln>
          <a:effectLst/>
        </c:spPr>
        <c:marker>
          <c:symbol val="none"/>
        </c:marker>
      </c:pivotFmt>
      <c:pivotFmt>
        <c:idx val="50"/>
        <c:spPr>
          <a:solidFill>
            <a:schemeClr val="accent1"/>
          </a:solidFill>
          <a:ln>
            <a:noFill/>
          </a:ln>
          <a:effectLst/>
        </c:spPr>
        <c:marker>
          <c:symbol val="none"/>
        </c:marker>
      </c:pivotFmt>
      <c:pivotFmt>
        <c:idx val="51"/>
        <c:spPr>
          <a:solidFill>
            <a:schemeClr val="accent1"/>
          </a:solidFill>
          <a:ln>
            <a:noFill/>
          </a:ln>
          <a:effectLst/>
        </c:spPr>
        <c:marker>
          <c:symbol val="none"/>
        </c:marker>
      </c:pivotFmt>
      <c:pivotFmt>
        <c:idx val="52"/>
        <c:spPr>
          <a:solidFill>
            <a:schemeClr val="accent1"/>
          </a:solidFill>
          <a:ln>
            <a:noFill/>
          </a:ln>
          <a:effectLst/>
        </c:spPr>
        <c:marker>
          <c:symbol val="none"/>
        </c:marker>
      </c:pivotFmt>
      <c:pivotFmt>
        <c:idx val="53"/>
        <c:spPr>
          <a:solidFill>
            <a:schemeClr val="accent1"/>
          </a:solidFill>
          <a:ln>
            <a:noFill/>
          </a:ln>
          <a:effectLst/>
        </c:spPr>
        <c:marker>
          <c:symbol val="none"/>
        </c:marker>
      </c:pivotFmt>
      <c:pivotFmt>
        <c:idx val="54"/>
        <c:spPr>
          <a:solidFill>
            <a:schemeClr val="accent1"/>
          </a:solidFill>
          <a:ln>
            <a:noFill/>
          </a:ln>
          <a:effectLst/>
        </c:spPr>
        <c:marker>
          <c:symbol val="none"/>
        </c:marker>
      </c:pivotFmt>
      <c:pivotFmt>
        <c:idx val="55"/>
        <c:spPr>
          <a:solidFill>
            <a:schemeClr val="accent1"/>
          </a:solidFill>
          <a:ln>
            <a:noFill/>
          </a:ln>
          <a:effectLst/>
        </c:spPr>
        <c:marker>
          <c:symbol val="none"/>
        </c:marker>
      </c:pivotFmt>
      <c:pivotFmt>
        <c:idx val="56"/>
        <c:spPr>
          <a:solidFill>
            <a:schemeClr val="accent1"/>
          </a:solidFill>
          <a:ln>
            <a:noFill/>
          </a:ln>
          <a:effectLst/>
        </c:spPr>
        <c:marker>
          <c:symbol val="none"/>
        </c:marker>
      </c:pivotFmt>
      <c:pivotFmt>
        <c:idx val="57"/>
        <c:spPr>
          <a:solidFill>
            <a:schemeClr val="accent1"/>
          </a:solidFill>
          <a:ln>
            <a:noFill/>
          </a:ln>
          <a:effectLst/>
        </c:spPr>
        <c:marker>
          <c:symbol val="none"/>
        </c:marker>
      </c:pivotFmt>
      <c:pivotFmt>
        <c:idx val="58"/>
        <c:spPr>
          <a:solidFill>
            <a:schemeClr val="accent1"/>
          </a:solidFill>
          <a:ln>
            <a:noFill/>
          </a:ln>
          <a:effectLst/>
        </c:spPr>
        <c:marker>
          <c:symbol val="none"/>
        </c:marker>
      </c:pivotFmt>
      <c:pivotFmt>
        <c:idx val="59"/>
        <c:spPr>
          <a:solidFill>
            <a:schemeClr val="accent1"/>
          </a:solidFill>
          <a:ln>
            <a:noFill/>
          </a:ln>
          <a:effectLst/>
        </c:spPr>
        <c:marker>
          <c:symbol val="none"/>
        </c:marker>
        <c:dLbl>
          <c:idx val="0"/>
          <c:numFmt formatCode="#,##0_);[Red]\(#,##0\)" sourceLinked="0"/>
          <c:spPr>
            <a:solidFill>
              <a:schemeClr val="lt1"/>
            </a:solidFill>
            <a:ln>
              <a:solidFill>
                <a:schemeClr val="dk1">
                  <a:lumMod val="25000"/>
                  <a:lumOff val="75000"/>
                </a:schemeClr>
              </a:solidFill>
            </a:ln>
            <a:effectLst/>
          </c:spPr>
          <c:txPr>
            <a:bodyPr rot="0" spcFirstLastPara="1" vertOverflow="clip" horzOverflow="clip" vert="horz" wrap="square" lIns="36576" tIns="18288" rIns="36576" bIns="18288" anchor="ctr" anchorCtr="1">
              <a:spAutoFit/>
            </a:bodyPr>
            <a:lstStyle/>
            <a:p>
              <a:pPr>
                <a:defRPr sz="12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Lst>
        </c:dLbl>
      </c:pivotFmt>
      <c:pivotFmt>
        <c:idx val="60"/>
        <c:spPr>
          <a:solidFill>
            <a:schemeClr val="accent1"/>
          </a:solidFill>
          <a:ln>
            <a:noFill/>
          </a:ln>
          <a:effectLst/>
        </c:spPr>
        <c:marker>
          <c:symbol val="none"/>
        </c:marker>
        <c:dLbl>
          <c:idx val="0"/>
          <c:numFmt formatCode="#,##0_);[Red]\(#,##0\)" sourceLinked="0"/>
          <c:spPr>
            <a:solidFill>
              <a:schemeClr val="lt1"/>
            </a:solidFill>
            <a:ln>
              <a:solidFill>
                <a:schemeClr val="dk1">
                  <a:lumMod val="25000"/>
                  <a:lumOff val="75000"/>
                </a:schemeClr>
              </a:solidFill>
            </a:ln>
            <a:effectLst/>
          </c:spPr>
          <c:txPr>
            <a:bodyPr rot="0" spcFirstLastPara="1" vertOverflow="clip" horzOverflow="clip" vert="horz" wrap="square" lIns="36576" tIns="18288" rIns="36576" bIns="18288" anchor="ctr" anchorCtr="1">
              <a:spAutoFit/>
            </a:bodyPr>
            <a:lstStyle/>
            <a:p>
              <a:pPr>
                <a:defRPr sz="12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Lst>
        </c:dLbl>
      </c:pivotFmt>
      <c:pivotFmt>
        <c:idx val="61"/>
        <c:spPr>
          <a:solidFill>
            <a:schemeClr val="accent1"/>
          </a:solidFill>
          <a:ln>
            <a:noFill/>
          </a:ln>
          <a:effectLst/>
        </c:spPr>
        <c:marker>
          <c:symbol val="none"/>
        </c:marker>
        <c:dLbl>
          <c:idx val="0"/>
          <c:numFmt formatCode="#,##0_);[Red]\(#,##0\)" sourceLinked="0"/>
          <c:spPr>
            <a:solidFill>
              <a:schemeClr val="lt1"/>
            </a:solidFill>
            <a:ln>
              <a:solidFill>
                <a:schemeClr val="dk1">
                  <a:lumMod val="25000"/>
                  <a:lumOff val="75000"/>
                </a:schemeClr>
              </a:solidFill>
            </a:ln>
            <a:effectLst/>
          </c:spPr>
          <c:txPr>
            <a:bodyPr rot="0" spcFirstLastPara="1" vertOverflow="clip" horzOverflow="clip" vert="horz" wrap="square" lIns="36576" tIns="18288" rIns="36576" bIns="18288" anchor="ctr" anchorCtr="1">
              <a:spAutoFit/>
            </a:bodyPr>
            <a:lstStyle/>
            <a:p>
              <a:pPr>
                <a:defRPr sz="12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Lst>
        </c:dLbl>
      </c:pivotFmt>
      <c:pivotFmt>
        <c:idx val="62"/>
        <c:dLbl>
          <c:idx val="0"/>
          <c:layout>
            <c:manualLayout>
              <c:x val="-7.137147424917209E-3"/>
              <c:y val="0"/>
            </c:manualLayout>
          </c:layout>
          <c:numFmt formatCode="#,##0_);[Red]\(#,##0\)" sourceLinked="0"/>
          <c:spPr>
            <a:solidFill>
              <a:schemeClr val="lt1"/>
            </a:solidFill>
            <a:ln>
              <a:solidFill>
                <a:schemeClr val="dk1">
                  <a:lumMod val="25000"/>
                  <a:lumOff val="75000"/>
                </a:schemeClr>
              </a:solidFill>
            </a:ln>
            <a:effectLst/>
          </c:spPr>
          <c:txPr>
            <a:bodyPr rot="0" spcFirstLastPara="1" vertOverflow="clip" horzOverflow="clip" vert="horz" wrap="square" lIns="36576" tIns="18288" rIns="36576" bIns="18288" anchor="ctr" anchorCtr="1">
              <a:spAutoFit/>
            </a:bodyPr>
            <a:lstStyle/>
            <a:p>
              <a:pPr>
                <a:defRPr sz="12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Lst>
        </c:dLbl>
      </c:pivotFmt>
      <c:pivotFmt>
        <c:idx val="63"/>
        <c:dLbl>
          <c:idx val="0"/>
          <c:layout>
            <c:manualLayout>
              <c:x val="-7.137147424917209E-3"/>
              <c:y val="0"/>
            </c:manualLayout>
          </c:layout>
          <c:numFmt formatCode="#,##0_);[Red]\(#,##0\)" sourceLinked="0"/>
          <c:spPr>
            <a:solidFill>
              <a:schemeClr val="lt1"/>
            </a:solidFill>
            <a:ln>
              <a:solidFill>
                <a:schemeClr val="dk1">
                  <a:lumMod val="25000"/>
                  <a:lumOff val="75000"/>
                </a:schemeClr>
              </a:solidFill>
            </a:ln>
            <a:effectLst/>
          </c:spPr>
          <c:txPr>
            <a:bodyPr rot="0" spcFirstLastPara="1" vertOverflow="clip" horzOverflow="clip" vert="horz" wrap="square" lIns="36576" tIns="18288" rIns="36576" bIns="18288" anchor="ctr" anchorCtr="1">
              <a:spAutoFit/>
            </a:bodyPr>
            <a:lstStyle/>
            <a:p>
              <a:pPr>
                <a:defRPr sz="12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Lst>
        </c:dLbl>
      </c:pivotFmt>
      <c:pivotFmt>
        <c:idx val="64"/>
        <c:spPr>
          <a:solidFill>
            <a:schemeClr val="accent1"/>
          </a:solidFill>
          <a:ln>
            <a:noFill/>
          </a:ln>
          <a:effectLst/>
        </c:spPr>
        <c:dLbl>
          <c:idx val="0"/>
          <c:layout>
            <c:manualLayout>
              <c:x val="-5.7097179399338716E-3"/>
              <c:y val="0"/>
            </c:manualLayout>
          </c:layout>
          <c:numFmt formatCode="#,##0_);[Red]\(#,##0\)" sourceLinked="0"/>
          <c:spPr>
            <a:solidFill>
              <a:schemeClr val="lt1"/>
            </a:solidFill>
            <a:ln>
              <a:solidFill>
                <a:schemeClr val="dk1">
                  <a:lumMod val="25000"/>
                  <a:lumOff val="75000"/>
                </a:schemeClr>
              </a:solidFill>
            </a:ln>
            <a:effectLst/>
          </c:spPr>
          <c:txPr>
            <a:bodyPr rot="0" spcFirstLastPara="1" vertOverflow="clip" horzOverflow="clip" vert="horz" wrap="square" lIns="36576" tIns="18288" rIns="36576" bIns="18288" anchor="ctr" anchorCtr="1">
              <a:spAutoFit/>
            </a:bodyPr>
            <a:lstStyle/>
            <a:p>
              <a:pPr>
                <a:defRPr sz="12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Lst>
        </c:dLbl>
      </c:pivotFmt>
      <c:pivotFmt>
        <c:idx val="65"/>
        <c:spPr>
          <a:solidFill>
            <a:schemeClr val="accent3"/>
          </a:solidFill>
          <a:ln>
            <a:noFill/>
          </a:ln>
          <a:effectLst/>
        </c:spPr>
      </c:pivotFmt>
      <c:pivotFmt>
        <c:idx val="66"/>
        <c:spPr>
          <a:solidFill>
            <a:schemeClr val="accent3"/>
          </a:solidFill>
          <a:ln>
            <a:noFill/>
          </a:ln>
          <a:effectLst/>
        </c:spPr>
      </c:pivotFmt>
      <c:pivotFmt>
        <c:idx val="67"/>
        <c:dLbl>
          <c:idx val="0"/>
          <c:numFmt formatCode="#,##0_);[Red]\(#,##0\)" sourceLinked="0"/>
          <c:spPr>
            <a:solidFill>
              <a:schemeClr val="lt1"/>
            </a:solidFill>
            <a:ln>
              <a:solidFill>
                <a:schemeClr val="dk1">
                  <a:lumMod val="25000"/>
                  <a:lumOff val="75000"/>
                </a:schemeClr>
              </a:solidFill>
            </a:ln>
            <a:effectLst/>
          </c:spPr>
          <c:txPr>
            <a:bodyPr rot="0" spcFirstLastPara="1" vertOverflow="clip" horzOverflow="clip" vert="horz" wrap="square" lIns="36576" tIns="18288" rIns="36576" bIns="18288" anchor="ctr" anchorCtr="1">
              <a:spAutoFit/>
            </a:bodyPr>
            <a:lstStyle/>
            <a:p>
              <a:pPr>
                <a:defRPr sz="12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Lst>
        </c:dLbl>
      </c:pivotFmt>
      <c:pivotFmt>
        <c:idx val="68"/>
        <c:spPr>
          <a:solidFill>
            <a:schemeClr val="accent1"/>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9"/>
        <c:spPr>
          <a:solidFill>
            <a:schemeClr val="accent1"/>
          </a:solidFill>
          <a:ln>
            <a:noFill/>
          </a:ln>
          <a:effectLst/>
        </c:spPr>
        <c:marker>
          <c:symbol val="none"/>
        </c:marker>
      </c:pivotFmt>
      <c:pivotFmt>
        <c:idx val="70"/>
        <c:spPr>
          <a:solidFill>
            <a:schemeClr val="accent1"/>
          </a:solidFill>
          <a:ln>
            <a:noFill/>
          </a:ln>
          <a:effectLst/>
        </c:spPr>
        <c:marker>
          <c:symbol val="none"/>
        </c:marker>
      </c:pivotFmt>
      <c:pivotFmt>
        <c:idx val="71"/>
        <c:spPr>
          <a:solidFill>
            <a:schemeClr val="accent1"/>
          </a:solidFill>
          <a:ln>
            <a:noFill/>
          </a:ln>
          <a:effectLst/>
        </c:spPr>
        <c:marker>
          <c:symbol val="none"/>
        </c:marker>
      </c:pivotFmt>
      <c:pivotFmt>
        <c:idx val="72"/>
        <c:spPr>
          <a:solidFill>
            <a:schemeClr val="accent1"/>
          </a:solidFill>
          <a:ln>
            <a:noFill/>
          </a:ln>
          <a:effectLst/>
        </c:spPr>
        <c:marker>
          <c:symbol val="none"/>
        </c:marker>
      </c:pivotFmt>
      <c:pivotFmt>
        <c:idx val="73"/>
        <c:spPr>
          <a:solidFill>
            <a:schemeClr val="accent1"/>
          </a:solidFill>
          <a:ln>
            <a:noFill/>
          </a:ln>
          <a:effectLst/>
        </c:spPr>
        <c:marker>
          <c:symbol val="none"/>
        </c:marker>
      </c:pivotFmt>
      <c:pivotFmt>
        <c:idx val="74"/>
        <c:spPr>
          <a:solidFill>
            <a:schemeClr val="accent1"/>
          </a:solidFill>
          <a:ln>
            <a:noFill/>
          </a:ln>
          <a:effectLst/>
        </c:spPr>
        <c:marker>
          <c:symbol val="none"/>
        </c:marker>
      </c:pivotFmt>
      <c:pivotFmt>
        <c:idx val="75"/>
        <c:spPr>
          <a:solidFill>
            <a:schemeClr val="accent1"/>
          </a:solidFill>
          <a:ln>
            <a:noFill/>
          </a:ln>
          <a:effectLst/>
        </c:spPr>
        <c:marker>
          <c:symbol val="none"/>
        </c:marker>
        <c:dLbl>
          <c:idx val="0"/>
          <c:numFmt formatCode="#,##0" sourceLinked="0"/>
          <c:spPr>
            <a:solidFill>
              <a:schemeClr val="bg1"/>
            </a:solidFill>
            <a:ln w="9525" cap="flat">
              <a:solidFill>
                <a:schemeClr val="accent1"/>
              </a:solid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6"/>
        <c:spPr>
          <a:solidFill>
            <a:schemeClr val="accent1"/>
          </a:solidFill>
          <a:ln>
            <a:noFill/>
          </a:ln>
          <a:effectLst/>
        </c:spPr>
        <c:marker>
          <c:symbol val="none"/>
        </c:marker>
        <c:dLbl>
          <c:idx val="0"/>
          <c:numFmt formatCode="#,##0" sourceLinked="0"/>
          <c:spPr>
            <a:solidFill>
              <a:schemeClr val="bg1"/>
            </a:solidFill>
            <a:ln>
              <a:solidFill>
                <a:schemeClr val="accent1"/>
              </a:solid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7"/>
        <c:spPr>
          <a:solidFill>
            <a:schemeClr val="accent1"/>
          </a:solidFill>
          <a:ln>
            <a:noFill/>
          </a:ln>
          <a:effectLst/>
        </c:spPr>
        <c:marker>
          <c:symbol val="none"/>
        </c:marker>
        <c:dLbl>
          <c:idx val="0"/>
          <c:numFmt formatCode="#,##0" sourceLinked="0"/>
          <c:spPr>
            <a:solidFill>
              <a:schemeClr val="bg1"/>
            </a:solidFill>
            <a:ln>
              <a:solidFill>
                <a:schemeClr val="accent1"/>
              </a:solid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8"/>
        <c:spPr>
          <a:solidFill>
            <a:schemeClr val="accent1"/>
          </a:solidFill>
          <a:ln>
            <a:noFill/>
          </a:ln>
          <a:effectLst/>
        </c:spPr>
        <c:marker>
          <c:symbol val="none"/>
        </c:marker>
        <c:dLbl>
          <c:idx val="0"/>
          <c:numFmt formatCode="#,##0" sourceLinked="0"/>
          <c:spPr>
            <a:solidFill>
              <a:schemeClr val="bg1"/>
            </a:solidFill>
            <a:ln>
              <a:solidFill>
                <a:schemeClr val="accent1"/>
              </a:solid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9"/>
        <c:spPr>
          <a:solidFill>
            <a:schemeClr val="accent1"/>
          </a:solidFill>
          <a:ln>
            <a:noFill/>
          </a:ln>
          <a:effectLst/>
        </c:spPr>
        <c:marker>
          <c:symbol val="none"/>
        </c:marker>
        <c:dLbl>
          <c:idx val="0"/>
          <c:numFmt formatCode="#,##0" sourceLinked="0"/>
          <c:spPr>
            <a:solidFill>
              <a:schemeClr val="bg1"/>
            </a:solidFill>
            <a:ln>
              <a:solidFill>
                <a:schemeClr val="accent1"/>
              </a:solid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0"/>
        <c:spPr>
          <a:solidFill>
            <a:schemeClr val="accent1"/>
          </a:solidFill>
          <a:ln>
            <a:noFill/>
          </a:ln>
          <a:effectLst/>
        </c:spPr>
        <c:marker>
          <c:symbol val="none"/>
        </c:marker>
        <c:dLbl>
          <c:idx val="0"/>
          <c:numFmt formatCode="#,##0" sourceLinked="0"/>
          <c:spPr>
            <a:solidFill>
              <a:schemeClr val="bg1"/>
            </a:solidFill>
            <a:ln>
              <a:solidFill>
                <a:schemeClr val="accent1"/>
              </a:solidFill>
            </a:ln>
            <a:effectLst/>
          </c:spPr>
          <c:txPr>
            <a:bodyPr rot="0" spcFirstLastPara="1" vertOverflow="ellipsis" vert="horz" wrap="square" lIns="38100" tIns="19050" rIns="38100" bIns="19050" anchor="ctr" anchorCtr="1">
              <a:spAutoFit/>
            </a:bodyPr>
            <a:lstStyle/>
            <a:p>
              <a:pPr>
                <a:defRPr sz="1200" b="0" i="0" u="none" strike="noStrike" kern="1200" baseline="0">
                  <a:ln>
                    <a:noFill/>
                  </a:ln>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1"/>
        <c:spPr>
          <a:solidFill>
            <a:schemeClr val="accent1"/>
          </a:solidFill>
          <a:ln>
            <a:noFill/>
          </a:ln>
          <a:effectLst/>
        </c:spPr>
        <c:marker>
          <c:symbol val="none"/>
        </c:marker>
      </c:pivotFmt>
      <c:pivotFmt>
        <c:idx val="82"/>
        <c:spPr>
          <a:solidFill>
            <a:schemeClr val="accent1"/>
          </a:solidFill>
          <a:ln>
            <a:noFill/>
          </a:ln>
          <a:effectLst/>
        </c:spPr>
        <c:marker>
          <c:symbol val="none"/>
        </c:marker>
      </c:pivotFmt>
      <c:pivotFmt>
        <c:idx val="83"/>
        <c:spPr>
          <a:solidFill>
            <a:schemeClr val="accent1"/>
          </a:solidFill>
          <a:ln>
            <a:noFill/>
          </a:ln>
          <a:effectLst/>
        </c:spPr>
        <c:marker>
          <c:symbol val="none"/>
        </c:marker>
      </c:pivotFmt>
      <c:pivotFmt>
        <c:idx val="84"/>
        <c:spPr>
          <a:solidFill>
            <a:schemeClr val="accent1"/>
          </a:solidFill>
          <a:ln>
            <a:noFill/>
          </a:ln>
          <a:effectLst/>
        </c:spPr>
        <c:marker>
          <c:symbol val="none"/>
        </c:marker>
      </c:pivotFmt>
      <c:pivotFmt>
        <c:idx val="85"/>
        <c:spPr>
          <a:solidFill>
            <a:schemeClr val="accent1"/>
          </a:solidFill>
          <a:ln>
            <a:noFill/>
          </a:ln>
          <a:effectLst/>
        </c:spPr>
        <c:marker>
          <c:symbol val="none"/>
        </c:marker>
      </c:pivotFmt>
      <c:pivotFmt>
        <c:idx val="86"/>
        <c:spPr>
          <a:solidFill>
            <a:schemeClr val="accent1"/>
          </a:solidFill>
          <a:ln>
            <a:noFill/>
          </a:ln>
          <a:effectLst/>
        </c:spPr>
        <c:marker>
          <c:symbol val="none"/>
        </c:marker>
      </c:pivotFmt>
      <c:pivotFmt>
        <c:idx val="87"/>
        <c:spPr>
          <a:solidFill>
            <a:schemeClr val="accent1"/>
          </a:solidFill>
          <a:ln>
            <a:noFill/>
          </a:ln>
          <a:effectLst/>
        </c:spPr>
        <c:marker>
          <c:symbol val="none"/>
        </c:marker>
      </c:pivotFmt>
      <c:pivotFmt>
        <c:idx val="88"/>
        <c:spPr>
          <a:solidFill>
            <a:schemeClr val="accent1"/>
          </a:solidFill>
          <a:ln>
            <a:noFill/>
          </a:ln>
          <a:effectLst/>
        </c:spPr>
        <c:marker>
          <c:symbol val="none"/>
        </c:marker>
      </c:pivotFmt>
      <c:pivotFmt>
        <c:idx val="89"/>
        <c:spPr>
          <a:solidFill>
            <a:schemeClr val="accent1"/>
          </a:solidFill>
          <a:ln>
            <a:noFill/>
          </a:ln>
          <a:effectLst/>
        </c:spPr>
        <c:marker>
          <c:symbol val="none"/>
        </c:marker>
      </c:pivotFmt>
      <c:pivotFmt>
        <c:idx val="9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'Incremental Cost Pivot'!$B$7:$B$11</c:f>
              <c:strCache>
                <c:ptCount val="1"/>
                <c:pt idx="0">
                  <c:v>Base - N - N - N</c:v>
                </c:pt>
              </c:strCache>
            </c:strRef>
          </c:tx>
          <c:spPr>
            <a:solidFill>
              <a:schemeClr val="accent1"/>
            </a:solidFill>
            <a:ln>
              <a:noFill/>
            </a:ln>
            <a:effectLst/>
          </c:spPr>
          <c:invertIfNegative val="0"/>
          <c:dPt>
            <c:idx val="3"/>
            <c:invertIfNegative val="0"/>
            <c:bubble3D val="0"/>
            <c:extLst>
              <c:ext xmlns:c16="http://schemas.microsoft.com/office/drawing/2014/chart" uri="{C3380CC4-5D6E-409C-BE32-E72D297353CC}">
                <c16:uniqueId val="{00000007-1FF7-4E1F-9047-21807A6CB1B4}"/>
              </c:ext>
            </c:extLst>
          </c:dPt>
          <c:cat>
            <c:multiLvlStrRef>
              <c:f>'Incremental Cost Pivot'!$A$12:$A$18</c:f>
              <c:multiLvlStrCache>
                <c:ptCount val="3"/>
                <c:lvl>
                  <c:pt idx="0">
                    <c:v>SmallCar</c:v>
                  </c:pt>
                  <c:pt idx="1">
                    <c:v>SmallCar</c:v>
                  </c:pt>
                  <c:pt idx="2">
                    <c:v>SmallCar</c:v>
                  </c:pt>
                </c:lvl>
                <c:lvl>
                  <c:pt idx="0">
                    <c:v>BEV300</c:v>
                  </c:pt>
                  <c:pt idx="1">
                    <c:v>FCEV320</c:v>
                  </c:pt>
                  <c:pt idx="2">
                    <c:v>PHEV50</c:v>
                  </c:pt>
                </c:lvl>
              </c:multiLvlStrCache>
            </c:multiLvlStrRef>
          </c:cat>
          <c:val>
            <c:numRef>
              <c:f>'Incremental Cost Pivot'!$B$12:$B$18</c:f>
              <c:numCache>
                <c:formatCode>General</c:formatCode>
                <c:ptCount val="3"/>
                <c:pt idx="0">
                  <c:v>-119.46221581464215</c:v>
                </c:pt>
                <c:pt idx="1">
                  <c:v>1623.9395737315735</c:v>
                </c:pt>
                <c:pt idx="2">
                  <c:v>2442.9146204696826</c:v>
                </c:pt>
              </c:numCache>
            </c:numRef>
          </c:val>
          <c:extLst>
            <c:ext xmlns:c16="http://schemas.microsoft.com/office/drawing/2014/chart" uri="{C3380CC4-5D6E-409C-BE32-E72D297353CC}">
              <c16:uniqueId val="{00000000-1FF7-4E1F-9047-21807A6CB1B4}"/>
            </c:ext>
          </c:extLst>
        </c:ser>
        <c:dLbls>
          <c:showLegendKey val="0"/>
          <c:showVal val="0"/>
          <c:showCatName val="0"/>
          <c:showSerName val="0"/>
          <c:showPercent val="0"/>
          <c:showBubbleSize val="0"/>
        </c:dLbls>
        <c:gapWidth val="219"/>
        <c:overlap val="-27"/>
        <c:axId val="1944280991"/>
        <c:axId val="1944281823"/>
      </c:barChart>
      <c:catAx>
        <c:axId val="1944280991"/>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944281823"/>
        <c:crosses val="autoZero"/>
        <c:auto val="1"/>
        <c:lblAlgn val="ctr"/>
        <c:lblOffset val="100"/>
        <c:tickMarkSkip val="1"/>
        <c:noMultiLvlLbl val="0"/>
      </c:catAx>
      <c:valAx>
        <c:axId val="1944281823"/>
        <c:scaling>
          <c:orientation val="minMax"/>
          <c:max val="12000"/>
          <c:min val="-1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Incremental Cost ($)</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94428099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38100</xdr:rowOff>
    </xdr:from>
    <xdr:to>
      <xdr:col>2</xdr:col>
      <xdr:colOff>19050</xdr:colOff>
      <xdr:row>21</xdr:row>
      <xdr:rowOff>9526</xdr:rowOff>
    </xdr:to>
    <xdr:sp macro="" textlink="">
      <xdr:nvSpPr>
        <xdr:cNvPr id="2" name="TextBox 1" descr="Text box containing a description and information about this ZEV Cost Workbook">
          <a:extLst>
            <a:ext uri="{FF2B5EF4-FFF2-40B4-BE49-F238E27FC236}">
              <a16:creationId xmlns:a16="http://schemas.microsoft.com/office/drawing/2014/main" id="{00000000-0008-0000-0000-000002000000}"/>
            </a:ext>
          </a:extLst>
        </xdr:cNvPr>
        <xdr:cNvSpPr txBox="1"/>
      </xdr:nvSpPr>
      <xdr:spPr>
        <a:xfrm>
          <a:off x="19050" y="38100"/>
          <a:ext cx="13935075" cy="39719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sng" strike="noStrike">
              <a:solidFill>
                <a:schemeClr val="dk1"/>
              </a:solidFill>
              <a:effectLst/>
              <a:latin typeface="+mn-lt"/>
              <a:ea typeface="+mn-ea"/>
              <a:cs typeface="+mn-cs"/>
            </a:rPr>
            <a:t>ZEV</a:t>
          </a:r>
          <a:r>
            <a:rPr lang="en-US" sz="1400" b="1" i="0" u="sng" strike="noStrike" baseline="0">
              <a:solidFill>
                <a:schemeClr val="dk1"/>
              </a:solidFill>
              <a:effectLst/>
              <a:latin typeface="+mn-lt"/>
              <a:ea typeface="+mn-ea"/>
              <a:cs typeface="+mn-cs"/>
            </a:rPr>
            <a:t> Cost </a:t>
          </a:r>
          <a:r>
            <a:rPr lang="en-US" sz="1400" b="1" i="0" u="sng" strike="noStrike">
              <a:solidFill>
                <a:schemeClr val="dk1"/>
              </a:solidFill>
              <a:effectLst/>
              <a:latin typeface="+mn-lt"/>
              <a:ea typeface="+mn-ea"/>
              <a:cs typeface="+mn-cs"/>
            </a:rPr>
            <a:t>Workbook Description</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0" i="0">
              <a:solidFill>
                <a:schemeClr val="dk1"/>
              </a:solidFill>
              <a:effectLst/>
              <a:latin typeface="+mn-lt"/>
              <a:ea typeface="+mn-ea"/>
              <a:cs typeface="+mn-cs"/>
            </a:rPr>
            <a:t>- This workbook contains the various worksheets used to generate CARB's draft Zero-Emission Vehicle (ZEV) incremental cost values that will potentially be used in the economic analysis of the Advanced Clean Cars II regulations</a:t>
          </a:r>
          <a:br>
            <a:rPr lang="en-US" sz="1100" b="0" i="0">
              <a:solidFill>
                <a:schemeClr val="dk1"/>
              </a:solidFill>
              <a:effectLst/>
              <a:latin typeface="+mn-lt"/>
              <a:ea typeface="+mn-ea"/>
              <a:cs typeface="+mn-cs"/>
            </a:rPr>
          </a:br>
          <a:br>
            <a:rPr lang="en-US" sz="1100">
              <a:solidFill>
                <a:schemeClr val="dk1"/>
              </a:solidFill>
              <a:effectLst/>
              <a:latin typeface="+mn-lt"/>
              <a:ea typeface="+mn-ea"/>
              <a:cs typeface="+mn-cs"/>
            </a:rPr>
          </a:br>
          <a:r>
            <a:rPr lang="en-US" sz="1100">
              <a:solidFill>
                <a:schemeClr val="dk1"/>
              </a:solidFill>
              <a:effectLst/>
              <a:latin typeface="+mn-lt"/>
              <a:ea typeface="+mn-ea"/>
              <a:cs typeface="+mn-cs"/>
            </a:rPr>
            <a:t>- </a:t>
          </a:r>
          <a:r>
            <a:rPr lang="en-US" sz="1100" b="0" i="0">
              <a:solidFill>
                <a:schemeClr val="dk1"/>
              </a:solidFill>
              <a:effectLst/>
              <a:latin typeface="+mn-lt"/>
              <a:ea typeface="+mn-ea"/>
              <a:cs typeface="+mn-cs"/>
            </a:rPr>
            <a:t>There are three different main ZEV technologies - battery electric vehicles (BEVs), fuel cell electric vehicles (FCEVs), and plug-In hybrid electric vehicles (PHEVs)</a:t>
          </a:r>
          <a:br>
            <a:rPr lang="en-US" sz="1100" b="0" i="0">
              <a:solidFill>
                <a:schemeClr val="dk1"/>
              </a:solidFill>
              <a:effectLst/>
              <a:latin typeface="+mn-lt"/>
              <a:ea typeface="+mn-ea"/>
              <a:cs typeface="+mn-cs"/>
            </a:rPr>
          </a:br>
          <a:br>
            <a:rPr lang="en-US" sz="1100">
              <a:solidFill>
                <a:schemeClr val="dk1"/>
              </a:solidFill>
              <a:effectLst/>
              <a:latin typeface="+mn-lt"/>
              <a:ea typeface="+mn-ea"/>
              <a:cs typeface="+mn-cs"/>
            </a:rPr>
          </a:br>
          <a:r>
            <a:rPr lang="en-US" sz="1100">
              <a:solidFill>
                <a:schemeClr val="dk1"/>
              </a:solidFill>
              <a:effectLst/>
              <a:latin typeface="+mn-lt"/>
              <a:ea typeface="+mn-ea"/>
              <a:cs typeface="+mn-cs"/>
            </a:rPr>
            <a:t>- </a:t>
          </a:r>
          <a:r>
            <a:rPr lang="en-US" sz="1100" b="0" i="0">
              <a:solidFill>
                <a:schemeClr val="dk1"/>
              </a:solidFill>
              <a:effectLst/>
              <a:latin typeface="+mn-lt"/>
              <a:ea typeface="+mn-ea"/>
              <a:cs typeface="+mn-cs"/>
            </a:rPr>
            <a:t>Each ZEV technology can be applied to each of the 5 main vehicle classes in the fleet - Small Cars, Medium/Large Cars, Small SUVs, Medium/Large SUVs, and Pickup Trucks</a:t>
          </a:r>
          <a:br>
            <a:rPr lang="en-US" sz="1100" b="0" i="0">
              <a:solidFill>
                <a:schemeClr val="dk1"/>
              </a:solidFill>
              <a:effectLst/>
              <a:latin typeface="+mn-lt"/>
              <a:ea typeface="+mn-ea"/>
              <a:cs typeface="+mn-cs"/>
            </a:rPr>
          </a:br>
          <a:br>
            <a:rPr lang="en-US" sz="1100">
              <a:solidFill>
                <a:schemeClr val="dk1"/>
              </a:solidFill>
              <a:effectLst/>
              <a:latin typeface="+mn-lt"/>
              <a:ea typeface="+mn-ea"/>
              <a:cs typeface="+mn-cs"/>
            </a:rPr>
          </a:br>
          <a:r>
            <a:rPr lang="en-US" sz="1100">
              <a:solidFill>
                <a:schemeClr val="dk1"/>
              </a:solidFill>
              <a:effectLst/>
              <a:latin typeface="+mn-lt"/>
              <a:ea typeface="+mn-ea"/>
              <a:cs typeface="+mn-cs"/>
            </a:rPr>
            <a:t>- The</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main vehicle classes are divided into two segments - base and high performance/premium for all classes except for the Pickup Trucks,</a:t>
          </a:r>
          <a:r>
            <a:rPr lang="en-US" sz="1100" b="0" i="0" baseline="0">
              <a:solidFill>
                <a:schemeClr val="dk1"/>
              </a:solidFill>
              <a:effectLst/>
              <a:latin typeface="+mn-lt"/>
              <a:ea typeface="+mn-ea"/>
              <a:cs typeface="+mn-cs"/>
            </a:rPr>
            <a:t> which have </a:t>
          </a:r>
          <a:r>
            <a:rPr lang="en-US" sz="1100" b="0" i="0">
              <a:solidFill>
                <a:schemeClr val="dk1"/>
              </a:solidFill>
              <a:effectLst/>
              <a:latin typeface="+mn-lt"/>
              <a:ea typeface="+mn-ea"/>
              <a:cs typeface="+mn-cs"/>
            </a:rPr>
            <a:t>base and heavy towing (HT) variants.</a:t>
          </a:r>
          <a:r>
            <a:rPr lang="en-US" sz="1100">
              <a:solidFill>
                <a:schemeClr val="dk1"/>
              </a:solidFill>
              <a:effectLst/>
              <a:latin typeface="+mn-lt"/>
              <a:ea typeface="+mn-ea"/>
              <a:cs typeface="+mn-cs"/>
            </a:rPr>
            <a:t> </a:t>
          </a:r>
          <a:r>
            <a:rPr lang="en-US" sz="1100" b="0" i="0">
              <a:solidFill>
                <a:schemeClr val="dk1"/>
              </a:solidFill>
              <a:effectLst/>
              <a:latin typeface="+mn-lt"/>
              <a:ea typeface="+mn-ea"/>
              <a:cs typeface="+mn-cs"/>
            </a:rPr>
            <a:t>FCEVs and PHEVs have the same range in both categories.</a:t>
          </a:r>
          <a:r>
            <a:rPr lang="en-US" sz="1100" b="0" i="0" baseline="0">
              <a:solidFill>
                <a:schemeClr val="dk1"/>
              </a:solidFill>
              <a:effectLst/>
              <a:latin typeface="+mn-lt"/>
              <a:ea typeface="+mn-ea"/>
              <a:cs typeface="+mn-cs"/>
            </a:rPr>
            <a:t> F</a:t>
          </a:r>
          <a:r>
            <a:rPr lang="en-US" sz="1100" b="0" i="0">
              <a:solidFill>
                <a:schemeClr val="dk1"/>
              </a:solidFill>
              <a:effectLst/>
              <a:latin typeface="+mn-lt"/>
              <a:ea typeface="+mn-ea"/>
              <a:cs typeface="+mn-cs"/>
            </a:rPr>
            <a:t>or BEVs, the base vehicles have only 300 mile</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BEVs as an option, and the premium/high-performance/heavy towing variants are only allowed to pull from the 400 mile BEV versions</a:t>
          </a:r>
          <a:br>
            <a:rPr lang="en-US" sz="1100" b="0" i="0" baseline="0">
              <a:solidFill>
                <a:schemeClr val="dk1"/>
              </a:solidFill>
              <a:effectLst/>
              <a:latin typeface="+mn-lt"/>
              <a:ea typeface="+mn-ea"/>
              <a:cs typeface="+mn-cs"/>
            </a:rPr>
          </a:b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All of the costs are listed as direct manufacturing costs, and the rolled up costs for each technology are intended to be incremental to the equivalent internal combustion engine (ICE) vehicle in current dollars</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0" i="0">
              <a:solidFill>
                <a:schemeClr val="dk1"/>
              </a:solidFill>
              <a:effectLst/>
              <a:latin typeface="+mn-lt"/>
              <a:ea typeface="+mn-ea"/>
              <a:cs typeface="+mn-cs"/>
            </a:rPr>
            <a:t>-</a:t>
          </a:r>
          <a:r>
            <a:rPr lang="en-US" sz="1100" b="0" i="0" baseline="0">
              <a:solidFill>
                <a:schemeClr val="dk1"/>
              </a:solidFill>
              <a:effectLst/>
              <a:latin typeface="+mn-lt"/>
              <a:ea typeface="+mn-ea"/>
              <a:cs typeface="+mn-cs"/>
            </a:rPr>
            <a:t> Non-battery cost curves are the same for each ZEV technology - BEVs, FCEVs, and PHEVs. However, the applicability and sizing of compenents changes the total non-battery costs (e.g., PHEVs have different sized motors than BEVs and FCEVs, and FCEVs do not use on-board chargers (OBCs))</a:t>
          </a:r>
        </a:p>
        <a:p>
          <a:endParaRPr lang="en-US">
            <a:effectLst/>
          </a:endParaRPr>
        </a:p>
        <a:p>
          <a:r>
            <a:rPr lang="en-US" sz="1100" b="0" i="0" baseline="0">
              <a:solidFill>
                <a:schemeClr val="dk1"/>
              </a:solidFill>
              <a:effectLst/>
              <a:latin typeface="+mn-lt"/>
              <a:ea typeface="+mn-ea"/>
              <a:cs typeface="+mn-cs"/>
            </a:rPr>
            <a:t>- There are three add-on packages - BEV Cold Weather, eAWD, and BEV Towing - which can be applied to the applicable ZEV technology. A table of the applicability of those packages is listed in the "Vehicle Attributes Overview" worksheet</a:t>
          </a:r>
        </a:p>
        <a:p>
          <a:endParaRPr lang="en-US">
            <a:effectLst/>
          </a:endParaRPr>
        </a:p>
        <a:p>
          <a:r>
            <a:rPr lang="en-US" sz="1100" b="0" i="0" baseline="0">
              <a:solidFill>
                <a:schemeClr val="dk1"/>
              </a:solidFill>
              <a:effectLst/>
              <a:latin typeface="+mn-lt"/>
              <a:ea typeface="+mn-ea"/>
              <a:cs typeface="+mn-cs"/>
            </a:rPr>
            <a:t>- Note that several tables have generic header lines labeled "Column1, Column2, etc..." The headers labels are artifacts of converting the data into an Excel recognized table for accessibility purposes while leaving the original data headers outside of the conversion to a table such that the integrity of the various tables' formulas remain intact</a:t>
          </a:r>
          <a:endParaRPr lang="en-US">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0</xdr:colOff>
      <xdr:row>8</xdr:row>
      <xdr:rowOff>190499</xdr:rowOff>
    </xdr:from>
    <xdr:to>
      <xdr:col>27</xdr:col>
      <xdr:colOff>590550</xdr:colOff>
      <xdr:row>31</xdr:row>
      <xdr:rowOff>19050</xdr:rowOff>
    </xdr:to>
    <xdr:graphicFrame macro="">
      <xdr:nvGraphicFramePr>
        <xdr:cNvPr id="2" name="Chart 1" descr="This is a chart representing battery costs with three curves. Each curve represents a battery cost for the three different zero-emissions vehicle technology, battery electric vehicles (BEVs), plug-in hybrid electric vehicles (PHEVs), and fuel cell electric vehicles (FCEVs). The BEV battery cost curve is highlighted by a few specific year markers, $100 per kiloWatt-hour (kWh) in 2026, $81/kWh in 2030, and $63/kWh in 2035.">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23</xdr:row>
      <xdr:rowOff>19050</xdr:rowOff>
    </xdr:from>
    <xdr:to>
      <xdr:col>11</xdr:col>
      <xdr:colOff>76581</xdr:colOff>
      <xdr:row>47</xdr:row>
      <xdr:rowOff>23749</xdr:rowOff>
    </xdr:to>
    <xdr:graphicFrame macro="">
      <xdr:nvGraphicFramePr>
        <xdr:cNvPr id="5" name="Chart 1" descr="This is a Pivot Chart that references all of the data on the previous worksheet titled &quot;Incremental Cost&quot;&#10;&#10;The intent of this Pivot Chart is to provide a dynamic graphical tool that can look at the incremental costs of the different ZEV technology combinations in different years for comparison.">
          <a:extLst>
            <a:ext uri="{FF2B5EF4-FFF2-40B4-BE49-F238E27FC236}">
              <a16:creationId xmlns:a16="http://schemas.microsoft.com/office/drawing/2014/main" id="{00000000-0008-0000-19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18</xdr:col>
      <xdr:colOff>285750</xdr:colOff>
      <xdr:row>7</xdr:row>
      <xdr:rowOff>38100</xdr:rowOff>
    </xdr:from>
    <xdr:to>
      <xdr:col>20</xdr:col>
      <xdr:colOff>371475</xdr:colOff>
      <xdr:row>16</xdr:row>
      <xdr:rowOff>66675</xdr:rowOff>
    </xdr:to>
    <mc:AlternateContent xmlns:mc="http://schemas.openxmlformats.org/markup-compatibility/2006" xmlns:a14="http://schemas.microsoft.com/office/drawing/2010/main">
      <mc:Choice Requires="a14">
        <xdr:graphicFrame macro="">
          <xdr:nvGraphicFramePr>
            <xdr:cNvPr id="3" name="Vehicle Class 1" descr="This a slicer tool to select what Vehicle Class(es) is(are) used in the pivot chart and pivot table contained within this tab">
              <a:extLst>
                <a:ext uri="{FF2B5EF4-FFF2-40B4-BE49-F238E27FC236}">
                  <a16:creationId xmlns:a16="http://schemas.microsoft.com/office/drawing/2014/main" id="{00000000-0008-0000-1900-000003000000}"/>
                </a:ext>
              </a:extLst>
            </xdr:cNvPr>
            <xdr:cNvGraphicFramePr/>
          </xdr:nvGraphicFramePr>
          <xdr:xfrm>
            <a:off x="0" y="0"/>
            <a:ext cx="0" cy="0"/>
          </xdr:xfrm>
          <a:graphic>
            <a:graphicData uri="http://schemas.microsoft.com/office/drawing/2010/slicer">
              <sle:slicer xmlns:sle="http://schemas.microsoft.com/office/drawing/2010/slicer" name="Vehicle Class 1"/>
            </a:graphicData>
          </a:graphic>
        </xdr:graphicFrame>
      </mc:Choice>
      <mc:Fallback xmlns="">
        <xdr:sp macro="" textlink="">
          <xdr:nvSpPr>
            <xdr:cNvPr id="0" name=""/>
            <xdr:cNvSpPr>
              <a:spLocks noTextEdit="1"/>
            </xdr:cNvSpPr>
          </xdr:nvSpPr>
          <xdr:spPr>
            <a:xfrm>
              <a:off x="14001750" y="1371600"/>
              <a:ext cx="1828800" cy="1743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18</xdr:col>
      <xdr:colOff>285750</xdr:colOff>
      <xdr:row>0</xdr:row>
      <xdr:rowOff>114300</xdr:rowOff>
    </xdr:from>
    <xdr:to>
      <xdr:col>20</xdr:col>
      <xdr:colOff>371475</xdr:colOff>
      <xdr:row>6</xdr:row>
      <xdr:rowOff>123825</xdr:rowOff>
    </xdr:to>
    <mc:AlternateContent xmlns:mc="http://schemas.openxmlformats.org/markup-compatibility/2006" xmlns:a14="http://schemas.microsoft.com/office/drawing/2010/main">
      <mc:Choice Requires="a14">
        <xdr:graphicFrame macro="">
          <xdr:nvGraphicFramePr>
            <xdr:cNvPr id="4" name="Vehicle Type 2" descr="This a slicer tool to select what Vehicle Type(s) is(are) used in the pivot chart and pivot table contained within this tab">
              <a:extLst>
                <a:ext uri="{FF2B5EF4-FFF2-40B4-BE49-F238E27FC236}">
                  <a16:creationId xmlns:a16="http://schemas.microsoft.com/office/drawing/2014/main" id="{00000000-0008-0000-1900-000004000000}"/>
                </a:ext>
              </a:extLst>
            </xdr:cNvPr>
            <xdr:cNvGraphicFramePr/>
          </xdr:nvGraphicFramePr>
          <xdr:xfrm>
            <a:off x="0" y="0"/>
            <a:ext cx="0" cy="0"/>
          </xdr:xfrm>
          <a:graphic>
            <a:graphicData uri="http://schemas.microsoft.com/office/drawing/2010/slicer">
              <sle:slicer xmlns:sle="http://schemas.microsoft.com/office/drawing/2010/slicer" name="Vehicle Type 2"/>
            </a:graphicData>
          </a:graphic>
        </xdr:graphicFrame>
      </mc:Choice>
      <mc:Fallback xmlns="">
        <xdr:sp macro="" textlink="">
          <xdr:nvSpPr>
            <xdr:cNvPr id="0" name=""/>
            <xdr:cNvSpPr>
              <a:spLocks noTextEdit="1"/>
            </xdr:cNvSpPr>
          </xdr:nvSpPr>
          <xdr:spPr>
            <a:xfrm>
              <a:off x="14001750" y="114300"/>
              <a:ext cx="1828800" cy="11525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20</xdr:col>
      <xdr:colOff>581025</xdr:colOff>
      <xdr:row>0</xdr:row>
      <xdr:rowOff>161925</xdr:rowOff>
    </xdr:from>
    <xdr:to>
      <xdr:col>22</xdr:col>
      <xdr:colOff>200025</xdr:colOff>
      <xdr:row>5</xdr:row>
      <xdr:rowOff>76200</xdr:rowOff>
    </xdr:to>
    <mc:AlternateContent xmlns:mc="http://schemas.openxmlformats.org/markup-compatibility/2006" xmlns:a14="http://schemas.microsoft.com/office/drawing/2010/main">
      <mc:Choice Requires="a14">
        <xdr:graphicFrame macro="">
          <xdr:nvGraphicFramePr>
            <xdr:cNvPr id="6" name="Cold 1" descr="This a slicer tool to select the technology combinations with and/or without the Cold weather package are used in the pivot chart and pivot table contained within this tab">
              <a:extLst>
                <a:ext uri="{FF2B5EF4-FFF2-40B4-BE49-F238E27FC236}">
                  <a16:creationId xmlns:a16="http://schemas.microsoft.com/office/drawing/2014/main" id="{00000000-0008-0000-1900-000006000000}"/>
                </a:ext>
              </a:extLst>
            </xdr:cNvPr>
            <xdr:cNvGraphicFramePr/>
          </xdr:nvGraphicFramePr>
          <xdr:xfrm>
            <a:off x="0" y="0"/>
            <a:ext cx="0" cy="0"/>
          </xdr:xfrm>
          <a:graphic>
            <a:graphicData uri="http://schemas.microsoft.com/office/drawing/2010/slicer">
              <sle:slicer xmlns:sle="http://schemas.microsoft.com/office/drawing/2010/slicer" name="Cold 1"/>
            </a:graphicData>
          </a:graphic>
        </xdr:graphicFrame>
      </mc:Choice>
      <mc:Fallback xmlns="">
        <xdr:sp macro="" textlink="">
          <xdr:nvSpPr>
            <xdr:cNvPr id="0" name=""/>
            <xdr:cNvSpPr>
              <a:spLocks noTextEdit="1"/>
            </xdr:cNvSpPr>
          </xdr:nvSpPr>
          <xdr:spPr>
            <a:xfrm>
              <a:off x="16287750" y="161925"/>
              <a:ext cx="1828800" cy="8667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20</xdr:col>
      <xdr:colOff>561975</xdr:colOff>
      <xdr:row>5</xdr:row>
      <xdr:rowOff>133350</xdr:rowOff>
    </xdr:from>
    <xdr:to>
      <xdr:col>22</xdr:col>
      <xdr:colOff>180975</xdr:colOff>
      <xdr:row>10</xdr:row>
      <xdr:rowOff>85725</xdr:rowOff>
    </xdr:to>
    <mc:AlternateContent xmlns:mc="http://schemas.openxmlformats.org/markup-compatibility/2006" xmlns:a14="http://schemas.microsoft.com/office/drawing/2010/main">
      <mc:Choice Requires="a14">
        <xdr:graphicFrame macro="">
          <xdr:nvGraphicFramePr>
            <xdr:cNvPr id="7" name="eAWD 1" descr="This a slicer tool to select the technology combinations with and/or without the eAWD package are used in the pivot chart and pivot table contained within this tab">
              <a:extLst>
                <a:ext uri="{FF2B5EF4-FFF2-40B4-BE49-F238E27FC236}">
                  <a16:creationId xmlns:a16="http://schemas.microsoft.com/office/drawing/2014/main" id="{00000000-0008-0000-1900-000007000000}"/>
                </a:ext>
              </a:extLst>
            </xdr:cNvPr>
            <xdr:cNvGraphicFramePr/>
          </xdr:nvGraphicFramePr>
          <xdr:xfrm>
            <a:off x="0" y="0"/>
            <a:ext cx="0" cy="0"/>
          </xdr:xfrm>
          <a:graphic>
            <a:graphicData uri="http://schemas.microsoft.com/office/drawing/2010/slicer">
              <sle:slicer xmlns:sle="http://schemas.microsoft.com/office/drawing/2010/slicer" name="eAWD 1"/>
            </a:graphicData>
          </a:graphic>
        </xdr:graphicFrame>
      </mc:Choice>
      <mc:Fallback xmlns="">
        <xdr:sp macro="" textlink="">
          <xdr:nvSpPr>
            <xdr:cNvPr id="0" name=""/>
            <xdr:cNvSpPr>
              <a:spLocks noTextEdit="1"/>
            </xdr:cNvSpPr>
          </xdr:nvSpPr>
          <xdr:spPr>
            <a:xfrm>
              <a:off x="16268700" y="1085850"/>
              <a:ext cx="1828800" cy="9048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20</xdr:col>
      <xdr:colOff>581025</xdr:colOff>
      <xdr:row>11</xdr:row>
      <xdr:rowOff>19050</xdr:rowOff>
    </xdr:from>
    <xdr:to>
      <xdr:col>22</xdr:col>
      <xdr:colOff>200025</xdr:colOff>
      <xdr:row>15</xdr:row>
      <xdr:rowOff>142875</xdr:rowOff>
    </xdr:to>
    <mc:AlternateContent xmlns:mc="http://schemas.openxmlformats.org/markup-compatibility/2006" xmlns:a14="http://schemas.microsoft.com/office/drawing/2010/main">
      <mc:Choice Requires="a14">
        <xdr:graphicFrame macro="">
          <xdr:nvGraphicFramePr>
            <xdr:cNvPr id="8" name="Towing 1" descr="This a slicer tool to select the technology combinations with and/or without the Towing package are used in the pivot chart and pivot table contained within this tab">
              <a:extLst>
                <a:ext uri="{FF2B5EF4-FFF2-40B4-BE49-F238E27FC236}">
                  <a16:creationId xmlns:a16="http://schemas.microsoft.com/office/drawing/2014/main" id="{00000000-0008-0000-1900-000008000000}"/>
                </a:ext>
              </a:extLst>
            </xdr:cNvPr>
            <xdr:cNvGraphicFramePr/>
          </xdr:nvGraphicFramePr>
          <xdr:xfrm>
            <a:off x="0" y="0"/>
            <a:ext cx="0" cy="0"/>
          </xdr:xfrm>
          <a:graphic>
            <a:graphicData uri="http://schemas.microsoft.com/office/drawing/2010/slicer">
              <sle:slicer xmlns:sle="http://schemas.microsoft.com/office/drawing/2010/slicer" name="Towing 1"/>
            </a:graphicData>
          </a:graphic>
        </xdr:graphicFrame>
      </mc:Choice>
      <mc:Fallback xmlns="">
        <xdr:sp macro="" textlink="">
          <xdr:nvSpPr>
            <xdr:cNvPr id="0" name=""/>
            <xdr:cNvSpPr>
              <a:spLocks noTextEdit="1"/>
            </xdr:cNvSpPr>
          </xdr:nvSpPr>
          <xdr:spPr>
            <a:xfrm>
              <a:off x="16287750" y="2114550"/>
              <a:ext cx="1828800" cy="8858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18</xdr:col>
      <xdr:colOff>276225</xdr:colOff>
      <xdr:row>16</xdr:row>
      <xdr:rowOff>180976</xdr:rowOff>
    </xdr:from>
    <xdr:to>
      <xdr:col>20</xdr:col>
      <xdr:colOff>361950</xdr:colOff>
      <xdr:row>24</xdr:row>
      <xdr:rowOff>104776</xdr:rowOff>
    </xdr:to>
    <mc:AlternateContent xmlns:mc="http://schemas.openxmlformats.org/markup-compatibility/2006" xmlns:a14="http://schemas.microsoft.com/office/drawing/2010/main">
      <mc:Choice Requires="a14">
        <xdr:graphicFrame macro="">
          <xdr:nvGraphicFramePr>
            <xdr:cNvPr id="9" name="Tech Type" descr="This a slicer tool to select what ZEV Tech Types(es) is(are) used in the pivot chart and pivot table contained within this tab">
              <a:extLst>
                <a:ext uri="{FF2B5EF4-FFF2-40B4-BE49-F238E27FC236}">
                  <a16:creationId xmlns:a16="http://schemas.microsoft.com/office/drawing/2014/main" id="{00000000-0008-0000-1900-000009000000}"/>
                </a:ext>
              </a:extLst>
            </xdr:cNvPr>
            <xdr:cNvGraphicFramePr/>
          </xdr:nvGraphicFramePr>
          <xdr:xfrm>
            <a:off x="0" y="0"/>
            <a:ext cx="0" cy="0"/>
          </xdr:xfrm>
          <a:graphic>
            <a:graphicData uri="http://schemas.microsoft.com/office/drawing/2010/slicer">
              <sle:slicer xmlns:sle="http://schemas.microsoft.com/office/drawing/2010/slicer" name="Tech Type"/>
            </a:graphicData>
          </a:graphic>
        </xdr:graphicFrame>
      </mc:Choice>
      <mc:Fallback xmlns="">
        <xdr:sp macro="" textlink="">
          <xdr:nvSpPr>
            <xdr:cNvPr id="0" name=""/>
            <xdr:cNvSpPr>
              <a:spLocks noTextEdit="1"/>
            </xdr:cNvSpPr>
          </xdr:nvSpPr>
          <xdr:spPr>
            <a:xfrm>
              <a:off x="13992225" y="3228976"/>
              <a:ext cx="1828800" cy="1447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art, Ryan@ARB" refreshedDate="44501.424795254628" createdVersion="6" refreshedVersion="7" minRefreshableVersion="3" recordCount="240" xr:uid="{00000000-000A-0000-FFFF-FFFF00000000}">
  <cacheSource type="worksheet">
    <worksheetSource ref="B3:S243" sheet="Incremental Cost"/>
  </cacheSource>
  <cacheFields count="18">
    <cacheField name="Vehicle Class" numFmtId="0">
      <sharedItems count="5">
        <s v="SmallCar"/>
        <s v="MedCar"/>
        <s v="SmallSUV"/>
        <s v="MedSUV"/>
        <s v="Pickup"/>
      </sharedItems>
    </cacheField>
    <cacheField name="Vehicle Type" numFmtId="0">
      <sharedItems count="3">
        <s v="Base"/>
        <s v="Premium"/>
        <s v="HT"/>
      </sharedItems>
    </cacheField>
    <cacheField name="Tech Type" numFmtId="0">
      <sharedItems count="4">
        <s v="BEV300"/>
        <s v="BEV400"/>
        <s v="PHEV50"/>
        <s v="FCEV320"/>
      </sharedItems>
    </cacheField>
    <cacheField name="Cold" numFmtId="0">
      <sharedItems count="2">
        <s v="N"/>
        <s v="Y"/>
      </sharedItems>
    </cacheField>
    <cacheField name="eAWD" numFmtId="0">
      <sharedItems count="2">
        <s v="N"/>
        <s v="Y"/>
      </sharedItems>
    </cacheField>
    <cacheField name="Towing" numFmtId="0">
      <sharedItems count="2">
        <s v="N"/>
        <s v="Y"/>
      </sharedItems>
    </cacheField>
    <cacheField name="Applicable Package?" numFmtId="0">
      <sharedItems/>
    </cacheField>
    <cacheField name="2025" numFmtId="1">
      <sharedItems containsMixedTypes="1" containsNumber="1" minValue="3834.5668421052633" maxValue="25098.843370927323"/>
    </cacheField>
    <cacheField name="2026" numFmtId="1">
      <sharedItems containsMixedTypes="1" containsNumber="1" minValue="3238.5889368421049" maxValue="22993.951417037599"/>
    </cacheField>
    <cacheField name="2027" numFmtId="1">
      <sharedItems containsMixedTypes="1" containsNumber="1" minValue="2684.5000226118427" maxValue="21041.253765468246"/>
    </cacheField>
    <cacheField name="2028" numFmtId="1">
      <sharedItems containsMixedTypes="1" containsNumber="1" minValue="2169.1990938298186" maxValue="19229.438470371409"/>
    </cacheField>
    <cacheField name="2029" numFmtId="1">
      <sharedItems containsMixedTypes="1" containsNumber="1" minValue="1689.8163749023133" maxValue="17548.037529068606"/>
    </cacheField>
    <cacheField name="2030" numFmtId="1">
      <sharedItems containsMixedTypes="1" containsNumber="1" minValue="1328.1259208520369" maxValue="16295.541706612301"/>
    </cacheField>
    <cacheField name="2031" numFmtId="1">
      <sharedItems containsMixedTypes="1" containsNumber="1" minValue="1008.7030674695434" maxValue="15196.649927030854"/>
    </cacheField>
    <cacheField name="2032" numFmtId="1">
      <sharedItems containsMixedTypes="1" containsNumber="1" minValue="705.05662740189837" maxValue="14154.673356092939"/>
    </cacheField>
    <cacheField name="2033" numFmtId="1">
      <sharedItems containsMixedTypes="1" containsNumber="1" minValue="416.33996189919526" maxValue="13166.528377288203"/>
    </cacheField>
    <cacheField name="2034" numFmtId="1">
      <sharedItems containsMixedTypes="1" containsNumber="1" minValue="141.75261448428864" maxValue="12229.299877198617"/>
    </cacheField>
    <cacheField name="2035" numFmtId="1">
      <sharedItems containsMixedTypes="1" containsNumber="1" minValue="-119.46221581464215" maxValue="11340.232023203262"/>
    </cacheField>
  </cacheFields>
  <extLst>
    <ext xmlns:x14="http://schemas.microsoft.com/office/spreadsheetml/2009/9/main" uri="{725AE2AE-9491-48be-B2B4-4EB974FC3084}">
      <x14:pivotCacheDefinition pivotCacheId="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0">
  <r>
    <x v="0"/>
    <x v="0"/>
    <x v="0"/>
    <x v="0"/>
    <x v="0"/>
    <x v="0"/>
    <s v="Y"/>
    <n v="3834.5668421052633"/>
    <n v="3238.5889368421049"/>
    <n v="2684.5000226118427"/>
    <n v="2169.1990938298186"/>
    <n v="1689.8163749023133"/>
    <n v="1328.1259208520369"/>
    <n v="1008.7030674695434"/>
    <n v="705.05662740189837"/>
    <n v="416.33996189919526"/>
    <n v="141.75261448428864"/>
    <n v="-119.46221581464215"/>
  </r>
  <r>
    <x v="0"/>
    <x v="1"/>
    <x v="1"/>
    <x v="0"/>
    <x v="0"/>
    <x v="0"/>
    <s v="Y"/>
    <n v="6896.4052631578961"/>
    <n v="6095.4241052631587"/>
    <n v="5351.3998013552664"/>
    <n v="4660.1088861785938"/>
    <n v="4017.6428925199143"/>
    <n v="3535.405227532141"/>
    <n v="3110.6445107299587"/>
    <n v="2707.2723484786402"/>
    <n v="2324.1363883634713"/>
    <n v="1960.1471825549688"/>
    <n v="1614.2747456499364"/>
  </r>
  <r>
    <x v="1"/>
    <x v="0"/>
    <x v="0"/>
    <x v="0"/>
    <x v="0"/>
    <x v="0"/>
    <s v="Y"/>
    <n v="4460.8610526315806"/>
    <n v="3837.6940210526336"/>
    <n v="3258.2500114210543"/>
    <n v="2719.2930641180719"/>
    <n v="2217.8285042707612"/>
    <n v="1839.1856554354436"/>
    <n v="1504.6603962647696"/>
    <n v="1186.6096259790447"/>
    <n v="884.14977400236603"/>
    <n v="596.4454611709516"/>
    <n v="322.70686309410758"/>
  </r>
  <r>
    <x v="1"/>
    <x v="1"/>
    <x v="1"/>
    <x v="0"/>
    <x v="0"/>
    <x v="0"/>
    <s v="Y"/>
    <n v="8070.78947368421"/>
    <n v="7210.6317894736858"/>
    <n v="6411.5635743894763"/>
    <n v="5669.0557125812993"/>
    <n v="4978.9168745669049"/>
    <n v="4460.6093165115817"/>
    <n v="4003.9484596836173"/>
    <n v="3570.2351422344727"/>
    <n v="3158.2335328084846"/>
    <n v="2766.7752563524555"/>
    <n v="2394.7557029377422"/>
  </r>
  <r>
    <x v="2"/>
    <x v="0"/>
    <x v="0"/>
    <x v="0"/>
    <x v="0"/>
    <x v="0"/>
    <s v="Y"/>
    <n v="4424.8081578947385"/>
    <n v="3791.5385631578938"/>
    <n v="3202.8740858256606"/>
    <n v="2655.5116384621979"/>
    <n v="2146.3944422629866"/>
    <n v="1762.6297973020664"/>
    <n v="1423.8741924915521"/>
    <n v="1101.908905778495"/>
    <n v="795.83223275971977"/>
    <n v="504.79166169299606"/>
    <n v="227.98118195540701"/>
  </r>
  <r>
    <x v="2"/>
    <x v="1"/>
    <x v="1"/>
    <x v="0"/>
    <x v="0"/>
    <x v="0"/>
    <s v="Y"/>
    <n v="8022.7189473684211"/>
    <n v="7149.0911789473685"/>
    <n v="6337.7290069289484"/>
    <n v="5584.0138117068018"/>
    <n v="4883.6714585565369"/>
    <n v="4358.534839000411"/>
    <n v="3896.2335213193255"/>
    <n v="3457.3008486337385"/>
    <n v="3040.4768111516241"/>
    <n v="2644.5701903818444"/>
    <n v="2268.4547947528063"/>
  </r>
  <r>
    <x v="3"/>
    <x v="0"/>
    <x v="0"/>
    <x v="0"/>
    <x v="0"/>
    <x v="0"/>
    <s v="Y"/>
    <n v="5218.3460526315794"/>
    <n v="4452.5549210526333"/>
    <n v="3740.8172484335537"/>
    <n v="3079.1290725531144"/>
    <n v="2463.7850156849963"/>
    <n v="2000.3806428347889"/>
    <n v="1591.5201256687433"/>
    <n v="1202.9956435872482"/>
    <n v="833.71428945172738"/>
    <n v="482.64278788161755"/>
    <n v="148.804232464694"/>
  </r>
  <r>
    <x v="3"/>
    <x v="1"/>
    <x v="1"/>
    <x v="0"/>
    <x v="0"/>
    <x v="0"/>
    <s v="Y"/>
    <n v="9118.4631578947374"/>
    <n v="8059.6492631578949"/>
    <n v="7076.4085168631573"/>
    <n v="6163.1340565673236"/>
    <n v="5314.6372253776899"/>
    <n v="4678.8242758833894"/>
    <n v="4119.2768019229334"/>
    <n v="3588.0821456103695"/>
    <n v="3083.7108142449906"/>
    <n v="2604.7168266108019"/>
    <n v="2149.7331430051254"/>
  </r>
  <r>
    <x v="4"/>
    <x v="0"/>
    <x v="0"/>
    <x v="0"/>
    <x v="0"/>
    <x v="0"/>
    <s v="Y"/>
    <n v="7002.8001169590643"/>
    <n v="6090.6999578947361"/>
    <n v="5243.3329720078982"/>
    <n v="4455.9003789578073"/>
    <n v="3723.9612918458042"/>
    <n v="3174.0887426349746"/>
    <n v="2689.5394746610818"/>
    <n v="2229.3107332019063"/>
    <n v="1792.0930548898377"/>
    <n v="1376.6484486220434"/>
    <n v="981.80648466254024"/>
  </r>
  <r>
    <x v="4"/>
    <x v="2"/>
    <x v="1"/>
    <x v="0"/>
    <x v="0"/>
    <x v="0"/>
    <s v="Y"/>
    <n v="12110.612631578948"/>
    <n v="10848.887452631581"/>
    <n v="9677.6782227526346"/>
    <n v="8590.2646446995459"/>
    <n v="7580.427724235371"/>
    <n v="6825.4660755572622"/>
    <n v="6161.8532338099994"/>
    <n v="5532.1561558895046"/>
    <n v="4934.5421241188524"/>
    <n v="4367.2785204100001"/>
    <n v="3828.7273482283399"/>
  </r>
  <r>
    <x v="0"/>
    <x v="0"/>
    <x v="2"/>
    <x v="0"/>
    <x v="0"/>
    <x v="0"/>
    <s v="Y"/>
    <n v="3845.7448529411768"/>
    <n v="3638.8322852941174"/>
    <n v="3445.8436454656621"/>
    <n v="3265.754733197713"/>
    <n v="3097.6176525719056"/>
    <n v="2968.4126523332334"/>
    <n v="2853.2524548012457"/>
    <n v="2743.3953366323012"/>
    <n v="2638.5609736457927"/>
    <n v="2538.484289215854"/>
    <n v="2442.9146204696826"/>
  </r>
  <r>
    <x v="0"/>
    <x v="1"/>
    <x v="2"/>
    <x v="0"/>
    <x v="0"/>
    <x v="0"/>
    <s v="Y"/>
    <n v="3845.7448529411768"/>
    <n v="3638.8322852941174"/>
    <n v="3445.8436454656621"/>
    <n v="3265.754733197713"/>
    <n v="3097.6176525719056"/>
    <n v="2968.4126523332334"/>
    <n v="2853.2524548012457"/>
    <n v="2743.3953366323012"/>
    <n v="2638.5609736457927"/>
    <n v="2538.484289215854"/>
    <n v="2442.9146204696826"/>
  </r>
  <r>
    <x v="1"/>
    <x v="0"/>
    <x v="2"/>
    <x v="0"/>
    <x v="0"/>
    <x v="0"/>
    <s v="Y"/>
    <n v="4182.5249994570131"/>
    <n v="3960.7844671095027"/>
    <n v="3753.9716434131133"/>
    <n v="3560.988427137926"/>
    <n v="3380.818527788625"/>
    <n v="3242.3892325504603"/>
    <n v="3119.0172847105205"/>
    <n v="3001.3301248883954"/>
    <n v="2889.0272092013747"/>
    <n v="2781.8243415617117"/>
    <n v="2679.4527797046785"/>
  </r>
  <r>
    <x v="1"/>
    <x v="1"/>
    <x v="2"/>
    <x v="0"/>
    <x v="0"/>
    <x v="0"/>
    <s v="Y"/>
    <n v="4182.5249994570131"/>
    <n v="3960.7844671095027"/>
    <n v="3753.9716434131133"/>
    <n v="3560.988427137926"/>
    <n v="3380.818527788625"/>
    <n v="3242.3892325504603"/>
    <n v="3119.0172847105205"/>
    <n v="3001.3301248883954"/>
    <n v="2889.0272092013747"/>
    <n v="2781.8243415617117"/>
    <n v="2679.4527797046785"/>
  </r>
  <r>
    <x v="2"/>
    <x v="0"/>
    <x v="2"/>
    <x v="0"/>
    <x v="0"/>
    <x v="0"/>
    <s v="Y"/>
    <n v="4606.6983843951166"/>
    <n v="4355.6129034923415"/>
    <n v="4121.6225357040366"/>
    <n v="3903.4676150165524"/>
    <n v="3699.9823446423625"/>
    <n v="3544.3592604081823"/>
    <n v="3405.9813605151012"/>
    <n v="3274.0945554450245"/>
    <n v="3148.3543087083526"/>
    <n v="3028.4348386787738"/>
    <n v="2914.0280928495927"/>
  </r>
  <r>
    <x v="2"/>
    <x v="1"/>
    <x v="2"/>
    <x v="0"/>
    <x v="0"/>
    <x v="0"/>
    <s v="Y"/>
    <n v="4606.6983843951166"/>
    <n v="4355.6129034923415"/>
    <n v="4121.6225357040366"/>
    <n v="3903.4676150165524"/>
    <n v="3699.9823446423625"/>
    <n v="3544.3592604081823"/>
    <n v="3405.9813605151012"/>
    <n v="3274.0945554450245"/>
    <n v="3148.3543087083526"/>
    <n v="3028.4348386787738"/>
    <n v="2914.0280928495927"/>
  </r>
  <r>
    <x v="3"/>
    <x v="0"/>
    <x v="2"/>
    <x v="0"/>
    <x v="0"/>
    <x v="0"/>
    <s v="Y"/>
    <n v="4976.1012098839019"/>
    <n v="4706.0414830791797"/>
    <n v="4454.4072800952999"/>
    <n v="4219.8404799268865"/>
    <n v="4001.0841718581378"/>
    <n v="3833.9270210220329"/>
    <n v="3685.357464181774"/>
    <n v="3543.7803736029127"/>
    <n v="3408.8243289273923"/>
    <n v="3280.1381308900654"/>
    <n v="3157.3896953555668"/>
  </r>
  <r>
    <x v="3"/>
    <x v="1"/>
    <x v="2"/>
    <x v="0"/>
    <x v="0"/>
    <x v="0"/>
    <s v="Y"/>
    <n v="4976.1012098839019"/>
    <n v="4706.0414830791797"/>
    <n v="4454.4072800952999"/>
    <n v="4219.8404799268865"/>
    <n v="4001.0841718581378"/>
    <n v="3833.9270210220329"/>
    <n v="3685.357464181774"/>
    <n v="3543.7803736029127"/>
    <n v="3408.8243289273923"/>
    <n v="3280.1381308900654"/>
    <n v="3157.3896953555668"/>
  </r>
  <r>
    <x v="4"/>
    <x v="0"/>
    <x v="2"/>
    <x v="0"/>
    <x v="0"/>
    <x v="0"/>
    <s v="Y"/>
    <n v="5876.5135809680669"/>
    <n v="5555.4291319230924"/>
    <n v="5256.4172916015823"/>
    <n v="4977.8493032163069"/>
    <n v="4718.2178070396649"/>
    <n v="4520.4509369448788"/>
    <n v="4344.952197757535"/>
    <n v="4177.8137175445936"/>
    <n v="4018.5902550971678"/>
    <n v="3866.8608213328571"/>
    <n v="3722.2273527401212"/>
  </r>
  <r>
    <x v="4"/>
    <x v="2"/>
    <x v="2"/>
    <x v="0"/>
    <x v="0"/>
    <x v="0"/>
    <s v="Y"/>
    <n v="5876.5135809680669"/>
    <n v="5555.4291319230924"/>
    <n v="5256.4172916015823"/>
    <n v="4977.8493032163069"/>
    <n v="4718.2178070396649"/>
    <n v="4520.4509369448788"/>
    <n v="4344.952197757535"/>
    <n v="4177.8137175445936"/>
    <n v="4018.5902550971678"/>
    <n v="3866.8608213328571"/>
    <n v="3722.2273527401212"/>
  </r>
  <r>
    <x v="0"/>
    <x v="0"/>
    <x v="3"/>
    <x v="0"/>
    <x v="0"/>
    <x v="0"/>
    <s v="Y"/>
    <n v="7081.4450199268249"/>
    <n v="6255.825616983424"/>
    <n v="5442.0639934352857"/>
    <n v="4640.1566859172563"/>
    <n v="3850.1002656978399"/>
    <n v="3071.8913383328436"/>
    <n v="2776.0091371296712"/>
    <n v="2483.2827646990409"/>
    <n v="2193.7022556071552"/>
    <n v="1907.2577663139127"/>
    <n v="1623.9395737315735"/>
  </r>
  <r>
    <x v="0"/>
    <x v="1"/>
    <x v="3"/>
    <x v="0"/>
    <x v="0"/>
    <x v="0"/>
    <s v="Y"/>
    <n v="7081.4450199268249"/>
    <n v="6255.825616983424"/>
    <n v="5442.0639934352857"/>
    <n v="4640.1566859172563"/>
    <n v="3850.1002656978399"/>
    <n v="3071.8913383328436"/>
    <n v="2776.0091371296712"/>
    <n v="2483.2827646990409"/>
    <n v="2193.7022556071552"/>
    <n v="1907.2577663139127"/>
    <n v="1623.9395737315735"/>
  </r>
  <r>
    <x v="1"/>
    <x v="0"/>
    <x v="3"/>
    <x v="0"/>
    <x v="0"/>
    <x v="0"/>
    <s v="Y"/>
    <n v="10940.471607515748"/>
    <n v="9735.3600896419448"/>
    <n v="8557.0581667910574"/>
    <n v="7405.5547488199281"/>
    <n v="6280.8388798723208"/>
    <n v="5182.8997368021774"/>
    <n v="4809.5348385198267"/>
    <n v="4441.4319715439633"/>
    <n v="4078.580701578785"/>
    <n v="3720.9707209108201"/>
    <n v="3368.5918469206954"/>
  </r>
  <r>
    <x v="1"/>
    <x v="1"/>
    <x v="3"/>
    <x v="0"/>
    <x v="0"/>
    <x v="0"/>
    <s v="Y"/>
    <n v="10940.471607515748"/>
    <n v="9735.3600896419448"/>
    <n v="8557.0581667910574"/>
    <n v="7405.5547488199281"/>
    <n v="6280.8388798723208"/>
    <n v="5182.8997368021774"/>
    <n v="4809.5348385198267"/>
    <n v="4441.4319715439633"/>
    <n v="4078.580701578785"/>
    <n v="3720.9707209108201"/>
    <n v="3368.5918469206954"/>
  </r>
  <r>
    <x v="2"/>
    <x v="0"/>
    <x v="3"/>
    <x v="0"/>
    <x v="0"/>
    <x v="0"/>
    <s v="Y"/>
    <n v="10249.279219890879"/>
    <n v="9147.4053961349709"/>
    <n v="8062.3874890579791"/>
    <n v="6994.2144503353884"/>
    <n v="5942.8753655114087"/>
    <n v="4908.3594524264372"/>
    <n v="4584.4982871841967"/>
    <n v="4264.472714944568"/>
    <n v="3948.2790129888708"/>
    <n v="3635.9134958256072"/>
    <n v="3327.3725148181948"/>
  </r>
  <r>
    <x v="2"/>
    <x v="1"/>
    <x v="3"/>
    <x v="0"/>
    <x v="0"/>
    <x v="0"/>
    <s v="Y"/>
    <n v="10249.279219890879"/>
    <n v="9147.4053961349709"/>
    <n v="8062.3874890579791"/>
    <n v="6994.2144503353884"/>
    <n v="5942.8753655114087"/>
    <n v="4908.3594524264372"/>
    <n v="4584.4982871841967"/>
    <n v="4264.472714944568"/>
    <n v="3948.2790129888708"/>
    <n v="3635.9134958256072"/>
    <n v="3327.3725148181948"/>
  </r>
  <r>
    <x v="3"/>
    <x v="0"/>
    <x v="3"/>
    <x v="0"/>
    <x v="0"/>
    <x v="0"/>
    <s v="Y"/>
    <n v="11110.136838309834"/>
    <n v="9848.0290290725607"/>
    <n v="8607.8538837884626"/>
    <n v="7389.5999772970699"/>
    <n v="6193.2560220750202"/>
    <n v="5018.8108666257958"/>
    <n v="4602.6198124325056"/>
    <n v="4191.9714605561076"/>
    <n v="3786.855058102683"/>
    <n v="3387.2599819466195"/>
    <n v="2993.1757372105203"/>
  </r>
  <r>
    <x v="3"/>
    <x v="1"/>
    <x v="3"/>
    <x v="0"/>
    <x v="0"/>
    <x v="0"/>
    <s v="Y"/>
    <n v="10610.136838309834"/>
    <n v="9348.0290290725607"/>
    <n v="8107.8538837884626"/>
    <n v="6889.5999772970699"/>
    <n v="5693.2560220750202"/>
    <n v="4518.8108666257958"/>
    <n v="4102.6198124325056"/>
    <n v="3691.9714605561076"/>
    <n v="3286.855058102683"/>
    <n v="2887.2599819466195"/>
    <n v="2493.1757372105203"/>
  </r>
  <r>
    <x v="4"/>
    <x v="0"/>
    <x v="3"/>
    <x v="0"/>
    <x v="0"/>
    <x v="0"/>
    <s v="Y"/>
    <n v="15199.517558637141"/>
    <n v="13650.247383730682"/>
    <n v="12131.976125477049"/>
    <n v="10644.684886967054"/>
    <n v="9188.355007031576"/>
    <n v="7762.968057416434"/>
    <n v="7199.0847713151925"/>
    <n v="6643.3476172103947"/>
    <n v="6095.7521925854362"/>
    <n v="5556.2941389488751"/>
    <n v="5024.9691413941855"/>
  </r>
  <r>
    <x v="4"/>
    <x v="2"/>
    <x v="3"/>
    <x v="0"/>
    <x v="0"/>
    <x v="0"/>
    <s v="Y"/>
    <n v="15199.517558637141"/>
    <n v="13650.247383730682"/>
    <n v="12131.976125477049"/>
    <n v="10644.684886967054"/>
    <n v="9188.355007031576"/>
    <n v="7762.968057416434"/>
    <n v="7199.0847713151925"/>
    <n v="6643.3476172103947"/>
    <n v="6095.7521925854362"/>
    <n v="5556.2941389488751"/>
    <n v="5024.9691413941855"/>
  </r>
  <r>
    <x v="0"/>
    <x v="0"/>
    <x v="0"/>
    <x v="1"/>
    <x v="0"/>
    <x v="0"/>
    <s v="N"/>
    <s v="N/A"/>
    <s v="N/A"/>
    <s v="N/A"/>
    <s v="N/A"/>
    <s v="N/A"/>
    <s v="N/A"/>
    <s v="N/A"/>
    <s v="N/A"/>
    <s v="N/A"/>
    <s v="N/A"/>
    <s v="N/A"/>
  </r>
  <r>
    <x v="0"/>
    <x v="1"/>
    <x v="1"/>
    <x v="1"/>
    <x v="0"/>
    <x v="0"/>
    <s v="N"/>
    <s v="N/A"/>
    <s v="N/A"/>
    <s v="N/A"/>
    <s v="N/A"/>
    <s v="N/A"/>
    <s v="N/A"/>
    <s v="N/A"/>
    <s v="N/A"/>
    <s v="N/A"/>
    <s v="N/A"/>
    <s v="N/A"/>
  </r>
  <r>
    <x v="1"/>
    <x v="0"/>
    <x v="0"/>
    <x v="1"/>
    <x v="0"/>
    <x v="0"/>
    <s v="N"/>
    <s v="N/A"/>
    <s v="N/A"/>
    <s v="N/A"/>
    <s v="N/A"/>
    <s v="N/A"/>
    <s v="N/A"/>
    <s v="N/A"/>
    <s v="N/A"/>
    <s v="N/A"/>
    <s v="N/A"/>
    <s v="N/A"/>
  </r>
  <r>
    <x v="1"/>
    <x v="1"/>
    <x v="1"/>
    <x v="1"/>
    <x v="0"/>
    <x v="0"/>
    <s v="N"/>
    <s v="N/A"/>
    <s v="N/A"/>
    <s v="N/A"/>
    <s v="N/A"/>
    <s v="N/A"/>
    <s v="N/A"/>
    <s v="N/A"/>
    <s v="N/A"/>
    <s v="N/A"/>
    <s v="N/A"/>
    <s v="N/A"/>
  </r>
  <r>
    <x v="2"/>
    <x v="0"/>
    <x v="0"/>
    <x v="1"/>
    <x v="0"/>
    <x v="0"/>
    <s v="N"/>
    <s v="N/A"/>
    <s v="N/A"/>
    <s v="N/A"/>
    <s v="N/A"/>
    <s v="N/A"/>
    <s v="N/A"/>
    <s v="N/A"/>
    <s v="N/A"/>
    <s v="N/A"/>
    <s v="N/A"/>
    <s v="N/A"/>
  </r>
  <r>
    <x v="2"/>
    <x v="1"/>
    <x v="1"/>
    <x v="1"/>
    <x v="0"/>
    <x v="0"/>
    <s v="N"/>
    <s v="N/A"/>
    <s v="N/A"/>
    <s v="N/A"/>
    <s v="N/A"/>
    <s v="N/A"/>
    <s v="N/A"/>
    <s v="N/A"/>
    <s v="N/A"/>
    <s v="N/A"/>
    <s v="N/A"/>
    <s v="N/A"/>
  </r>
  <r>
    <x v="3"/>
    <x v="0"/>
    <x v="0"/>
    <x v="1"/>
    <x v="0"/>
    <x v="0"/>
    <s v="N"/>
    <s v="N/A"/>
    <s v="N/A"/>
    <s v="N/A"/>
    <s v="N/A"/>
    <s v="N/A"/>
    <s v="N/A"/>
    <s v="N/A"/>
    <s v="N/A"/>
    <s v="N/A"/>
    <s v="N/A"/>
    <s v="N/A"/>
  </r>
  <r>
    <x v="3"/>
    <x v="1"/>
    <x v="1"/>
    <x v="1"/>
    <x v="0"/>
    <x v="0"/>
    <s v="N"/>
    <s v="N/A"/>
    <s v="N/A"/>
    <s v="N/A"/>
    <s v="N/A"/>
    <s v="N/A"/>
    <s v="N/A"/>
    <s v="N/A"/>
    <s v="N/A"/>
    <s v="N/A"/>
    <s v="N/A"/>
    <s v="N/A"/>
  </r>
  <r>
    <x v="4"/>
    <x v="0"/>
    <x v="0"/>
    <x v="1"/>
    <x v="0"/>
    <x v="0"/>
    <s v="N"/>
    <s v="N/A"/>
    <s v="N/A"/>
    <s v="N/A"/>
    <s v="N/A"/>
    <s v="N/A"/>
    <s v="N/A"/>
    <s v="N/A"/>
    <s v="N/A"/>
    <s v="N/A"/>
    <s v="N/A"/>
    <s v="N/A"/>
  </r>
  <r>
    <x v="4"/>
    <x v="2"/>
    <x v="1"/>
    <x v="1"/>
    <x v="0"/>
    <x v="0"/>
    <s v="N"/>
    <s v="N/A"/>
    <s v="N/A"/>
    <s v="N/A"/>
    <s v="N/A"/>
    <s v="N/A"/>
    <s v="N/A"/>
    <s v="N/A"/>
    <s v="N/A"/>
    <s v="N/A"/>
    <s v="N/A"/>
    <s v="N/A"/>
  </r>
  <r>
    <x v="0"/>
    <x v="0"/>
    <x v="2"/>
    <x v="1"/>
    <x v="0"/>
    <x v="0"/>
    <s v="Y"/>
    <n v="3845.7448529411768"/>
    <n v="3638.8322852941174"/>
    <n v="3445.8436454656621"/>
    <n v="3265.754733197713"/>
    <n v="3097.6176525719056"/>
    <n v="2968.4126523332334"/>
    <n v="2853.2524548012457"/>
    <n v="2743.3953366323012"/>
    <n v="2638.5609736457927"/>
    <n v="2538.484289215854"/>
    <n v="2442.9146204696826"/>
  </r>
  <r>
    <x v="0"/>
    <x v="1"/>
    <x v="2"/>
    <x v="1"/>
    <x v="0"/>
    <x v="0"/>
    <s v="Y"/>
    <n v="3845.7448529411768"/>
    <n v="3638.8322852941174"/>
    <n v="3445.8436454656621"/>
    <n v="3265.754733197713"/>
    <n v="3097.6176525719056"/>
    <n v="2968.4126523332334"/>
    <n v="2853.2524548012457"/>
    <n v="2743.3953366323012"/>
    <n v="2638.5609736457927"/>
    <n v="2538.484289215854"/>
    <n v="2442.9146204696826"/>
  </r>
  <r>
    <x v="1"/>
    <x v="0"/>
    <x v="2"/>
    <x v="1"/>
    <x v="0"/>
    <x v="0"/>
    <s v="Y"/>
    <n v="4182.5249994570131"/>
    <n v="3960.7844671095027"/>
    <n v="3753.9716434131133"/>
    <n v="3560.988427137926"/>
    <n v="3380.818527788625"/>
    <n v="3242.3892325504603"/>
    <n v="3119.0172847105205"/>
    <n v="3001.3301248883954"/>
    <n v="2889.0272092013747"/>
    <n v="2781.8243415617117"/>
    <n v="2679.4527797046785"/>
  </r>
  <r>
    <x v="1"/>
    <x v="1"/>
    <x v="2"/>
    <x v="1"/>
    <x v="0"/>
    <x v="0"/>
    <s v="Y"/>
    <n v="4182.5249994570131"/>
    <n v="3960.7844671095027"/>
    <n v="3753.9716434131133"/>
    <n v="3560.988427137926"/>
    <n v="3380.818527788625"/>
    <n v="3242.3892325504603"/>
    <n v="3119.0172847105205"/>
    <n v="3001.3301248883954"/>
    <n v="2889.0272092013747"/>
    <n v="2781.8243415617117"/>
    <n v="2679.4527797046785"/>
  </r>
  <r>
    <x v="2"/>
    <x v="0"/>
    <x v="2"/>
    <x v="1"/>
    <x v="0"/>
    <x v="0"/>
    <s v="Y"/>
    <n v="4606.6983843951166"/>
    <n v="4355.6129034923415"/>
    <n v="4121.6225357040366"/>
    <n v="3903.4676150165524"/>
    <n v="3699.9823446423625"/>
    <n v="3544.3592604081823"/>
    <n v="3405.9813605151012"/>
    <n v="3274.0945554450245"/>
    <n v="3148.3543087083526"/>
    <n v="3028.4348386787738"/>
    <n v="2914.0280928495927"/>
  </r>
  <r>
    <x v="2"/>
    <x v="1"/>
    <x v="2"/>
    <x v="1"/>
    <x v="0"/>
    <x v="0"/>
    <s v="Y"/>
    <n v="4606.6983843951166"/>
    <n v="4355.6129034923415"/>
    <n v="4121.6225357040366"/>
    <n v="3903.4676150165524"/>
    <n v="3699.9823446423625"/>
    <n v="3544.3592604081823"/>
    <n v="3405.9813605151012"/>
    <n v="3274.0945554450245"/>
    <n v="3148.3543087083526"/>
    <n v="3028.4348386787738"/>
    <n v="2914.0280928495927"/>
  </r>
  <r>
    <x v="3"/>
    <x v="0"/>
    <x v="2"/>
    <x v="1"/>
    <x v="0"/>
    <x v="0"/>
    <s v="Y"/>
    <n v="4976.1012098839019"/>
    <n v="4706.0414830791797"/>
    <n v="4454.4072800952999"/>
    <n v="4219.8404799268865"/>
    <n v="4001.0841718581378"/>
    <n v="3833.9270210220329"/>
    <n v="3685.357464181774"/>
    <n v="3543.7803736029127"/>
    <n v="3408.8243289273923"/>
    <n v="3280.1381308900654"/>
    <n v="3157.3896953555668"/>
  </r>
  <r>
    <x v="3"/>
    <x v="1"/>
    <x v="2"/>
    <x v="1"/>
    <x v="0"/>
    <x v="0"/>
    <s v="Y"/>
    <n v="4976.1012098839019"/>
    <n v="4706.0414830791797"/>
    <n v="4454.4072800952999"/>
    <n v="4219.8404799268865"/>
    <n v="4001.0841718581378"/>
    <n v="3833.9270210220329"/>
    <n v="3685.357464181774"/>
    <n v="3543.7803736029127"/>
    <n v="3408.8243289273923"/>
    <n v="3280.1381308900654"/>
    <n v="3157.3896953555668"/>
  </r>
  <r>
    <x v="4"/>
    <x v="0"/>
    <x v="2"/>
    <x v="1"/>
    <x v="0"/>
    <x v="0"/>
    <s v="Y"/>
    <n v="5876.5135809680669"/>
    <n v="5555.4291319230924"/>
    <n v="5256.4172916015823"/>
    <n v="4977.8493032163069"/>
    <n v="4718.2178070396649"/>
    <n v="4520.4509369448788"/>
    <n v="4344.952197757535"/>
    <n v="4177.8137175445936"/>
    <n v="4018.5902550971678"/>
    <n v="3866.8608213328571"/>
    <n v="3722.2273527401212"/>
  </r>
  <r>
    <x v="4"/>
    <x v="2"/>
    <x v="2"/>
    <x v="1"/>
    <x v="0"/>
    <x v="0"/>
    <s v="Y"/>
    <n v="5876.5135809680669"/>
    <n v="5555.4291319230924"/>
    <n v="5256.4172916015823"/>
    <n v="4977.8493032163069"/>
    <n v="4718.2178070396649"/>
    <n v="4520.4509369448788"/>
    <n v="4344.952197757535"/>
    <n v="4177.8137175445936"/>
    <n v="4018.5902550971678"/>
    <n v="3866.8608213328571"/>
    <n v="3722.2273527401212"/>
  </r>
  <r>
    <x v="0"/>
    <x v="0"/>
    <x v="3"/>
    <x v="1"/>
    <x v="0"/>
    <x v="0"/>
    <s v="Y"/>
    <n v="7081.4450199268249"/>
    <n v="6255.825616983424"/>
    <n v="5442.0639934352857"/>
    <n v="4640.1566859172563"/>
    <n v="3850.1002656978399"/>
    <n v="3071.8913383328436"/>
    <n v="2776.0091371296712"/>
    <n v="2483.2827646990409"/>
    <n v="2193.7022556071552"/>
    <n v="1907.2577663139127"/>
    <n v="1623.9395737315735"/>
  </r>
  <r>
    <x v="0"/>
    <x v="1"/>
    <x v="3"/>
    <x v="1"/>
    <x v="0"/>
    <x v="0"/>
    <s v="Y"/>
    <n v="7081.4450199268249"/>
    <n v="6255.825616983424"/>
    <n v="5442.0639934352857"/>
    <n v="4640.1566859172563"/>
    <n v="3850.1002656978399"/>
    <n v="3071.8913383328436"/>
    <n v="2776.0091371296712"/>
    <n v="2483.2827646990409"/>
    <n v="2193.7022556071552"/>
    <n v="1907.2577663139127"/>
    <n v="1623.9395737315735"/>
  </r>
  <r>
    <x v="1"/>
    <x v="0"/>
    <x v="3"/>
    <x v="1"/>
    <x v="0"/>
    <x v="0"/>
    <s v="Y"/>
    <n v="10940.471607515748"/>
    <n v="9735.3600896419448"/>
    <n v="8557.0581667910574"/>
    <n v="7405.5547488199281"/>
    <n v="6280.8388798723208"/>
    <n v="5182.8997368021774"/>
    <n v="4809.5348385198267"/>
    <n v="4441.4319715439633"/>
    <n v="4078.580701578785"/>
    <n v="3720.9707209108201"/>
    <n v="3368.5918469206954"/>
  </r>
  <r>
    <x v="1"/>
    <x v="1"/>
    <x v="3"/>
    <x v="1"/>
    <x v="0"/>
    <x v="0"/>
    <s v="Y"/>
    <n v="10940.471607515748"/>
    <n v="9735.3600896419448"/>
    <n v="8557.0581667910574"/>
    <n v="7405.5547488199281"/>
    <n v="6280.8388798723208"/>
    <n v="5182.8997368021774"/>
    <n v="4809.5348385198267"/>
    <n v="4441.4319715439633"/>
    <n v="4078.580701578785"/>
    <n v="3720.9707209108201"/>
    <n v="3368.5918469206954"/>
  </r>
  <r>
    <x v="2"/>
    <x v="0"/>
    <x v="3"/>
    <x v="1"/>
    <x v="0"/>
    <x v="0"/>
    <s v="Y"/>
    <n v="10249.279219890879"/>
    <n v="9147.4053961349709"/>
    <n v="8062.3874890579791"/>
    <n v="6994.2144503353884"/>
    <n v="5942.8753655114087"/>
    <n v="4908.3594524264372"/>
    <n v="4584.4982871841967"/>
    <n v="4264.472714944568"/>
    <n v="3948.2790129888708"/>
    <n v="3635.9134958256072"/>
    <n v="3327.3725148181948"/>
  </r>
  <r>
    <x v="2"/>
    <x v="1"/>
    <x v="3"/>
    <x v="1"/>
    <x v="0"/>
    <x v="0"/>
    <s v="Y"/>
    <n v="10249.279219890879"/>
    <n v="9147.4053961349709"/>
    <n v="8062.3874890579791"/>
    <n v="6994.2144503353884"/>
    <n v="5942.8753655114087"/>
    <n v="4908.3594524264372"/>
    <n v="4584.4982871841967"/>
    <n v="4264.472714944568"/>
    <n v="3948.2790129888708"/>
    <n v="3635.9134958256072"/>
    <n v="3327.3725148181948"/>
  </r>
  <r>
    <x v="3"/>
    <x v="0"/>
    <x v="3"/>
    <x v="1"/>
    <x v="0"/>
    <x v="0"/>
    <s v="Y"/>
    <n v="11110.136838309834"/>
    <n v="9848.0290290725607"/>
    <n v="8607.8538837884626"/>
    <n v="7389.5999772970699"/>
    <n v="6193.2560220750202"/>
    <n v="5018.8108666257958"/>
    <n v="4602.6198124325056"/>
    <n v="4191.9714605561076"/>
    <n v="3786.855058102683"/>
    <n v="3387.2599819466195"/>
    <n v="2993.1757372105203"/>
  </r>
  <r>
    <x v="3"/>
    <x v="1"/>
    <x v="3"/>
    <x v="1"/>
    <x v="0"/>
    <x v="0"/>
    <s v="Y"/>
    <n v="10610.136838309834"/>
    <n v="9348.0290290725607"/>
    <n v="8107.8538837884626"/>
    <n v="6889.5999772970699"/>
    <n v="5693.2560220750202"/>
    <n v="4518.8108666257958"/>
    <n v="4102.6198124325056"/>
    <n v="3691.9714605561076"/>
    <n v="3286.855058102683"/>
    <n v="2887.2599819466195"/>
    <n v="2493.1757372105203"/>
  </r>
  <r>
    <x v="4"/>
    <x v="0"/>
    <x v="3"/>
    <x v="1"/>
    <x v="0"/>
    <x v="0"/>
    <s v="Y"/>
    <n v="15199.517558637141"/>
    <n v="13650.247383730682"/>
    <n v="12131.976125477049"/>
    <n v="10644.684886967054"/>
    <n v="9188.355007031576"/>
    <n v="7762.968057416434"/>
    <n v="7199.0847713151925"/>
    <n v="6643.3476172103947"/>
    <n v="6095.7521925854362"/>
    <n v="5556.2941389488751"/>
    <n v="5024.9691413941855"/>
  </r>
  <r>
    <x v="4"/>
    <x v="2"/>
    <x v="3"/>
    <x v="1"/>
    <x v="0"/>
    <x v="0"/>
    <s v="Y"/>
    <n v="15199.517558637141"/>
    <n v="13650.247383730682"/>
    <n v="12131.976125477049"/>
    <n v="10644.684886967054"/>
    <n v="9188.355007031576"/>
    <n v="7762.968057416434"/>
    <n v="7199.0847713151925"/>
    <n v="6643.3476172103947"/>
    <n v="6095.7521925854362"/>
    <n v="5556.2941389488751"/>
    <n v="5024.9691413941855"/>
  </r>
  <r>
    <x v="0"/>
    <x v="0"/>
    <x v="0"/>
    <x v="0"/>
    <x v="1"/>
    <x v="0"/>
    <s v="Y"/>
    <n v="4841.9868421052633"/>
    <n v="4235.9347368421049"/>
    <n v="3671.8723646118428"/>
    <n v="3146.6977124098185"/>
    <n v="2657.5400072965131"/>
    <n v="2286.1723169222951"/>
    <n v="1957.1689995790989"/>
    <n v="1644.0379001903582"/>
    <n v="1345.9314219597704"/>
    <n v="1062.048159944258"/>
    <n v="791.63037419072759"/>
  </r>
  <r>
    <x v="0"/>
    <x v="1"/>
    <x v="1"/>
    <x v="0"/>
    <x v="1"/>
    <x v="0"/>
    <s v="Y"/>
    <n v="7961.3552631578959"/>
    <n v="7149.724605263159"/>
    <n v="6395.1572963552662"/>
    <n v="5693.4288062285941"/>
    <n v="5040.6296133694141"/>
    <n v="4548.1620811731464"/>
    <n v="4113.2737958345533"/>
    <n v="3699.8753407321892"/>
    <n v="3306.8133506944851"/>
    <n v="2932.9973752626724"/>
    <n v="2577.396436430563"/>
  </r>
  <r>
    <x v="1"/>
    <x v="0"/>
    <x v="0"/>
    <x v="0"/>
    <x v="1"/>
    <x v="0"/>
    <s v="Y"/>
    <n v="5562.4210526315801"/>
    <n v="4928.2384210526334"/>
    <n v="4337.8889674210541"/>
    <n v="3788.1356305580721"/>
    <n v="3275.9826450463611"/>
    <n v="2886.7582548032874"/>
    <n v="2541.7572696389352"/>
    <n v="2213.3355306194685"/>
    <n v="1900.6084195963856"/>
    <n v="1602.7395203090309"/>
    <n v="1318.9379816408061"/>
  </r>
  <r>
    <x v="1"/>
    <x v="1"/>
    <x v="1"/>
    <x v="0"/>
    <x v="1"/>
    <x v="0"/>
    <s v="Y"/>
    <n v="9266.4894736842107"/>
    <n v="8394.3747894736862"/>
    <n v="7583.4691443894762"/>
    <n v="6829.2422268812988"/>
    <n v="6127.5015237239049"/>
    <n v="5597.7081191770121"/>
    <n v="5129.6762743223935"/>
    <n v="4684.7056787268612"/>
    <n v="4261.5593639359486"/>
    <n v="3859.0678291686445"/>
    <n v="3476.1253500257694"/>
  </r>
  <r>
    <x v="2"/>
    <x v="0"/>
    <x v="0"/>
    <x v="0"/>
    <x v="1"/>
    <x v="0"/>
    <s v="Y"/>
    <n v="5455.7631578947385"/>
    <n v="4812.1840131578938"/>
    <n v="4213.3130813256603"/>
    <n v="3655.8462440071976"/>
    <n v="3136.7257017525362"/>
    <n v="2743.0577441967207"/>
    <n v="2394.49785991726"/>
    <n v="2062.8263365299454"/>
    <n v="1747.1404892036558"/>
    <n v="1446.5868355724929"/>
    <n v="1160.3584040961086"/>
  </r>
  <r>
    <x v="2"/>
    <x v="1"/>
    <x v="1"/>
    <x v="0"/>
    <x v="1"/>
    <x v="0"/>
    <s v="Y"/>
    <n v="9124.2789473684206"/>
    <n v="8239.6355789473691"/>
    <n v="7417.3679629289481"/>
    <n v="6652.8563781468019"/>
    <n v="5941.8255993321363"/>
    <n v="5406.1074383682553"/>
    <n v="4933.3303946934911"/>
    <n v="4484.0267532741618"/>
    <n v="4056.9354567456439"/>
    <n v="3650.8642495199238"/>
    <n v="3264.685913299505"/>
  </r>
  <r>
    <x v="3"/>
    <x v="0"/>
    <x v="0"/>
    <x v="0"/>
    <x v="1"/>
    <x v="0"/>
    <s v="Y"/>
    <n v="6440.1960526315797"/>
    <n v="5662.1864210526328"/>
    <n v="4938.3524334335534"/>
    <n v="4264.6889057031149"/>
    <n v="3637.4892505034964"/>
    <n v="3162.3478353051041"/>
    <n v="2741.8676462143549"/>
    <n v="2341.8396889274036"/>
    <n v="1961.1698943384815"/>
    <n v="1598.8238367195042"/>
    <n v="1253.8234708142018"/>
  </r>
  <r>
    <x v="3"/>
    <x v="1"/>
    <x v="1"/>
    <x v="0"/>
    <x v="1"/>
    <x v="0"/>
    <s v="Y"/>
    <n v="10431.838157894737"/>
    <n v="9359.890513157894"/>
    <n v="8363.6473543631582"/>
    <n v="7437.5005056923237"/>
    <n v="6576.2600100114396"/>
    <n v="5927.830832670802"/>
    <n v="5355.7932931424721"/>
    <n v="4812.2334719177124"/>
    <n v="4295.6206272892605"/>
    <n v="3804.5075415246288"/>
    <n v="3337.5259507698138"/>
  </r>
  <r>
    <x v="4"/>
    <x v="0"/>
    <x v="0"/>
    <x v="0"/>
    <x v="1"/>
    <x v="0"/>
    <s v="Y"/>
    <n v="8304.6981725146197"/>
    <n v="7379.579032894736"/>
    <n v="6519.3232562578978"/>
    <n v="5719.1307603653077"/>
    <n v="4974.5593694392292"/>
    <n v="4412.1808394524651"/>
    <n v="3915.2506505103979"/>
    <n v="3442.7647972927289"/>
    <n v="2993.4125783397521"/>
    <n v="2565.9547768374587"/>
    <n v="2159.2197495958017"/>
  </r>
  <r>
    <x v="4"/>
    <x v="2"/>
    <x v="1"/>
    <x v="0"/>
    <x v="1"/>
    <x v="0"/>
    <s v="Y"/>
    <n v="13465.827631578948"/>
    <n v="12190.550302631582"/>
    <n v="11005.924444252634"/>
    <n v="9905.2284039845454"/>
    <n v="8882.2418459275214"/>
    <n v="8114.2620560324904"/>
    <n v="7437.7612544804761"/>
    <n v="6795.305096353276"/>
    <n v="6185.0595751779856"/>
    <n v="5605.2907969585422"/>
    <n v="5054.3595020113971"/>
  </r>
  <r>
    <x v="0"/>
    <x v="0"/>
    <x v="2"/>
    <x v="0"/>
    <x v="1"/>
    <x v="0"/>
    <s v="Y"/>
    <n v="4821.7848529411767"/>
    <n v="4605.1118852941172"/>
    <n v="4402.4604494656624"/>
    <n v="4212.8053691577134"/>
    <n v="4035.1977821723058"/>
    <n v="3896.6169806376292"/>
    <n v="3772.1747398225975"/>
    <n v="3653.1283988034397"/>
    <n v="3539.1967051952197"/>
    <n v="3430.1136634497866"/>
    <n v="3325.6277009612759"/>
  </r>
  <r>
    <x v="0"/>
    <x v="1"/>
    <x v="2"/>
    <x v="0"/>
    <x v="1"/>
    <x v="0"/>
    <s v="Y"/>
    <n v="4821.7848529411767"/>
    <n v="4605.1118852941172"/>
    <n v="4402.4604494656624"/>
    <n v="4212.8053691577134"/>
    <n v="4035.1977821723058"/>
    <n v="3896.6169806376292"/>
    <n v="3772.1747398225975"/>
    <n v="3653.1283988034397"/>
    <n v="3539.1967051952197"/>
    <n v="3430.1136634497866"/>
    <n v="3325.6277009612759"/>
  </r>
  <r>
    <x v="1"/>
    <x v="0"/>
    <x v="2"/>
    <x v="0"/>
    <x v="1"/>
    <x v="0"/>
    <s v="Y"/>
    <n v="5244.6200678823525"/>
    <n v="5012.2585848505887"/>
    <n v="4794.9310199767888"/>
    <n v="4591.5382099359649"/>
    <n v="4401.0628127586833"/>
    <n v="4252.4310746708179"/>
    <n v="4118.9587084096747"/>
    <n v="3991.2721343505577"/>
    <n v="3869.0697985689153"/>
    <n v="3752.0665050355769"/>
    <n v="3639.9925215438052"/>
  </r>
  <r>
    <x v="1"/>
    <x v="1"/>
    <x v="2"/>
    <x v="0"/>
    <x v="1"/>
    <x v="0"/>
    <s v="Y"/>
    <n v="5244.6200678823525"/>
    <n v="5012.2585848505887"/>
    <n v="4794.9310199767888"/>
    <n v="4591.5382099359649"/>
    <n v="4401.0628127586833"/>
    <n v="4252.4310746708179"/>
    <n v="4118.9587084096747"/>
    <n v="3991.2721343505577"/>
    <n v="3869.0697985689153"/>
    <n v="3752.0665050355769"/>
    <n v="3639.9925215438052"/>
  </r>
  <r>
    <x v="2"/>
    <x v="0"/>
    <x v="2"/>
    <x v="0"/>
    <x v="1"/>
    <x v="0"/>
    <s v="Y"/>
    <n v="5679.0569112913436"/>
    <n v="5417.2478451196057"/>
    <n v="5172.6411279150279"/>
    <n v="4943.9760213054342"/>
    <n v="4730.0856668683555"/>
    <n v="4564.1615494119151"/>
    <n v="4415.5856266287965"/>
    <n v="4273.6027788975834"/>
    <n v="4137.8674499263852"/>
    <n v="4008.0528484846263"/>
    <n v="3883.8499225573869"/>
  </r>
  <r>
    <x v="2"/>
    <x v="1"/>
    <x v="2"/>
    <x v="0"/>
    <x v="1"/>
    <x v="0"/>
    <s v="Y"/>
    <n v="5679.0569112913436"/>
    <n v="5417.2478451196057"/>
    <n v="5172.6411279150279"/>
    <n v="4943.9760213054342"/>
    <n v="4730.0856668683555"/>
    <n v="4564.1615494119151"/>
    <n v="4415.5856266287965"/>
    <n v="4273.6027788975834"/>
    <n v="4137.8674499263852"/>
    <n v="4008.0528484846263"/>
    <n v="3883.8499225573869"/>
  </r>
  <r>
    <x v="3"/>
    <x v="0"/>
    <x v="2"/>
    <x v="0"/>
    <x v="1"/>
    <x v="0"/>
    <s v="Y"/>
    <n v="6117.9277144924545"/>
    <n v="5836.449722641647"/>
    <n v="5573.5114372621429"/>
    <n v="5327.753595522061"/>
    <n v="5097.9181562973599"/>
    <n v="4919.7926656168629"/>
    <n v="4760.3644523306557"/>
    <n v="4608.037291870306"/>
    <n v="4462.4386780121113"/>
    <n v="4323.2163364839371"/>
    <n v="4190.0371188934996"/>
  </r>
  <r>
    <x v="3"/>
    <x v="1"/>
    <x v="2"/>
    <x v="0"/>
    <x v="1"/>
    <x v="0"/>
    <s v="Y"/>
    <n v="4976.1012098839019"/>
    <n v="4706.0414830791797"/>
    <n v="4454.4072800952999"/>
    <n v="4219.8404799268865"/>
    <n v="4001.0841718581378"/>
    <n v="3833.9270210220329"/>
    <n v="3685.357464181774"/>
    <n v="3543.7803736029127"/>
    <n v="3408.8243289273923"/>
    <n v="3280.1381308900654"/>
    <n v="3157.3896953555668"/>
  </r>
  <r>
    <x v="4"/>
    <x v="0"/>
    <x v="2"/>
    <x v="0"/>
    <x v="1"/>
    <x v="0"/>
    <s v="Y"/>
    <n v="5876.5135809680669"/>
    <n v="5555.4291319230924"/>
    <n v="5256.4172916015823"/>
    <n v="4977.8493032163069"/>
    <n v="4718.2178070396649"/>
    <n v="4520.4509369448788"/>
    <n v="4344.952197757535"/>
    <n v="4177.8137175445936"/>
    <n v="4018.5902550971678"/>
    <n v="3866.8608213328571"/>
    <n v="3722.2273527401212"/>
  </r>
  <r>
    <x v="4"/>
    <x v="2"/>
    <x v="2"/>
    <x v="0"/>
    <x v="1"/>
    <x v="0"/>
    <s v="Y"/>
    <n v="5876.5135809680669"/>
    <n v="5555.4291319230924"/>
    <n v="5256.4172916015823"/>
    <n v="4977.8493032163069"/>
    <n v="4718.2178070396649"/>
    <n v="4520.4509369448788"/>
    <n v="4344.952197757535"/>
    <n v="4177.8137175445936"/>
    <n v="4018.5902550971678"/>
    <n v="3866.8608213328571"/>
    <n v="3722.2273527401212"/>
  </r>
  <r>
    <x v="0"/>
    <x v="0"/>
    <x v="3"/>
    <x v="0"/>
    <x v="1"/>
    <x v="0"/>
    <s v="Y"/>
    <n v="8058.2669049268252"/>
    <n v="7222.879283133424"/>
    <n v="6399.4471229237861"/>
    <n v="5587.9659841108714"/>
    <n v="4788.4314709095188"/>
    <n v="4000.8392314924058"/>
    <n v="3695.6675513576374"/>
    <n v="3393.7445947847273"/>
    <n v="3095.059467391985"/>
    <n v="2799.601405980894"/>
    <n v="2507.359777001885"/>
  </r>
  <r>
    <x v="0"/>
    <x v="1"/>
    <x v="3"/>
    <x v="0"/>
    <x v="1"/>
    <x v="0"/>
    <s v="Y"/>
    <n v="8058.2669049268252"/>
    <n v="7222.879283133424"/>
    <n v="6399.4471229237861"/>
    <n v="5587.9659841108714"/>
    <n v="4788.4314709095188"/>
    <n v="4000.8392314924058"/>
    <n v="3695.6675513576374"/>
    <n v="3393.7445947847273"/>
    <n v="3095.059467391985"/>
    <n v="2799.601405980894"/>
    <n v="2507.359777001885"/>
  </r>
  <r>
    <x v="1"/>
    <x v="0"/>
    <x v="3"/>
    <x v="0"/>
    <x v="1"/>
    <x v="0"/>
    <s v="Y"/>
    <n v="12043.634602515749"/>
    <n v="10827.491454691944"/>
    <n v="9638.2682181905584"/>
    <n v="8475.9526997054327"/>
    <n v="7340.5328512489705"/>
    <n v="6231.996768465061"/>
    <n v="5848.1408998660809"/>
    <n v="5469.6519722767553"/>
    <n v="5096.5185023042486"/>
    <n v="4728.7291436290297"/>
    <n v="4366.2726854117227"/>
  </r>
  <r>
    <x v="1"/>
    <x v="1"/>
    <x v="3"/>
    <x v="0"/>
    <x v="1"/>
    <x v="0"/>
    <s v="Y"/>
    <n v="12043.634602515749"/>
    <n v="10827.491454691944"/>
    <n v="9638.2682181905584"/>
    <n v="8475.9526997054327"/>
    <n v="7340.5328512489705"/>
    <n v="6231.996768465061"/>
    <n v="5848.1408998660809"/>
    <n v="5469.6519722767553"/>
    <n v="5096.5185023042486"/>
    <n v="4728.7291436290297"/>
    <n v="4366.2726854117227"/>
  </r>
  <r>
    <x v="2"/>
    <x v="0"/>
    <x v="3"/>
    <x v="0"/>
    <x v="1"/>
    <x v="0"/>
    <s v="Y"/>
    <n v="11338.34997989088"/>
    <n v="10225.58544853497"/>
    <n v="9129.7857409339795"/>
    <n v="8050.9387196926282"/>
    <n v="6989.032392175076"/>
    <n v="5944.0549088234675"/>
    <n v="5609.8367890172576"/>
    <n v="5279.5578317592981"/>
    <n v="4953.2132786354532"/>
    <n v="4630.7984188157243"/>
    <n v="4312.3085885784103"/>
  </r>
  <r>
    <x v="2"/>
    <x v="1"/>
    <x v="3"/>
    <x v="0"/>
    <x v="1"/>
    <x v="0"/>
    <s v="Y"/>
    <n v="11338.34997989088"/>
    <n v="10225.58544853497"/>
    <n v="9129.7857409339795"/>
    <n v="8050.9387196926282"/>
    <n v="6989.032392175076"/>
    <n v="5944.0549088234675"/>
    <n v="5609.8367890172576"/>
    <n v="5279.5578317592981"/>
    <n v="4953.2132786354532"/>
    <n v="4630.7984188157243"/>
    <n v="4312.3085885784103"/>
  </r>
  <r>
    <x v="3"/>
    <x v="0"/>
    <x v="3"/>
    <x v="0"/>
    <x v="1"/>
    <x v="0"/>
    <s v="Y"/>
    <n v="12246.594013309834"/>
    <n v="10973.12163232256"/>
    <n v="9721.6955610059631"/>
    <n v="8492.3032377423951"/>
    <n v="7284.9322499158916"/>
    <n v="6099.5703321882584"/>
    <n v="5672.5716833393435"/>
    <n v="5251.2238127538776"/>
    <n v="4835.5148867784756"/>
    <n v="4425.4332123356535"/>
    <n v="4020.9672352956641"/>
  </r>
  <r>
    <x v="3"/>
    <x v="1"/>
    <x v="3"/>
    <x v="0"/>
    <x v="1"/>
    <x v="0"/>
    <s v="Y"/>
    <n v="11746.594013309834"/>
    <n v="10473.12163232256"/>
    <n v="9221.6955610059631"/>
    <n v="7992.3032377423951"/>
    <n v="6784.9322499158916"/>
    <n v="5599.5703321882584"/>
    <n v="5172.5716833393435"/>
    <n v="4751.2238127538776"/>
    <n v="4335.5148867784756"/>
    <n v="3925.4332123356535"/>
    <n v="3520.9672352956641"/>
  </r>
  <r>
    <x v="4"/>
    <x v="0"/>
    <x v="3"/>
    <x v="0"/>
    <x v="1"/>
    <x v="0"/>
    <s v="Y"/>
    <n v="16410.07337363714"/>
    <n v="14848.697640580682"/>
    <n v="13318.441879758549"/>
    <n v="11819.285983705739"/>
    <n v="10351.210092802874"/>
    <n v="8914.1945923300191"/>
    <n v="8338.7990408796431"/>
    <n v="7771.6647440792003"/>
    <n v="7212.7861481855534"/>
    <n v="6662.1577549929916"/>
    <n v="6119.7741212778601"/>
  </r>
  <r>
    <x v="4"/>
    <x v="2"/>
    <x v="3"/>
    <x v="0"/>
    <x v="1"/>
    <x v="0"/>
    <s v="Y"/>
    <n v="16410.07337363714"/>
    <n v="14848.697640580682"/>
    <n v="13318.441879758549"/>
    <n v="11819.285983705739"/>
    <n v="10351.210092802874"/>
    <n v="8914.1945923300191"/>
    <n v="8338.7990408796431"/>
    <n v="7771.6647440792003"/>
    <n v="7212.7861481855534"/>
    <n v="6662.1577549929916"/>
    <n v="6119.7741212778601"/>
  </r>
  <r>
    <x v="0"/>
    <x v="0"/>
    <x v="0"/>
    <x v="0"/>
    <x v="0"/>
    <x v="1"/>
    <s v="N"/>
    <s v="N/A"/>
    <s v="N/A"/>
    <s v="N/A"/>
    <s v="N/A"/>
    <s v="N/A"/>
    <s v="N/A"/>
    <s v="N/A"/>
    <s v="N/A"/>
    <s v="N/A"/>
    <s v="N/A"/>
    <s v="N/A"/>
  </r>
  <r>
    <x v="0"/>
    <x v="1"/>
    <x v="1"/>
    <x v="0"/>
    <x v="0"/>
    <x v="1"/>
    <s v="N"/>
    <s v="N/A"/>
    <s v="N/A"/>
    <s v="N/A"/>
    <s v="N/A"/>
    <s v="N/A"/>
    <s v="N/A"/>
    <s v="N/A"/>
    <s v="N/A"/>
    <s v="N/A"/>
    <s v="N/A"/>
    <s v="N/A"/>
  </r>
  <r>
    <x v="1"/>
    <x v="0"/>
    <x v="0"/>
    <x v="0"/>
    <x v="0"/>
    <x v="1"/>
    <s v="N"/>
    <s v="N/A"/>
    <s v="N/A"/>
    <s v="N/A"/>
    <s v="N/A"/>
    <s v="N/A"/>
    <s v="N/A"/>
    <s v="N/A"/>
    <s v="N/A"/>
    <s v="N/A"/>
    <s v="N/A"/>
    <s v="N/A"/>
  </r>
  <r>
    <x v="1"/>
    <x v="1"/>
    <x v="1"/>
    <x v="0"/>
    <x v="0"/>
    <x v="1"/>
    <s v="N"/>
    <s v="N/A"/>
    <s v="N/A"/>
    <s v="N/A"/>
    <s v="N/A"/>
    <s v="N/A"/>
    <s v="N/A"/>
    <s v="N/A"/>
    <s v="N/A"/>
    <s v="N/A"/>
    <s v="N/A"/>
    <s v="N/A"/>
  </r>
  <r>
    <x v="2"/>
    <x v="0"/>
    <x v="0"/>
    <x v="0"/>
    <x v="0"/>
    <x v="1"/>
    <s v="N"/>
    <s v="N/A"/>
    <s v="N/A"/>
    <s v="N/A"/>
    <s v="N/A"/>
    <s v="N/A"/>
    <s v="N/A"/>
    <s v="N/A"/>
    <s v="N/A"/>
    <s v="N/A"/>
    <s v="N/A"/>
    <s v="N/A"/>
  </r>
  <r>
    <x v="2"/>
    <x v="1"/>
    <x v="1"/>
    <x v="0"/>
    <x v="0"/>
    <x v="1"/>
    <s v="N"/>
    <s v="N/A"/>
    <s v="N/A"/>
    <s v="N/A"/>
    <s v="N/A"/>
    <s v="N/A"/>
    <s v="N/A"/>
    <s v="N/A"/>
    <s v="N/A"/>
    <s v="N/A"/>
    <s v="N/A"/>
    <s v="N/A"/>
  </r>
  <r>
    <x v="3"/>
    <x v="0"/>
    <x v="0"/>
    <x v="0"/>
    <x v="0"/>
    <x v="1"/>
    <s v="Y"/>
    <n v="14317.960887050971"/>
    <n v="12872.883508082617"/>
    <n v="11532.56830644175"/>
    <n v="10289.225914080998"/>
    <n v="9135.648127992823"/>
    <n v="8277.3868041408386"/>
    <n v="7524.8601996432863"/>
    <n v="6811.4853485116837"/>
    <n v="6135.1391830315497"/>
    <n v="5493.8146685379452"/>
    <n v="4885.614452655087"/>
  </r>
  <r>
    <x v="3"/>
    <x v="1"/>
    <x v="1"/>
    <x v="0"/>
    <x v="0"/>
    <x v="1"/>
    <s v="Y"/>
    <n v="16214.689724310781"/>
    <n v="14626.142516390983"/>
    <n v="13152.713048742395"/>
    <n v="11785.842455141777"/>
    <n v="10517.61044199856"/>
    <n v="9573.872988377525"/>
    <n v="8746.3215974080158"/>
    <n v="7961.7962385426426"/>
    <n v="7217.9640605892209"/>
    <n v="6512.6197077176857"/>
    <n v="5843.6783413714065"/>
  </r>
  <r>
    <x v="4"/>
    <x v="0"/>
    <x v="0"/>
    <x v="0"/>
    <x v="0"/>
    <x v="1"/>
    <s v="Y"/>
    <n v="20439.881777911454"/>
    <n v="18524.703472857029"/>
    <n v="16749.138124578258"/>
    <n v="15102.797176888789"/>
    <n v="13576.06724381124"/>
    <n v="12443.12330184908"/>
    <n v="11451.094391758214"/>
    <n v="10511.170518587969"/>
    <n v="9620.5210170260143"/>
    <n v="8776.4699798312631"/>
    <n v="7976.4877870380551"/>
  </r>
  <r>
    <x v="4"/>
    <x v="2"/>
    <x v="1"/>
    <x v="0"/>
    <x v="0"/>
    <x v="1"/>
    <s v="Y"/>
    <n v="23143.628370927319"/>
    <n v="21058.288567037598"/>
    <n v="19124.947543968243"/>
    <n v="17332.295311086411"/>
    <n v="15669.865801376454"/>
    <n v="14436.15169619707"/>
    <n v="13355.853816719778"/>
    <n v="12332.285206884972"/>
    <n v="11362.364109572318"/>
    <n v="10443.177252159889"/>
    <n v="9571.9706244149202"/>
  </r>
  <r>
    <x v="0"/>
    <x v="0"/>
    <x v="2"/>
    <x v="0"/>
    <x v="0"/>
    <x v="1"/>
    <s v="N"/>
    <s v="N/A"/>
    <s v="N/A"/>
    <s v="N/A"/>
    <s v="N/A"/>
    <s v="N/A"/>
    <s v="N/A"/>
    <s v="N/A"/>
    <s v="N/A"/>
    <s v="N/A"/>
    <s v="N/A"/>
    <s v="N/A"/>
  </r>
  <r>
    <x v="0"/>
    <x v="1"/>
    <x v="2"/>
    <x v="0"/>
    <x v="0"/>
    <x v="1"/>
    <s v="N"/>
    <s v="N/A"/>
    <s v="N/A"/>
    <s v="N/A"/>
    <s v="N/A"/>
    <s v="N/A"/>
    <s v="N/A"/>
    <s v="N/A"/>
    <s v="N/A"/>
    <s v="N/A"/>
    <s v="N/A"/>
    <s v="N/A"/>
  </r>
  <r>
    <x v="1"/>
    <x v="0"/>
    <x v="2"/>
    <x v="0"/>
    <x v="0"/>
    <x v="1"/>
    <s v="N"/>
    <s v="N/A"/>
    <s v="N/A"/>
    <s v="N/A"/>
    <s v="N/A"/>
    <s v="N/A"/>
    <s v="N/A"/>
    <s v="N/A"/>
    <s v="N/A"/>
    <s v="N/A"/>
    <s v="N/A"/>
    <s v="N/A"/>
  </r>
  <r>
    <x v="1"/>
    <x v="1"/>
    <x v="2"/>
    <x v="0"/>
    <x v="0"/>
    <x v="1"/>
    <s v="N"/>
    <s v="N/A"/>
    <s v="N/A"/>
    <s v="N/A"/>
    <s v="N/A"/>
    <s v="N/A"/>
    <s v="N/A"/>
    <s v="N/A"/>
    <s v="N/A"/>
    <s v="N/A"/>
    <s v="N/A"/>
    <s v="N/A"/>
  </r>
  <r>
    <x v="2"/>
    <x v="0"/>
    <x v="2"/>
    <x v="0"/>
    <x v="0"/>
    <x v="1"/>
    <s v="N"/>
    <s v="N/A"/>
    <s v="N/A"/>
    <s v="N/A"/>
    <s v="N/A"/>
    <s v="N/A"/>
    <s v="N/A"/>
    <s v="N/A"/>
    <s v="N/A"/>
    <s v="N/A"/>
    <s v="N/A"/>
    <s v="N/A"/>
  </r>
  <r>
    <x v="2"/>
    <x v="1"/>
    <x v="2"/>
    <x v="0"/>
    <x v="0"/>
    <x v="1"/>
    <s v="N"/>
    <s v="N/A"/>
    <s v="N/A"/>
    <s v="N/A"/>
    <s v="N/A"/>
    <s v="N/A"/>
    <s v="N/A"/>
    <s v="N/A"/>
    <s v="N/A"/>
    <s v="N/A"/>
    <s v="N/A"/>
    <s v="N/A"/>
  </r>
  <r>
    <x v="3"/>
    <x v="0"/>
    <x v="2"/>
    <x v="0"/>
    <x v="0"/>
    <x v="1"/>
    <s v="Y"/>
    <n v="4976.1012098839019"/>
    <n v="4706.0414830791797"/>
    <n v="4454.4072800952999"/>
    <n v="4219.8404799268865"/>
    <n v="4001.0841718581378"/>
    <n v="3833.9270210220329"/>
    <n v="3685.357464181774"/>
    <n v="3543.7803736029127"/>
    <n v="3408.8243289273923"/>
    <n v="3280.1381308900654"/>
    <n v="3157.3896953555668"/>
  </r>
  <r>
    <x v="3"/>
    <x v="1"/>
    <x v="2"/>
    <x v="0"/>
    <x v="0"/>
    <x v="1"/>
    <s v="Y"/>
    <n v="4976.1012098839019"/>
    <n v="4706.0414830791797"/>
    <n v="4454.4072800952999"/>
    <n v="4219.8404799268865"/>
    <n v="4001.0841718581378"/>
    <n v="3833.9270210220329"/>
    <n v="3685.357464181774"/>
    <n v="3543.7803736029127"/>
    <n v="3408.8243289273923"/>
    <n v="3280.1381308900654"/>
    <n v="3157.3896953555668"/>
  </r>
  <r>
    <x v="4"/>
    <x v="0"/>
    <x v="2"/>
    <x v="0"/>
    <x v="0"/>
    <x v="1"/>
    <s v="Y"/>
    <n v="5876.5135809680669"/>
    <n v="5555.4291319230924"/>
    <n v="5256.4172916015823"/>
    <n v="4977.8493032163069"/>
    <n v="4718.2178070396649"/>
    <n v="4520.4509369448788"/>
    <n v="4344.952197757535"/>
    <n v="4177.8137175445936"/>
    <n v="4018.5902550971678"/>
    <n v="3866.8608213328571"/>
    <n v="3722.2273527401212"/>
  </r>
  <r>
    <x v="4"/>
    <x v="2"/>
    <x v="2"/>
    <x v="0"/>
    <x v="0"/>
    <x v="1"/>
    <s v="Y"/>
    <n v="5876.5135809680669"/>
    <n v="5555.4291319230924"/>
    <n v="5256.4172916015823"/>
    <n v="4977.8493032163069"/>
    <n v="4718.2178070396649"/>
    <n v="4520.4509369448788"/>
    <n v="4344.952197757535"/>
    <n v="4177.8137175445936"/>
    <n v="4018.5902550971678"/>
    <n v="3866.8608213328571"/>
    <n v="3722.2273527401212"/>
  </r>
  <r>
    <x v="0"/>
    <x v="0"/>
    <x v="3"/>
    <x v="0"/>
    <x v="0"/>
    <x v="1"/>
    <s v="N"/>
    <s v="N/A"/>
    <s v="N/A"/>
    <s v="N/A"/>
    <s v="N/A"/>
    <s v="N/A"/>
    <s v="N/A"/>
    <s v="N/A"/>
    <s v="N/A"/>
    <s v="N/A"/>
    <s v="N/A"/>
    <s v="N/A"/>
  </r>
  <r>
    <x v="0"/>
    <x v="1"/>
    <x v="3"/>
    <x v="0"/>
    <x v="0"/>
    <x v="1"/>
    <s v="N"/>
    <s v="N/A"/>
    <s v="N/A"/>
    <s v="N/A"/>
    <s v="N/A"/>
    <s v="N/A"/>
    <s v="N/A"/>
    <s v="N/A"/>
    <s v="N/A"/>
    <s v="N/A"/>
    <s v="N/A"/>
    <s v="N/A"/>
  </r>
  <r>
    <x v="1"/>
    <x v="0"/>
    <x v="3"/>
    <x v="0"/>
    <x v="0"/>
    <x v="1"/>
    <s v="N"/>
    <s v="N/A"/>
    <s v="N/A"/>
    <s v="N/A"/>
    <s v="N/A"/>
    <s v="N/A"/>
    <s v="N/A"/>
    <s v="N/A"/>
    <s v="N/A"/>
    <s v="N/A"/>
    <s v="N/A"/>
    <s v="N/A"/>
  </r>
  <r>
    <x v="1"/>
    <x v="1"/>
    <x v="3"/>
    <x v="0"/>
    <x v="0"/>
    <x v="1"/>
    <s v="N"/>
    <s v="N/A"/>
    <s v="N/A"/>
    <s v="N/A"/>
    <s v="N/A"/>
    <s v="N/A"/>
    <s v="N/A"/>
    <s v="N/A"/>
    <s v="N/A"/>
    <s v="N/A"/>
    <s v="N/A"/>
    <s v="N/A"/>
  </r>
  <r>
    <x v="2"/>
    <x v="0"/>
    <x v="3"/>
    <x v="0"/>
    <x v="0"/>
    <x v="1"/>
    <s v="N"/>
    <s v="N/A"/>
    <s v="N/A"/>
    <s v="N/A"/>
    <s v="N/A"/>
    <s v="N/A"/>
    <s v="N/A"/>
    <s v="N/A"/>
    <s v="N/A"/>
    <s v="N/A"/>
    <s v="N/A"/>
    <s v="N/A"/>
  </r>
  <r>
    <x v="2"/>
    <x v="1"/>
    <x v="3"/>
    <x v="0"/>
    <x v="0"/>
    <x v="1"/>
    <s v="N"/>
    <s v="N/A"/>
    <s v="N/A"/>
    <s v="N/A"/>
    <s v="N/A"/>
    <s v="N/A"/>
    <s v="N/A"/>
    <s v="N/A"/>
    <s v="N/A"/>
    <s v="N/A"/>
    <s v="N/A"/>
    <s v="N/A"/>
  </r>
  <r>
    <x v="3"/>
    <x v="0"/>
    <x v="3"/>
    <x v="0"/>
    <x v="0"/>
    <x v="1"/>
    <s v="Y"/>
    <n v="11110.136838309834"/>
    <n v="9848.0290290725607"/>
    <n v="8607.8538837884626"/>
    <n v="7389.5999772970699"/>
    <n v="6193.2560220750202"/>
    <n v="5018.8108666257958"/>
    <n v="4602.6198124325056"/>
    <n v="4191.9714605561076"/>
    <n v="3786.855058102683"/>
    <n v="3387.2599819466195"/>
    <n v="2993.1757372105203"/>
  </r>
  <r>
    <x v="3"/>
    <x v="1"/>
    <x v="3"/>
    <x v="0"/>
    <x v="0"/>
    <x v="1"/>
    <s v="Y"/>
    <n v="10610.136838309834"/>
    <n v="9348.0290290725607"/>
    <n v="8107.8538837884626"/>
    <n v="6889.5999772970699"/>
    <n v="5693.2560220750202"/>
    <n v="4518.8108666257958"/>
    <n v="4102.6198124325056"/>
    <n v="3691.9714605561076"/>
    <n v="3286.855058102683"/>
    <n v="2887.2599819466195"/>
    <n v="2493.1757372105203"/>
  </r>
  <r>
    <x v="4"/>
    <x v="0"/>
    <x v="3"/>
    <x v="0"/>
    <x v="0"/>
    <x v="1"/>
    <s v="Y"/>
    <n v="15199.517558637141"/>
    <n v="13650.247383730682"/>
    <n v="12131.976125477049"/>
    <n v="10644.684886967054"/>
    <n v="9188.355007031576"/>
    <n v="7762.968057416434"/>
    <n v="7199.0847713151925"/>
    <n v="6643.3476172103947"/>
    <n v="6095.7521925854362"/>
    <n v="5556.2941389488751"/>
    <n v="5024.9691413941855"/>
  </r>
  <r>
    <x v="4"/>
    <x v="2"/>
    <x v="3"/>
    <x v="0"/>
    <x v="0"/>
    <x v="1"/>
    <s v="Y"/>
    <n v="15199.517558637141"/>
    <n v="13650.247383730682"/>
    <n v="12131.976125477049"/>
    <n v="10644.684886967054"/>
    <n v="9188.355007031576"/>
    <n v="7762.968057416434"/>
    <n v="7199.0847713151925"/>
    <n v="6643.3476172103947"/>
    <n v="6095.7521925854362"/>
    <n v="5556.2941389488751"/>
    <n v="5024.9691413941855"/>
  </r>
  <r>
    <x v="0"/>
    <x v="0"/>
    <x v="0"/>
    <x v="1"/>
    <x v="1"/>
    <x v="0"/>
    <s v="Y"/>
    <n v="5241.9868421052633"/>
    <n v="4631.9347368421049"/>
    <n v="4063.9123646118428"/>
    <n v="3534.8173124098184"/>
    <n v="3041.7784112965137"/>
    <n v="2666.5683368822947"/>
    <n v="2333.7610593394988"/>
    <n v="2016.8640393531541"/>
    <n v="1715.0292997309384"/>
    <n v="1427.4550589377145"/>
    <n v="1153.3832041942494"/>
  </r>
  <r>
    <x v="0"/>
    <x v="1"/>
    <x v="1"/>
    <x v="1"/>
    <x v="1"/>
    <x v="0"/>
    <s v="Y"/>
    <n v="8361.3552631578968"/>
    <n v="7545.724605263159"/>
    <n v="6787.1972963552662"/>
    <n v="6081.5484062285941"/>
    <n v="5424.8680173694138"/>
    <n v="4928.558101133146"/>
    <n v="4489.8658555949532"/>
    <n v="4072.7014798949854"/>
    <n v="3675.911228465653"/>
    <n v="3298.4042742561287"/>
    <n v="2939.1492664340849"/>
  </r>
  <r>
    <x v="1"/>
    <x v="0"/>
    <x v="0"/>
    <x v="1"/>
    <x v="1"/>
    <x v="0"/>
    <s v="Y"/>
    <n v="6062.4210526315801"/>
    <n v="5423.2384210526334"/>
    <n v="4827.9389674210543"/>
    <n v="4273.2851305580716"/>
    <n v="3756.2806500463612"/>
    <n v="3362.2532797532872"/>
    <n v="3012.4973443394347"/>
    <n v="2679.3682045729634"/>
    <n v="2361.9807668103458"/>
    <n v="2059.4981440508514"/>
    <n v="1771.1290191452083"/>
  </r>
  <r>
    <x v="1"/>
    <x v="1"/>
    <x v="1"/>
    <x v="1"/>
    <x v="1"/>
    <x v="0"/>
    <s v="Y"/>
    <n v="9766.4894736842107"/>
    <n v="8889.3747894736862"/>
    <n v="8073.5191443894764"/>
    <n v="7314.3917268812984"/>
    <n v="6607.7995287239046"/>
    <n v="6073.2031441270119"/>
    <n v="5600.416349022893"/>
    <n v="5150.7383526803551"/>
    <n v="4722.9317111499086"/>
    <n v="4315.8264529104654"/>
    <n v="3928.3163875301716"/>
  </r>
  <r>
    <x v="2"/>
    <x v="0"/>
    <x v="0"/>
    <x v="1"/>
    <x v="1"/>
    <x v="0"/>
    <s v="Y"/>
    <n v="5955.7631578947385"/>
    <n v="5307.1840131578938"/>
    <n v="4703.3630813256605"/>
    <n v="4140.9957440071976"/>
    <n v="3617.0237067525363"/>
    <n v="3218.5527691467205"/>
    <n v="2865.2379346177595"/>
    <n v="2528.8590104834402"/>
    <n v="2208.5128364176157"/>
    <n v="1903.3454593143133"/>
    <n v="1612.5494416005108"/>
  </r>
  <r>
    <x v="2"/>
    <x v="1"/>
    <x v="1"/>
    <x v="1"/>
    <x v="1"/>
    <x v="0"/>
    <s v="Y"/>
    <n v="9624.2789473684206"/>
    <n v="8734.6355789473691"/>
    <n v="7907.4179629289483"/>
    <n v="7138.0058781468015"/>
    <n v="6422.1236043321369"/>
    <n v="5881.6024633182551"/>
    <n v="5404.0704693939915"/>
    <n v="4950.0594272276576"/>
    <n v="4518.3078039596039"/>
    <n v="4107.6228732617437"/>
    <n v="3716.8769508039068"/>
  </r>
  <r>
    <x v="3"/>
    <x v="0"/>
    <x v="0"/>
    <x v="1"/>
    <x v="1"/>
    <x v="0"/>
    <s v="Y"/>
    <n v="7040.1960526315797"/>
    <n v="6256.1864210526328"/>
    <n v="5526.4124334335529"/>
    <n v="4846.8683057031139"/>
    <n v="4213.8468565034964"/>
    <n v="3732.9418652451041"/>
    <n v="3306.7557358549548"/>
    <n v="2901.0788976715976"/>
    <n v="2514.8167109952337"/>
    <n v="2146.9341852096886"/>
    <n v="1796.4527158194846"/>
  </r>
  <r>
    <x v="3"/>
    <x v="1"/>
    <x v="1"/>
    <x v="1"/>
    <x v="1"/>
    <x v="0"/>
    <s v="Y"/>
    <n v="11031.838157894737"/>
    <n v="9953.890513157894"/>
    <n v="8951.7073543631559"/>
    <n v="8019.6799056923237"/>
    <n v="7152.6176160114392"/>
    <n v="6498.4248626108019"/>
    <n v="5920.681382783072"/>
    <n v="5371.4726806619065"/>
    <n v="4849.2674439460125"/>
    <n v="4352.6178900148134"/>
    <n v="3880.1551957750971"/>
  </r>
  <r>
    <x v="4"/>
    <x v="0"/>
    <x v="0"/>
    <x v="1"/>
    <x v="1"/>
    <x v="0"/>
    <s v="Y"/>
    <n v="8904.6981725146197"/>
    <n v="7973.579032894736"/>
    <n v="7107.3832562578973"/>
    <n v="6301.3101603653076"/>
    <n v="5550.9169754392287"/>
    <n v="4982.7748693924659"/>
    <n v="4480.1387401509983"/>
    <n v="4002.0040060369229"/>
    <n v="3547.0593949965041"/>
    <n v="3114.0651253276437"/>
    <n v="2701.8489946010845"/>
  </r>
  <r>
    <x v="4"/>
    <x v="2"/>
    <x v="1"/>
    <x v="1"/>
    <x v="1"/>
    <x v="0"/>
    <s v="Y"/>
    <n v="14065.827631578948"/>
    <n v="12784.550302631582"/>
    <n v="11593.984444252634"/>
    <n v="10487.407803984546"/>
    <n v="9458.5994519275209"/>
    <n v="8684.8560859724912"/>
    <n v="8002.649344121075"/>
    <n v="7354.54430509747"/>
    <n v="6738.7063918347376"/>
    <n v="6153.4011454487272"/>
    <n v="5596.9887470166796"/>
  </r>
  <r>
    <x v="0"/>
    <x v="0"/>
    <x v="2"/>
    <x v="1"/>
    <x v="1"/>
    <x v="0"/>
    <s v="Y"/>
    <n v="4821.7848529411767"/>
    <n v="4605.1118852941172"/>
    <n v="4402.4604494656624"/>
    <n v="4212.8053691577134"/>
    <n v="4035.1977821723058"/>
    <n v="3896.6169806376292"/>
    <n v="3772.1747398225975"/>
    <n v="3653.1283988034397"/>
    <n v="3539.1967051952197"/>
    <n v="3430.1136634497866"/>
    <n v="3325.6277009612759"/>
  </r>
  <r>
    <x v="0"/>
    <x v="1"/>
    <x v="2"/>
    <x v="1"/>
    <x v="1"/>
    <x v="0"/>
    <s v="Y"/>
    <n v="4821.7848529411767"/>
    <n v="4605.1118852941172"/>
    <n v="4402.4604494656624"/>
    <n v="4212.8053691577134"/>
    <n v="4035.1977821723058"/>
    <n v="3896.6169806376292"/>
    <n v="3772.1747398225975"/>
    <n v="3653.1283988034397"/>
    <n v="3539.1967051952197"/>
    <n v="3430.1136634497866"/>
    <n v="3325.6277009612759"/>
  </r>
  <r>
    <x v="1"/>
    <x v="0"/>
    <x v="2"/>
    <x v="1"/>
    <x v="1"/>
    <x v="0"/>
    <s v="Y"/>
    <n v="5244.6200678823525"/>
    <n v="5012.2585848505887"/>
    <n v="4794.9310199767888"/>
    <n v="4591.5382099359649"/>
    <n v="4401.0628127586833"/>
    <n v="4252.4310746708179"/>
    <n v="4118.9587084096747"/>
    <n v="3991.2721343505577"/>
    <n v="3869.0697985689153"/>
    <n v="3752.0665050355769"/>
    <n v="3639.9925215438052"/>
  </r>
  <r>
    <x v="1"/>
    <x v="1"/>
    <x v="2"/>
    <x v="1"/>
    <x v="1"/>
    <x v="0"/>
    <s v="Y"/>
    <n v="5244.6200678823525"/>
    <n v="5012.2585848505887"/>
    <n v="4794.9310199767888"/>
    <n v="4591.5382099359649"/>
    <n v="4401.0628127586833"/>
    <n v="4252.4310746708179"/>
    <n v="4118.9587084096747"/>
    <n v="3991.2721343505577"/>
    <n v="3869.0697985689153"/>
    <n v="3752.0665050355769"/>
    <n v="3639.9925215438052"/>
  </r>
  <r>
    <x v="2"/>
    <x v="0"/>
    <x v="2"/>
    <x v="1"/>
    <x v="1"/>
    <x v="0"/>
    <s v="Y"/>
    <n v="5679.0569112913436"/>
    <n v="5417.2478451196057"/>
    <n v="5172.6411279150279"/>
    <n v="4943.9760213054342"/>
    <n v="4730.0856668683555"/>
    <n v="4564.1615494119151"/>
    <n v="4415.5856266287965"/>
    <n v="4273.6027788975834"/>
    <n v="4137.8674499263852"/>
    <n v="4008.0528484846263"/>
    <n v="3883.8499225573869"/>
  </r>
  <r>
    <x v="2"/>
    <x v="1"/>
    <x v="2"/>
    <x v="1"/>
    <x v="1"/>
    <x v="0"/>
    <s v="Y"/>
    <n v="5679.0569112913436"/>
    <n v="5417.2478451196057"/>
    <n v="5172.6411279150279"/>
    <n v="4943.9760213054342"/>
    <n v="4730.0856668683555"/>
    <n v="4564.1615494119151"/>
    <n v="4415.5856266287965"/>
    <n v="4273.6027788975834"/>
    <n v="4137.8674499263852"/>
    <n v="4008.0528484846263"/>
    <n v="3883.8499225573869"/>
  </r>
  <r>
    <x v="3"/>
    <x v="0"/>
    <x v="2"/>
    <x v="1"/>
    <x v="1"/>
    <x v="0"/>
    <s v="Y"/>
    <n v="6117.9277144924545"/>
    <n v="5836.449722641647"/>
    <n v="5573.5114372621429"/>
    <n v="5327.753595522061"/>
    <n v="5097.9181562973599"/>
    <n v="4919.7926656168629"/>
    <n v="4760.3644523306557"/>
    <n v="4608.037291870306"/>
    <n v="4462.4386780121113"/>
    <n v="4323.2163364839371"/>
    <n v="4190.0371188934996"/>
  </r>
  <r>
    <x v="3"/>
    <x v="1"/>
    <x v="2"/>
    <x v="1"/>
    <x v="1"/>
    <x v="0"/>
    <s v="Y"/>
    <n v="4976.1012098839019"/>
    <n v="4706.0414830791797"/>
    <n v="4454.4072800952999"/>
    <n v="4219.8404799268865"/>
    <n v="4001.0841718581378"/>
    <n v="3833.9270210220329"/>
    <n v="3685.357464181774"/>
    <n v="3543.7803736029127"/>
    <n v="3408.8243289273923"/>
    <n v="3280.1381308900654"/>
    <n v="3157.3896953555668"/>
  </r>
  <r>
    <x v="4"/>
    <x v="0"/>
    <x v="2"/>
    <x v="1"/>
    <x v="1"/>
    <x v="0"/>
    <s v="Y"/>
    <n v="5876.5135809680669"/>
    <n v="5555.4291319230924"/>
    <n v="5256.4172916015823"/>
    <n v="4977.8493032163069"/>
    <n v="4718.2178070396649"/>
    <n v="4520.4509369448788"/>
    <n v="4344.952197757535"/>
    <n v="4177.8137175445936"/>
    <n v="4018.5902550971678"/>
    <n v="3866.8608213328571"/>
    <n v="3722.2273527401212"/>
  </r>
  <r>
    <x v="4"/>
    <x v="2"/>
    <x v="2"/>
    <x v="1"/>
    <x v="1"/>
    <x v="0"/>
    <s v="Y"/>
    <n v="5876.5135809680669"/>
    <n v="5555.4291319230924"/>
    <n v="5256.4172916015823"/>
    <n v="4977.8493032163069"/>
    <n v="4718.2178070396649"/>
    <n v="4520.4509369448788"/>
    <n v="4344.952197757535"/>
    <n v="4177.8137175445936"/>
    <n v="4018.5902550971678"/>
    <n v="3866.8608213328571"/>
    <n v="3722.2273527401212"/>
  </r>
  <r>
    <x v="0"/>
    <x v="0"/>
    <x v="3"/>
    <x v="1"/>
    <x v="1"/>
    <x v="0"/>
    <s v="Y"/>
    <n v="8058.2669049268252"/>
    <n v="7222.879283133424"/>
    <n v="6399.4471229237861"/>
    <n v="5587.9659841108714"/>
    <n v="4788.4314709095188"/>
    <n v="4000.8392314924058"/>
    <n v="3695.6675513576374"/>
    <n v="3393.7445947847273"/>
    <n v="3095.059467391985"/>
    <n v="2799.601405980894"/>
    <n v="2507.359777001885"/>
  </r>
  <r>
    <x v="0"/>
    <x v="1"/>
    <x v="3"/>
    <x v="1"/>
    <x v="1"/>
    <x v="0"/>
    <s v="Y"/>
    <n v="8058.2669049268252"/>
    <n v="7222.879283133424"/>
    <n v="6399.4471229237861"/>
    <n v="5587.9659841108714"/>
    <n v="4788.4314709095188"/>
    <n v="4000.8392314924058"/>
    <n v="3695.6675513576374"/>
    <n v="3393.7445947847273"/>
    <n v="3095.059467391985"/>
    <n v="2799.601405980894"/>
    <n v="2507.359777001885"/>
  </r>
  <r>
    <x v="1"/>
    <x v="0"/>
    <x v="3"/>
    <x v="1"/>
    <x v="1"/>
    <x v="0"/>
    <s v="Y"/>
    <n v="12043.634602515749"/>
    <n v="10827.491454691944"/>
    <n v="9638.2682181905584"/>
    <n v="8475.9526997054327"/>
    <n v="7340.5328512489705"/>
    <n v="6231.996768465061"/>
    <n v="5848.1408998660809"/>
    <n v="5469.6519722767553"/>
    <n v="5096.5185023042486"/>
    <n v="4728.7291436290297"/>
    <n v="4366.2726854117227"/>
  </r>
  <r>
    <x v="1"/>
    <x v="1"/>
    <x v="3"/>
    <x v="1"/>
    <x v="1"/>
    <x v="0"/>
    <s v="Y"/>
    <n v="12043.634602515749"/>
    <n v="10827.491454691944"/>
    <n v="9638.2682181905584"/>
    <n v="8475.9526997054327"/>
    <n v="7340.5328512489705"/>
    <n v="6231.996768465061"/>
    <n v="5848.1408998660809"/>
    <n v="5469.6519722767553"/>
    <n v="5096.5185023042486"/>
    <n v="4728.7291436290297"/>
    <n v="4366.2726854117227"/>
  </r>
  <r>
    <x v="2"/>
    <x v="0"/>
    <x v="3"/>
    <x v="1"/>
    <x v="1"/>
    <x v="0"/>
    <s v="Y"/>
    <n v="11338.34997989088"/>
    <n v="10225.58544853497"/>
    <n v="9129.7857409339795"/>
    <n v="8050.9387196926282"/>
    <n v="6989.032392175076"/>
    <n v="5944.0549088234675"/>
    <n v="5609.8367890172576"/>
    <n v="5279.5578317592981"/>
    <n v="4953.2132786354532"/>
    <n v="4630.7984188157243"/>
    <n v="4312.3085885784103"/>
  </r>
  <r>
    <x v="2"/>
    <x v="1"/>
    <x v="3"/>
    <x v="1"/>
    <x v="1"/>
    <x v="0"/>
    <s v="Y"/>
    <n v="11338.34997989088"/>
    <n v="10225.58544853497"/>
    <n v="9129.7857409339795"/>
    <n v="8050.9387196926282"/>
    <n v="6989.032392175076"/>
    <n v="5944.0549088234675"/>
    <n v="5609.8367890172576"/>
    <n v="5279.5578317592981"/>
    <n v="4953.2132786354532"/>
    <n v="4630.7984188157243"/>
    <n v="4312.3085885784103"/>
  </r>
  <r>
    <x v="3"/>
    <x v="0"/>
    <x v="3"/>
    <x v="1"/>
    <x v="1"/>
    <x v="0"/>
    <s v="Y"/>
    <n v="12246.594013309834"/>
    <n v="10973.12163232256"/>
    <n v="9721.6955610059631"/>
    <n v="8492.3032377423951"/>
    <n v="7284.9322499158916"/>
    <n v="6099.5703321882584"/>
    <n v="5672.5716833393435"/>
    <n v="5251.2238127538776"/>
    <n v="4835.5148867784756"/>
    <n v="4425.4332123356535"/>
    <n v="4020.9672352956641"/>
  </r>
  <r>
    <x v="3"/>
    <x v="1"/>
    <x v="3"/>
    <x v="1"/>
    <x v="1"/>
    <x v="0"/>
    <s v="Y"/>
    <n v="11746.594013309834"/>
    <n v="10473.12163232256"/>
    <n v="9221.6955610059631"/>
    <n v="7992.3032377423951"/>
    <n v="6784.9322499158916"/>
    <n v="5599.5703321882584"/>
    <n v="5172.5716833393435"/>
    <n v="4751.2238127538776"/>
    <n v="4335.5148867784756"/>
    <n v="3925.4332123356535"/>
    <n v="3520.9672352956641"/>
  </r>
  <r>
    <x v="4"/>
    <x v="0"/>
    <x v="3"/>
    <x v="1"/>
    <x v="1"/>
    <x v="0"/>
    <s v="Y"/>
    <n v="16410.07337363714"/>
    <n v="14848.697640580682"/>
    <n v="13318.441879758549"/>
    <n v="11819.285983705739"/>
    <n v="10351.210092802874"/>
    <n v="8914.1945923300191"/>
    <n v="8338.7990408796431"/>
    <n v="7771.6647440792003"/>
    <n v="7212.7861481855534"/>
    <n v="6662.1577549929916"/>
    <n v="6119.7741212778601"/>
  </r>
  <r>
    <x v="4"/>
    <x v="2"/>
    <x v="3"/>
    <x v="1"/>
    <x v="1"/>
    <x v="0"/>
    <s v="Y"/>
    <n v="16410.07337363714"/>
    <n v="14848.697640580682"/>
    <n v="13318.441879758549"/>
    <n v="11819.285983705739"/>
    <n v="10351.210092802874"/>
    <n v="8914.1945923300191"/>
    <n v="8338.7990408796431"/>
    <n v="7771.6647440792003"/>
    <n v="7212.7861481855534"/>
    <n v="6662.1577549929916"/>
    <n v="6119.7741212778601"/>
  </r>
  <r>
    <x v="0"/>
    <x v="0"/>
    <x v="0"/>
    <x v="1"/>
    <x v="0"/>
    <x v="1"/>
    <s v="N"/>
    <s v="N/A"/>
    <s v="N/A"/>
    <s v="N/A"/>
    <s v="N/A"/>
    <s v="N/A"/>
    <s v="N/A"/>
    <s v="N/A"/>
    <s v="N/A"/>
    <s v="N/A"/>
    <s v="N/A"/>
    <s v="N/A"/>
  </r>
  <r>
    <x v="0"/>
    <x v="1"/>
    <x v="1"/>
    <x v="1"/>
    <x v="0"/>
    <x v="1"/>
    <s v="N"/>
    <s v="N/A"/>
    <s v="N/A"/>
    <s v="N/A"/>
    <s v="N/A"/>
    <s v="N/A"/>
    <s v="N/A"/>
    <s v="N/A"/>
    <s v="N/A"/>
    <s v="N/A"/>
    <s v="N/A"/>
    <s v="N/A"/>
  </r>
  <r>
    <x v="1"/>
    <x v="0"/>
    <x v="0"/>
    <x v="1"/>
    <x v="0"/>
    <x v="1"/>
    <s v="N"/>
    <s v="N/A"/>
    <s v="N/A"/>
    <s v="N/A"/>
    <s v="N/A"/>
    <s v="N/A"/>
    <s v="N/A"/>
    <s v="N/A"/>
    <s v="N/A"/>
    <s v="N/A"/>
    <s v="N/A"/>
    <s v="N/A"/>
  </r>
  <r>
    <x v="1"/>
    <x v="1"/>
    <x v="1"/>
    <x v="1"/>
    <x v="0"/>
    <x v="1"/>
    <s v="N"/>
    <s v="N/A"/>
    <s v="N/A"/>
    <s v="N/A"/>
    <s v="N/A"/>
    <s v="N/A"/>
    <s v="N/A"/>
    <s v="N/A"/>
    <s v="N/A"/>
    <s v="N/A"/>
    <s v="N/A"/>
    <s v="N/A"/>
  </r>
  <r>
    <x v="2"/>
    <x v="0"/>
    <x v="0"/>
    <x v="1"/>
    <x v="0"/>
    <x v="1"/>
    <s v="N"/>
    <s v="N/A"/>
    <s v="N/A"/>
    <s v="N/A"/>
    <s v="N/A"/>
    <s v="N/A"/>
    <s v="N/A"/>
    <s v="N/A"/>
    <s v="N/A"/>
    <s v="N/A"/>
    <s v="N/A"/>
    <s v="N/A"/>
  </r>
  <r>
    <x v="2"/>
    <x v="1"/>
    <x v="1"/>
    <x v="1"/>
    <x v="0"/>
    <x v="1"/>
    <s v="N"/>
    <s v="N/A"/>
    <s v="N/A"/>
    <s v="N/A"/>
    <s v="N/A"/>
    <s v="N/A"/>
    <s v="N/A"/>
    <s v="N/A"/>
    <s v="N/A"/>
    <s v="N/A"/>
    <s v="N/A"/>
    <s v="N/A"/>
  </r>
  <r>
    <x v="3"/>
    <x v="0"/>
    <x v="0"/>
    <x v="1"/>
    <x v="0"/>
    <x v="1"/>
    <s v="Y"/>
    <n v="14917.960887050971"/>
    <n v="13466.883508082617"/>
    <n v="12120.628306441751"/>
    <n v="10871.405314080999"/>
    <n v="9712.0057339928244"/>
    <n v="8847.9808340808377"/>
    <n v="8089.7482892838862"/>
    <n v="7370.7245572558777"/>
    <n v="6688.7859996883017"/>
    <n v="6041.9250170281302"/>
    <n v="5428.2436976603694"/>
  </r>
  <r>
    <x v="3"/>
    <x v="1"/>
    <x v="1"/>
    <x v="1"/>
    <x v="0"/>
    <x v="1"/>
    <s v="Y"/>
    <n v="16814.689724310781"/>
    <n v="15220.142516390983"/>
    <n v="13740.773048742394"/>
    <n v="12368.021855141777"/>
    <n v="11093.968047998558"/>
    <n v="10144.467018317526"/>
    <n v="9311.2096870486148"/>
    <n v="8521.0354472868366"/>
    <n v="7771.6108772459729"/>
    <n v="7060.7300562078699"/>
    <n v="6386.3075863766899"/>
  </r>
  <r>
    <x v="4"/>
    <x v="0"/>
    <x v="0"/>
    <x v="1"/>
    <x v="0"/>
    <x v="1"/>
    <s v="Y"/>
    <n v="21039.881777911454"/>
    <n v="19118.703472857029"/>
    <n v="17337.198124578259"/>
    <n v="15684.976576888788"/>
    <n v="14152.424849811239"/>
    <n v="13013.717331789081"/>
    <n v="12015.982481398813"/>
    <n v="11070.409727332164"/>
    <n v="10174.167833682764"/>
    <n v="9324.5803283214482"/>
    <n v="8519.1170320433375"/>
  </r>
  <r>
    <x v="4"/>
    <x v="2"/>
    <x v="1"/>
    <x v="1"/>
    <x v="0"/>
    <x v="1"/>
    <s v="Y"/>
    <n v="23743.628370927319"/>
    <n v="21652.288567037598"/>
    <n v="19713.007543968244"/>
    <n v="17914.474711086412"/>
    <n v="16246.223407376456"/>
    <n v="15006.745726137071"/>
    <n v="13920.741906360377"/>
    <n v="12891.524415629166"/>
    <n v="11916.01092622907"/>
    <n v="10991.287600650074"/>
    <n v="10114.599869420203"/>
  </r>
  <r>
    <x v="0"/>
    <x v="0"/>
    <x v="2"/>
    <x v="1"/>
    <x v="0"/>
    <x v="1"/>
    <s v="N"/>
    <s v="N/A"/>
    <s v="N/A"/>
    <s v="N/A"/>
    <s v="N/A"/>
    <s v="N/A"/>
    <s v="N/A"/>
    <s v="N/A"/>
    <s v="N/A"/>
    <s v="N/A"/>
    <s v="N/A"/>
    <s v="N/A"/>
  </r>
  <r>
    <x v="0"/>
    <x v="1"/>
    <x v="2"/>
    <x v="1"/>
    <x v="0"/>
    <x v="1"/>
    <s v="N"/>
    <s v="N/A"/>
    <s v="N/A"/>
    <s v="N/A"/>
    <s v="N/A"/>
    <s v="N/A"/>
    <s v="N/A"/>
    <s v="N/A"/>
    <s v="N/A"/>
    <s v="N/A"/>
    <s v="N/A"/>
    <s v="N/A"/>
  </r>
  <r>
    <x v="1"/>
    <x v="0"/>
    <x v="2"/>
    <x v="1"/>
    <x v="0"/>
    <x v="1"/>
    <s v="N"/>
    <s v="N/A"/>
    <s v="N/A"/>
    <s v="N/A"/>
    <s v="N/A"/>
    <s v="N/A"/>
    <s v="N/A"/>
    <s v="N/A"/>
    <s v="N/A"/>
    <s v="N/A"/>
    <s v="N/A"/>
    <s v="N/A"/>
  </r>
  <r>
    <x v="1"/>
    <x v="1"/>
    <x v="2"/>
    <x v="1"/>
    <x v="0"/>
    <x v="1"/>
    <s v="N"/>
    <s v="N/A"/>
    <s v="N/A"/>
    <s v="N/A"/>
    <s v="N/A"/>
    <s v="N/A"/>
    <s v="N/A"/>
    <s v="N/A"/>
    <s v="N/A"/>
    <s v="N/A"/>
    <s v="N/A"/>
    <s v="N/A"/>
  </r>
  <r>
    <x v="2"/>
    <x v="0"/>
    <x v="2"/>
    <x v="1"/>
    <x v="0"/>
    <x v="1"/>
    <s v="N"/>
    <s v="N/A"/>
    <s v="N/A"/>
    <s v="N/A"/>
    <s v="N/A"/>
    <s v="N/A"/>
    <s v="N/A"/>
    <s v="N/A"/>
    <s v="N/A"/>
    <s v="N/A"/>
    <s v="N/A"/>
    <s v="N/A"/>
  </r>
  <r>
    <x v="2"/>
    <x v="1"/>
    <x v="2"/>
    <x v="1"/>
    <x v="0"/>
    <x v="1"/>
    <s v="N"/>
    <s v="N/A"/>
    <s v="N/A"/>
    <s v="N/A"/>
    <s v="N/A"/>
    <s v="N/A"/>
    <s v="N/A"/>
    <s v="N/A"/>
    <s v="N/A"/>
    <s v="N/A"/>
    <s v="N/A"/>
    <s v="N/A"/>
  </r>
  <r>
    <x v="3"/>
    <x v="0"/>
    <x v="2"/>
    <x v="1"/>
    <x v="0"/>
    <x v="1"/>
    <s v="Y"/>
    <n v="4976.1012098839019"/>
    <n v="4706.0414830791797"/>
    <n v="4454.4072800952999"/>
    <n v="4219.8404799268865"/>
    <n v="4001.0841718581378"/>
    <n v="3833.9270210220329"/>
    <n v="3685.357464181774"/>
    <n v="3543.7803736029127"/>
    <n v="3408.8243289273923"/>
    <n v="3280.1381308900654"/>
    <n v="3157.3896953555668"/>
  </r>
  <r>
    <x v="3"/>
    <x v="1"/>
    <x v="2"/>
    <x v="1"/>
    <x v="0"/>
    <x v="1"/>
    <s v="Y"/>
    <n v="4976.1012098839019"/>
    <n v="4706.0414830791797"/>
    <n v="4454.4072800952999"/>
    <n v="4219.8404799268865"/>
    <n v="4001.0841718581378"/>
    <n v="3833.9270210220329"/>
    <n v="3685.357464181774"/>
    <n v="3543.7803736029127"/>
    <n v="3408.8243289273923"/>
    <n v="3280.1381308900654"/>
    <n v="3157.3896953555668"/>
  </r>
  <r>
    <x v="4"/>
    <x v="0"/>
    <x v="2"/>
    <x v="1"/>
    <x v="0"/>
    <x v="1"/>
    <s v="Y"/>
    <n v="5876.5135809680669"/>
    <n v="5555.4291319230924"/>
    <n v="5256.4172916015823"/>
    <n v="4977.8493032163069"/>
    <n v="4718.2178070396649"/>
    <n v="4520.4509369448788"/>
    <n v="4344.952197757535"/>
    <n v="4177.8137175445936"/>
    <n v="4018.5902550971678"/>
    <n v="3866.8608213328571"/>
    <n v="3722.2273527401212"/>
  </r>
  <r>
    <x v="4"/>
    <x v="2"/>
    <x v="2"/>
    <x v="1"/>
    <x v="0"/>
    <x v="1"/>
    <s v="Y"/>
    <n v="5876.5135809680669"/>
    <n v="5555.4291319230924"/>
    <n v="5256.4172916015823"/>
    <n v="4977.8493032163069"/>
    <n v="4718.2178070396649"/>
    <n v="4520.4509369448788"/>
    <n v="4344.952197757535"/>
    <n v="4177.8137175445936"/>
    <n v="4018.5902550971678"/>
    <n v="3866.8608213328571"/>
    <n v="3722.2273527401212"/>
  </r>
  <r>
    <x v="0"/>
    <x v="0"/>
    <x v="3"/>
    <x v="1"/>
    <x v="0"/>
    <x v="1"/>
    <s v="N"/>
    <s v="N/A"/>
    <s v="N/A"/>
    <s v="N/A"/>
    <s v="N/A"/>
    <s v="N/A"/>
    <s v="N/A"/>
    <s v="N/A"/>
    <s v="N/A"/>
    <s v="N/A"/>
    <s v="N/A"/>
    <s v="N/A"/>
  </r>
  <r>
    <x v="0"/>
    <x v="1"/>
    <x v="3"/>
    <x v="1"/>
    <x v="0"/>
    <x v="1"/>
    <s v="N"/>
    <s v="N/A"/>
    <s v="N/A"/>
    <s v="N/A"/>
    <s v="N/A"/>
    <s v="N/A"/>
    <s v="N/A"/>
    <s v="N/A"/>
    <s v="N/A"/>
    <s v="N/A"/>
    <s v="N/A"/>
    <s v="N/A"/>
  </r>
  <r>
    <x v="1"/>
    <x v="0"/>
    <x v="3"/>
    <x v="1"/>
    <x v="0"/>
    <x v="1"/>
    <s v="N"/>
    <s v="N/A"/>
    <s v="N/A"/>
    <s v="N/A"/>
    <s v="N/A"/>
    <s v="N/A"/>
    <s v="N/A"/>
    <s v="N/A"/>
    <s v="N/A"/>
    <s v="N/A"/>
    <s v="N/A"/>
    <s v="N/A"/>
  </r>
  <r>
    <x v="1"/>
    <x v="1"/>
    <x v="3"/>
    <x v="1"/>
    <x v="0"/>
    <x v="1"/>
    <s v="N"/>
    <s v="N/A"/>
    <s v="N/A"/>
    <s v="N/A"/>
    <s v="N/A"/>
    <s v="N/A"/>
    <s v="N/A"/>
    <s v="N/A"/>
    <s v="N/A"/>
    <s v="N/A"/>
    <s v="N/A"/>
    <s v="N/A"/>
  </r>
  <r>
    <x v="2"/>
    <x v="0"/>
    <x v="3"/>
    <x v="1"/>
    <x v="0"/>
    <x v="1"/>
    <s v="N"/>
    <s v="N/A"/>
    <s v="N/A"/>
    <s v="N/A"/>
    <s v="N/A"/>
    <s v="N/A"/>
    <s v="N/A"/>
    <s v="N/A"/>
    <s v="N/A"/>
    <s v="N/A"/>
    <s v="N/A"/>
    <s v="N/A"/>
  </r>
  <r>
    <x v="2"/>
    <x v="1"/>
    <x v="3"/>
    <x v="1"/>
    <x v="0"/>
    <x v="1"/>
    <s v="N"/>
    <s v="N/A"/>
    <s v="N/A"/>
    <s v="N/A"/>
    <s v="N/A"/>
    <s v="N/A"/>
    <s v="N/A"/>
    <s v="N/A"/>
    <s v="N/A"/>
    <s v="N/A"/>
    <s v="N/A"/>
    <s v="N/A"/>
  </r>
  <r>
    <x v="3"/>
    <x v="0"/>
    <x v="3"/>
    <x v="1"/>
    <x v="0"/>
    <x v="1"/>
    <s v="Y"/>
    <n v="11110.136838309834"/>
    <n v="9848.0290290725607"/>
    <n v="8607.8538837884626"/>
    <n v="7389.5999772970699"/>
    <n v="6193.2560220750202"/>
    <n v="5018.8108666257958"/>
    <n v="4602.6198124325056"/>
    <n v="4191.9714605561076"/>
    <n v="3786.855058102683"/>
    <n v="3387.2599819466195"/>
    <n v="2993.1757372105203"/>
  </r>
  <r>
    <x v="3"/>
    <x v="1"/>
    <x v="3"/>
    <x v="1"/>
    <x v="0"/>
    <x v="1"/>
    <s v="Y"/>
    <n v="10610.136838309834"/>
    <n v="9348.0290290725607"/>
    <n v="8107.8538837884626"/>
    <n v="6889.5999772970699"/>
    <n v="5693.2560220750202"/>
    <n v="4518.8108666257958"/>
    <n v="4102.6198124325056"/>
    <n v="3691.9714605561076"/>
    <n v="3286.855058102683"/>
    <n v="2887.2599819466195"/>
    <n v="2493.1757372105203"/>
  </r>
  <r>
    <x v="4"/>
    <x v="0"/>
    <x v="3"/>
    <x v="1"/>
    <x v="0"/>
    <x v="1"/>
    <s v="Y"/>
    <n v="15199.517558637141"/>
    <n v="13650.247383730682"/>
    <n v="12131.976125477049"/>
    <n v="10644.684886967054"/>
    <n v="9188.355007031576"/>
    <n v="7762.968057416434"/>
    <n v="7199.0847713151925"/>
    <n v="6643.3476172103947"/>
    <n v="6095.7521925854362"/>
    <n v="5556.2941389488751"/>
    <n v="5024.9691413941855"/>
  </r>
  <r>
    <x v="4"/>
    <x v="2"/>
    <x v="3"/>
    <x v="1"/>
    <x v="0"/>
    <x v="1"/>
    <s v="Y"/>
    <n v="15199.517558637141"/>
    <n v="13650.247383730682"/>
    <n v="12131.976125477049"/>
    <n v="10644.684886967054"/>
    <n v="9188.355007031576"/>
    <n v="7762.968057416434"/>
    <n v="7199.0847713151925"/>
    <n v="6643.3476172103947"/>
    <n v="6095.7521925854362"/>
    <n v="5556.2941389488751"/>
    <n v="5024.9691413941855"/>
  </r>
  <r>
    <x v="0"/>
    <x v="0"/>
    <x v="0"/>
    <x v="0"/>
    <x v="1"/>
    <x v="1"/>
    <s v="N"/>
    <s v="N/A"/>
    <s v="N/A"/>
    <s v="N/A"/>
    <s v="N/A"/>
    <s v="N/A"/>
    <s v="N/A"/>
    <s v="N/A"/>
    <s v="N/A"/>
    <s v="N/A"/>
    <s v="N/A"/>
    <s v="N/A"/>
  </r>
  <r>
    <x v="0"/>
    <x v="1"/>
    <x v="1"/>
    <x v="0"/>
    <x v="1"/>
    <x v="1"/>
    <s v="N"/>
    <s v="N/A"/>
    <s v="N/A"/>
    <s v="N/A"/>
    <s v="N/A"/>
    <s v="N/A"/>
    <s v="N/A"/>
    <s v="N/A"/>
    <s v="N/A"/>
    <s v="N/A"/>
    <s v="N/A"/>
    <s v="N/A"/>
  </r>
  <r>
    <x v="1"/>
    <x v="0"/>
    <x v="0"/>
    <x v="0"/>
    <x v="1"/>
    <x v="1"/>
    <s v="N"/>
    <s v="N/A"/>
    <s v="N/A"/>
    <s v="N/A"/>
    <s v="N/A"/>
    <s v="N/A"/>
    <s v="N/A"/>
    <s v="N/A"/>
    <s v="N/A"/>
    <s v="N/A"/>
    <s v="N/A"/>
    <s v="N/A"/>
  </r>
  <r>
    <x v="1"/>
    <x v="1"/>
    <x v="1"/>
    <x v="0"/>
    <x v="1"/>
    <x v="1"/>
    <s v="N"/>
    <s v="N/A"/>
    <s v="N/A"/>
    <s v="N/A"/>
    <s v="N/A"/>
    <s v="N/A"/>
    <s v="N/A"/>
    <s v="N/A"/>
    <s v="N/A"/>
    <s v="N/A"/>
    <s v="N/A"/>
    <s v="N/A"/>
  </r>
  <r>
    <x v="2"/>
    <x v="0"/>
    <x v="0"/>
    <x v="0"/>
    <x v="1"/>
    <x v="1"/>
    <s v="N"/>
    <s v="N/A"/>
    <s v="N/A"/>
    <s v="N/A"/>
    <s v="N/A"/>
    <s v="N/A"/>
    <s v="N/A"/>
    <s v="N/A"/>
    <s v="N/A"/>
    <s v="N/A"/>
    <s v="N/A"/>
    <s v="N/A"/>
  </r>
  <r>
    <x v="2"/>
    <x v="1"/>
    <x v="1"/>
    <x v="0"/>
    <x v="1"/>
    <x v="1"/>
    <s v="N"/>
    <s v="N/A"/>
    <s v="N/A"/>
    <s v="N/A"/>
    <s v="N/A"/>
    <s v="N/A"/>
    <s v="N/A"/>
    <s v="N/A"/>
    <s v="N/A"/>
    <s v="N/A"/>
    <s v="N/A"/>
    <s v="N/A"/>
  </r>
  <r>
    <x v="3"/>
    <x v="0"/>
    <x v="0"/>
    <x v="0"/>
    <x v="1"/>
    <x v="1"/>
    <s v="Y"/>
    <n v="15539.810887050971"/>
    <n v="14082.515008082617"/>
    <n v="12730.103491441751"/>
    <n v="11474.785747230999"/>
    <n v="10309.352362811323"/>
    <n v="9439.353996611153"/>
    <n v="8675.2077201888969"/>
    <n v="7950.3293938518391"/>
    <n v="7262.5947879183041"/>
    <n v="6609.9957173758321"/>
    <n v="5990.6336910045948"/>
  </r>
  <r>
    <x v="3"/>
    <x v="1"/>
    <x v="1"/>
    <x v="0"/>
    <x v="1"/>
    <x v="1"/>
    <s v="Y"/>
    <n v="17528.064724310781"/>
    <n v="15926.383766390982"/>
    <n v="14439.951886242396"/>
    <n v="13060.208904266776"/>
    <n v="11779.23322663231"/>
    <n v="10822.879545164938"/>
    <n v="9982.8380886275536"/>
    <n v="9185.9475648499865"/>
    <n v="8429.8738736334908"/>
    <n v="7712.4104226315121"/>
    <n v="7031.4711491360949"/>
  </r>
  <r>
    <x v="4"/>
    <x v="0"/>
    <x v="0"/>
    <x v="0"/>
    <x v="1"/>
    <x v="1"/>
    <s v="Y"/>
    <n v="21741.779833467008"/>
    <n v="19813.58254785703"/>
    <n v="18025.128408828255"/>
    <n v="16366.027558296289"/>
    <n v="14826.665321404664"/>
    <n v="13681.215398666571"/>
    <n v="12676.805567607529"/>
    <n v="11724.624582678793"/>
    <n v="10821.840540475929"/>
    <n v="9965.7763080466793"/>
    <n v="9153.9010519713156"/>
  </r>
  <r>
    <x v="4"/>
    <x v="2"/>
    <x v="1"/>
    <x v="0"/>
    <x v="1"/>
    <x v="1"/>
    <s v="Y"/>
    <n v="24498.843370927323"/>
    <n v="22399.951417037599"/>
    <n v="20453.193765468244"/>
    <n v="18647.259070371409"/>
    <n v="16971.679923068605"/>
    <n v="15724.947676672298"/>
    <n v="14631.761837390255"/>
    <n v="13595.434147348744"/>
    <n v="12612.881560631451"/>
    <n v="11681.18952870843"/>
    <n v="10797.602778197979"/>
  </r>
  <r>
    <x v="0"/>
    <x v="0"/>
    <x v="2"/>
    <x v="0"/>
    <x v="1"/>
    <x v="1"/>
    <s v="N"/>
    <s v="N/A"/>
    <s v="N/A"/>
    <s v="N/A"/>
    <s v="N/A"/>
    <s v="N/A"/>
    <s v="N/A"/>
    <s v="N/A"/>
    <s v="N/A"/>
    <s v="N/A"/>
    <s v="N/A"/>
    <s v="N/A"/>
  </r>
  <r>
    <x v="0"/>
    <x v="1"/>
    <x v="2"/>
    <x v="0"/>
    <x v="1"/>
    <x v="1"/>
    <s v="N"/>
    <s v="N/A"/>
    <s v="N/A"/>
    <s v="N/A"/>
    <s v="N/A"/>
    <s v="N/A"/>
    <s v="N/A"/>
    <s v="N/A"/>
    <s v="N/A"/>
    <s v="N/A"/>
    <s v="N/A"/>
    <s v="N/A"/>
  </r>
  <r>
    <x v="1"/>
    <x v="0"/>
    <x v="2"/>
    <x v="0"/>
    <x v="1"/>
    <x v="1"/>
    <s v="N"/>
    <s v="N/A"/>
    <s v="N/A"/>
    <s v="N/A"/>
    <s v="N/A"/>
    <s v="N/A"/>
    <s v="N/A"/>
    <s v="N/A"/>
    <s v="N/A"/>
    <s v="N/A"/>
    <s v="N/A"/>
    <s v="N/A"/>
  </r>
  <r>
    <x v="1"/>
    <x v="1"/>
    <x v="2"/>
    <x v="0"/>
    <x v="1"/>
    <x v="1"/>
    <s v="N"/>
    <s v="N/A"/>
    <s v="N/A"/>
    <s v="N/A"/>
    <s v="N/A"/>
    <s v="N/A"/>
    <s v="N/A"/>
    <s v="N/A"/>
    <s v="N/A"/>
    <s v="N/A"/>
    <s v="N/A"/>
    <s v="N/A"/>
  </r>
  <r>
    <x v="2"/>
    <x v="0"/>
    <x v="2"/>
    <x v="0"/>
    <x v="1"/>
    <x v="1"/>
    <s v="N"/>
    <s v="N/A"/>
    <s v="N/A"/>
    <s v="N/A"/>
    <s v="N/A"/>
    <s v="N/A"/>
    <s v="N/A"/>
    <s v="N/A"/>
    <s v="N/A"/>
    <s v="N/A"/>
    <s v="N/A"/>
    <s v="N/A"/>
  </r>
  <r>
    <x v="2"/>
    <x v="1"/>
    <x v="2"/>
    <x v="0"/>
    <x v="1"/>
    <x v="1"/>
    <s v="N"/>
    <s v="N/A"/>
    <s v="N/A"/>
    <s v="N/A"/>
    <s v="N/A"/>
    <s v="N/A"/>
    <s v="N/A"/>
    <s v="N/A"/>
    <s v="N/A"/>
    <s v="N/A"/>
    <s v="N/A"/>
    <s v="N/A"/>
  </r>
  <r>
    <x v="3"/>
    <x v="0"/>
    <x v="2"/>
    <x v="0"/>
    <x v="1"/>
    <x v="1"/>
    <s v="Y"/>
    <n v="6117.9277144924545"/>
    <n v="5836.449722641647"/>
    <n v="5573.5114372621429"/>
    <n v="5327.753595522061"/>
    <n v="5097.9181562973599"/>
    <n v="4919.7926656168629"/>
    <n v="4760.3644523306557"/>
    <n v="4608.037291870306"/>
    <n v="4462.4386780121113"/>
    <n v="4323.2163364839371"/>
    <n v="4190.0371188934996"/>
  </r>
  <r>
    <x v="3"/>
    <x v="1"/>
    <x v="2"/>
    <x v="0"/>
    <x v="1"/>
    <x v="1"/>
    <s v="Y"/>
    <n v="4976.1012098839019"/>
    <n v="4706.0414830791797"/>
    <n v="4454.4072800952999"/>
    <n v="4219.8404799268865"/>
    <n v="4001.0841718581378"/>
    <n v="3833.9270210220329"/>
    <n v="3685.357464181774"/>
    <n v="3543.7803736029127"/>
    <n v="3408.8243289273923"/>
    <n v="3280.1381308900654"/>
    <n v="3157.3896953555668"/>
  </r>
  <r>
    <x v="4"/>
    <x v="0"/>
    <x v="2"/>
    <x v="0"/>
    <x v="1"/>
    <x v="1"/>
    <s v="Y"/>
    <n v="5876.5135809680669"/>
    <n v="5555.4291319230924"/>
    <n v="5256.4172916015823"/>
    <n v="4977.8493032163069"/>
    <n v="4718.2178070396649"/>
    <n v="4520.4509369448788"/>
    <n v="4344.952197757535"/>
    <n v="4177.8137175445936"/>
    <n v="4018.5902550971678"/>
    <n v="3866.8608213328571"/>
    <n v="3722.2273527401212"/>
  </r>
  <r>
    <x v="4"/>
    <x v="2"/>
    <x v="2"/>
    <x v="0"/>
    <x v="1"/>
    <x v="1"/>
    <s v="Y"/>
    <n v="5876.5135809680669"/>
    <n v="5555.4291319230924"/>
    <n v="5256.4172916015823"/>
    <n v="4977.8493032163069"/>
    <n v="4718.2178070396649"/>
    <n v="4520.4509369448788"/>
    <n v="4344.952197757535"/>
    <n v="4177.8137175445936"/>
    <n v="4018.5902550971678"/>
    <n v="3866.8608213328571"/>
    <n v="3722.2273527401212"/>
  </r>
  <r>
    <x v="0"/>
    <x v="0"/>
    <x v="3"/>
    <x v="0"/>
    <x v="1"/>
    <x v="1"/>
    <s v="N"/>
    <s v="N/A"/>
    <s v="N/A"/>
    <s v="N/A"/>
    <s v="N/A"/>
    <s v="N/A"/>
    <s v="N/A"/>
    <s v="N/A"/>
    <s v="N/A"/>
    <s v="N/A"/>
    <s v="N/A"/>
    <s v="N/A"/>
  </r>
  <r>
    <x v="0"/>
    <x v="1"/>
    <x v="3"/>
    <x v="0"/>
    <x v="1"/>
    <x v="1"/>
    <s v="N"/>
    <s v="N/A"/>
    <s v="N/A"/>
    <s v="N/A"/>
    <s v="N/A"/>
    <s v="N/A"/>
    <s v="N/A"/>
    <s v="N/A"/>
    <s v="N/A"/>
    <s v="N/A"/>
    <s v="N/A"/>
    <s v="N/A"/>
  </r>
  <r>
    <x v="1"/>
    <x v="0"/>
    <x v="3"/>
    <x v="0"/>
    <x v="1"/>
    <x v="1"/>
    <s v="N"/>
    <s v="N/A"/>
    <s v="N/A"/>
    <s v="N/A"/>
    <s v="N/A"/>
    <s v="N/A"/>
    <s v="N/A"/>
    <s v="N/A"/>
    <s v="N/A"/>
    <s v="N/A"/>
    <s v="N/A"/>
    <s v="N/A"/>
  </r>
  <r>
    <x v="1"/>
    <x v="1"/>
    <x v="3"/>
    <x v="0"/>
    <x v="1"/>
    <x v="1"/>
    <s v="N"/>
    <s v="N/A"/>
    <s v="N/A"/>
    <s v="N/A"/>
    <s v="N/A"/>
    <s v="N/A"/>
    <s v="N/A"/>
    <s v="N/A"/>
    <s v="N/A"/>
    <s v="N/A"/>
    <s v="N/A"/>
    <s v="N/A"/>
  </r>
  <r>
    <x v="2"/>
    <x v="0"/>
    <x v="3"/>
    <x v="0"/>
    <x v="1"/>
    <x v="1"/>
    <s v="N"/>
    <s v="N/A"/>
    <s v="N/A"/>
    <s v="N/A"/>
    <s v="N/A"/>
    <s v="N/A"/>
    <s v="N/A"/>
    <s v="N/A"/>
    <s v="N/A"/>
    <s v="N/A"/>
    <s v="N/A"/>
    <s v="N/A"/>
  </r>
  <r>
    <x v="2"/>
    <x v="1"/>
    <x v="3"/>
    <x v="0"/>
    <x v="1"/>
    <x v="1"/>
    <s v="N"/>
    <s v="N/A"/>
    <s v="N/A"/>
    <s v="N/A"/>
    <s v="N/A"/>
    <s v="N/A"/>
    <s v="N/A"/>
    <s v="N/A"/>
    <s v="N/A"/>
    <s v="N/A"/>
    <s v="N/A"/>
    <s v="N/A"/>
  </r>
  <r>
    <x v="3"/>
    <x v="0"/>
    <x v="3"/>
    <x v="0"/>
    <x v="1"/>
    <x v="1"/>
    <s v="Y"/>
    <n v="12246.594013309834"/>
    <n v="10973.12163232256"/>
    <n v="9721.6955610059631"/>
    <n v="8492.3032377423951"/>
    <n v="7284.9322499158916"/>
    <n v="6099.5703321882584"/>
    <n v="5672.5716833393435"/>
    <n v="5251.2238127538776"/>
    <n v="4835.5148867784756"/>
    <n v="4425.4332123356535"/>
    <n v="4020.9672352956641"/>
  </r>
  <r>
    <x v="3"/>
    <x v="1"/>
    <x v="3"/>
    <x v="0"/>
    <x v="1"/>
    <x v="1"/>
    <s v="Y"/>
    <n v="11746.594013309834"/>
    <n v="10473.12163232256"/>
    <n v="9221.6955610059631"/>
    <n v="7992.3032377423951"/>
    <n v="6784.9322499158916"/>
    <n v="5599.5703321882584"/>
    <n v="5172.5716833393435"/>
    <n v="4751.2238127538776"/>
    <n v="4335.5148867784756"/>
    <n v="3925.4332123356535"/>
    <n v="3520.9672352956641"/>
  </r>
  <r>
    <x v="4"/>
    <x v="0"/>
    <x v="3"/>
    <x v="0"/>
    <x v="1"/>
    <x v="1"/>
    <s v="Y"/>
    <n v="16410.07337363714"/>
    <n v="14848.697640580682"/>
    <n v="13318.441879758549"/>
    <n v="11819.285983705739"/>
    <n v="10351.210092802874"/>
    <n v="8914.1945923300191"/>
    <n v="8338.7990408796431"/>
    <n v="7771.6647440792003"/>
    <n v="7212.7861481855534"/>
    <n v="6662.1577549929916"/>
    <n v="6119.7741212778601"/>
  </r>
  <r>
    <x v="4"/>
    <x v="2"/>
    <x v="3"/>
    <x v="0"/>
    <x v="1"/>
    <x v="1"/>
    <s v="Y"/>
    <n v="16410.07337363714"/>
    <n v="14848.697640580682"/>
    <n v="13318.441879758549"/>
    <n v="11819.285983705739"/>
    <n v="10351.210092802874"/>
    <n v="8914.1945923300191"/>
    <n v="8338.7990408796431"/>
    <n v="7771.6647440792003"/>
    <n v="7212.7861481855534"/>
    <n v="6662.1577549929916"/>
    <n v="6119.7741212778601"/>
  </r>
  <r>
    <x v="0"/>
    <x v="0"/>
    <x v="0"/>
    <x v="1"/>
    <x v="1"/>
    <x v="1"/>
    <s v="N"/>
    <s v="N/A"/>
    <s v="N/A"/>
    <s v="N/A"/>
    <s v="N/A"/>
    <s v="N/A"/>
    <s v="N/A"/>
    <s v="N/A"/>
    <s v="N/A"/>
    <s v="N/A"/>
    <s v="N/A"/>
    <s v="N/A"/>
  </r>
  <r>
    <x v="0"/>
    <x v="1"/>
    <x v="1"/>
    <x v="1"/>
    <x v="1"/>
    <x v="1"/>
    <s v="N"/>
    <s v="N/A"/>
    <s v="N/A"/>
    <s v="N/A"/>
    <s v="N/A"/>
    <s v="N/A"/>
    <s v="N/A"/>
    <s v="N/A"/>
    <s v="N/A"/>
    <s v="N/A"/>
    <s v="N/A"/>
    <s v="N/A"/>
  </r>
  <r>
    <x v="1"/>
    <x v="0"/>
    <x v="0"/>
    <x v="1"/>
    <x v="1"/>
    <x v="1"/>
    <s v="N"/>
    <s v="N/A"/>
    <s v="N/A"/>
    <s v="N/A"/>
    <s v="N/A"/>
    <s v="N/A"/>
    <s v="N/A"/>
    <s v="N/A"/>
    <s v="N/A"/>
    <s v="N/A"/>
    <s v="N/A"/>
    <s v="N/A"/>
  </r>
  <r>
    <x v="1"/>
    <x v="1"/>
    <x v="1"/>
    <x v="1"/>
    <x v="1"/>
    <x v="1"/>
    <s v="N"/>
    <s v="N/A"/>
    <s v="N/A"/>
    <s v="N/A"/>
    <s v="N/A"/>
    <s v="N/A"/>
    <s v="N/A"/>
    <s v="N/A"/>
    <s v="N/A"/>
    <s v="N/A"/>
    <s v="N/A"/>
    <s v="N/A"/>
  </r>
  <r>
    <x v="2"/>
    <x v="0"/>
    <x v="0"/>
    <x v="1"/>
    <x v="1"/>
    <x v="1"/>
    <s v="N"/>
    <s v="N/A"/>
    <s v="N/A"/>
    <s v="N/A"/>
    <s v="N/A"/>
    <s v="N/A"/>
    <s v="N/A"/>
    <s v="N/A"/>
    <s v="N/A"/>
    <s v="N/A"/>
    <s v="N/A"/>
    <s v="N/A"/>
  </r>
  <r>
    <x v="2"/>
    <x v="1"/>
    <x v="1"/>
    <x v="1"/>
    <x v="1"/>
    <x v="1"/>
    <s v="N"/>
    <s v="N/A"/>
    <s v="N/A"/>
    <s v="N/A"/>
    <s v="N/A"/>
    <s v="N/A"/>
    <s v="N/A"/>
    <s v="N/A"/>
    <s v="N/A"/>
    <s v="N/A"/>
    <s v="N/A"/>
    <s v="N/A"/>
  </r>
  <r>
    <x v="3"/>
    <x v="0"/>
    <x v="0"/>
    <x v="1"/>
    <x v="1"/>
    <x v="1"/>
    <s v="Y"/>
    <n v="16139.810887050971"/>
    <n v="14676.515008082617"/>
    <n v="13318.16349144175"/>
    <n v="12056.965147231"/>
    <n v="10885.709968811323"/>
    <n v="10009.948026551152"/>
    <n v="9240.0958098294977"/>
    <n v="8509.5686025960331"/>
    <n v="7816.241604575056"/>
    <n v="7158.1060658660163"/>
    <n v="6533.2629360098781"/>
  </r>
  <r>
    <x v="3"/>
    <x v="1"/>
    <x v="1"/>
    <x v="1"/>
    <x v="1"/>
    <x v="1"/>
    <s v="Y"/>
    <n v="18128.064724310781"/>
    <n v="16520.38376639098"/>
    <n v="15028.011886242393"/>
    <n v="13642.388304266777"/>
    <n v="12355.590832632308"/>
    <n v="11393.473575104937"/>
    <n v="10547.726178268153"/>
    <n v="9745.1867735941796"/>
    <n v="8983.5206902902428"/>
    <n v="8260.5207711216972"/>
    <n v="7574.1003941413783"/>
  </r>
  <r>
    <x v="4"/>
    <x v="0"/>
    <x v="0"/>
    <x v="1"/>
    <x v="1"/>
    <x v="1"/>
    <s v="Y"/>
    <n v="22341.779833467008"/>
    <n v="20407.58254785703"/>
    <n v="18613.188408828257"/>
    <n v="16948.20695829629"/>
    <n v="15403.022927404665"/>
    <n v="14251.809428606572"/>
    <n v="13241.69365724813"/>
    <n v="12283.863791422986"/>
    <n v="11375.487357132679"/>
    <n v="10513.886656536863"/>
    <n v="9696.5302969765999"/>
  </r>
  <r>
    <x v="4"/>
    <x v="2"/>
    <x v="1"/>
    <x v="1"/>
    <x v="1"/>
    <x v="1"/>
    <s v="Y"/>
    <n v="25098.843370927323"/>
    <n v="22993.951417037599"/>
    <n v="21041.253765468246"/>
    <n v="19229.438470371409"/>
    <n v="17548.037529068606"/>
    <n v="16295.541706612301"/>
    <n v="15196.649927030854"/>
    <n v="14154.673356092939"/>
    <n v="13166.528377288203"/>
    <n v="12229.299877198617"/>
    <n v="11340.232023203262"/>
  </r>
  <r>
    <x v="0"/>
    <x v="0"/>
    <x v="2"/>
    <x v="1"/>
    <x v="1"/>
    <x v="1"/>
    <s v="N"/>
    <s v="N/A"/>
    <s v="N/A"/>
    <s v="N/A"/>
    <s v="N/A"/>
    <s v="N/A"/>
    <s v="N/A"/>
    <s v="N/A"/>
    <s v="N/A"/>
    <s v="N/A"/>
    <s v="N/A"/>
    <s v="N/A"/>
  </r>
  <r>
    <x v="0"/>
    <x v="1"/>
    <x v="2"/>
    <x v="1"/>
    <x v="1"/>
    <x v="1"/>
    <s v="N"/>
    <s v="N/A"/>
    <s v="N/A"/>
    <s v="N/A"/>
    <s v="N/A"/>
    <s v="N/A"/>
    <s v="N/A"/>
    <s v="N/A"/>
    <s v="N/A"/>
    <s v="N/A"/>
    <s v="N/A"/>
    <s v="N/A"/>
  </r>
  <r>
    <x v="1"/>
    <x v="0"/>
    <x v="2"/>
    <x v="1"/>
    <x v="1"/>
    <x v="1"/>
    <s v="N"/>
    <s v="N/A"/>
    <s v="N/A"/>
    <s v="N/A"/>
    <s v="N/A"/>
    <s v="N/A"/>
    <s v="N/A"/>
    <s v="N/A"/>
    <s v="N/A"/>
    <s v="N/A"/>
    <s v="N/A"/>
    <s v="N/A"/>
  </r>
  <r>
    <x v="1"/>
    <x v="1"/>
    <x v="2"/>
    <x v="1"/>
    <x v="1"/>
    <x v="1"/>
    <s v="N"/>
    <s v="N/A"/>
    <s v="N/A"/>
    <s v="N/A"/>
    <s v="N/A"/>
    <s v="N/A"/>
    <s v="N/A"/>
    <s v="N/A"/>
    <s v="N/A"/>
    <s v="N/A"/>
    <s v="N/A"/>
    <s v="N/A"/>
  </r>
  <r>
    <x v="2"/>
    <x v="0"/>
    <x v="2"/>
    <x v="1"/>
    <x v="1"/>
    <x v="1"/>
    <s v="N"/>
    <s v="N/A"/>
    <s v="N/A"/>
    <s v="N/A"/>
    <s v="N/A"/>
    <s v="N/A"/>
    <s v="N/A"/>
    <s v="N/A"/>
    <s v="N/A"/>
    <s v="N/A"/>
    <s v="N/A"/>
    <s v="N/A"/>
  </r>
  <r>
    <x v="2"/>
    <x v="1"/>
    <x v="2"/>
    <x v="1"/>
    <x v="1"/>
    <x v="1"/>
    <s v="N"/>
    <s v="N/A"/>
    <s v="N/A"/>
    <s v="N/A"/>
    <s v="N/A"/>
    <s v="N/A"/>
    <s v="N/A"/>
    <s v="N/A"/>
    <s v="N/A"/>
    <s v="N/A"/>
    <s v="N/A"/>
    <s v="N/A"/>
  </r>
  <r>
    <x v="3"/>
    <x v="0"/>
    <x v="2"/>
    <x v="1"/>
    <x v="1"/>
    <x v="1"/>
    <s v="Y"/>
    <n v="6117.9277144924545"/>
    <n v="5836.449722641647"/>
    <n v="5573.5114372621429"/>
    <n v="5327.753595522061"/>
    <n v="5097.9181562973599"/>
    <n v="4919.7926656168629"/>
    <n v="4760.3644523306557"/>
    <n v="4608.037291870306"/>
    <n v="4462.4386780121113"/>
    <n v="4323.2163364839371"/>
    <n v="4190.0371188934996"/>
  </r>
  <r>
    <x v="3"/>
    <x v="1"/>
    <x v="2"/>
    <x v="1"/>
    <x v="1"/>
    <x v="1"/>
    <s v="Y"/>
    <n v="4976.1012098839019"/>
    <n v="4706.0414830791797"/>
    <n v="4454.4072800952999"/>
    <n v="4219.8404799268865"/>
    <n v="4001.0841718581378"/>
    <n v="3833.9270210220329"/>
    <n v="3685.357464181774"/>
    <n v="3543.7803736029127"/>
    <n v="3408.8243289273923"/>
    <n v="3280.1381308900654"/>
    <n v="3157.3896953555668"/>
  </r>
  <r>
    <x v="4"/>
    <x v="0"/>
    <x v="2"/>
    <x v="1"/>
    <x v="1"/>
    <x v="1"/>
    <s v="Y"/>
    <n v="5876.5135809680669"/>
    <n v="5555.4291319230924"/>
    <n v="5256.4172916015823"/>
    <n v="4977.8493032163069"/>
    <n v="4718.2178070396649"/>
    <n v="4520.4509369448788"/>
    <n v="4344.952197757535"/>
    <n v="4177.8137175445936"/>
    <n v="4018.5902550971678"/>
    <n v="3866.8608213328571"/>
    <n v="3722.2273527401212"/>
  </r>
  <r>
    <x v="4"/>
    <x v="2"/>
    <x v="2"/>
    <x v="1"/>
    <x v="1"/>
    <x v="1"/>
    <s v="Y"/>
    <n v="5876.5135809680669"/>
    <n v="5555.4291319230924"/>
    <n v="5256.4172916015823"/>
    <n v="4977.8493032163069"/>
    <n v="4718.2178070396649"/>
    <n v="4520.4509369448788"/>
    <n v="4344.952197757535"/>
    <n v="4177.8137175445936"/>
    <n v="4018.5902550971678"/>
    <n v="3866.8608213328571"/>
    <n v="3722.2273527401212"/>
  </r>
  <r>
    <x v="0"/>
    <x v="0"/>
    <x v="3"/>
    <x v="1"/>
    <x v="1"/>
    <x v="1"/>
    <s v="N"/>
    <s v="N/A"/>
    <s v="N/A"/>
    <s v="N/A"/>
    <s v="N/A"/>
    <s v="N/A"/>
    <s v="N/A"/>
    <s v="N/A"/>
    <s v="N/A"/>
    <s v="N/A"/>
    <s v="N/A"/>
    <s v="N/A"/>
  </r>
  <r>
    <x v="0"/>
    <x v="1"/>
    <x v="3"/>
    <x v="1"/>
    <x v="1"/>
    <x v="1"/>
    <s v="N"/>
    <s v="N/A"/>
    <s v="N/A"/>
    <s v="N/A"/>
    <s v="N/A"/>
    <s v="N/A"/>
    <s v="N/A"/>
    <s v="N/A"/>
    <s v="N/A"/>
    <s v="N/A"/>
    <s v="N/A"/>
    <s v="N/A"/>
  </r>
  <r>
    <x v="1"/>
    <x v="0"/>
    <x v="3"/>
    <x v="1"/>
    <x v="1"/>
    <x v="1"/>
    <s v="N"/>
    <s v="N/A"/>
    <s v="N/A"/>
    <s v="N/A"/>
    <s v="N/A"/>
    <s v="N/A"/>
    <s v="N/A"/>
    <s v="N/A"/>
    <s v="N/A"/>
    <s v="N/A"/>
    <s v="N/A"/>
    <s v="N/A"/>
  </r>
  <r>
    <x v="1"/>
    <x v="1"/>
    <x v="3"/>
    <x v="1"/>
    <x v="1"/>
    <x v="1"/>
    <s v="N"/>
    <s v="N/A"/>
    <s v="N/A"/>
    <s v="N/A"/>
    <s v="N/A"/>
    <s v="N/A"/>
    <s v="N/A"/>
    <s v="N/A"/>
    <s v="N/A"/>
    <s v="N/A"/>
    <s v="N/A"/>
    <s v="N/A"/>
  </r>
  <r>
    <x v="2"/>
    <x v="0"/>
    <x v="3"/>
    <x v="1"/>
    <x v="1"/>
    <x v="1"/>
    <s v="N"/>
    <s v="N/A"/>
    <s v="N/A"/>
    <s v="N/A"/>
    <s v="N/A"/>
    <s v="N/A"/>
    <s v="N/A"/>
    <s v="N/A"/>
    <s v="N/A"/>
    <s v="N/A"/>
    <s v="N/A"/>
    <s v="N/A"/>
  </r>
  <r>
    <x v="2"/>
    <x v="1"/>
    <x v="3"/>
    <x v="1"/>
    <x v="1"/>
    <x v="1"/>
    <s v="N"/>
    <s v="N/A"/>
    <s v="N/A"/>
    <s v="N/A"/>
    <s v="N/A"/>
    <s v="N/A"/>
    <s v="N/A"/>
    <s v="N/A"/>
    <s v="N/A"/>
    <s v="N/A"/>
    <s v="N/A"/>
    <s v="N/A"/>
  </r>
  <r>
    <x v="3"/>
    <x v="0"/>
    <x v="3"/>
    <x v="1"/>
    <x v="1"/>
    <x v="1"/>
    <s v="Y"/>
    <n v="12246.594013309834"/>
    <n v="10973.12163232256"/>
    <n v="9721.6955610059631"/>
    <n v="8492.3032377423951"/>
    <n v="7284.9322499158916"/>
    <n v="6099.5703321882584"/>
    <n v="5672.5716833393435"/>
    <n v="5251.2238127538776"/>
    <n v="4835.5148867784756"/>
    <n v="4425.4332123356535"/>
    <n v="4020.9672352956641"/>
  </r>
  <r>
    <x v="3"/>
    <x v="1"/>
    <x v="3"/>
    <x v="1"/>
    <x v="1"/>
    <x v="1"/>
    <s v="Y"/>
    <n v="11746.594013309834"/>
    <n v="10473.12163232256"/>
    <n v="9221.6955610059631"/>
    <n v="7992.3032377423951"/>
    <n v="6784.9322499158916"/>
    <n v="5599.5703321882584"/>
    <n v="5172.5716833393435"/>
    <n v="4751.2238127538776"/>
    <n v="4335.5148867784756"/>
    <n v="3925.4332123356535"/>
    <n v="3520.9672352956641"/>
  </r>
  <r>
    <x v="4"/>
    <x v="0"/>
    <x v="3"/>
    <x v="1"/>
    <x v="1"/>
    <x v="1"/>
    <s v="Y"/>
    <n v="16410.07337363714"/>
    <n v="14848.697640580682"/>
    <n v="13318.441879758549"/>
    <n v="11819.285983705739"/>
    <n v="10351.210092802874"/>
    <n v="8914.1945923300191"/>
    <n v="8338.7990408796431"/>
    <n v="7771.6647440792003"/>
    <n v="7212.7861481855534"/>
    <n v="6662.1577549929916"/>
    <n v="6119.7741212778601"/>
  </r>
  <r>
    <x v="4"/>
    <x v="2"/>
    <x v="3"/>
    <x v="1"/>
    <x v="1"/>
    <x v="1"/>
    <s v="Y"/>
    <n v="16410.07337363714"/>
    <n v="14848.697640580682"/>
    <n v="13318.441879758549"/>
    <n v="11819.285983705739"/>
    <n v="10351.210092802874"/>
    <n v="8914.1945923300191"/>
    <n v="8338.7990408796431"/>
    <n v="7771.6647440792003"/>
    <n v="7212.7861481855534"/>
    <n v="6662.1577549929916"/>
    <n v="6119.774121277860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1900-000000000000}" name="PivotTable1" cacheId="0"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chartFormat="70">
  <location ref="A7:F18" firstHeaderRow="1" firstDataRow="5" firstDataCol="1"/>
  <pivotFields count="18">
    <pivotField axis="axisRow" showAll="0">
      <items count="6">
        <item h="1" x="1"/>
        <item h="1" x="3"/>
        <item h="1" x="4"/>
        <item x="0"/>
        <item h="1" sd="0" x="2"/>
        <item t="default"/>
      </items>
    </pivotField>
    <pivotField axis="axisCol" multipleItemSelectionAllowed="1" showAll="0">
      <items count="4">
        <item x="0"/>
        <item h="1" x="2"/>
        <item h="1" x="1"/>
        <item t="default"/>
      </items>
    </pivotField>
    <pivotField axis="axisRow" showAll="0">
      <items count="5">
        <item x="0"/>
        <item x="1"/>
        <item x="3"/>
        <item x="2"/>
        <item t="default"/>
      </items>
    </pivotField>
    <pivotField axis="axisCol" multipleItemSelectionAllowed="1" showAll="0">
      <items count="3">
        <item x="0"/>
        <item h="1" x="1"/>
        <item t="default"/>
      </items>
    </pivotField>
    <pivotField axis="axisCol" multipleItemSelectionAllowed="1" showAll="0">
      <items count="3">
        <item x="0"/>
        <item h="1" x="1"/>
        <item t="default"/>
      </items>
    </pivotField>
    <pivotField axis="axisCol" multipleItemSelectionAllowed="1" showAll="0">
      <items count="3">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dataField="1" showAll="0"/>
  </pivotFields>
  <rowFields count="2">
    <field x="2"/>
    <field x="0"/>
  </rowFields>
  <rowItems count="7">
    <i>
      <x/>
    </i>
    <i r="1">
      <x v="3"/>
    </i>
    <i>
      <x v="2"/>
    </i>
    <i r="1">
      <x v="3"/>
    </i>
    <i>
      <x v="3"/>
    </i>
    <i r="1">
      <x v="3"/>
    </i>
    <i t="grand">
      <x/>
    </i>
  </rowItems>
  <colFields count="4">
    <field x="1"/>
    <field x="3"/>
    <field x="4"/>
    <field x="5"/>
  </colFields>
  <colItems count="5">
    <i>
      <x/>
      <x/>
      <x/>
      <x/>
    </i>
    <i t="default" r="2">
      <x/>
    </i>
    <i t="default" r="1">
      <x/>
    </i>
    <i t="default">
      <x/>
    </i>
    <i t="grand">
      <x/>
    </i>
  </colItems>
  <dataFields count="1">
    <dataField name="Min of 2035" fld="17" subtotal="min" baseField="2" baseItem="0"/>
  </dataFields>
  <chartFormats count="18">
    <chartFormat chart="38" format="92" series="1">
      <pivotArea type="data" outline="0" fieldPosition="0">
        <references count="2">
          <reference field="4294967294" count="1" selected="0">
            <x v="0"/>
          </reference>
          <reference field="4" count="1" selected="0">
            <x v="1"/>
          </reference>
        </references>
      </pivotArea>
    </chartFormat>
    <chartFormat chart="38" format="93" series="1">
      <pivotArea type="data" outline="0" fieldPosition="0">
        <references count="2">
          <reference field="4294967294" count="1" selected="0">
            <x v="0"/>
          </reference>
          <reference field="4" count="1" selected="0">
            <x v="0"/>
          </reference>
        </references>
      </pivotArea>
    </chartFormat>
    <chartFormat chart="38" format="94" series="1">
      <pivotArea type="data" outline="0" fieldPosition="0">
        <references count="3">
          <reference field="4294967294" count="1" selected="0">
            <x v="0"/>
          </reference>
          <reference field="4" count="1" selected="0">
            <x v="1"/>
          </reference>
          <reference field="5" count="1" selected="0">
            <x v="0"/>
          </reference>
        </references>
      </pivotArea>
    </chartFormat>
    <chartFormat chart="38" format="95" series="1">
      <pivotArea type="data" outline="0" fieldPosition="0">
        <references count="3">
          <reference field="4294967294" count="1" selected="0">
            <x v="0"/>
          </reference>
          <reference field="4" count="1" selected="0">
            <x v="1"/>
          </reference>
          <reference field="5" count="1" selected="0">
            <x v="1"/>
          </reference>
        </references>
      </pivotArea>
    </chartFormat>
    <chartFormat chart="38" format="96" series="1">
      <pivotArea type="data" outline="0" fieldPosition="0">
        <references count="4">
          <reference field="4294967294" count="1" selected="0">
            <x v="0"/>
          </reference>
          <reference field="3" count="1" selected="0">
            <x v="1"/>
          </reference>
          <reference field="4" count="1" selected="0">
            <x v="1"/>
          </reference>
          <reference field="5" count="1" selected="0">
            <x v="0"/>
          </reference>
        </references>
      </pivotArea>
    </chartFormat>
    <chartFormat chart="38" format="97" series="1">
      <pivotArea type="data" outline="0" fieldPosition="0">
        <references count="4">
          <reference field="4294967294" count="1" selected="0">
            <x v="0"/>
          </reference>
          <reference field="3" count="1" selected="0">
            <x v="0"/>
          </reference>
          <reference field="4" count="1" selected="0">
            <x v="1"/>
          </reference>
          <reference field="5" count="1" selected="0">
            <x v="1"/>
          </reference>
        </references>
      </pivotArea>
    </chartFormat>
    <chartFormat chart="38" format="98" series="1">
      <pivotArea type="data" outline="0" fieldPosition="0">
        <references count="4">
          <reference field="4294967294" count="1" selected="0">
            <x v="0"/>
          </reference>
          <reference field="3" count="1" selected="0">
            <x v="1"/>
          </reference>
          <reference field="4" count="1" selected="0">
            <x v="1"/>
          </reference>
          <reference field="5" count="1" selected="0">
            <x v="1"/>
          </reference>
        </references>
      </pivotArea>
    </chartFormat>
    <chartFormat chart="38" format="99" series="1">
      <pivotArea type="data" outline="0" fieldPosition="0">
        <references count="5">
          <reference field="4294967294" count="1" selected="0">
            <x v="0"/>
          </reference>
          <reference field="1" count="1" selected="0">
            <x v="1"/>
          </reference>
          <reference field="3" count="1" selected="0">
            <x v="0"/>
          </reference>
          <reference field="4" count="1" selected="0">
            <x v="1"/>
          </reference>
          <reference field="5" count="1" selected="0">
            <x v="0"/>
          </reference>
        </references>
      </pivotArea>
    </chartFormat>
    <chartFormat chart="38" format="100" series="1">
      <pivotArea type="data" outline="0" fieldPosition="0">
        <references count="5">
          <reference field="4294967294" count="1" selected="0">
            <x v="0"/>
          </reference>
          <reference field="1" count="1" selected="0">
            <x v="1"/>
          </reference>
          <reference field="3" count="1" selected="0">
            <x v="1"/>
          </reference>
          <reference field="4" count="1" selected="0">
            <x v="1"/>
          </reference>
          <reference field="5" count="1" selected="0">
            <x v="0"/>
          </reference>
        </references>
      </pivotArea>
    </chartFormat>
    <chartFormat chart="38" format="101" series="1">
      <pivotArea type="data" outline="0" fieldPosition="0">
        <references count="1">
          <reference field="4294967294" count="1" selected="0">
            <x v="0"/>
          </reference>
        </references>
      </pivotArea>
    </chartFormat>
    <chartFormat chart="38" format="102" series="1">
      <pivotArea type="data" outline="0" fieldPosition="0">
        <references count="5">
          <reference field="4294967294" count="1" selected="0">
            <x v="0"/>
          </reference>
          <reference field="1" count="1" selected="0">
            <x v="2"/>
          </reference>
          <reference field="3" count="1" selected="0">
            <x v="1"/>
          </reference>
          <reference field="4" count="1" selected="0">
            <x v="1"/>
          </reference>
          <reference field="5" count="1" selected="0">
            <x v="0"/>
          </reference>
        </references>
      </pivotArea>
    </chartFormat>
    <chartFormat chart="38" format="103" series="1">
      <pivotArea type="data" outline="0" fieldPosition="0">
        <references count="5">
          <reference field="4294967294" count="1" selected="0">
            <x v="0"/>
          </reference>
          <reference field="1" count="1" selected="0">
            <x v="2"/>
          </reference>
          <reference field="3" count="1" selected="0">
            <x v="0"/>
          </reference>
          <reference field="4" count="1" selected="0">
            <x v="1"/>
          </reference>
          <reference field="5" count="1" selected="0">
            <x v="0"/>
          </reference>
        </references>
      </pivotArea>
    </chartFormat>
    <chartFormat chart="38" format="104" series="1">
      <pivotArea type="data" outline="0" fieldPosition="0">
        <references count="5">
          <reference field="4294967294" count="1" selected="0">
            <x v="0"/>
          </reference>
          <reference field="1" count="1" selected="0">
            <x v="0"/>
          </reference>
          <reference field="3" count="1" selected="0">
            <x v="0"/>
          </reference>
          <reference field="4" count="1" selected="0">
            <x v="1"/>
          </reference>
          <reference field="5" count="1" selected="0">
            <x v="0"/>
          </reference>
        </references>
      </pivotArea>
    </chartFormat>
    <chartFormat chart="38" format="105" series="1">
      <pivotArea type="data" outline="0" fieldPosition="0">
        <references count="5">
          <reference field="4294967294" count="1" selected="0">
            <x v="0"/>
          </reference>
          <reference field="1" count="1" selected="0">
            <x v="0"/>
          </reference>
          <reference field="3" count="1" selected="0">
            <x v="1"/>
          </reference>
          <reference field="4" count="1" selected="0">
            <x v="1"/>
          </reference>
          <reference field="5" count="1" selected="0">
            <x v="0"/>
          </reference>
        </references>
      </pivotArea>
    </chartFormat>
    <chartFormat chart="38" format="106" series="1">
      <pivotArea type="data" outline="0" fieldPosition="0">
        <references count="5">
          <reference field="4294967294" count="1" selected="0">
            <x v="0"/>
          </reference>
          <reference field="1" count="1" selected="0">
            <x v="0"/>
          </reference>
          <reference field="3" count="1" selected="0">
            <x v="1"/>
          </reference>
          <reference field="4" count="1" selected="0">
            <x v="0"/>
          </reference>
          <reference field="5" count="1" selected="0">
            <x v="0"/>
          </reference>
        </references>
      </pivotArea>
    </chartFormat>
    <chartFormat chart="38" format="107" series="1">
      <pivotArea type="data" outline="0" fieldPosition="0">
        <references count="5">
          <reference field="4294967294" count="1" selected="0">
            <x v="0"/>
          </reference>
          <reference field="1" count="1" selected="0">
            <x v="0"/>
          </reference>
          <reference field="3" count="1" selected="0">
            <x v="0"/>
          </reference>
          <reference field="4" count="1" selected="0">
            <x v="0"/>
          </reference>
          <reference field="5" count="1" selected="0">
            <x v="0"/>
          </reference>
        </references>
      </pivotArea>
    </chartFormat>
    <chartFormat chart="38" format="108" series="1">
      <pivotArea type="data" outline="0" fieldPosition="0">
        <references count="5">
          <reference field="4294967294" count="1" selected="0">
            <x v="0"/>
          </reference>
          <reference field="1" count="1" selected="0">
            <x v="1"/>
          </reference>
          <reference field="3" count="1" selected="0">
            <x v="0"/>
          </reference>
          <reference field="4" count="1" selected="0">
            <x v="0"/>
          </reference>
          <reference field="5" count="1" selected="0">
            <x v="0"/>
          </reference>
        </references>
      </pivotArea>
    </chartFormat>
    <chartFormat chart="38" format="109" series="1">
      <pivotArea type="data" outline="0" fieldPosition="0">
        <references count="5">
          <reference field="4294967294" count="1" selected="0">
            <x v="0"/>
          </reference>
          <reference field="1" count="1" selected="0">
            <x v="2"/>
          </reference>
          <reference field="3" count="1" selected="0">
            <x v="0"/>
          </reference>
          <reference field="4" count="1" selected="0">
            <x v="0"/>
          </reference>
          <reference field="5"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Rolled Up Incremental Costs Pivot Table" altTextSummary="This is a pivot table that references the data in the Incremental Costs and table located within. This pivot table is used by the pivot chart below in this tab."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ehicle_Class1" xr10:uid="{00000000-0013-0000-FFFF-FFFF01000000}" sourceName="Vehicle Class">
  <pivotTables>
    <pivotTable tabId="37" name="PivotTable1"/>
  </pivotTables>
  <data>
    <tabular pivotCacheId="5" sortOrder="descending">
      <items count="5">
        <i x="2"/>
        <i x="0" s="1"/>
        <i x="4"/>
        <i x="3"/>
        <i x="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ehicle_Type11" xr10:uid="{00000000-0013-0000-FFFF-FFFF02000000}" sourceName="Vehicle Type">
  <pivotTables>
    <pivotTable tabId="37" name="PivotTable1"/>
  </pivotTables>
  <data>
    <tabular pivotCacheId="5">
      <items count="3">
        <i x="0" s="1"/>
        <i x="1"/>
        <i x="2"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ld1" xr10:uid="{00000000-0013-0000-FFFF-FFFF03000000}" sourceName="Cold">
  <pivotTables>
    <pivotTable tabId="37" name="PivotTable1"/>
  </pivotTables>
  <data>
    <tabular pivotCacheId="5">
      <items count="2">
        <i x="0" s="1"/>
        <i x="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AWD1" xr10:uid="{00000000-0013-0000-FFFF-FFFF04000000}" sourceName="eAWD">
  <pivotTables>
    <pivotTable tabId="37" name="PivotTable1"/>
  </pivotTables>
  <data>
    <tabular pivotCacheId="5">
      <items count="2">
        <i x="0" s="1"/>
        <i x="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owing1" xr10:uid="{00000000-0013-0000-FFFF-FFFF05000000}" sourceName="Towing">
  <pivotTables>
    <pivotTable tabId="37" name="PivotTable1"/>
  </pivotTables>
  <data>
    <tabular pivotCacheId="5">
      <items count="2">
        <i x="0" s="1"/>
        <i x="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ech_Type" xr10:uid="{00000000-0013-0000-FFFF-FFFF06000000}" sourceName="Tech Type">
  <pivotTables>
    <pivotTable tabId="37" name="PivotTable1"/>
  </pivotTables>
  <data>
    <tabular pivotCacheId="5">
      <items count="4">
        <i x="0" s="1"/>
        <i x="3" s="1"/>
        <i x="2" s="1"/>
        <i x="1"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Vehicle Class 1" xr10:uid="{00000000-0014-0000-FFFF-FFFF01000000}" cache="Slicer_Vehicle_Class1" caption="Vehicle Class" rowHeight="241300"/>
  <slicer name="Vehicle Type 2" xr10:uid="{00000000-0014-0000-FFFF-FFFF02000000}" cache="Slicer_Vehicle_Type11" caption="Vehicle Type" rowHeight="241300"/>
  <slicer name="Cold 1" xr10:uid="{00000000-0014-0000-FFFF-FFFF03000000}" cache="Slicer_Cold1" caption="Cold" rowHeight="241300"/>
  <slicer name="eAWD 1" xr10:uid="{00000000-0014-0000-FFFF-FFFF04000000}" cache="Slicer_eAWD1" caption="eAWD" rowHeight="241300"/>
  <slicer name="Towing 1" xr10:uid="{00000000-0014-0000-FFFF-FFFF05000000}" cache="Slicer_Towing1" caption="Towing" rowHeight="241300"/>
  <slicer name="Tech Type" xr10:uid="{00000000-0014-0000-FFFF-FFFF06000000}" cache="Slicer_Tech_Type" caption="Tech Type"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5BE4FB63-D180-4037-9082-66EC288A7EC6}" name="Table16" displayName="Table16" ref="A30:B58" totalsRowShown="0" headerRowDxfId="788" headerRowBorderDxfId="787" tableBorderDxfId="786">
  <tableColumns count="2">
    <tableColumn id="1" xr3:uid="{A0E4F7A3-71F9-4327-B6CD-6CA3561DEBB8}" name="Worksheet (Linked)" dataDxfId="785" dataCellStyle="Hyperlink"/>
    <tableColumn id="2" xr3:uid="{75718F41-F376-413E-BF50-A173A17AB687}" name="Notes"/>
  </tableColumns>
  <tableStyleInfo name="TableStyleMedium1" showFirstColumn="0" showLastColumn="0" showRowStripes="1" showColumnStripes="0"/>
  <extLst>
    <ext xmlns:x14="http://schemas.microsoft.com/office/spreadsheetml/2009/9/main" uri="{504A1905-F514-4f6f-8877-14C23A59335A}">
      <x14:table altText="Worksheet Links" altTextSummary="Table with hyperlinked worksheet names organized in a single column and descriptions of what is contained in those worksheets in the adjacent column to the right"/>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6C8945F-AB1E-4E0C-8A09-E3B9A518461D}" name="Table17" displayName="Table17" ref="A23:B28" totalsRowShown="0" headerRowDxfId="784" headerRowBorderDxfId="783" tableBorderDxfId="782">
  <tableColumns count="2">
    <tableColumn id="1" xr3:uid="{07C76671-4A3F-4B22-ABA8-B22314B90C9F}" name="Worksheet Color Legend" dataDxfId="781"/>
    <tableColumn id="2" xr3:uid="{57648EA3-5734-4868-BCF6-0D2560F18D6B}" name="Description" dataDxfId="780"/>
  </tableColumns>
  <tableStyleInfo showFirstColumn="0" showLastColumn="0" showRowStripes="1" showColumnStripes="0"/>
  <extLst>
    <ext xmlns:x14="http://schemas.microsoft.com/office/spreadsheetml/2009/9/main" uri="{504A1905-F514-4f6f-8877-14C23A59335A}">
      <x14:table altText="Worksheet Color Legend" altTextSummary="Color coding for the different worksheet tabs and description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5CED9EA1-B9AD-4C2E-978E-91EFA3DF43F1}" name="Table1651" displayName="Table1651" ref="A1:B31" totalsRowShown="0" headerRowDxfId="779" headerRowBorderDxfId="778" tableBorderDxfId="777">
  <tableColumns count="2">
    <tableColumn id="1" xr3:uid="{8CAD4761-B188-4148-AA72-65931EEC7F08}" name="Worksheet (Linked)" dataDxfId="776" dataCellStyle="Hyperlink"/>
    <tableColumn id="2" xr3:uid="{89BF4A4C-E945-4E14-B194-1CDF3A2BE42C}" name="References"/>
  </tableColumns>
  <tableStyleInfo name="TableStyleMedium1" showFirstColumn="0" showLastColumn="0" showRowStripes="1" showColumnStripes="0"/>
  <extLst>
    <ext xmlns:x14="http://schemas.microsoft.com/office/spreadsheetml/2009/9/main" uri="{504A1905-F514-4f6f-8877-14C23A59335A}">
      <x14:table altText="Worksheet Links" altTextSummary="Table with hyperlinked worksheet names organized in a single column and descriptions of what is contained in those worksheets in the adjacent column to the right"/>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91BF9CA-BE7C-4BE6-BA8B-7D73BE15E454}" name="Table10" displayName="Table10" ref="D2:I32" totalsRowShown="0" headerRowDxfId="775" headerRowBorderDxfId="774" tableBorderDxfId="773">
  <tableColumns count="6">
    <tableColumn id="1" xr3:uid="{365AC36E-793F-42E3-B58F-0D84A6F19B76}" name="VehicleClass" dataDxfId="772"/>
    <tableColumn id="2" xr3:uid="{B87A1EC7-49AD-4B66-B175-AB9FC8966479}" name="Tech Type" dataDxfId="771"/>
    <tableColumn id="3" xr3:uid="{90C8BA7C-B856-4338-B0CE-AE4D0A84957C}" name="Base/Premium" dataDxfId="770"/>
    <tableColumn id="4" xr3:uid="{4F866B9E-76A8-42DB-810D-E681DB745C1F}" name="Cold" dataDxfId="769"/>
    <tableColumn id="5" xr3:uid="{A02BD524-0307-4570-86FA-DFF02058EABF}" name="eAWD" dataDxfId="768"/>
    <tableColumn id="6" xr3:uid="{A5F029CA-5F14-4365-A1F3-0731AE9BEC58}" name="Towing"/>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40A4496-4DDF-43ED-AABE-367BC291F1AF}" name="Table12" displayName="Table12" ref="A2:B4" totalsRowShown="0" headerRowDxfId="767" dataDxfId="766" tableBorderDxfId="765">
  <tableColumns count="2">
    <tableColumn id="1" xr3:uid="{AD27E758-771D-4F67-8976-72C271B64671}" name="Column1" dataDxfId="764"/>
    <tableColumn id="2" xr3:uid="{08B8C6D4-F543-4B2E-8E4E-CF82F65091EA}" name="Column2" dataDxfId="763"/>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15F8D32-78F9-4739-84CB-2FC885749D54}" name="Table14" displayName="Table14" ref="A14:B18" totalsRowShown="0" headerRowDxfId="762" dataDxfId="761" tableBorderDxfId="760">
  <tableColumns count="2">
    <tableColumn id="1" xr3:uid="{A89ABD62-82D2-497C-BFDD-34182E126282}" name="Column1" dataDxfId="759"/>
    <tableColumn id="2" xr3:uid="{9C1B4C94-D100-4352-BDD4-D442D00666C7}" name="Column2" dataDxfId="758"/>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7208916-56D4-46DB-A380-8A67C3661BBE}" name="Table15" displayName="Table15" ref="A21:B22" totalsRowShown="0" headerRowDxfId="757" dataDxfId="755" headerRowBorderDxfId="756" tableBorderDxfId="754" totalsRowBorderDxfId="753">
  <tableColumns count="2">
    <tableColumn id="1" xr3:uid="{C4A4B7C0-807D-4128-9327-B684CFFD7C01}" name="Column1" dataDxfId="752"/>
    <tableColumn id="2" xr3:uid="{F3066DBC-0830-4E40-B73C-0C03C81060C1}" name="Column2" dataDxfId="751"/>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FC3AA86-BB60-46A7-A12C-68F400F03377}" name="Table13" displayName="Table13" ref="A7:B11" totalsRowShown="0" headerRowDxfId="750" dataDxfId="749" tableBorderDxfId="748">
  <tableColumns count="2">
    <tableColumn id="1" xr3:uid="{DCEBCDE1-9208-4451-AD69-395ED29F925B}" name="Column1" dataDxfId="747"/>
    <tableColumn id="2" xr3:uid="{90E7B031-6806-4755-942D-3D0DF5248CBE}" name="Column2" dataDxfId="746"/>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40EDFB73-3189-409C-8BB8-5229A79E2C31}" name="Table20" displayName="Table20" ref="B43:O53" totalsRowShown="0" headerRowDxfId="745" dataDxfId="743" headerRowBorderDxfId="744" tableBorderDxfId="742">
  <tableColumns count="14">
    <tableColumn id="1" xr3:uid="{5D058790-3667-4019-BC8A-A3B493F9C4A3}" name="Vehicle Class" dataDxfId="741"/>
    <tableColumn id="2" xr3:uid="{2E1DA7A1-FFA7-4E5A-A1C2-12C044DB6FAA}" name="Vehicle Type" dataDxfId="740"/>
    <tableColumn id="3" xr3:uid="{3B50DC4D-CA91-4ADB-8CEF-35BEBB264149}" name="Tech Type" dataDxfId="739"/>
    <tableColumn id="4" xr3:uid="{219AE561-FB40-4891-85AE-3BA64AF3709E}" name="2025" dataDxfId="738">
      <calculatedColumnFormula>((E5*E18)/1000)/BEV_Battery_SOC_Utilization</calculatedColumnFormula>
    </tableColumn>
    <tableColumn id="5" xr3:uid="{40517679-7A04-4D99-B811-BB6B86A34562}" name="2026" dataDxfId="737">
      <calculatedColumnFormula>((F5*F18)/1000)/BEV_Battery_SOC_Utilization</calculatedColumnFormula>
    </tableColumn>
    <tableColumn id="6" xr3:uid="{5C2150A6-47CD-4536-837B-632D6E2D9C0F}" name="2027" dataDxfId="736">
      <calculatedColumnFormula>((G5*G18)/1000)/BEV_Battery_SOC_Utilization</calculatedColumnFormula>
    </tableColumn>
    <tableColumn id="7" xr3:uid="{2260A03B-7310-4FB3-9337-A57841C60AD0}" name="2028" dataDxfId="735">
      <calculatedColumnFormula>((H5*H18)/1000)/BEV_Battery_SOC_Utilization</calculatedColumnFormula>
    </tableColumn>
    <tableColumn id="8" xr3:uid="{979C34D9-825F-494D-9148-18DAEF818100}" name="2029" dataDxfId="734">
      <calculatedColumnFormula>((I5*I18)/1000)/BEV_Battery_SOC_Utilization</calculatedColumnFormula>
    </tableColumn>
    <tableColumn id="9" xr3:uid="{2C172D92-1F50-4C53-AB8C-F812186029BD}" name="2030" dataDxfId="733">
      <calculatedColumnFormula>((J5*J18)/1000)/BEV_Battery_SOC_Utilization</calculatedColumnFormula>
    </tableColumn>
    <tableColumn id="10" xr3:uid="{D69AA174-BD56-4FEA-902C-A210B6F8C4CA}" name="2031" dataDxfId="732">
      <calculatedColumnFormula>((K5*K18)/1000)/BEV_Battery_SOC_Utilization</calculatedColumnFormula>
    </tableColumn>
    <tableColumn id="11" xr3:uid="{0DFDC23C-6A66-4731-9517-9BF7092EBC12}" name="2032" dataDxfId="731">
      <calculatedColumnFormula>((L5*L18)/1000)/BEV_Battery_SOC_Utilization</calculatedColumnFormula>
    </tableColumn>
    <tableColumn id="12" xr3:uid="{600E236F-F6A7-47EC-AF83-972152CC18F8}" name="2033" dataDxfId="730">
      <calculatedColumnFormula>((M5*M18)/1000)/BEV_Battery_SOC_Utilization</calculatedColumnFormula>
    </tableColumn>
    <tableColumn id="13" xr3:uid="{BDE660CE-46D9-4BC4-9737-7D95413E474A}" name="2034" dataDxfId="729">
      <calculatedColumnFormula>((N5*N18)/1000)/BEV_Battery_SOC_Utilization</calculatedColumnFormula>
    </tableColumn>
    <tableColumn id="14" xr3:uid="{A9EBF4F9-A5CF-4060-8541-0E32D8B0DD6E}" name="2035" dataDxfId="728">
      <calculatedColumnFormula>((O5*O18)/1000)/BEV_Battery_SOC_Utilization</calculatedColumnFormula>
    </tableColumn>
  </tableColumns>
  <tableStyleInfo name="TableStyleMedium1" showFirstColumn="0" showLastColumn="0" showRowStripes="1" showColumnStripes="0"/>
  <extLst>
    <ext xmlns:x14="http://schemas.microsoft.com/office/spreadsheetml/2009/9/main" uri="{504A1905-F514-4f6f-8877-14C23A59335A}">
      <x14:table altText="Total Battery Energy (kWh)" altTextSummary="Total Battery Energy in kiloWatt-hours (kWh) of all the different vehicle types on a year by year basis for BEVs"/>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13646755-E65A-41D5-963A-993FDFBE22C2}" name="Table21" displayName="Table21" ref="B56:O66" totalsRowShown="0" headerRowDxfId="727" dataDxfId="725" headerRowBorderDxfId="726" tableBorderDxfId="724">
  <tableColumns count="14">
    <tableColumn id="1" xr3:uid="{D3033ADA-E766-44D4-9AC7-8000F8624EB8}" name="Vehicle Class" dataDxfId="723"/>
    <tableColumn id="2" xr3:uid="{1BE1DD88-CAE7-4609-8F65-24BBD9BF1537}" name="Vehicle Type" dataDxfId="722"/>
    <tableColumn id="3" xr3:uid="{4E5612A6-D545-41C6-8F2C-618926240B1D}" name="Tech Type" dataDxfId="721"/>
    <tableColumn id="4" xr3:uid="{BFCAAED3-8708-42FB-8CA6-A88C68D49148}" name="2025" dataDxfId="720"/>
    <tableColumn id="5" xr3:uid="{408EA176-5487-4EBA-BDC7-B22C049DE50E}" name="2026" dataDxfId="719">
      <calculatedColumnFormula>E57*(1-BEV_Annual_Motor_Power_Reduction)</calculatedColumnFormula>
    </tableColumn>
    <tableColumn id="6" xr3:uid="{3B00CCE7-B324-4A19-A50B-29EE76A171F6}" name="2027" dataDxfId="718">
      <calculatedColumnFormula>F57*(1-BEV_Annual_Motor_Power_Reduction)</calculatedColumnFormula>
    </tableColumn>
    <tableColumn id="7" xr3:uid="{F9B4C579-F6B9-4508-8EF2-F9834E841ECC}" name="2028" dataDxfId="717">
      <calculatedColumnFormula>G57*(1-BEV_Annual_Motor_Power_Reduction)</calculatedColumnFormula>
    </tableColumn>
    <tableColumn id="8" xr3:uid="{9135035B-F4E7-4A39-B127-E49A70AEB28B}" name="2029" dataDxfId="716">
      <calculatedColumnFormula>H57*(1-BEV_Annual_Motor_Power_Reduction)</calculatedColumnFormula>
    </tableColumn>
    <tableColumn id="9" xr3:uid="{4DB5BEA4-0200-4C82-810F-3B91DA30E1D3}" name="2030" dataDxfId="715">
      <calculatedColumnFormula>I57*(1-BEV_Annual_Motor_Power_Reduction)</calculatedColumnFormula>
    </tableColumn>
    <tableColumn id="10" xr3:uid="{B2560465-AD47-4D2A-9EAD-9F107C3EA609}" name="2031" dataDxfId="714">
      <calculatedColumnFormula>J57*(1-BEV_Annual_Motor_Power_Reduction)</calculatedColumnFormula>
    </tableColumn>
    <tableColumn id="11" xr3:uid="{B3B8867E-B260-4992-92DA-4F73C4DB68C3}" name="2032" dataDxfId="713">
      <calculatedColumnFormula>K57*(1-BEV_Annual_Motor_Power_Reduction)</calculatedColumnFormula>
    </tableColumn>
    <tableColumn id="12" xr3:uid="{20A8CAC8-80B1-4322-BC95-A4855EBC8A4C}" name="2033" dataDxfId="712">
      <calculatedColumnFormula>L57*(1-BEV_Annual_Motor_Power_Reduction)</calculatedColumnFormula>
    </tableColumn>
    <tableColumn id="13" xr3:uid="{3E326B6F-F251-4CC5-9F13-8D561D245446}" name="2034" dataDxfId="711">
      <calculatedColumnFormula>M57*(1-BEV_Annual_Motor_Power_Reduction)</calculatedColumnFormula>
    </tableColumn>
    <tableColumn id="14" xr3:uid="{721CD413-C23E-4AC4-8C65-3139DCA781DD}" name="2035" dataDxfId="710">
      <calculatedColumnFormula>N57*(1-BEV_Annual_Motor_Power_Reduction)</calculatedColumnFormula>
    </tableColumn>
  </tableColumns>
  <tableStyleInfo name="TableStyleMedium1" showFirstColumn="0" showLastColumn="0" showRowStripes="1" showColumnStripes="0"/>
  <extLst>
    <ext xmlns:x14="http://schemas.microsoft.com/office/spreadsheetml/2009/9/main" uri="{504A1905-F514-4f6f-8877-14C23A59335A}">
      <x14:table altText="eMotor Power (kW)" altTextSummary="eMotor Power in kiloWatts (kW) of all the different vehicle types on a year by year basis for BEVs"/>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EF1A3EA4-6AD8-44F2-A766-A1E9A6371375}" name="Table23" displayName="Table23" ref="B30:O40" totalsRowShown="0" headerRowDxfId="709" dataDxfId="707" headerRowBorderDxfId="708" tableBorderDxfId="706">
  <tableColumns count="14">
    <tableColumn id="1" xr3:uid="{A798682B-C075-4DA2-890B-A1D2EFE882E4}" name="Vehicle Class" dataDxfId="705"/>
    <tableColumn id="2" xr3:uid="{F8050264-8F10-4581-ADFA-ED95BFD1F00C}" name="Vehicle Type" dataDxfId="704"/>
    <tableColumn id="3" xr3:uid="{9D12A760-886C-4878-A9A6-5AF188A047DB}" name="Tech Type" dataDxfId="703"/>
    <tableColumn id="4" xr3:uid="{DA25CC4B-2C71-4B7F-A97D-DE796531AA32}" name="2025" dataDxfId="702">
      <calculatedColumnFormula>(E5*E18)/1000</calculatedColumnFormula>
    </tableColumn>
    <tableColumn id="5" xr3:uid="{914E3CE6-4414-41B2-9317-3B16E67801F7}" name="2026" dataDxfId="701">
      <calculatedColumnFormula>(F5*F18)/1000</calculatedColumnFormula>
    </tableColumn>
    <tableColumn id="6" xr3:uid="{1C09CADC-33FD-4713-A861-CC3064A2CBAE}" name="2027" dataDxfId="700">
      <calculatedColumnFormula>(G5*G18)/1000</calculatedColumnFormula>
    </tableColumn>
    <tableColumn id="7" xr3:uid="{F1B7D779-9F87-4750-AAF3-0E3A1304C6F0}" name="2028" dataDxfId="699">
      <calculatedColumnFormula>(H5*H18)/1000</calculatedColumnFormula>
    </tableColumn>
    <tableColumn id="8" xr3:uid="{495D9B1E-A679-4F0D-BEA0-A698065B0A93}" name="2029" dataDxfId="698">
      <calculatedColumnFormula>(I5*I18)/1000</calculatedColumnFormula>
    </tableColumn>
    <tableColumn id="9" xr3:uid="{71EF371E-EC9E-445B-A821-1F43266BFE9E}" name="2030" dataDxfId="697">
      <calculatedColumnFormula>(J5*J18)/1000</calculatedColumnFormula>
    </tableColumn>
    <tableColumn id="10" xr3:uid="{65F3CA62-6540-442E-AA1C-767A2CE358D8}" name="2031" dataDxfId="696">
      <calculatedColumnFormula>(K5*K18)/1000</calculatedColumnFormula>
    </tableColumn>
    <tableColumn id="11" xr3:uid="{57A4816A-AA96-45CF-B7CA-87BFBDCFF9FD}" name="2032" dataDxfId="695">
      <calculatedColumnFormula>(L5*L18)/1000</calculatedColumnFormula>
    </tableColumn>
    <tableColumn id="12" xr3:uid="{3C94A35A-12A1-4B78-B0C6-4699D0DF7D76}" name="2033" dataDxfId="694">
      <calculatedColumnFormula>(M5*M18)/1000</calculatedColumnFormula>
    </tableColumn>
    <tableColumn id="13" xr3:uid="{1F83C759-B418-4980-B8EC-C8AECC2139C0}" name="2034" dataDxfId="693">
      <calculatedColumnFormula>(N5*N18)/1000</calculatedColumnFormula>
    </tableColumn>
    <tableColumn id="14" xr3:uid="{717020C8-F19D-4FDD-9A47-4E27C576EABA}" name="2035" dataDxfId="692">
      <calculatedColumnFormula>(O5*O18)/1000</calculatedColumnFormula>
    </tableColumn>
  </tableColumns>
  <tableStyleInfo name="TableStyleMedium1" showFirstColumn="0" showLastColumn="0" showRowStripes="1" showColumnStripes="0"/>
  <extLst>
    <ext xmlns:x14="http://schemas.microsoft.com/office/spreadsheetml/2009/9/main" uri="{504A1905-F514-4f6f-8877-14C23A59335A}">
      <x14:table altText="Usable Battery Energy (kWh)" altTextSummary="Usable Battery Energy in kiloWatt-hours of all the different vehicle types on a year by year basis for BEVs"/>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D697C081-AC0C-4D16-B7DF-0F23F352BED1}" name="Table46" displayName="Table46" ref="B17:O27" totalsRowShown="0" headerRowDxfId="691" dataDxfId="689" headerRowBorderDxfId="690" tableBorderDxfId="688">
  <tableColumns count="14">
    <tableColumn id="1" xr3:uid="{5D9324F7-8513-4183-BE6F-0B2D5071B58D}" name="Vehicle Class" dataDxfId="687"/>
    <tableColumn id="2" xr3:uid="{AAD95BB8-8C5D-40EA-B557-A1F502D3FF67}" name="Vehicle Type" dataDxfId="686"/>
    <tableColumn id="3" xr3:uid="{097FB11A-C32E-46D8-B037-C1874FBC5229}" name="Tech Type" dataDxfId="685"/>
    <tableColumn id="4" xr3:uid="{176F65F6-26D6-4564-8157-1EC43698B919}" name="2025" dataDxfId="684"/>
    <tableColumn id="5" xr3:uid="{2835B246-C4C2-471A-A157-94025D8D6438}" name="2026" dataDxfId="683">
      <calculatedColumnFormula>E18*(1-BEV_Annual_Efficiency_Improvement)</calculatedColumnFormula>
    </tableColumn>
    <tableColumn id="6" xr3:uid="{F8734794-B33B-4320-9C25-D29AB35809D8}" name="2027" dataDxfId="682">
      <calculatedColumnFormula>F18*(1-BEV_Annual_Efficiency_Improvement)</calculatedColumnFormula>
    </tableColumn>
    <tableColumn id="7" xr3:uid="{C837514E-841B-41BD-BC08-58C8FB014086}" name="2028" dataDxfId="681">
      <calculatedColumnFormula>G18*(1-BEV_Annual_Efficiency_Improvement)</calculatedColumnFormula>
    </tableColumn>
    <tableColumn id="8" xr3:uid="{7360A47D-7F82-4B54-B427-4626A94F2518}" name="2029" dataDxfId="680">
      <calculatedColumnFormula>H18*(1-BEV_Annual_Efficiency_Improvement)</calculatedColumnFormula>
    </tableColumn>
    <tableColumn id="9" xr3:uid="{95B24664-24EC-4E1C-BE4D-068E30144993}" name="2030" dataDxfId="679">
      <calculatedColumnFormula>I18*(1-BEV_Annual_Efficiency_Improvement)</calculatedColumnFormula>
    </tableColumn>
    <tableColumn id="10" xr3:uid="{C67301CE-AF03-40A6-BFA1-F77D4A9283A6}" name="2031" dataDxfId="678">
      <calculatedColumnFormula>J18*(1-BEV_Annual_Efficiency_Improvement)</calculatedColumnFormula>
    </tableColumn>
    <tableColumn id="11" xr3:uid="{C1003EF1-D048-4C6A-9F88-FEDCBC2E8E18}" name="2032" dataDxfId="677">
      <calculatedColumnFormula>K18*(1-BEV_Annual_Efficiency_Improvement)</calculatedColumnFormula>
    </tableColumn>
    <tableColumn id="12" xr3:uid="{AC4CE1CA-63D5-407A-8ACD-E4EAD833161F}" name="2033" dataDxfId="676">
      <calculatedColumnFormula>L18*(1-BEV_Annual_Efficiency_Improvement)</calculatedColumnFormula>
    </tableColumn>
    <tableColumn id="13" xr3:uid="{32A3CDEA-71F0-483C-9946-E0F108E66D04}" name="2034" dataDxfId="675">
      <calculatedColumnFormula>M18*(1-BEV_Annual_Efficiency_Improvement)</calculatedColumnFormula>
    </tableColumn>
    <tableColumn id="14" xr3:uid="{E910C37A-068F-41F4-A346-BEB3674259FD}" name="2035" dataDxfId="674">
      <calculatedColumnFormula>N18*(1-BEV_Annual_Efficiency_Improvement)</calculatedColumnFormula>
    </tableColumn>
  </tableColumns>
  <tableStyleInfo name="TableStyleMedium1" showFirstColumn="0" showLastColumn="0" showRowStripes="1" showColumnStripes="0"/>
  <extLst>
    <ext xmlns:x14="http://schemas.microsoft.com/office/spreadsheetml/2009/9/main" uri="{504A1905-F514-4f6f-8877-14C23A59335A}">
      <x14:table altText="DC Energy - CD AER Efficiency (Wh/mi)" altTextSummary="Direct Current (DC) Energy - Charge Depleting (CD) All-Electric Range (AER) Efficiency in WattHours per mile of all the different vehicle types on a year by year basis for BEVs"/>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FB587A53-C51B-4EAD-BEA3-9338FAB03924}" name="BEV_Range_Table" displayName="BEV_Range_Table" ref="B4:O14" headerRowDxfId="673" dataDxfId="671" totalsRowDxfId="669" headerRowBorderDxfId="672" tableBorderDxfId="670">
  <tableColumns count="14">
    <tableColumn id="1" xr3:uid="{D43932A3-D924-4603-918D-450C3ED10651}" name="Vehicle Class" totalsRowLabel="Total" dataDxfId="668" totalsRowDxfId="667"/>
    <tableColumn id="2" xr3:uid="{4F50E18D-BA0D-465E-962D-63512ED18EA0}" name="Vehicle Type" dataDxfId="666" totalsRowDxfId="665"/>
    <tableColumn id="3" xr3:uid="{249ADD8A-5973-497E-8913-E78485DE9421}" name="Tech Type" dataDxfId="664" totalsRowDxfId="663"/>
    <tableColumn id="4" xr3:uid="{5B4AC375-B6CF-4B7F-896D-70301C68D29D}" name="2025" dataDxfId="662" totalsRowDxfId="661">
      <calculatedColumnFormula>RIGHT($D5,LEN($D5)-MIN(FIND({0,1,2,3,4,5,6,7,8,9},$D5&amp;"0123456789"))+1)</calculatedColumnFormula>
    </tableColumn>
    <tableColumn id="5" xr3:uid="{1BEE2758-57B2-47A3-B0F8-3AA418B8AAA2}" name="2026" dataDxfId="660" totalsRowDxfId="659">
      <calculatedColumnFormula>RIGHT($D5,LEN($D5)-MIN(FIND({0,1,2,3,4,5,6,7,8,9},$D5&amp;"0123456789"))+1)</calculatedColumnFormula>
    </tableColumn>
    <tableColumn id="6" xr3:uid="{42E3FECD-463F-46BD-BB64-0DC149CED619}" name="2027" dataDxfId="658" totalsRowDxfId="657">
      <calculatedColumnFormula>RIGHT($D5,LEN($D5)-MIN(FIND({0,1,2,3,4,5,6,7,8,9},$D5&amp;"0123456789"))+1)</calculatedColumnFormula>
    </tableColumn>
    <tableColumn id="7" xr3:uid="{591AD0F2-810D-4350-8CFA-6F983289D13F}" name="2028" dataDxfId="656" totalsRowDxfId="655">
      <calculatedColumnFormula>RIGHT($D5,LEN($D5)-MIN(FIND({0,1,2,3,4,5,6,7,8,9},$D5&amp;"0123456789"))+1)</calculatedColumnFormula>
    </tableColumn>
    <tableColumn id="8" xr3:uid="{B861221C-2D01-4797-A079-3417193DAB6F}" name="2029" dataDxfId="654" totalsRowDxfId="653">
      <calculatedColumnFormula>RIGHT($D5,LEN($D5)-MIN(FIND({0,1,2,3,4,5,6,7,8,9},$D5&amp;"0123456789"))+1)</calculatedColumnFormula>
    </tableColumn>
    <tableColumn id="9" xr3:uid="{520DDFBB-2EF5-4339-A143-8F132F85A09E}" name="2030" dataDxfId="652" totalsRowDxfId="651">
      <calculatedColumnFormula>RIGHT($D5,LEN($D5)-MIN(FIND({0,1,2,3,4,5,6,7,8,9},$D5&amp;"0123456789"))+1)</calculatedColumnFormula>
    </tableColumn>
    <tableColumn id="10" xr3:uid="{A8963E16-3D7A-4D6B-A2F6-BA6D2D7A813A}" name="2031" dataDxfId="650" totalsRowDxfId="649">
      <calculatedColumnFormula>RIGHT($D5,LEN($D5)-MIN(FIND({0,1,2,3,4,5,6,7,8,9},$D5&amp;"0123456789"))+1)</calculatedColumnFormula>
    </tableColumn>
    <tableColumn id="11" xr3:uid="{ACECC828-56E5-4FBD-BE04-6C15F022722B}" name="2032" dataDxfId="648" totalsRowDxfId="647">
      <calculatedColumnFormula>RIGHT($D5,LEN($D5)-MIN(FIND({0,1,2,3,4,5,6,7,8,9},$D5&amp;"0123456789"))+1)</calculatedColumnFormula>
    </tableColumn>
    <tableColumn id="12" xr3:uid="{B66F426C-1D64-4F7F-B3A3-D08B5C71A465}" name="2033" dataDxfId="646" totalsRowDxfId="645">
      <calculatedColumnFormula>RIGHT($D5,LEN($D5)-MIN(FIND({0,1,2,3,4,5,6,7,8,9},$D5&amp;"0123456789"))+1)</calculatedColumnFormula>
    </tableColumn>
    <tableColumn id="13" xr3:uid="{4F67B0FB-EBD5-43D6-B800-1C73AC612454}" name="2034" dataDxfId="644" totalsRowDxfId="643">
      <calculatedColumnFormula>RIGHT($D5,LEN($D5)-MIN(FIND({0,1,2,3,4,5,6,7,8,9},$D5&amp;"0123456789"))+1)</calculatedColumnFormula>
    </tableColumn>
    <tableColumn id="14" xr3:uid="{FC33033C-8CF7-4DD5-96EE-2D8CC1185296}" name="2035" totalsRowFunction="count" dataDxfId="642" totalsRowDxfId="641">
      <calculatedColumnFormula>RIGHT($D5,LEN($D5)-MIN(FIND({0,1,2,3,4,5,6,7,8,9},$D5&amp;"0123456789"))+1)</calculatedColumnFormula>
    </tableColumn>
  </tableColumns>
  <tableStyleInfo name="TableStyleMedium1" showFirstColumn="0" showLastColumn="0" showRowStripes="1" showColumnStripes="0"/>
  <extLst>
    <ext xmlns:x14="http://schemas.microsoft.com/office/spreadsheetml/2009/9/main" uri="{504A1905-F514-4f6f-8877-14C23A59335A}">
      <x14:table altText="BEV Range by Vehicle Type and Year" altTextSummary="Ranges of all the different vehicle types on a year by year basis for BEVs"/>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B952D7A-4944-4F5C-B06F-DD85D4C9365C}" name="Table3" displayName="Table3" ref="B4:O14" totalsRowShown="0" headerRowDxfId="640" dataDxfId="638" headerRowBorderDxfId="639" tableBorderDxfId="637">
  <tableColumns count="14">
    <tableColumn id="1" xr3:uid="{7945970C-3D3E-417E-BCB1-D4DBEA2DBBAF}" name="Vehicle Class" dataDxfId="636"/>
    <tableColumn id="2" xr3:uid="{B5DB9D7C-ACEA-4DF5-9F04-E57094DBAFEC}" name="Vehicle Type" dataDxfId="635"/>
    <tableColumn id="3" xr3:uid="{553B4703-D604-4E31-BE7A-DC0E28880A01}" name="Tech Type" dataDxfId="634"/>
    <tableColumn id="4" xr3:uid="{656DFFA1-0123-46B2-A8DB-56E2F8BC3615}" name="2025" dataDxfId="633"/>
    <tableColumn id="5" xr3:uid="{CED7130B-90E5-4A89-92BB-B20EF8FE533D}" name="2026" dataDxfId="632">
      <calculatedColumnFormula>Table3[[#This Row],[2025]]</calculatedColumnFormula>
    </tableColumn>
    <tableColumn id="6" xr3:uid="{EFEF9F95-068E-41A1-AFE6-37E23C92FB4D}" name="2027" dataDxfId="631">
      <calculatedColumnFormula>Table3[[#This Row],[2026]]</calculatedColumnFormula>
    </tableColumn>
    <tableColumn id="7" xr3:uid="{9525CCB2-D668-4318-81F7-9473340FA9BC}" name="2028" dataDxfId="630">
      <calculatedColumnFormula>Table3[[#This Row],[2027]]</calculatedColumnFormula>
    </tableColumn>
    <tableColumn id="8" xr3:uid="{2BECF988-39F2-4B8D-A950-C0968EA0AABF}" name="2029" dataDxfId="629">
      <calculatedColumnFormula>Table3[[#This Row],[2028]]</calculatedColumnFormula>
    </tableColumn>
    <tableColumn id="9" xr3:uid="{17EEF4E1-011C-47DD-99D0-EEF65346CF69}" name="2030" dataDxfId="628">
      <calculatedColumnFormula>Table3[[#This Row],[2029]]</calculatedColumnFormula>
    </tableColumn>
    <tableColumn id="10" xr3:uid="{BFAF0A85-A491-464A-BC2A-896DEF588CD5}" name="2031" dataDxfId="627">
      <calculatedColumnFormula>Table3[[#This Row],[2030]]</calculatedColumnFormula>
    </tableColumn>
    <tableColumn id="11" xr3:uid="{28B2A26B-521F-4457-9760-EBFA03AB0BEE}" name="2032" dataDxfId="626">
      <calculatedColumnFormula>Table3[[#This Row],[2031]]</calculatedColumnFormula>
    </tableColumn>
    <tableColumn id="12" xr3:uid="{E7EC016C-8BF7-47D1-8C96-AFCDF07BBF17}" name="2033" dataDxfId="625">
      <calculatedColumnFormula>Table3[[#This Row],[2032]]</calculatedColumnFormula>
    </tableColumn>
    <tableColumn id="13" xr3:uid="{5337E0B7-0DAD-4F84-BD23-2237F5636080}" name="2034" dataDxfId="624">
      <calculatedColumnFormula>Table3[[#This Row],[2033]]</calculatedColumnFormula>
    </tableColumn>
    <tableColumn id="14" xr3:uid="{27AEB39E-3F06-4478-8142-F3125EED489A}" name="2035" dataDxfId="623">
      <calculatedColumnFormula>Table3[[#This Row],[2034]]</calculatedColumnFormula>
    </tableColumn>
  </tableColumns>
  <tableStyleInfo name="TableStyleMedium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AB08DC3-4458-47EF-84C8-E35ED52D4EAE}" name="Table4" displayName="Table4" ref="B17:O27" totalsRowShown="0" headerRowDxfId="622" dataDxfId="620" headerRowBorderDxfId="621" tableBorderDxfId="619">
  <tableColumns count="14">
    <tableColumn id="1" xr3:uid="{693DEAEE-18E8-48A7-B3DE-933575F510AF}" name="Vehicle Class" dataDxfId="618"/>
    <tableColumn id="2" xr3:uid="{32A2CB36-5298-45A2-867C-C8C6A0B1658B}" name="Vehicle Type" dataDxfId="617"/>
    <tableColumn id="3" xr3:uid="{C6F30C70-5AE7-4FB8-B247-ECE216A419E7}" name="Tech Type" dataDxfId="616"/>
    <tableColumn id="4" xr3:uid="{A3FE977A-CE7D-4C1B-B67E-C02AC672C6FB}" name="2025" dataDxfId="615"/>
    <tableColumn id="5" xr3:uid="{C2DCA113-4936-4F34-8A66-BCA31510EFD7}" name="2026" dataDxfId="614">
      <calculatedColumnFormula>E18*(1-PHEV_Annual_Efficiency_Improvement)</calculatedColumnFormula>
    </tableColumn>
    <tableColumn id="6" xr3:uid="{60BAA254-16A3-4E2F-B426-B50647A486DB}" name="2027" dataDxfId="613">
      <calculatedColumnFormula>F18*(1-PHEV_Annual_Efficiency_Improvement)</calculatedColumnFormula>
    </tableColumn>
    <tableColumn id="7" xr3:uid="{907400D1-1C46-4040-B6B6-D6C8007CCDF9}" name="2028" dataDxfId="612">
      <calculatedColumnFormula>G18*(1-PHEV_Annual_Efficiency_Improvement)</calculatedColumnFormula>
    </tableColumn>
    <tableColumn id="8" xr3:uid="{5AE0CECC-52F3-41DD-A328-BC7517E99E8D}" name="2029" dataDxfId="611">
      <calculatedColumnFormula>H18*(1-PHEV_Annual_Efficiency_Improvement)</calculatedColumnFormula>
    </tableColumn>
    <tableColumn id="9" xr3:uid="{58EAC2D7-5B95-4E4A-82BB-6BA9246B1865}" name="2030" dataDxfId="610">
      <calculatedColumnFormula>I18*(1-PHEV_Annual_Efficiency_Improvement)</calculatedColumnFormula>
    </tableColumn>
    <tableColumn id="10" xr3:uid="{256096EA-E339-43B8-8902-E6057289DB5D}" name="2031" dataDxfId="609">
      <calculatedColumnFormula>J18*(1-PHEV_Annual_Efficiency_Improvement)</calculatedColumnFormula>
    </tableColumn>
    <tableColumn id="11" xr3:uid="{A0CFC329-9746-4E40-A38B-F34FAC3AC380}" name="2032" dataDxfId="608">
      <calculatedColumnFormula>K18*(1-PHEV_Annual_Efficiency_Improvement)</calculatedColumnFormula>
    </tableColumn>
    <tableColumn id="12" xr3:uid="{37536BC7-3A35-4F0B-BECD-43D14452B51C}" name="2033" dataDxfId="607">
      <calculatedColumnFormula>L18*(1-PHEV_Annual_Efficiency_Improvement)</calculatedColumnFormula>
    </tableColumn>
    <tableColumn id="13" xr3:uid="{CEA428C3-38B5-4271-8ED9-B01B31F2D803}" name="2034" dataDxfId="606">
      <calculatedColumnFormula>M18*(1-PHEV_Annual_Efficiency_Improvement)</calculatedColumnFormula>
    </tableColumn>
    <tableColumn id="14" xr3:uid="{34608F4C-4CE9-48BF-A3C2-DC443E3BBC40}" name="2035" dataDxfId="605">
      <calculatedColumnFormula>N18*(1-PHEV_Annual_Efficiency_Improvement)</calculatedColumnFormula>
    </tableColumn>
  </tableColumns>
  <tableStyleInfo name="TableStyleMedium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7C03FA0-9372-4422-B33A-8226611120B4}" name="Table5" displayName="Table5" ref="B30:O40" totalsRowShown="0" headerRowDxfId="604" dataDxfId="602" headerRowBorderDxfId="603" tableBorderDxfId="601">
  <tableColumns count="14">
    <tableColumn id="1" xr3:uid="{6F936C2B-C27F-4C71-8747-0775C882887E}" name="Vehicle Class" dataDxfId="600"/>
    <tableColumn id="2" xr3:uid="{095D913D-3452-41A8-8B90-FBB4643CDED0}" name="Vehicle Type" dataDxfId="599"/>
    <tableColumn id="3" xr3:uid="{4471D318-39C8-4A9A-B918-BA64A6A22DB0}" name="Tech Type" dataDxfId="598"/>
    <tableColumn id="4" xr3:uid="{10F78F82-3941-421C-B6ED-838E0AC2FDEC}" name="2025" dataDxfId="597">
      <calculatedColumnFormula>((E18*E5)/1000)</calculatedColumnFormula>
    </tableColumn>
    <tableColumn id="5" xr3:uid="{308CF79F-988E-414E-B056-1939938562BC}" name="2026" dataDxfId="596">
      <calculatedColumnFormula>((F18*F5)/1000)</calculatedColumnFormula>
    </tableColumn>
    <tableColumn id="6" xr3:uid="{5BF18853-77D1-496B-A97E-C530FFC6D955}" name="2027" dataDxfId="595">
      <calculatedColumnFormula>((G18*G5)/1000)</calculatedColumnFormula>
    </tableColumn>
    <tableColumn id="7" xr3:uid="{685A4273-A287-4081-83FE-8B44B48FEA6B}" name="2028" dataDxfId="594">
      <calculatedColumnFormula>((H18*H5)/1000)</calculatedColumnFormula>
    </tableColumn>
    <tableColumn id="8" xr3:uid="{F191EC3F-CCE3-41E8-AFDA-2592812967E8}" name="2029" dataDxfId="593">
      <calculatedColumnFormula>((I18*I5)/1000)</calculatedColumnFormula>
    </tableColumn>
    <tableColumn id="9" xr3:uid="{BCB53A60-4547-4B8F-B758-C658CDC1CF75}" name="2030" dataDxfId="592">
      <calculatedColumnFormula>((J18*J5)/1000)</calculatedColumnFormula>
    </tableColumn>
    <tableColumn id="10" xr3:uid="{0484390D-993E-4E8C-BA48-681AB3463C8C}" name="2031" dataDxfId="591">
      <calculatedColumnFormula>((K18*K5)/1000)</calculatedColumnFormula>
    </tableColumn>
    <tableColumn id="11" xr3:uid="{A44A4F8E-F4EB-4261-9D61-64D015FB97E7}" name="2032" dataDxfId="590">
      <calculatedColumnFormula>((L18*L5)/1000)</calculatedColumnFormula>
    </tableColumn>
    <tableColumn id="12" xr3:uid="{C0C209E9-072B-4D35-B67D-3CF888A62665}" name="2033" dataDxfId="589">
      <calculatedColumnFormula>((M18*M5)/1000)</calculatedColumnFormula>
    </tableColumn>
    <tableColumn id="13" xr3:uid="{F68372AA-6ACD-4C63-9698-A8B4678113E9}" name="2034" dataDxfId="588">
      <calculatedColumnFormula>((N18*N5)/1000)</calculatedColumnFormula>
    </tableColumn>
    <tableColumn id="14" xr3:uid="{F14FC7AF-5661-4466-8FDF-85B7BC01F316}" name="2035" dataDxfId="587">
      <calculatedColumnFormula>((O18*O5)/1000)</calculatedColumnFormula>
    </tableColumn>
  </tableColumns>
  <tableStyleInfo name="TableStyleMedium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CB9AF87-8CD6-42EF-A7FD-12DFE06E0E52}" name="Table6" displayName="Table6" ref="B43:O53" totalsRowShown="0" headerRowDxfId="586" dataDxfId="584" headerRowBorderDxfId="585" tableBorderDxfId="583">
  <tableColumns count="14">
    <tableColumn id="1" xr3:uid="{B1C3E119-34DB-447A-9D59-B7CC87E7F48A}" name="Vehicle Class" dataDxfId="582"/>
    <tableColumn id="2" xr3:uid="{0AEB54FE-79D9-403B-866D-820CCEA778AE}" name="Vehicle Type" dataDxfId="581"/>
    <tableColumn id="3" xr3:uid="{3A05DACA-C40B-4F92-B450-5E9029904DA0}" name="Tech Type" dataDxfId="580"/>
    <tableColumn id="4" xr3:uid="{96033DEA-78F1-4A03-9557-F3C4DEBE7EDC}" name="2025" dataDxfId="579">
      <calculatedColumnFormula>((E5*E18)/1000)/PHEV_Battery_SOC_Utilization</calculatedColumnFormula>
    </tableColumn>
    <tableColumn id="5" xr3:uid="{02442EEC-181B-4111-BA10-B23CF6F0591D}" name="2026" dataDxfId="578">
      <calculatedColumnFormula>((F5*F18)/1000)/PHEV_Battery_SOC_Utilization</calculatedColumnFormula>
    </tableColumn>
    <tableColumn id="6" xr3:uid="{2D0F8B85-BED8-4363-9A02-E8A28748B7B4}" name="2027" dataDxfId="577">
      <calculatedColumnFormula>((G5*G18)/1000)/PHEV_Battery_SOC_Utilization</calculatedColumnFormula>
    </tableColumn>
    <tableColumn id="7" xr3:uid="{D86EBF2D-FDC8-4FB3-946C-B351D68CDFC9}" name="2028" dataDxfId="576">
      <calculatedColumnFormula>((H5*H18)/1000)/PHEV_Battery_SOC_Utilization</calculatedColumnFormula>
    </tableColumn>
    <tableColumn id="8" xr3:uid="{CC95C303-1AAE-431C-8946-AB2708134ED6}" name="2029" dataDxfId="575">
      <calculatedColumnFormula>((I5*I18)/1000)/PHEV_Battery_SOC_Utilization</calculatedColumnFormula>
    </tableColumn>
    <tableColumn id="9" xr3:uid="{759DFB85-83EE-40E4-AD2D-844AAFEA18F2}" name="2030" dataDxfId="574">
      <calculatedColumnFormula>((J5*J18)/1000)/Final_PHEV_Battery_SOC_Utilization</calculatedColumnFormula>
    </tableColumn>
    <tableColumn id="10" xr3:uid="{5C449AED-37CA-473E-96AF-05AE63715B7D}" name="2031" dataDxfId="573">
      <calculatedColumnFormula>((K5*K18)/1000)/Final_PHEV_Battery_SOC_Utilization</calculatedColumnFormula>
    </tableColumn>
    <tableColumn id="11" xr3:uid="{B5982B5B-E919-492D-94E9-74B1A68C7CC4}" name="2032" dataDxfId="572">
      <calculatedColumnFormula>((L5*L18)/1000)/Final_PHEV_Battery_SOC_Utilization</calculatedColumnFormula>
    </tableColumn>
    <tableColumn id="12" xr3:uid="{FCA43DFE-9AFC-4A46-AC83-A1081C01C260}" name="2033" dataDxfId="571">
      <calculatedColumnFormula>((M5*M18)/1000)/Final_PHEV_Battery_SOC_Utilization</calculatedColumnFormula>
    </tableColumn>
    <tableColumn id="13" xr3:uid="{86473583-FA59-4B03-A324-597E5491F1B9}" name="2034" dataDxfId="570">
      <calculatedColumnFormula>((N5*N18)/1000)/Final_PHEV_Battery_SOC_Utilization</calculatedColumnFormula>
    </tableColumn>
    <tableColumn id="14" xr3:uid="{53722EBF-B59E-4B9F-AC8F-F094B708496C}" name="2035" dataDxfId="569">
      <calculatedColumnFormula>((O5*O18)/1000)/Final_PHEV_Battery_SOC_Utilization</calculatedColumnFormula>
    </tableColumn>
  </tableColumns>
  <tableStyleInfo name="TableStyleMedium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D6F020D-3C0E-431A-B438-78C0F0777337}" name="Table7" displayName="Table7" ref="B56:O66" totalsRowShown="0" headerRowDxfId="568" dataDxfId="566" headerRowBorderDxfId="567" tableBorderDxfId="565">
  <tableColumns count="14">
    <tableColumn id="1" xr3:uid="{14FA6942-D54B-4317-A4DA-5ABCCE2DD01D}" name="Vehicle Class" dataDxfId="564"/>
    <tableColumn id="2" xr3:uid="{78A63ACC-7F9C-488E-9403-6609616BA90C}" name="Vehicle Type" dataDxfId="563"/>
    <tableColumn id="3" xr3:uid="{46781521-8FE2-42D8-A656-B9D61F7A435B}" name="Tech Type" dataDxfId="562"/>
    <tableColumn id="4" xr3:uid="{5049FFA7-F8FD-486D-885B-01298B1232B5}" name="2025" dataDxfId="561"/>
    <tableColumn id="5" xr3:uid="{707F7838-E758-4C41-B42D-005599765658}" name="2026" dataDxfId="560">
      <calculatedColumnFormula>Table7[[#This Row],[2025]]*(1-PHEV_Annual_Motor_Power_Reduction)</calculatedColumnFormula>
    </tableColumn>
    <tableColumn id="6" xr3:uid="{7A97905C-7526-4250-A764-89C395397D20}" name="2027" dataDxfId="559">
      <calculatedColumnFormula>Table7[[#This Row],[2026]]*(1-PHEV_Annual_Motor_Power_Reduction)</calculatedColumnFormula>
    </tableColumn>
    <tableColumn id="7" xr3:uid="{A37FE9F1-B4CA-41FC-8CCB-DD6248FB70B8}" name="2028" dataDxfId="558">
      <calculatedColumnFormula>Table7[[#This Row],[2027]]*(1-PHEV_Annual_Motor_Power_Reduction)</calculatedColumnFormula>
    </tableColumn>
    <tableColumn id="8" xr3:uid="{1DFECD15-5BD3-4E7D-A154-4DE1F1554635}" name="2029" dataDxfId="557">
      <calculatedColumnFormula>Table7[[#This Row],[2028]]*(1-PHEV_Annual_Motor_Power_Reduction)</calculatedColumnFormula>
    </tableColumn>
    <tableColumn id="9" xr3:uid="{5F98C950-59F8-44E2-B625-23AD783485B7}" name="2030" dataDxfId="556">
      <calculatedColumnFormula>Table7[[#This Row],[2029]]*(1-PHEV_Annual_Motor_Power_Reduction)</calculatedColumnFormula>
    </tableColumn>
    <tableColumn id="10" xr3:uid="{54CC18AB-6BDE-4970-9FB0-D14A27B13F35}" name="2031" dataDxfId="555">
      <calculatedColumnFormula>Table7[[#This Row],[2030]]*(1-PHEV_Annual_Motor_Power_Reduction)</calculatedColumnFormula>
    </tableColumn>
    <tableColumn id="11" xr3:uid="{CE1A4330-04CE-4B62-82FC-1CCA22AD3747}" name="2032" dataDxfId="554">
      <calculatedColumnFormula>Table7[[#This Row],[2031]]*(1-PHEV_Annual_Motor_Power_Reduction)</calculatedColumnFormula>
    </tableColumn>
    <tableColumn id="12" xr3:uid="{8A4BC786-A79F-4C83-9149-5BDD342B3DCF}" name="2033" dataDxfId="553">
      <calculatedColumnFormula>Table7[[#This Row],[2032]]*(1-PHEV_Annual_Motor_Power_Reduction)</calculatedColumnFormula>
    </tableColumn>
    <tableColumn id="13" xr3:uid="{EBCBF2E8-C396-4DC8-9504-D4F200F04AC9}" name="2034" dataDxfId="552">
      <calculatedColumnFormula>Table7[[#This Row],[2033]]*(1-PHEV_Annual_Motor_Power_Reduction)</calculatedColumnFormula>
    </tableColumn>
    <tableColumn id="14" xr3:uid="{EB7CABBD-0074-488F-949D-97031CFB335C}" name="2035" dataDxfId="551">
      <calculatedColumnFormula>Table7[[#This Row],[2034]]*(1-PHEV_Annual_Motor_Power_Reduction)</calculatedColumnFormula>
    </tableColumn>
  </tableColumns>
  <tableStyleInfo name="TableStyleMedium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D059E96-42EC-4C57-BE3D-3712DBC2EE4B}" name="Table8" displayName="Table8" ref="B5:O15" totalsRowShown="0" headerRowDxfId="550" dataDxfId="548" headerRowBorderDxfId="549" tableBorderDxfId="547">
  <tableColumns count="14">
    <tableColumn id="1" xr3:uid="{79ECF0CF-194F-4BD7-9320-FB7DF6C05085}" name="Vehicle Class" dataDxfId="546"/>
    <tableColumn id="2" xr3:uid="{7466A3FD-1227-4A63-8FAD-00657944850B}" name="Vehicle Type" dataDxfId="545"/>
    <tableColumn id="3" xr3:uid="{BA331710-2B63-4C76-BBE5-D40854A9323D}" name="Tech Type" dataDxfId="544"/>
    <tableColumn id="4" xr3:uid="{9E235E99-7A6F-43B5-AF5B-40BF97A799FA}" name="2025" dataDxfId="543"/>
    <tableColumn id="5" xr3:uid="{40ADE16C-3C52-4E98-B9C5-73A06EF00C7D}" name="2026" dataDxfId="542"/>
    <tableColumn id="6" xr3:uid="{95C8867E-DFE1-4642-A271-A8C907B69209}" name="2027" dataDxfId="541"/>
    <tableColumn id="7" xr3:uid="{5A466B1E-846F-4786-B410-CCB9AD3B652E}" name="2028" dataDxfId="540"/>
    <tableColumn id="8" xr3:uid="{E9F7EB13-B04A-41E9-B225-01B415244C1C}" name="2029" dataDxfId="539"/>
    <tableColumn id="9" xr3:uid="{19AD2FBD-5841-449C-AC2C-3E46457F93C5}" name="2030" dataDxfId="538"/>
    <tableColumn id="10" xr3:uid="{CD9BFD01-C8D4-465E-9F98-E7331640FE68}" name="2031" dataDxfId="537"/>
    <tableColumn id="11" xr3:uid="{336A4FA7-0162-4D5A-AB6D-33884A6EF3D0}" name="2032" dataDxfId="536"/>
    <tableColumn id="12" xr3:uid="{0575FAF9-1520-4FAB-903A-79F505801AA8}" name="2033" dataDxfId="535"/>
    <tableColumn id="13" xr3:uid="{D5EABC47-BF2B-4407-87B5-23DF9B5BA4F2}" name="2034" dataDxfId="534"/>
    <tableColumn id="14" xr3:uid="{9AE790B4-CE25-4CAD-9D67-865C643C65E1}" name="2035" dataDxfId="533"/>
  </tableColumns>
  <tableStyleInfo name="TableStyleMedium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2A49077-A695-4159-B4F6-91519C6B9984}" name="Table9" displayName="Table9" ref="B18:O28" totalsRowShown="0" headerRowDxfId="532" dataDxfId="530" headerRowBorderDxfId="531" tableBorderDxfId="529">
  <tableColumns count="14">
    <tableColumn id="1" xr3:uid="{FF7183BA-34BC-4CF5-B969-C27292D617FC}" name="Vehicle Class" dataDxfId="528"/>
    <tableColumn id="2" xr3:uid="{7098C0BC-7742-4A27-A64B-B0DAAB9A24CA}" name="Vehicle Type" dataDxfId="527"/>
    <tableColumn id="3" xr3:uid="{3646B830-86E2-47BC-930A-1F2C67E42860}" name="Tech Type" dataDxfId="526"/>
    <tableColumn id="4" xr3:uid="{E264B3DF-D276-40DC-986D-2E52FFCD4C13}" name="2025" dataDxfId="525"/>
    <tableColumn id="5" xr3:uid="{AA8EBE82-93C3-46D7-BD8B-4FD7B5966BEF}" name="2026" dataDxfId="524"/>
    <tableColumn id="6" xr3:uid="{CAC2378F-6721-455A-B994-F741EC43FD94}" name="2027" dataDxfId="523"/>
    <tableColumn id="7" xr3:uid="{E642AC11-6383-4897-84AA-8EAE89887693}" name="2028" dataDxfId="522"/>
    <tableColumn id="8" xr3:uid="{8B8BAC5D-1599-4A77-B4FB-65A6E9476A3C}" name="2029" dataDxfId="521"/>
    <tableColumn id="9" xr3:uid="{D3D04188-4F2B-4C64-A7A7-B57C08AC909E}" name="2030" dataDxfId="520"/>
    <tableColumn id="10" xr3:uid="{8B03DDD0-9951-4408-98E9-217DC558944E}" name="2031" dataDxfId="519"/>
    <tableColumn id="11" xr3:uid="{2FFA7A4B-4B69-4C48-B4A6-93CDCD48C28E}" name="2032" dataDxfId="518"/>
    <tableColumn id="12" xr3:uid="{27C65AE5-3A13-4693-AF54-5E2B84273B71}" name="2033" dataDxfId="517"/>
    <tableColumn id="13" xr3:uid="{13821758-554C-4A3F-96F2-49C530EF4BDE}" name="2034" dataDxfId="516"/>
    <tableColumn id="14" xr3:uid="{A751F760-A472-46C5-A8A8-5AC3FCAC8CD5}" name="2035" dataDxfId="515"/>
  </tableColumns>
  <tableStyleInfo name="TableStyleMedium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87416F8-A9E9-4676-9BC8-7B8FAF15468F}" name="Table11" displayName="Table11" ref="B31:O41" totalsRowShown="0" headerRowDxfId="514" dataDxfId="512" headerRowBorderDxfId="513" tableBorderDxfId="511">
  <tableColumns count="14">
    <tableColumn id="1" xr3:uid="{62244A4F-7810-4B73-9CB8-D7A8BDFDAEF0}" name="Vehicle Class" dataDxfId="510"/>
    <tableColumn id="2" xr3:uid="{69818923-9376-4267-A8C2-8D81D63EB9ED}" name="Vehicle Type" dataDxfId="509"/>
    <tableColumn id="3" xr3:uid="{7938D2BE-E304-4F57-BDF3-15589F45C9B1}" name="Tech Type" dataDxfId="508"/>
    <tableColumn id="4" xr3:uid="{1F56E4B1-4B0A-4969-99B7-AD5F7610562E}" name="2025" dataDxfId="507"/>
    <tableColumn id="5" xr3:uid="{8342F7FC-E217-447F-91E9-1EC7659E558C}" name="2026" dataDxfId="506"/>
    <tableColumn id="6" xr3:uid="{6768C550-4CFB-4FB0-B296-E250FFF9671F}" name="2027" dataDxfId="505"/>
    <tableColumn id="7" xr3:uid="{5C66F815-A9CA-497E-B19A-47FB11354DEB}" name="2028" dataDxfId="504"/>
    <tableColumn id="8" xr3:uid="{A27E5FB6-1E3C-4519-ADF8-5BBFFD20E147}" name="2029" dataDxfId="503"/>
    <tableColumn id="9" xr3:uid="{E2AACF5F-5180-4C13-A6B3-C9134CB84692}" name="2030" dataDxfId="502"/>
    <tableColumn id="10" xr3:uid="{C3FFD0FD-D022-43CF-A578-A0120C296646}" name="2031" dataDxfId="501"/>
    <tableColumn id="11" xr3:uid="{559CC27D-F8FF-4622-86C3-2AD4B42BD48F}" name="2032" dataDxfId="500"/>
    <tableColumn id="12" xr3:uid="{DBC6C645-397A-4E5D-BCA7-FA26420BE416}" name="2033" dataDxfId="499"/>
    <tableColumn id="13" xr3:uid="{15969BCB-F998-4FD5-A97C-AD8683322B0E}" name="2034" dataDxfId="498"/>
    <tableColumn id="14" xr3:uid="{7896D31E-1E25-4CAF-880D-DFA6A44A3A46}" name="2035" dataDxfId="497"/>
  </tableColumns>
  <tableStyleInfo name="TableStyleMedium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91943B8E-CA3F-42A3-B086-6DCD022C7396}" name="Table19" displayName="Table19" ref="B44:O54" totalsRowShown="0" headerRowDxfId="496" dataDxfId="494" headerRowBorderDxfId="495" tableBorderDxfId="493">
  <tableColumns count="14">
    <tableColumn id="1" xr3:uid="{995826A3-C96F-4EAF-9A68-164B71E82231}" name="Vehicle Class" dataDxfId="492"/>
    <tableColumn id="2" xr3:uid="{D4E290C6-8699-404F-A1B3-F68DC7A7E857}" name="Vehicle Type" dataDxfId="491"/>
    <tableColumn id="3" xr3:uid="{D79E2AE6-F403-4F29-97DC-593FEDD171C9}" name="Tech Type" dataDxfId="490"/>
    <tableColumn id="4" xr3:uid="{AD71E40B-0499-4F81-ADFA-0A7335431D5E}" name="2025" dataDxfId="489">
      <calculatedColumnFormula>(E32*1000)/E6</calculatedColumnFormula>
    </tableColumn>
    <tableColumn id="5" xr3:uid="{1A7011AC-851E-44BB-90A9-7D040EA4C6DA}" name="2026" dataDxfId="488">
      <calculatedColumnFormula>(F32*1000)/F6</calculatedColumnFormula>
    </tableColumn>
    <tableColumn id="6" xr3:uid="{1E23420C-2281-4D2C-9673-224AE39B63E6}" name="2027" dataDxfId="487">
      <calculatedColumnFormula>(G32*1000)/G6</calculatedColumnFormula>
    </tableColumn>
    <tableColumn id="7" xr3:uid="{BFCC8B26-A3B5-433A-9425-C6A76AFFEF80}" name="2028" dataDxfId="486">
      <calculatedColumnFormula>(H32*1000)/H6</calculatedColumnFormula>
    </tableColumn>
    <tableColumn id="8" xr3:uid="{12792BCE-161B-4AF9-99BE-56B68B9F815C}" name="2029" dataDxfId="485">
      <calculatedColumnFormula>(I32*1000)/I6</calculatedColumnFormula>
    </tableColumn>
    <tableColumn id="9" xr3:uid="{17A2F791-5360-4FD9-B320-CC77E2409570}" name="2030" dataDxfId="484">
      <calculatedColumnFormula>(J32*1000)/J6</calculatedColumnFormula>
    </tableColumn>
    <tableColumn id="10" xr3:uid="{AD21BC77-1A6C-4859-89E1-BCEE2A311BF0}" name="2031" dataDxfId="483">
      <calculatedColumnFormula>(K32*1000)/K6</calculatedColumnFormula>
    </tableColumn>
    <tableColumn id="11" xr3:uid="{3E0B8BE7-AB75-4A3E-B994-78A5B6BD8072}" name="2032" dataDxfId="482">
      <calculatedColumnFormula>(L32*1000)/L6</calculatedColumnFormula>
    </tableColumn>
    <tableColumn id="12" xr3:uid="{4B576533-EAFC-444D-B0A1-BCDAAE60FE43}" name="2033" dataDxfId="481">
      <calculatedColumnFormula>(M32*1000)/M6</calculatedColumnFormula>
    </tableColumn>
    <tableColumn id="13" xr3:uid="{AFABCEFB-FB96-40CD-A4F9-4ED92F050FBB}" name="2034" dataDxfId="480">
      <calculatedColumnFormula>(N32*1000)/N6</calculatedColumnFormula>
    </tableColumn>
    <tableColumn id="14" xr3:uid="{5714BCF5-F2BC-4617-ACCA-BF7A1F12B4FF}" name="2035" dataDxfId="479">
      <calculatedColumnFormula>(O32*1000)/O6</calculatedColumnFormula>
    </tableColumn>
  </tableColumns>
  <tableStyleInfo name="TableStyleMedium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85E135FE-B5CD-42C7-802C-A2FD5F9D30ED}" name="Table22" displayName="Table22" ref="B57:O67" totalsRowShown="0" headerRowDxfId="478" dataDxfId="476" headerRowBorderDxfId="477" tableBorderDxfId="475">
  <tableColumns count="14">
    <tableColumn id="1" xr3:uid="{5E515342-B9DD-4252-AB45-91B56E623EB2}" name="Vehicle Class" dataDxfId="474"/>
    <tableColumn id="2" xr3:uid="{ED358A28-35CF-402E-81FA-3272FCC9B493}" name="Vehicle Type" dataDxfId="473"/>
    <tableColumn id="3" xr3:uid="{FBFB1EDD-4D4E-4DD4-B250-9D4EE045523D}" name="Tech Type" dataDxfId="472"/>
    <tableColumn id="4" xr3:uid="{4C311167-CC4B-418D-958C-6E9392B9B270}" name="2025" dataDxfId="471"/>
    <tableColumn id="5" xr3:uid="{8D57A992-D90B-4208-8DDD-F5245D771C83}" name="2026" dataDxfId="470"/>
    <tableColumn id="6" xr3:uid="{36D20572-A8B9-4727-9006-609FBDAC7DD9}" name="2027" dataDxfId="469"/>
    <tableColumn id="7" xr3:uid="{48FAB384-3777-45B7-A0C8-6782BADDA96D}" name="2028" dataDxfId="468"/>
    <tableColumn id="8" xr3:uid="{FA8D887D-FF71-42BC-B3FD-C83E5C6150CD}" name="2029" dataDxfId="467"/>
    <tableColumn id="9" xr3:uid="{BC4684E8-40ED-46E8-8DA3-0F61E6AF32D5}" name="2030" dataDxfId="466"/>
    <tableColumn id="10" xr3:uid="{FAF83A1B-AC63-4142-85D4-40D0C03D47D5}" name="2031" dataDxfId="465"/>
    <tableColumn id="11" xr3:uid="{3875B772-0C08-482E-A140-DAFF114FD680}" name="2032" dataDxfId="464"/>
    <tableColumn id="12" xr3:uid="{8B1A256A-9281-43FE-884B-55A5F00B7C27}" name="2033" dataDxfId="463"/>
    <tableColumn id="13" xr3:uid="{08AE80EA-3E5D-4CF8-A046-A55ED01FB7CD}" name="2034" dataDxfId="462"/>
    <tableColumn id="14" xr3:uid="{A5AE3971-4CA7-435C-A6C0-AEC1E128C05C}" name="2035" dataDxfId="461"/>
  </tableColumns>
  <tableStyleInfo name="TableStyleMedium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7ECF0D46-F2A4-4A09-B8D1-CBBB85817531}" name="Table24" displayName="Table24" ref="B70:O80" totalsRowShown="0" headerRowDxfId="460" dataDxfId="458" headerRowBorderDxfId="459" tableBorderDxfId="457">
  <tableColumns count="14">
    <tableColumn id="1" xr3:uid="{27FDFB1C-F3D0-4057-81F9-C150799657AB}" name="Vehicle Class" dataDxfId="456"/>
    <tableColumn id="2" xr3:uid="{E9E8BC31-D2F9-48CF-820B-7134B19C55FB}" name="Vehicle Type" dataDxfId="455"/>
    <tableColumn id="3" xr3:uid="{A89F56F0-33DB-4C88-9577-11FD80F0284A}" name="Tech Type" dataDxfId="454"/>
    <tableColumn id="4" xr3:uid="{8B75C3F0-47F6-4D1B-AC52-8DF7E1A195AE}" name="2025" dataDxfId="453"/>
    <tableColumn id="5" xr3:uid="{C02C8789-E6A1-424D-970F-C99FB3271D84}" name="2026" dataDxfId="452"/>
    <tableColumn id="6" xr3:uid="{21C369EC-8BEF-47EF-B293-1ADC8AE109D0}" name="2027" dataDxfId="451"/>
    <tableColumn id="7" xr3:uid="{B88B0CCA-8B7A-4E76-A7F0-C324D2903897}" name="2028" dataDxfId="450"/>
    <tableColumn id="8" xr3:uid="{632D669C-009D-427C-B80A-96B927378602}" name="2029" dataDxfId="449"/>
    <tableColumn id="9" xr3:uid="{FD1BF4B9-9922-4F8C-BD68-9BD28CB22C8D}" name="2030" dataDxfId="448"/>
    <tableColumn id="10" xr3:uid="{013A8EBD-4045-4580-A662-F0A1D000AB9D}" name="2031" dataDxfId="447"/>
    <tableColumn id="11" xr3:uid="{C5014747-FD2B-4255-922F-CCFCE425F880}" name="2032" dataDxfId="446"/>
    <tableColumn id="12" xr3:uid="{7496EE3D-6CBB-4C58-AF14-3BFC9A05EC00}" name="2033" dataDxfId="445"/>
    <tableColumn id="13" xr3:uid="{459E73A7-5E1C-4B3F-872B-EDA334829004}" name="2034" dataDxfId="444"/>
    <tableColumn id="14" xr3:uid="{52B51F0C-720D-47EE-A3A7-158635169F28}" name="2035" dataDxfId="443"/>
  </tableColumns>
  <tableStyleInfo name="TableStyleMedium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237D8E95-115E-4B0A-95FD-96886711F5B1}" name="Table25" displayName="Table25" ref="B83:O93" totalsRowShown="0" headerRowDxfId="442" dataDxfId="440" headerRowBorderDxfId="441" tableBorderDxfId="439">
  <tableColumns count="14">
    <tableColumn id="1" xr3:uid="{B3239309-6E23-4164-A90C-382C1696AFFB}" name="Vehicle Class" dataDxfId="438"/>
    <tableColumn id="2" xr3:uid="{FE15F527-1BB8-4EB8-A733-A98D4812D6E5}" name="Vehicle Type" dataDxfId="437"/>
    <tableColumn id="3" xr3:uid="{EA754977-0B70-4908-8C00-31018D11334A}" name="Tech Type" dataDxfId="436"/>
    <tableColumn id="4" xr3:uid="{47E1DA38-315E-4ABA-8EBA-4EEA571E2D97}" name="2025" dataDxfId="435"/>
    <tableColumn id="5" xr3:uid="{D416A37B-33D8-4ABD-BF7A-C3BE82DE1862}" name="2026" dataDxfId="434"/>
    <tableColumn id="6" xr3:uid="{4D6C5B6C-EA1B-4A58-A50F-9BF608F57C83}" name="2027" dataDxfId="433"/>
    <tableColumn id="7" xr3:uid="{8FE16960-138F-4E76-A9D0-13BA84761FA5}" name="2028" dataDxfId="432"/>
    <tableColumn id="8" xr3:uid="{846AAE01-D382-4E27-ADB0-E567631DB187}" name="2029" dataDxfId="431"/>
    <tableColumn id="9" xr3:uid="{A8E575F5-4597-407B-9860-8B24AD5B46C0}" name="2030" dataDxfId="430"/>
    <tableColumn id="10" xr3:uid="{D7461AD9-3C48-4A5C-872E-A140E8882A06}" name="2031" dataDxfId="429"/>
    <tableColumn id="11" xr3:uid="{49B58168-B807-48B9-817F-BED4CD5AA6BE}" name="2032" dataDxfId="428"/>
    <tableColumn id="12" xr3:uid="{4BBDE785-A697-4420-AF10-CEC9B4D5B87C}" name="2033" dataDxfId="427"/>
    <tableColumn id="13" xr3:uid="{A062DFDA-2A5A-484A-A0AC-D8C1C77C4734}" name="2034" dataDxfId="426"/>
    <tableColumn id="14" xr3:uid="{D87ADBFD-D1E8-4084-A893-27A0F9F8B299}" name="2035" dataDxfId="425"/>
  </tableColumns>
  <tableStyleInfo name="TableStyleMedium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A7AFACB-17FD-4A78-ADE3-3DB6E4AD9ECE}" name="Table1" displayName="Table1" ref="B1:AE31" totalsRowShown="0" headerRowDxfId="424" dataDxfId="422" headerRowBorderDxfId="423" tableBorderDxfId="421">
  <tableColumns count="30">
    <tableColumn id="1" xr3:uid="{154404F4-3AC8-402A-8861-483A3D37D328}" name="Vehicle Class" dataDxfId="420"/>
    <tableColumn id="2" xr3:uid="{B26D802C-FDFF-41BA-9113-026F8DB9EB2B}" name="Vehicle Type" dataDxfId="419"/>
    <tableColumn id="3" xr3:uid="{8977DD6A-2935-4B21-8BF3-40658BD53D9C}" name="Tech Type" dataDxfId="418"/>
    <tableColumn id="4" xr3:uid="{17B9E1EA-7EBA-4C76-9838-EDBACFD730C9}" name="Base Year" dataDxfId="417"/>
    <tableColumn id="5" xr3:uid="{96DBEE53-AE65-4C61-B5A6-86E7A1B736A3}" name="AER" dataDxfId="416">
      <calculatedColumnFormula>RIGHT(D2,LEN(D2)-MIN(FIND({0,1,2,3,4,5,6,7,8,9},D2&amp;"0123456789"))+1)</calculatedColumnFormula>
    </tableColumn>
    <tableColumn id="6" xr3:uid="{AA2DACA7-2029-4074-B9DB-226D983B0617}" name="AER CD Efficiency (Wh/mi)" dataDxfId="415">
      <calculatedColumnFormula>IF(LEFT(D2,MIN(FIND({0,1,2,3,4,5,6,7,8,9},D2&amp;"0123456789"))-1)="BEV",INDEX(BEV_Efficiency,MATCH(A2,BEV_Efficiency_VehClass,0),MATCH(E2,BEV_Efficiency_Year,0)),IF(LEFT(D2,MIN(FIND({0,1,2,3,4,5,6,7,8,9},D2&amp;"0123456789"))-1)="PHEV",INDEX(PHEV_Efficiency,MATCH(A2,PHEV_Efficiency_VehClass,0),MATCH(E2,PHEV_Efficiency_Year,0)),IF(LEFT(D2,MIN(FIND({0,1,2,3,4,5,6,7,8,9},D2&amp;"0123456789"))-1)="FCEV",0,"Error")))</calculatedColumnFormula>
    </tableColumn>
    <tableColumn id="7" xr3:uid="{F65C09DC-D4D8-4AD3-BC66-3B6C4F44EE4D}" name="AER H2 Efficiency (g/mi)" dataDxfId="414">
      <calculatedColumnFormula array="1">IF(LEFT(D2,MIN(FIND({0,1,2,3,4,5,6,7,8,9},D2&amp;"0123456789"))-1)="BEV",0,IF(LEFT(D2,MIN(FIND({0,1,2,3,4,5,6,7,8,9},D2&amp;"0123456789"))-1)="PHEV",0,IF(LEFT(D2,MIN(FIND({0,1,2,3,4,5,6,7,8,9},D2&amp;"0123456789"))-1)="FCEV",INDEX(FCEV_H2_Efficiency,MATCH(A2,FCEV_H2_Efficiency_VehClass,0),MATCH(E2,Lookup_Year,0)),"Error")))</calculatedColumnFormula>
    </tableColumn>
    <tableColumn id="8" xr3:uid="{5DFA9416-80B0-4C9E-BBAF-66D02D28B18B}" name="Usable Battery Energy - UBE (kWh)" dataDxfId="413">
      <calculatedColumnFormula array="1">IF(LEFT(D2,MIN(FIND({0,1,2,3,4,5,6,7,8,9},D2&amp;"0123456789"))-1)="BEV",INDEX(BEV_UBE,MATCH(A2,BEV_UBE_VehClass,0),MATCH(E2,Lookup_Year,0)),IF(LEFT(D2,MIN(FIND({0,1,2,3,4,5,6,7,8,9},D2&amp;"0123456789"))-1)="PHEV",INDEX(PHEV_UBE,MATCH(A2,PHEV_UBE_VehClass,0),MATCH(E2,Lookup_Year,0)),IF(LEFT(D2,MIN(FIND({0,1,2,3,4,5,6,7,8,9},D2&amp;"0123456789"))-1)="FCEV",INDEX(FCEV_UBE,MATCH(A2,FCEV_UBE_VehClass,0),MATCH(E2,Lookup_Year,0)))))</calculatedColumnFormula>
    </tableColumn>
    <tableColumn id="9" xr3:uid="{07C5E268-004F-429C-B667-BD8CC9DADED9}" name="Total Battery Energy - TBE (kWh)" dataDxfId="412">
      <calculatedColumnFormula array="1">IF(LEFT(D2,MIN(FIND({0,1,2,3,4,5,6,7,8,9},D2&amp;"0123456789"))-1)="BEV",INDEX(BEV_TBE,MATCH(A2,BEV_TBE_VehClass,0),MATCH(E2,Lookup_Year,0)),IF(LEFT(D2,MIN(FIND({0,1,2,3,4,5,6,7,8,9},D2&amp;"0123456789"))-1)="PHEV",INDEX(PHEV_TBE,MATCH(A2,PHEV_TBE_VehClass,0),MATCH(E2,Lookup_Year,0)),IF(LEFT(D2,MIN(FIND({0,1,2,3,4,5,6,7,8,9},D2&amp;"0123456789"))-1)="FCEV",INDEX(FCEV_TBE,MATCH(A2,FCEV_TBE_VehClass,0),MATCH(E2,Lookup_Year,0)))))</calculatedColumnFormula>
    </tableColumn>
    <tableColumn id="10" xr3:uid="{52A618B0-8B4E-42B2-8A94-BF259208CE01}" name="eMotor Power (kW)" dataDxfId="411">
      <calculatedColumnFormula array="1">IF(LEFT(D2,MIN(FIND({0,1,2,3,4,5,6,7,8,9},D2&amp;"0123456789"))-1)="BEV",INDEX(BEV_eMotor_Power,MATCH(A2,BEV_eMotor_Power_VehClass,0),MATCH(E2,Lookup_Year,0)),IF(LEFT(D2,MIN(FIND({0,1,2,3,4,5,6,7,8,9},D2&amp;"0123456789"))-1)="PHEV",INDEX(PHEV_eMotor_Power,MATCH(A2,PHEV_eMotor_Power_VehClass,0),MATCH(E2,Lookup_Year,0)),IF(LEFT(D2,MIN(FIND({0,1,2,3,4,5,6,7,8,9},D2&amp;"0123456789"))-1)="FCEV",INDEX(FCEV_eMotor_Power,MATCH(A2,FCEV_eMotor_Power_VehClass,0),MATCH(E2,Lookup_Year,0)))))</calculatedColumnFormula>
    </tableColumn>
    <tableColumn id="11" xr3:uid="{2C526B98-23FE-431B-AE29-4EBBEC28AD79}" name="Fuel Cell Tank Capacity (kg)" dataDxfId="410">
      <calculatedColumnFormula array="1">IF(LEFT(D2,MIN(FIND({0,1,2,3,4,5,6,7,8,9},D2&amp;"0123456789"))-1)="BEV",0,IF(LEFT(D2,MIN(FIND({0,1,2,3,4,5,6,7,8,9},D2&amp;"0123456789"))-1)="PHEV",0,IF(LEFT(D2,MIN(FIND({0,1,2,3,4,5,6,7,8,9},D2&amp;"0123456789"))-1)="FCEV",INDEX(FCEV_TankSize,MATCH(A2,FCEV_TankSize_VehClass,0),MATCH(E2,Lookup_Year,0)))))</calculatedColumnFormula>
    </tableColumn>
    <tableColumn id="12" xr3:uid="{EA36A334-B744-4E6A-9F53-53E05E71C626}" name="Fuel Cell Stack Power (kW)" dataDxfId="409">
      <calculatedColumnFormula array="1">IF(LEFT(D2,MIN(FIND({0,1,2,3,4,5,6,7,8,9},D2&amp;"0123456789"))-1)="BEV",0,IF(LEFT(D2,MIN(FIND({0,1,2,3,4,5,6,7,8,9},D2&amp;"0123456789"))-1)="PHEV",0,IF(LEFT(D2,MIN(FIND({0,1,2,3,4,5,6,7,8,9},D2&amp;"0123456789"))-1)="FCEV",INDEX(FCEV_StackSize,MATCH(A2,FCEV_StackSize_VehClass,0),MATCH(E2,Lookup_Year,0)))))</calculatedColumnFormula>
    </tableColumn>
    <tableColumn id="13" xr3:uid="{F2BD7DF0-774D-4418-9252-CDD667310A1D}" name="Motor Cost" dataDxfId="408">
      <calculatedColumnFormula>K2*'Non-Battery Cost Input'!$G$5*'Non-Battery Cost Input'!$H$7</calculatedColumnFormula>
    </tableColumn>
    <tableColumn id="14" xr3:uid="{2A6BEC98-FC50-44D1-BEFB-91D429ED55CB}" name="Gearbox Cost" dataDxfId="407">
      <calculatedColumnFormula>'Non-Battery Cost Input'!$H$9</calculatedColumnFormula>
    </tableColumn>
    <tableColumn id="15" xr3:uid="{011B0706-4703-49D3-A801-4E7A9A0BAB5F}" name="Inverter Cost" dataDxfId="406">
      <calculatedColumnFormula>K2*'Non-Battery Cost Input'!$G$11</calculatedColumnFormula>
    </tableColumn>
    <tableColumn id="16" xr3:uid="{34C34397-D2E5-4B7A-9026-41D7554DF5CA}" name="Charge Cord Cost" dataDxfId="405"/>
    <tableColumn id="17" xr3:uid="{8FD2D473-77F7-40A2-A9A6-0B32B6B57FAF}" name="OBC Cost" dataDxfId="404"/>
    <tableColumn id="18" xr3:uid="{6AF17F96-9BF0-4583-94A6-889686FF9B6F}" name="DCFC Cost" dataDxfId="403"/>
    <tableColumn id="19" xr3:uid="{F395E816-7181-40ED-8A04-6FCA19570BA2}" name="DC-DC Converter Cost" dataDxfId="402">
      <calculatedColumnFormula>'Non-Battery Cost Input'!$H$15</calculatedColumnFormula>
    </tableColumn>
    <tableColumn id="20" xr3:uid="{BC199531-582C-42E0-9F4D-2627DB181481}" name="HV Controller Cost" dataDxfId="401">
      <calculatedColumnFormula>'Non-Battery Cost Input'!$H$17</calculatedColumnFormula>
    </tableColumn>
    <tableColumn id="21" xr3:uid="{2EA2FF8B-4BD7-44D6-B6D7-5CB102058667}" name="Power Electronic Housing Cost" dataDxfId="400">
      <calculatedColumnFormula>'Non-Battery Cost Input'!$H$16</calculatedColumnFormula>
    </tableColumn>
    <tableColumn id="22" xr3:uid="{19212355-2F75-4503-ABC3-77AF64B92B1C}" name="HV Cabling Cost" dataDxfId="399">
      <calculatedColumnFormula>'Non-Battery Cost Input'!$H$18</calculatedColumnFormula>
    </tableColumn>
    <tableColumn id="23" xr3:uid="{222C8547-CB8F-45D4-8337-9E6B8FA562C7}" name="e-Powertrain Cooling" dataDxfId="398">
      <calculatedColumnFormula>'Non-Battery Cost Input'!$H$19</calculatedColumnFormula>
    </tableColumn>
    <tableColumn id="24" xr3:uid="{DBCEB818-CFD2-445F-8040-38480EBB6A48}" name="Total Non-Battery Cost" dataDxfId="397">
      <calculatedColumnFormula>SUM(N2:X2)</calculatedColumnFormula>
    </tableColumn>
    <tableColumn id="25" xr3:uid="{D0B57749-8646-48CC-B718-45BB5CF3F62A}" name="eAWD Motor Cost" dataDxfId="396">
      <calculatedColumnFormula>K2*'Vehicle Attributes Overview'!$A$3*'Non-Battery Cost Input'!$G$6*'Non-Battery Cost Input'!$H$8</calculatedColumnFormula>
    </tableColumn>
    <tableColumn id="26" xr3:uid="{97BCF4E4-B2E1-456F-B230-B66BBD90BF2D}" name="eAWD Gearbox Cost" dataDxfId="395">
      <calculatedColumnFormula>'Non-Battery Cost Input'!$H$9</calculatedColumnFormula>
    </tableColumn>
    <tableColumn id="27" xr3:uid="{3943EE58-C8C0-48C0-B326-102272AC6942}" name="eAWD Inverter Cost" dataDxfId="394">
      <calculatedColumnFormula>K2*'Vehicle Attributes Overview'!$A$3*'Non-Battery Cost Input'!$G$10</calculatedColumnFormula>
    </tableColumn>
    <tableColumn id="28" xr3:uid="{90BC3AD1-5D62-4166-9D39-465639463869}" name="eAWD HV Cabling Cost" dataDxfId="393">
      <calculatedColumnFormula>'Non-Battery Cost Input'!$H$20</calculatedColumnFormula>
    </tableColumn>
    <tableColumn id="29" xr3:uid="{9842434B-AF67-4CF6-A7C6-6EFD8C6E36FE}" name="eAWD Cooling" dataDxfId="392">
      <calculatedColumnFormula>'Non-Battery Cost Input'!$H$19</calculatedColumnFormula>
    </tableColumn>
    <tableColumn id="30" xr3:uid="{6EEC2331-0003-41AA-8EC1-072E6C11303E}" name="eAWD Powertrain Cost" dataDxfId="391">
      <calculatedColumnFormula>SUM(Z2:AD2)</calculatedColumnFormula>
    </tableColumn>
  </tableColumns>
  <tableStyleInfo name="TableStyleMedium1" showFirstColumn="0" showLastColumn="0" showRowStripes="1" showColumnStripes="0"/>
  <extLst>
    <ext xmlns:x14="http://schemas.microsoft.com/office/spreadsheetml/2009/9/main" uri="{504A1905-F514-4f6f-8877-14C23A59335A}">
      <x14:table altText="Base Year Vehicle Attributes" altTextSummary="Vehicle technology and class combinations are separated by individual rows. Each row contains attribute and costs for each system specific to those vehicle technology and class combinations for the base year. The base year in this case is 2025. "/>
    </ext>
  </extLst>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E0DCF38-0547-4FD0-93EE-039422DA98DD}" name="Table26" displayName="Table26" ref="B4:O34" totalsRowShown="0" headerRowDxfId="390" dataDxfId="389" tableBorderDxfId="388">
  <tableColumns count="14">
    <tableColumn id="1" xr3:uid="{3B61808A-5BB7-4DF0-9466-5573827CC115}" name="Column1" dataDxfId="387">
      <calculatedColumnFormula>'Vehicle Attributes - Base Year'!B2</calculatedColumnFormula>
    </tableColumn>
    <tableColumn id="2" xr3:uid="{4AF576A7-F52A-4F24-A993-A9BBA897B74A}" name="Column2" dataDxfId="386">
      <calculatedColumnFormula>'Vehicle Attributes - Base Year'!C2</calculatedColumnFormula>
    </tableColumn>
    <tableColumn id="3" xr3:uid="{12929B92-3D6A-4D1A-9E25-FEB6B1431852}" name="Column3" dataDxfId="385">
      <calculatedColumnFormula>'Vehicle Attributes - Base Year'!D2</calculatedColumnFormula>
    </tableColumn>
    <tableColumn id="4" xr3:uid="{9BD4F4ED-D266-495B-8799-74E0267E79C4}" name="Column4" dataDxfId="384">
      <calculatedColumnFormula array="1">IF(LEFT($D5,MIN(FIND({0,1,2,3,4,5,6,7,8,9},$D5&amp;"0123456789"))-1)="BEV",INDEX(BEV_TBE,MATCH($A4,BEV_TBE_VehClass,0),MATCH(E$3,Lookup_Year,0)),IF(LEFT($D5,MIN(FIND({0,1,2,3,4,5,6,7,8,9},$D5&amp;"0123456789"))-1)="PHEV",INDEX(PHEV_TBE,MATCH($A4,PHEV_TBE_VehClass,0),MATCH(E$3,Lookup_Year,0)),IF(LEFT($D5,MIN(FIND({0,1,2,3,4,5,6,7,8,9},$D5&amp;"0123456789"))-1)="FCEV",INDEX(FCEV_TBE,MATCH($A4,FCEV_TBE_VehClass,0),MATCH(E$3,Lookup_Year,0)))))</calculatedColumnFormula>
    </tableColumn>
    <tableColumn id="5" xr3:uid="{88D5A048-BD30-4F33-8BA7-59B57E13E59C}" name="Column5" dataDxfId="383">
      <calculatedColumnFormula array="1">IF(LEFT($D5,MIN(FIND({0,1,2,3,4,5,6,7,8,9},$D5&amp;"0123456789"))-1)="BEV",INDEX(BEV_TBE,MATCH($A4,BEV_TBE_VehClass,0),MATCH(F$3,Lookup_Year,0)),IF(LEFT($D5,MIN(FIND({0,1,2,3,4,5,6,7,8,9},$D5&amp;"0123456789"))-1)="PHEV",INDEX(PHEV_TBE,MATCH($A4,PHEV_TBE_VehClass,0),MATCH(F$3,Lookup_Year,0)),IF(LEFT($D5,MIN(FIND({0,1,2,3,4,5,6,7,8,9},$D5&amp;"0123456789"))-1)="FCEV",INDEX(FCEV_TBE,MATCH($A4,FCEV_TBE_VehClass,0),MATCH(F$3,Lookup_Year,0)))))</calculatedColumnFormula>
    </tableColumn>
    <tableColumn id="6" xr3:uid="{A50A7EDF-BD1A-4630-BCD8-1831FE61640E}" name="Column6" dataDxfId="382">
      <calculatedColumnFormula array="1">IF(LEFT($D5,MIN(FIND({0,1,2,3,4,5,6,7,8,9},$D5&amp;"0123456789"))-1)="BEV",INDEX(BEV_TBE,MATCH($A4,BEV_TBE_VehClass,0),MATCH(G$3,Lookup_Year,0)),IF(LEFT($D5,MIN(FIND({0,1,2,3,4,5,6,7,8,9},$D5&amp;"0123456789"))-1)="PHEV",INDEX(PHEV_TBE,MATCH($A4,PHEV_TBE_VehClass,0),MATCH(G$3,Lookup_Year,0)),IF(LEFT($D5,MIN(FIND({0,1,2,3,4,5,6,7,8,9},$D5&amp;"0123456789"))-1)="FCEV",INDEX(FCEV_TBE,MATCH($A4,FCEV_TBE_VehClass,0),MATCH(G$3,Lookup_Year,0)))))</calculatedColumnFormula>
    </tableColumn>
    <tableColumn id="7" xr3:uid="{57AC329F-6278-4817-982C-5C942952352E}" name="Column7" dataDxfId="381">
      <calculatedColumnFormula array="1">IF(LEFT($D5,MIN(FIND({0,1,2,3,4,5,6,7,8,9},$D5&amp;"0123456789"))-1)="BEV",INDEX(BEV_TBE,MATCH($A4,BEV_TBE_VehClass,0),MATCH(H$3,Lookup_Year,0)),IF(LEFT($D5,MIN(FIND({0,1,2,3,4,5,6,7,8,9},$D5&amp;"0123456789"))-1)="PHEV",INDEX(PHEV_TBE,MATCH($A4,PHEV_TBE_VehClass,0),MATCH(H$3,Lookup_Year,0)),IF(LEFT($D5,MIN(FIND({0,1,2,3,4,5,6,7,8,9},$D5&amp;"0123456789"))-1)="FCEV",INDEX(FCEV_TBE,MATCH($A4,FCEV_TBE_VehClass,0),MATCH(H$3,Lookup_Year,0)))))</calculatedColumnFormula>
    </tableColumn>
    <tableColumn id="8" xr3:uid="{F80678C9-7AF4-405B-8A82-AF61A7A54946}" name="Column8" dataDxfId="380">
      <calculatedColumnFormula array="1">IF(LEFT($D5,MIN(FIND({0,1,2,3,4,5,6,7,8,9},$D5&amp;"0123456789"))-1)="BEV",INDEX(BEV_TBE,MATCH($A4,BEV_TBE_VehClass,0),MATCH(I$3,Lookup_Year,0)),IF(LEFT($D5,MIN(FIND({0,1,2,3,4,5,6,7,8,9},$D5&amp;"0123456789"))-1)="PHEV",INDEX(PHEV_TBE,MATCH($A4,PHEV_TBE_VehClass,0),MATCH(I$3,Lookup_Year,0)),IF(LEFT($D5,MIN(FIND({0,1,2,3,4,5,6,7,8,9},$D5&amp;"0123456789"))-1)="FCEV",INDEX(FCEV_TBE,MATCH($A4,FCEV_TBE_VehClass,0),MATCH(I$3,Lookup_Year,0)))))</calculatedColumnFormula>
    </tableColumn>
    <tableColumn id="9" xr3:uid="{64F46855-6340-473A-9E20-1D1D14C72A4A}" name="Column9" dataDxfId="379">
      <calculatedColumnFormula array="1">IF(LEFT($D5,MIN(FIND({0,1,2,3,4,5,6,7,8,9},$D5&amp;"0123456789"))-1)="BEV",INDEX(BEV_TBE,MATCH($A4,BEV_TBE_VehClass,0),MATCH(J$3,Lookup_Year,0)),IF(LEFT($D5,MIN(FIND({0,1,2,3,4,5,6,7,8,9},$D5&amp;"0123456789"))-1)="PHEV",INDEX(PHEV_TBE,MATCH($A4,PHEV_TBE_VehClass,0),MATCH(J$3,Lookup_Year,0)),IF(LEFT($D5,MIN(FIND({0,1,2,3,4,5,6,7,8,9},$D5&amp;"0123456789"))-1)="FCEV",INDEX(FCEV_TBE,MATCH($A4,FCEV_TBE_VehClass,0),MATCH(J$3,Lookup_Year,0)))))</calculatedColumnFormula>
    </tableColumn>
    <tableColumn id="10" xr3:uid="{1947AB80-D109-4335-86D1-669BB5098B9B}" name="Column10" dataDxfId="378">
      <calculatedColumnFormula array="1">IF(LEFT($D5,MIN(FIND({0,1,2,3,4,5,6,7,8,9},$D5&amp;"0123456789"))-1)="BEV",INDEX(BEV_TBE,MATCH($A4,BEV_TBE_VehClass,0),MATCH(K$3,Lookup_Year,0)),IF(LEFT($D5,MIN(FIND({0,1,2,3,4,5,6,7,8,9},$D5&amp;"0123456789"))-1)="PHEV",INDEX(PHEV_TBE,MATCH($A4,PHEV_TBE_VehClass,0),MATCH(K$3,Lookup_Year,0)),IF(LEFT($D5,MIN(FIND({0,1,2,3,4,5,6,7,8,9},$D5&amp;"0123456789"))-1)="FCEV",INDEX(FCEV_TBE,MATCH($A4,FCEV_TBE_VehClass,0),MATCH(K$3,Lookup_Year,0)))))</calculatedColumnFormula>
    </tableColumn>
    <tableColumn id="11" xr3:uid="{960D23D2-312C-444D-B028-FFF1F2FF9E00}" name="Column11" dataDxfId="377">
      <calculatedColumnFormula array="1">IF(LEFT($D5,MIN(FIND({0,1,2,3,4,5,6,7,8,9},$D5&amp;"0123456789"))-1)="BEV",INDEX(BEV_TBE,MATCH($A4,BEV_TBE_VehClass,0),MATCH(L$3,Lookup_Year,0)),IF(LEFT($D5,MIN(FIND({0,1,2,3,4,5,6,7,8,9},$D5&amp;"0123456789"))-1)="PHEV",INDEX(PHEV_TBE,MATCH($A4,PHEV_TBE_VehClass,0),MATCH(L$3,Lookup_Year,0)),IF(LEFT($D5,MIN(FIND({0,1,2,3,4,5,6,7,8,9},$D5&amp;"0123456789"))-1)="FCEV",INDEX(FCEV_TBE,MATCH($A4,FCEV_TBE_VehClass,0),MATCH(L$3,Lookup_Year,0)))))</calculatedColumnFormula>
    </tableColumn>
    <tableColumn id="12" xr3:uid="{A59854FF-86BF-487F-A505-EABDB4C3E957}" name="Column12" dataDxfId="376">
      <calculatedColumnFormula array="1">IF(LEFT($D5,MIN(FIND({0,1,2,3,4,5,6,7,8,9},$D5&amp;"0123456789"))-1)="BEV",INDEX(BEV_TBE,MATCH($A4,BEV_TBE_VehClass,0),MATCH(M$3,Lookup_Year,0)),IF(LEFT($D5,MIN(FIND({0,1,2,3,4,5,6,7,8,9},$D5&amp;"0123456789"))-1)="PHEV",INDEX(PHEV_TBE,MATCH($A4,PHEV_TBE_VehClass,0),MATCH(M$3,Lookup_Year,0)),IF(LEFT($D5,MIN(FIND({0,1,2,3,4,5,6,7,8,9},$D5&amp;"0123456789"))-1)="FCEV",INDEX(FCEV_TBE,MATCH($A4,FCEV_TBE_VehClass,0),MATCH(M$3,Lookup_Year,0)))))</calculatedColumnFormula>
    </tableColumn>
    <tableColumn id="13" xr3:uid="{6C3EDB7A-C7D3-4629-B339-150FEE22EBB0}" name="Column13" dataDxfId="375">
      <calculatedColumnFormula array="1">IF(LEFT($D5,MIN(FIND({0,1,2,3,4,5,6,7,8,9},$D5&amp;"0123456789"))-1)="BEV",INDEX(BEV_TBE,MATCH($A4,BEV_TBE_VehClass,0),MATCH(N$3,Lookup_Year,0)),IF(LEFT($D5,MIN(FIND({0,1,2,3,4,5,6,7,8,9},$D5&amp;"0123456789"))-1)="PHEV",INDEX(PHEV_TBE,MATCH($A4,PHEV_TBE_VehClass,0),MATCH(N$3,Lookup_Year,0)),IF(LEFT($D5,MIN(FIND({0,1,2,3,4,5,6,7,8,9},$D5&amp;"0123456789"))-1)="FCEV",INDEX(FCEV_TBE,MATCH($A4,FCEV_TBE_VehClass,0),MATCH(N$3,Lookup_Year,0)))))</calculatedColumnFormula>
    </tableColumn>
    <tableColumn id="14" xr3:uid="{708F8E8A-9455-4221-8933-76B10F96A167}" name="Column14" dataDxfId="374">
      <calculatedColumnFormula array="1">IF(LEFT($D5,MIN(FIND({0,1,2,3,4,5,6,7,8,9},$D5&amp;"0123456789"))-1)="BEV",INDEX(BEV_TBE,MATCH($A4,BEV_TBE_VehClass,0),MATCH(O$3,Lookup_Year,0)),IF(LEFT($D5,MIN(FIND({0,1,2,3,4,5,6,7,8,9},$D5&amp;"0123456789"))-1)="PHEV",INDEX(PHEV_TBE,MATCH($A4,PHEV_TBE_VehClass,0),MATCH(O$3,Lookup_Year,0)),IF(LEFT($D5,MIN(FIND({0,1,2,3,4,5,6,7,8,9},$D5&amp;"0123456789"))-1)="FCEV",INDEX(FCEV_TBE,MATCH($A4,FCEV_TBE_VehClass,0),MATCH(O$3,Lookup_Year,0)))))</calculatedColumnFormula>
    </tableColumn>
  </tableColumns>
  <tableStyleInfo name="TableStyleMedium1" showFirstColumn="0" showLastColumn="0" showRowStripes="1" showColumnStripes="0"/>
  <extLst>
    <ext xmlns:x14="http://schemas.microsoft.com/office/spreadsheetml/2009/9/main" uri="{504A1905-F514-4f6f-8877-14C23A59335A}">
      <x14:table altText="Total Battery Capacity (kWh)" altTextSummary="Table of Battery Capacities in kiloWatt-hours on a year by year basis for each technology combination"/>
    </ext>
  </extLst>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47DC92E7-C23B-4BFE-A0B0-53516A628A6A}" name="Table27" displayName="Table27" ref="B4:O34" totalsRowShown="0" headerRowDxfId="373" dataDxfId="372" tableBorderDxfId="371">
  <tableColumns count="14">
    <tableColumn id="1" xr3:uid="{9308977F-FE8D-4EA5-98F0-74AF2899643C}" name="Column1" dataDxfId="370">
      <calculatedColumnFormula>'Vehicle Attributes - Base Year'!B2</calculatedColumnFormula>
    </tableColumn>
    <tableColumn id="2" xr3:uid="{6B3FD2BA-DED7-4F02-BB28-969A62B81224}" name="Column2" dataDxfId="369">
      <calculatedColumnFormula>'Vehicle Attributes - Base Year'!C2</calculatedColumnFormula>
    </tableColumn>
    <tableColumn id="3" xr3:uid="{539B61C5-E928-48C0-8587-4AC31ECDBED7}" name="Column3" dataDxfId="368">
      <calculatedColumnFormula>'Vehicle Attributes - Base Year'!D2</calculatedColumnFormula>
    </tableColumn>
    <tableColumn id="4" xr3:uid="{CA4373D1-9AF6-46C6-8F3E-656D8CC869FC}" name="Column4" dataDxfId="367">
      <calculatedColumnFormula>R$8*'Battery Capacity'!E5</calculatedColumnFormula>
    </tableColumn>
    <tableColumn id="5" xr3:uid="{0DF81BBA-4BCE-443E-89CF-FBAF54DF8F08}" name="Column5" dataDxfId="366">
      <calculatedColumnFormula>S$8*'Battery Capacity'!F5</calculatedColumnFormula>
    </tableColumn>
    <tableColumn id="6" xr3:uid="{00F82E2E-FA7B-44EF-A2DE-DDE00B01DBDA}" name="Column6" dataDxfId="365">
      <calculatedColumnFormula>T$8*'Battery Capacity'!G5</calculatedColumnFormula>
    </tableColumn>
    <tableColumn id="7" xr3:uid="{EE346FAF-D938-4207-8EBF-99A6D295ED30}" name="Column7" dataDxfId="364">
      <calculatedColumnFormula>U$8*'Battery Capacity'!H5</calculatedColumnFormula>
    </tableColumn>
    <tableColumn id="8" xr3:uid="{86C318D8-63CF-44E6-B8C2-D0B639E22B21}" name="Column8" dataDxfId="363">
      <calculatedColumnFormula>V$8*'Battery Capacity'!I5</calculatedColumnFormula>
    </tableColumn>
    <tableColumn id="9" xr3:uid="{241812A9-31EC-4068-B224-62D4BE88A147}" name="Column9" dataDxfId="362">
      <calculatedColumnFormula>W$8*'Battery Capacity'!J5</calculatedColumnFormula>
    </tableColumn>
    <tableColumn id="10" xr3:uid="{A17AF0BB-BC01-45C1-8D3F-87E2756B052C}" name="Column10" dataDxfId="361">
      <calculatedColumnFormula>X$8*'Battery Capacity'!K5</calculatedColumnFormula>
    </tableColumn>
    <tableColumn id="11" xr3:uid="{9724A4F9-EF5E-4D61-B2D1-CE2DC8FCC1EE}" name="Column11" dataDxfId="360">
      <calculatedColumnFormula>Y$8*'Battery Capacity'!L5</calculatedColumnFormula>
    </tableColumn>
    <tableColumn id="12" xr3:uid="{64C5755A-6DBD-48BF-A423-D5A8DA8199EB}" name="Column12" dataDxfId="359">
      <calculatedColumnFormula>Z$8*'Battery Capacity'!M5</calculatedColumnFormula>
    </tableColumn>
    <tableColumn id="13" xr3:uid="{B9D3AECB-6761-4D18-B761-1C106CB4154C}" name="Column13" dataDxfId="358">
      <calculatedColumnFormula>AA$8*'Battery Capacity'!N5</calculatedColumnFormula>
    </tableColumn>
    <tableColumn id="14" xr3:uid="{21A36032-7401-47BF-9730-120772992766}" name="Column14" dataDxfId="357">
      <calculatedColumnFormula>AB$8*'Battery Capacity'!O5</calculatedColumnFormula>
    </tableColumn>
  </tableColumns>
  <tableStyleInfo name="TableStyleMedium1" showFirstColumn="0" showLastColumn="0" showRowStripes="1" showColumnStripes="0"/>
  <extLst>
    <ext xmlns:x14="http://schemas.microsoft.com/office/spreadsheetml/2009/9/main" uri="{504A1905-F514-4f6f-8877-14C23A59335A}">
      <x14:table altText="Battery Pack Costs ($)" altTextSummary="Battery Pack Costs in current dollars on a year by year basis for each technology combination"/>
    </ext>
  </extLst>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E3B5BF65-9234-414D-B66A-74B5E1E9D778}" name="Table28" displayName="Table28" ref="Q5:AB8" totalsRowShown="0" headerRowDxfId="356" dataDxfId="355" tableBorderDxfId="354" headerRowCellStyle="Currency">
  <autoFilter ref="Q5:AB8" xr:uid="{5D6E9B33-4E3B-4C68-A9FF-2A427D239A44}"/>
  <tableColumns count="12">
    <tableColumn id="1" xr3:uid="{08DFDE53-2A90-4CB4-94D1-7D9228770495}" name="Column1" dataDxfId="353"/>
    <tableColumn id="2" xr3:uid="{01078696-E604-4508-AF4A-6EC32C44F6D6}" name="Column2" dataDxfId="352"/>
    <tableColumn id="3" xr3:uid="{F0AE9D68-B064-406F-A0CF-0C7031E108C2}" name="Column3" dataDxfId="351"/>
    <tableColumn id="4" xr3:uid="{76597779-C889-42B4-A0DA-B010283D29D5}" name="Column4" dataDxfId="350"/>
    <tableColumn id="5" xr3:uid="{9CC6C978-2D35-4CB9-B12D-D6DC66E1C193}" name="Column5" dataDxfId="349"/>
    <tableColumn id="6" xr3:uid="{D2F85501-518E-4CA2-9F75-124185F66158}" name="Column6" dataDxfId="348"/>
    <tableColumn id="7" xr3:uid="{7EBE6697-CC41-4B72-A587-0597588A2718}" name="Column7" dataDxfId="347"/>
    <tableColumn id="8" xr3:uid="{123752A4-CAEE-4EE3-9913-5BB61D2412CC}" name="Column8" dataDxfId="346"/>
    <tableColumn id="9" xr3:uid="{1F0FDAC4-C277-483C-A8B9-4A08B3127264}" name="Column9" dataDxfId="345"/>
    <tableColumn id="10" xr3:uid="{73601872-31D5-4D65-9DE1-A7BE36B2B8C8}" name="Column10" dataDxfId="344"/>
    <tableColumn id="11" xr3:uid="{1771844B-1E32-4C10-99E2-F74E37DE3B92}" name="Column11" dataDxfId="343"/>
    <tableColumn id="12" xr3:uid="{81FF089D-863D-4DF0-A736-459A8C1D3D4C}" name="Column12" dataDxfId="342"/>
  </tableColumns>
  <tableStyleInfo name="TableStyleMedium1" showFirstColumn="0" showLastColumn="0" showRowStripes="1" showColumnStripes="0"/>
  <extLst>
    <ext xmlns:x14="http://schemas.microsoft.com/office/spreadsheetml/2009/9/main" uri="{504A1905-F514-4f6f-8877-14C23A59335A}">
      <x14:table altText="Specific Battery Costs Curve ($/kWh)" altTextSummary="Specific Battery Pack Cost in current dollars per kiloWatt-hour on a year by year basis for BEVs, PHEVs, and FCEVs"/>
    </ext>
  </extLst>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170FAB61-78C4-4B36-B56E-2853A45E8E07}" name="Table29" displayName="Table29" ref="B4:O34" totalsRowShown="0" headerRowDxfId="341" dataDxfId="340" tableBorderDxfId="339">
  <tableColumns count="14">
    <tableColumn id="1" xr3:uid="{2A61F403-2010-4780-83F2-5A4B6203F0E2}" name="Column1" dataDxfId="338">
      <calculatedColumnFormula>'Vehicle Attributes - Base Year'!B2</calculatedColumnFormula>
    </tableColumn>
    <tableColumn id="2" xr3:uid="{2F3C436F-ACE6-4DA9-B913-86D3CBBB1E2B}" name="Column2" dataDxfId="337">
      <calculatedColumnFormula>'Vehicle Attributes - Base Year'!C2</calculatedColumnFormula>
    </tableColumn>
    <tableColumn id="3" xr3:uid="{CDD4FC02-D571-43ED-84AA-F0478BE2C767}" name="Column3" dataDxfId="336">
      <calculatedColumnFormula>'Vehicle Attributes - Base Year'!D2</calculatedColumnFormula>
    </tableColumn>
    <tableColumn id="4" xr3:uid="{57101522-F319-44FB-9CA1-780C00399874}" name="Column4" dataDxfId="335">
      <calculatedColumnFormula>FCEV!E64</calculatedColumnFormula>
    </tableColumn>
    <tableColumn id="5" xr3:uid="{EE5AE81B-1FFF-43EE-8DE7-FF69F3074600}" name="Column5" dataDxfId="334">
      <calculatedColumnFormula>FCEV!F64</calculatedColumnFormula>
    </tableColumn>
    <tableColumn id="6" xr3:uid="{FAA2A2E5-C86B-4C0B-BB49-11023CEC1AC4}" name="Column6" dataDxfId="333">
      <calculatedColumnFormula>FCEV!G64</calculatedColumnFormula>
    </tableColumn>
    <tableColumn id="7" xr3:uid="{26CC265A-4FEC-43B8-B3F7-B71E0859981B}" name="Column7" dataDxfId="332">
      <calculatedColumnFormula>FCEV!H64</calculatedColumnFormula>
    </tableColumn>
    <tableColumn id="8" xr3:uid="{EC69C7F2-0361-4487-A3BE-FF0CF4C19261}" name="Column8" dataDxfId="331">
      <calculatedColumnFormula>FCEV!I64</calculatedColumnFormula>
    </tableColumn>
    <tableColumn id="9" xr3:uid="{C7C59B36-6219-43E6-A26F-734892BCF292}" name="Column9" dataDxfId="330">
      <calculatedColumnFormula>FCEV!J64</calculatedColumnFormula>
    </tableColumn>
    <tableColumn id="10" xr3:uid="{65C4FCD3-B50C-4117-820F-4199D0C1844C}" name="Column10" dataDxfId="329">
      <calculatedColumnFormula>FCEV!K64</calculatedColumnFormula>
    </tableColumn>
    <tableColumn id="11" xr3:uid="{D2E892A7-2DA3-4240-ABA7-021EE5DC4B80}" name="Column11" dataDxfId="328">
      <calculatedColumnFormula>FCEV!L64</calculatedColumnFormula>
    </tableColumn>
    <tableColumn id="12" xr3:uid="{1CC57C35-80A6-442B-9C6E-F07F0B1C341F}" name="Column12" dataDxfId="327">
      <calculatedColumnFormula>FCEV!M64</calculatedColumnFormula>
    </tableColumn>
    <tableColumn id="13" xr3:uid="{362AAB53-4C77-455D-9297-A633366D3559}" name="Column13" dataDxfId="326">
      <calculatedColumnFormula>FCEV!N64</calculatedColumnFormula>
    </tableColumn>
    <tableColumn id="14" xr3:uid="{C679A954-5B96-45E2-AD58-1272456FDFBF}" name="Column14" dataDxfId="325">
      <calculatedColumnFormula>FCEV!O64</calculatedColumnFormula>
    </tableColumn>
  </tableColumns>
  <tableStyleInfo name="TableStyleMedium1" showFirstColumn="0" showLastColumn="0" showRowStripes="1" showColumnStripes="0"/>
  <extLst>
    <ext xmlns:x14="http://schemas.microsoft.com/office/spreadsheetml/2009/9/main" uri="{504A1905-F514-4f6f-8877-14C23A59335A}">
      <x14:table altText="Electric Motor Power (kW)" altTextSummary="Electric Motor Power in kiloWatts on a year by year basis for each technology combination"/>
    </ext>
  </extLst>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131530A7-0608-469B-96B2-5460FD17E1F8}" name="Table45" displayName="Table45" ref="A4:K20" totalsRowShown="0" headerRowDxfId="324" dataDxfId="323" tableBorderDxfId="322">
  <tableColumns count="11">
    <tableColumn id="1" xr3:uid="{BC67B928-1188-4369-A335-6A22B1593E3E}" name="Column1" dataDxfId="321"/>
    <tableColumn id="2" xr3:uid="{D570BAD1-CFEF-4DDD-9F37-1E3C3F2B068B}" name="Column2" dataDxfId="320"/>
    <tableColumn id="3" xr3:uid="{3D147579-486C-451A-BFFB-BD0CC0B89D91}" name="Column3" dataDxfId="319"/>
    <tableColumn id="4" xr3:uid="{6A05A287-7AE0-44A0-B2CC-503FF4A4F39D}" name="Column4" dataDxfId="318"/>
    <tableColumn id="5" xr3:uid="{5C6EA754-6F8D-4203-A641-1AF792764469}" name="Column5" dataDxfId="317"/>
    <tableColumn id="6" xr3:uid="{0BEE732B-6174-420E-924F-2BBD3846D625}" name="Column6" dataDxfId="316"/>
    <tableColumn id="7" xr3:uid="{16907C9E-1C06-468B-B985-0935022262A7}" name="Column7" dataDxfId="315"/>
    <tableColumn id="8" xr3:uid="{53F3A779-BF82-4AB9-8DF8-8690630B0E3B}" name="Column8" dataDxfId="314"/>
    <tableColumn id="9" xr3:uid="{91954472-C7A6-4BDE-80FD-FA31C8E7C8C0}" name="Column9" dataDxfId="313"/>
    <tableColumn id="10" xr3:uid="{CF262D6D-2B18-4B8E-9E54-F25FDF9A408E}" name="Column10" dataDxfId="312"/>
    <tableColumn id="11" xr3:uid="{079A718E-2D1A-4609-BA1C-9258EC3AB112}" name="Column11" dataDxfId="311"/>
  </tableColumns>
  <tableStyleInfo name="TableStyleMedium1" showFirstColumn="0" showLastColumn="0" showRowStripes="1" showColumnStripes="0"/>
  <extLst>
    <ext xmlns:x14="http://schemas.microsoft.com/office/spreadsheetml/2009/9/main" uri="{504A1905-F514-4f6f-8877-14C23A59335A}">
      <x14:table altText="Non-Battery Component Cost Curves" altTextSummary="This table contains the Non-Battery Component Cost Curves for each non-battery component group and the applicability of those technologies for each  BEVs, car based PHEVs, truck based PHEVs, and FCEVs."/>
    </ext>
  </extLst>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75E9F047-3E23-4D14-980D-9563867BBAEE}" name="Table30" displayName="Table30" ref="B4:O34" totalsRowShown="0" headerRowDxfId="310" dataDxfId="309" tableBorderDxfId="308">
  <tableColumns count="14">
    <tableColumn id="1" xr3:uid="{BC61B80D-2016-4DB1-8992-1BEC0ED5AF66}" name="Column1" dataDxfId="307">
      <calculatedColumnFormula>'Vehicle Attributes - Base Year'!B2</calculatedColumnFormula>
    </tableColumn>
    <tableColumn id="2" xr3:uid="{FE029938-F925-4035-93BF-512D9C94B30F}" name="Column2" dataDxfId="306">
      <calculatedColumnFormula>'Vehicle Attributes - Base Year'!C2</calculatedColumnFormula>
    </tableColumn>
    <tableColumn id="3" xr3:uid="{3DE22D76-1CA0-4FBF-8FDE-568B04B10321}" name="Column3" dataDxfId="305">
      <calculatedColumnFormula>'Vehicle Attributes - Base Year'!D2</calculatedColumnFormula>
    </tableColumn>
    <tableColumn id="4" xr3:uid="{EF5418EC-EBE3-49DD-9AFE-9B25BB9A5DE1}" name="Column4" dataDxfId="304">
      <calculatedColumnFormula>'Vehicle Attributes - Base Year'!Y2</calculatedColumnFormula>
    </tableColumn>
    <tableColumn id="5" xr3:uid="{A2052832-FED2-4C7C-963A-ADE72CF52A2A}" name="Column5" dataDxfId="303">
      <calculatedColumnFormula>E5*(1-Non_Battery_Annual_Cost_Reduction)</calculatedColumnFormula>
    </tableColumn>
    <tableColumn id="6" xr3:uid="{C95F7E7D-559D-468B-B75C-8EE595132F86}" name="Column6" dataDxfId="302">
      <calculatedColumnFormula>F5*(1-Non_Battery_Annual_Cost_Reduction)</calculatedColumnFormula>
    </tableColumn>
    <tableColumn id="7" xr3:uid="{25C82943-7F5D-4FFE-BCC8-7977FAC0A370}" name="Column7" dataDxfId="301">
      <calculatedColumnFormula>G5*(1-Non_Battery_Annual_Cost_Reduction)</calculatedColumnFormula>
    </tableColumn>
    <tableColumn id="8" xr3:uid="{0C3C44BC-559F-45EF-BBD9-F1004E5BAF93}" name="Column8" dataDxfId="300">
      <calculatedColumnFormula>H5*(1-Non_Battery_Annual_Cost_Reduction)</calculatedColumnFormula>
    </tableColumn>
    <tableColumn id="9" xr3:uid="{D821FAA8-4234-46D1-985E-8F9049B1F712}" name="Column9" dataDxfId="299">
      <calculatedColumnFormula>I5*(1-Non_Battery_Annual_Cost_Reduction)</calculatedColumnFormula>
    </tableColumn>
    <tableColumn id="10" xr3:uid="{5ECD7BCF-4925-49ED-A1AA-BEBEEE6F6507}" name="Column10" dataDxfId="298">
      <calculatedColumnFormula>J5*(1-Non_Battery_Annual_Cost_Reduction)</calculatedColumnFormula>
    </tableColumn>
    <tableColumn id="11" xr3:uid="{75DDCD31-6E82-4CC6-8ECF-273EEF05389E}" name="Column11" dataDxfId="297">
      <calculatedColumnFormula>K5*(1-Non_Battery_Annual_Cost_Reduction)</calculatedColumnFormula>
    </tableColumn>
    <tableColumn id="12" xr3:uid="{8DE97F93-1772-4BE1-875C-D47057CBE3E6}" name="Column12" dataDxfId="296">
      <calculatedColumnFormula>L5*(1-Non_Battery_Annual_Cost_Reduction)</calculatedColumnFormula>
    </tableColumn>
    <tableColumn id="13" xr3:uid="{11206E7A-A465-4EEB-98D4-D42475424609}" name="Column13" dataDxfId="295">
      <calculatedColumnFormula>M5*(1-Non_Battery_Annual_Cost_Reduction)</calculatedColumnFormula>
    </tableColumn>
    <tableColumn id="14" xr3:uid="{41AAF325-214C-4352-869A-1501F9895733}" name="Column14" dataDxfId="294">
      <calculatedColumnFormula>N5*(1-Non_Battery_Annual_Cost_Reduction)</calculatedColumnFormula>
    </tableColumn>
  </tableColumns>
  <tableStyleInfo name="TableStyleMedium1" showFirstColumn="0" showLastColumn="0" showRowStripes="1" showColumnStripes="0"/>
  <extLst>
    <ext xmlns:x14="http://schemas.microsoft.com/office/spreadsheetml/2009/9/main" uri="{504A1905-F514-4f6f-8877-14C23A59335A}">
      <x14:table altText="Total Non-Battery Costs ($)" altTextSummary="Total Non-Battery Costs in current dollars on a year by year basis for each technology combination"/>
    </ext>
  </extLst>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6D961B16-A55A-41E2-B224-C5B697DA00C2}" name="Table31" displayName="Table31" ref="B4:O34" totalsRowShown="0" headerRowDxfId="293" dataDxfId="292" tableBorderDxfId="291">
  <tableColumns count="14">
    <tableColumn id="1" xr3:uid="{F4D19903-AC0D-4BE7-9A8D-39906252949C}" name="Column1" dataDxfId="290">
      <calculatedColumnFormula>'Vehicle Attributes - Base Year'!B2</calculatedColumnFormula>
    </tableColumn>
    <tableColumn id="2" xr3:uid="{0513627D-EAB9-4D15-98C5-B09BC26FBEDD}" name="Column2" dataDxfId="289">
      <calculatedColumnFormula>'Vehicle Attributes - Base Year'!C2</calculatedColumnFormula>
    </tableColumn>
    <tableColumn id="3" xr3:uid="{220DAABE-1F27-40EC-AD15-4E5E77B82141}" name="Column3" dataDxfId="288">
      <calculatedColumnFormula>'Vehicle Attributes - Base Year'!D2</calculatedColumnFormula>
    </tableColumn>
    <tableColumn id="4" xr3:uid="{6AD4EB10-4A64-4E05-BF25-AF5BE0FDFC88}" name="Column4" dataDxfId="287">
      <calculatedColumnFormula>FCEV!E12</calculatedColumnFormula>
    </tableColumn>
    <tableColumn id="5" xr3:uid="{E0CEB39E-7506-46C0-9DFF-C09EEC5BBBB5}" name="Column5" dataDxfId="286">
      <calculatedColumnFormula>FCEV!F12</calculatedColumnFormula>
    </tableColumn>
    <tableColumn id="6" xr3:uid="{C5D55182-A254-4A06-A61A-3A8503BDF8D0}" name="Column6" dataDxfId="285">
      <calculatedColumnFormula>FCEV!G12</calculatedColumnFormula>
    </tableColumn>
    <tableColumn id="7" xr3:uid="{8DCE3500-3945-4B91-B885-147541AF9925}" name="Column7" dataDxfId="284">
      <calculatedColumnFormula>FCEV!H12</calculatedColumnFormula>
    </tableColumn>
    <tableColumn id="8" xr3:uid="{6BEEDEA5-CD69-4C4A-AB5D-DF083880B910}" name="Column8" dataDxfId="283">
      <calculatedColumnFormula>FCEV!I12</calculatedColumnFormula>
    </tableColumn>
    <tableColumn id="9" xr3:uid="{72547EB7-1263-42E3-A03F-86295CD9337F}" name="Column9" dataDxfId="282">
      <calculatedColumnFormula>FCEV!J12</calculatedColumnFormula>
    </tableColumn>
    <tableColumn id="10" xr3:uid="{471F5A03-A7A1-4C77-8509-562A287E00A3}" name="Column10" dataDxfId="281">
      <calculatedColumnFormula>FCEV!K12</calculatedColumnFormula>
    </tableColumn>
    <tableColumn id="11" xr3:uid="{39D9CF13-2FCA-4817-BC95-DC37610D569E}" name="Column11" dataDxfId="280">
      <calculatedColumnFormula>FCEV!L12</calculatedColumnFormula>
    </tableColumn>
    <tableColumn id="12" xr3:uid="{FF5F7C63-6B5A-48CC-AA59-6CA951441589}" name="Column12" dataDxfId="279">
      <calculatedColumnFormula>FCEV!M12</calculatedColumnFormula>
    </tableColumn>
    <tableColumn id="13" xr3:uid="{F90B3CD2-F878-4680-95AC-161B403212E9}" name="Column13" dataDxfId="278">
      <calculatedColumnFormula>FCEV!N12</calculatedColumnFormula>
    </tableColumn>
    <tableColumn id="14" xr3:uid="{B4346C14-F6DA-41EF-AC63-5E6CEEEBCDB2}" name="Column14" dataDxfId="277">
      <calculatedColumnFormula>FCEV!O12</calculatedColumnFormula>
    </tableColumn>
  </tableColumns>
  <tableStyleInfo name="TableStyleMedium1" showFirstColumn="0" showLastColumn="0" showRowStripes="1" showColumnStripes="0"/>
  <extLst>
    <ext xmlns:x14="http://schemas.microsoft.com/office/spreadsheetml/2009/9/main" uri="{504A1905-F514-4f6f-8877-14C23A59335A}">
      <x14:table altText="Fuel Cell H2 Tank Size (kg)" altTextSummary="Fuel Cell Hydrogen Tank Size in kilograms on a year by year basis for each technology combination"/>
    </ext>
  </extLst>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825FEC71-973C-4B1A-933F-A6862DE64E3A}" name="Table32" displayName="Table32" ref="B4:O34" totalsRowShown="0" headerRowDxfId="276" dataDxfId="275" tableBorderDxfId="274">
  <tableColumns count="14">
    <tableColumn id="1" xr3:uid="{1AB4D92D-9561-4568-A4D8-2541942088B4}" name="Column1" dataDxfId="273">
      <calculatedColumnFormula>'Vehicle Attributes - Base Year'!B2</calculatedColumnFormula>
    </tableColumn>
    <tableColumn id="2" xr3:uid="{E315848C-DECC-4B10-AB0C-B4FA87EDA591}" name="Column2" dataDxfId="272">
      <calculatedColumnFormula>'Vehicle Attributes - Base Year'!C2</calculatedColumnFormula>
    </tableColumn>
    <tableColumn id="3" xr3:uid="{EE8E9F3F-FCCB-471C-BD27-0F17A8159F71}" name="Column3" dataDxfId="271">
      <calculatedColumnFormula>'Vehicle Attributes - Base Year'!D2</calculatedColumnFormula>
    </tableColumn>
    <tableColumn id="4" xr3:uid="{865B0CB0-90E3-46FF-993F-67F7A9E2E465}" name="Column4" dataDxfId="270"/>
    <tableColumn id="5" xr3:uid="{49CC002D-DEEA-4301-8346-43D07A232300}" name="Column5" dataDxfId="269"/>
    <tableColumn id="6" xr3:uid="{F697842B-6198-4DB9-940A-C8E44770AF43}" name="Column6" dataDxfId="268"/>
    <tableColumn id="7" xr3:uid="{B6B0A3EA-C42F-4F2B-8A99-868BCAD1D3D1}" name="Column7" dataDxfId="267"/>
    <tableColumn id="8" xr3:uid="{7A749ADA-082B-4020-AD15-EBE5181D95A6}" name="Column8" dataDxfId="266"/>
    <tableColumn id="9" xr3:uid="{A7AF29E8-6C31-4C53-8B03-1A629ED40E4C}" name="Column9" dataDxfId="265"/>
    <tableColumn id="10" xr3:uid="{97875D86-5153-4861-B244-69E5BE4E0027}" name="Column10" dataDxfId="264"/>
    <tableColumn id="11" xr3:uid="{BF919C59-D32B-408B-9461-0F6B170DB0A4}" name="Column11" dataDxfId="263"/>
    <tableColumn id="12" xr3:uid="{68F4381C-2C2A-4CAB-B2D7-3CFAE66BFF93}" name="Column12" dataDxfId="262"/>
    <tableColumn id="13" xr3:uid="{B0A1FF06-318A-4952-B164-FC664B9FD95E}" name="Column13" dataDxfId="261"/>
    <tableColumn id="14" xr3:uid="{47EFBC62-A5CA-42BF-A812-A4E323631520}" name="Column14" dataDxfId="260"/>
  </tableColumns>
  <tableStyleInfo name="TableStyleMedium1" showFirstColumn="0" showLastColumn="0" showRowStripes="1" showColumnStripes="0"/>
  <extLst>
    <ext xmlns:x14="http://schemas.microsoft.com/office/spreadsheetml/2009/9/main" uri="{504A1905-F514-4f6f-8877-14C23A59335A}">
      <x14:table altText="Fuel Cell H2 Tank Cost ($)" altTextSummary="Fuel Cell Hydrogen Tank Cost in current dolars on a year by year basis for each technology combination"/>
    </ext>
  </extLst>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12E47B5A-3558-4783-8EC4-3292CC468A6E}" name="Table33" displayName="Table33" ref="B4:O34" totalsRowShown="0" headerRowDxfId="259" dataDxfId="258" tableBorderDxfId="257">
  <tableColumns count="14">
    <tableColumn id="1" xr3:uid="{AA83955A-AF57-42CA-AB2D-FF92A00780AA}" name="Column1" dataDxfId="256">
      <calculatedColumnFormula>'Vehicle Attributes - Base Year'!B2</calculatedColumnFormula>
    </tableColumn>
    <tableColumn id="2" xr3:uid="{B849D654-8F35-4EF3-9339-9C8271D0C4D8}" name="Column2" dataDxfId="255">
      <calculatedColumnFormula>'Vehicle Attributes - Base Year'!C2</calculatedColumnFormula>
    </tableColumn>
    <tableColumn id="3" xr3:uid="{988FF71D-811B-4F85-B5B0-801FF2C03951}" name="Column3" dataDxfId="254">
      <calculatedColumnFormula>'Vehicle Attributes - Base Year'!D2</calculatedColumnFormula>
    </tableColumn>
    <tableColumn id="4" xr3:uid="{237C1A67-EDF1-44EA-BCC1-25E9B9CB85A7}" name="Column4" dataDxfId="253"/>
    <tableColumn id="5" xr3:uid="{9BA3DD13-F936-443E-8B32-9149DD24A8D9}" name="Column5" dataDxfId="252"/>
    <tableColumn id="6" xr3:uid="{742CBB34-F7EE-4E1C-BF7C-178D24532D51}" name="Column6" dataDxfId="251"/>
    <tableColumn id="7" xr3:uid="{B6CFADAA-6F33-41BB-A6E7-1D703B6C6F50}" name="Column7" dataDxfId="250"/>
    <tableColumn id="8" xr3:uid="{D09EAB77-E145-4C9F-86F2-2715BC946D59}" name="Column8" dataDxfId="249"/>
    <tableColumn id="9" xr3:uid="{3242C41D-6A9D-41BF-9D9D-C2F8DA94A9B5}" name="Column9" dataDxfId="248"/>
    <tableColumn id="10" xr3:uid="{3A5071C1-75D7-47DD-8F7C-C15054A4E065}" name="Column10" dataDxfId="247"/>
    <tableColumn id="11" xr3:uid="{B71472FB-12CE-4CDB-BAC4-EC7F11B7E205}" name="Column11" dataDxfId="246"/>
    <tableColumn id="12" xr3:uid="{AB5FA179-1C7F-4F2C-9641-D0F61CB0DA77}" name="Column12" dataDxfId="245"/>
    <tableColumn id="13" xr3:uid="{AC477E51-CD5C-4929-A9F6-A09CD527116A}" name="Column13" dataDxfId="244"/>
    <tableColumn id="14" xr3:uid="{9F6C9A40-5085-4D05-91DA-91025C6B2BFD}" name="Column14" dataDxfId="243"/>
  </tableColumns>
  <tableStyleInfo name="TableStyleMedium1" showFirstColumn="0" showLastColumn="0" showRowStripes="1" showColumnStripes="0"/>
  <extLst>
    <ext xmlns:x14="http://schemas.microsoft.com/office/spreadsheetml/2009/9/main" uri="{504A1905-F514-4f6f-8877-14C23A59335A}">
      <x14:table altText="Fuel Cell Stack Power (kW)" altTextSummary="Fuel Cell Stack Power in kiloWatts on a year by year basis for each technology combination"/>
    </ext>
  </extLst>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31B8A645-F625-462A-9897-606DD02BB1E1}" name="Table34" displayName="Table34" ref="B4:O34" totalsRowShown="0" headerRowDxfId="242" dataDxfId="241" tableBorderDxfId="240">
  <tableColumns count="14">
    <tableColumn id="1" xr3:uid="{F190345C-AB08-493B-ADFA-7BEC7167A3DB}" name="Column1" dataDxfId="239">
      <calculatedColumnFormula>'Vehicle Attributes - Base Year'!B2</calculatedColumnFormula>
    </tableColumn>
    <tableColumn id="2" xr3:uid="{557FBD68-640B-4488-A817-4CE2BA036643}" name="Column2" dataDxfId="238">
      <calculatedColumnFormula>'Vehicle Attributes - Base Year'!C2</calculatedColumnFormula>
    </tableColumn>
    <tableColumn id="3" xr3:uid="{5935614F-ADA7-4629-BB28-57FB5886165B}" name="Column3" dataDxfId="237">
      <calculatedColumnFormula>'Vehicle Attributes - Base Year'!D2</calculatedColumnFormula>
    </tableColumn>
    <tableColumn id="4" xr3:uid="{43E7007A-B419-4C87-8EA2-0D982E83FAB5}" name="Column4" dataDxfId="236"/>
    <tableColumn id="5" xr3:uid="{C756A141-1F31-4D6B-B58A-51355C4D66AA}" name="Column5" dataDxfId="235"/>
    <tableColumn id="6" xr3:uid="{E127FC47-3FA1-480A-B3F6-2E1A127B4B06}" name="Column6" dataDxfId="234"/>
    <tableColumn id="7" xr3:uid="{DCC54A72-CA78-448E-B37B-114BF6402BB4}" name="Column7" dataDxfId="233"/>
    <tableColumn id="8" xr3:uid="{2C43FB03-E752-4E76-87B3-5A7A77FB56E1}" name="Column8" dataDxfId="232"/>
    <tableColumn id="9" xr3:uid="{8FF948CD-E6A7-4295-B459-E2BA086F84B9}" name="Column9" dataDxfId="231"/>
    <tableColumn id="10" xr3:uid="{4CBC5FCC-D454-48BF-ABF1-DB739A900A3D}" name="Column10" dataDxfId="230"/>
    <tableColumn id="11" xr3:uid="{E9C659C1-46F4-4246-B07E-D12E4F77D934}" name="Column11" dataDxfId="229"/>
    <tableColumn id="12" xr3:uid="{D70BDC9C-DBB1-489F-AE43-B25BF911E555}" name="Column12" dataDxfId="228"/>
    <tableColumn id="13" xr3:uid="{922724A3-FC3C-4FB6-BED3-74D6693E7358}" name="Column13" dataDxfId="227"/>
    <tableColumn id="14" xr3:uid="{C92BDDE4-C795-4D05-BC8B-36BB4C0EC9D5}" name="Column14" dataDxfId="226"/>
  </tableColumns>
  <tableStyleInfo name="TableStyleMedium1" showFirstColumn="0" showLastColumn="0" showRowStripes="1" showColumnStripes="0"/>
  <extLst>
    <ext xmlns:x14="http://schemas.microsoft.com/office/spreadsheetml/2009/9/main" uri="{504A1905-F514-4f6f-8877-14C23A59335A}">
      <x14:table altText="Fuel Cell Stack Cost ($)" altTextSummary="Fuel Cell Stack Costs in current dollars on a year by year basis for each technology combination"/>
    </ext>
  </extLst>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A385D43A-E025-4BD1-A88F-FAF2D89C8771}" name="Table35" displayName="Table35" ref="B4:O34" totalsRowShown="0" headerRowDxfId="225" dataDxfId="224" tableBorderDxfId="223">
  <tableColumns count="14">
    <tableColumn id="1" xr3:uid="{E9092D74-A896-4B5F-B8F0-3330D95E6583}" name="Column1" dataDxfId="222">
      <calculatedColumnFormula>'Vehicle Attributes - Base Year'!B2</calculatedColumnFormula>
    </tableColumn>
    <tableColumn id="2" xr3:uid="{3D8196D1-9F7B-4874-834D-FF6F63DCAB7B}" name="Column2" dataDxfId="221">
      <calculatedColumnFormula>'Vehicle Attributes - Base Year'!C2</calculatedColumnFormula>
    </tableColumn>
    <tableColumn id="3" xr3:uid="{53896C6B-AEFE-4D13-934C-6F26F509003F}" name="Column3" dataDxfId="220">
      <calculatedColumnFormula>'Vehicle Attributes - Base Year'!D2</calculatedColumnFormula>
    </tableColumn>
    <tableColumn id="4" xr3:uid="{47F09B6F-C801-446F-A978-F41F250EA5F3}" name="Column4" dataDxfId="219">
      <calculatedColumnFormula>'Battery Costs'!E5+'Non-Battery Costs'!E5+'Fuel Cell Tank Cost'!E5+'Fuel Cell Stack Cost'!E5</calculatedColumnFormula>
    </tableColumn>
    <tableColumn id="5" xr3:uid="{B1F393D2-07BE-4C72-87C5-F7A12D9D2DF5}" name="Column5" dataDxfId="218">
      <calculatedColumnFormula>'Battery Costs'!F5+'Non-Battery Costs'!F5+'Fuel Cell Tank Cost'!F5+'Fuel Cell Stack Cost'!F5</calculatedColumnFormula>
    </tableColumn>
    <tableColumn id="6" xr3:uid="{624B4A02-218A-4D09-AD95-25C0F8D2AC76}" name="Column6" dataDxfId="217">
      <calculatedColumnFormula>'Battery Costs'!G5+'Non-Battery Costs'!G5+'Fuel Cell Tank Cost'!G5+'Fuel Cell Stack Cost'!G5</calculatedColumnFormula>
    </tableColumn>
    <tableColumn id="7" xr3:uid="{570B4C50-9B0F-4109-A5AA-1E5470F183BC}" name="Column7" dataDxfId="216">
      <calculatedColumnFormula>'Battery Costs'!H5+'Non-Battery Costs'!H5+'Fuel Cell Tank Cost'!H5+'Fuel Cell Stack Cost'!H5</calculatedColumnFormula>
    </tableColumn>
    <tableColumn id="8" xr3:uid="{5281556D-3629-4B71-AE93-4E0823424827}" name="Column8" dataDxfId="215">
      <calculatedColumnFormula>'Battery Costs'!I5+'Non-Battery Costs'!I5+'Fuel Cell Tank Cost'!I5+'Fuel Cell Stack Cost'!I5</calculatedColumnFormula>
    </tableColumn>
    <tableColumn id="9" xr3:uid="{9C3E5AFE-DDE5-4E47-891C-806CA83F516D}" name="Column9" dataDxfId="214">
      <calculatedColumnFormula>'Battery Costs'!J5+'Non-Battery Costs'!J5+'Fuel Cell Tank Cost'!J5+'Fuel Cell Stack Cost'!J5</calculatedColumnFormula>
    </tableColumn>
    <tableColumn id="10" xr3:uid="{87CBA4D0-6E6D-4E4F-904D-F65DE7C4A63B}" name="Column10" dataDxfId="213">
      <calculatedColumnFormula>'Battery Costs'!K5+'Non-Battery Costs'!K5+'Fuel Cell Tank Cost'!K5+'Fuel Cell Stack Cost'!K5</calculatedColumnFormula>
    </tableColumn>
    <tableColumn id="11" xr3:uid="{979F17EE-07CB-451D-BBAF-7E98CDA7DE3D}" name="Column11" dataDxfId="212">
      <calculatedColumnFormula>'Battery Costs'!L5+'Non-Battery Costs'!L5+'Fuel Cell Tank Cost'!L5+'Fuel Cell Stack Cost'!L5</calculatedColumnFormula>
    </tableColumn>
    <tableColumn id="12" xr3:uid="{7EA2C933-A368-48A5-A2E4-343A3A88A119}" name="Column12" dataDxfId="211">
      <calculatedColumnFormula>'Battery Costs'!M5+'Non-Battery Costs'!M5+'Fuel Cell Tank Cost'!M5+'Fuel Cell Stack Cost'!M5</calculatedColumnFormula>
    </tableColumn>
    <tableColumn id="13" xr3:uid="{B387A7E9-BFAC-4A6A-B66D-316EA8A7E64F}" name="Column13" dataDxfId="210">
      <calculatedColumnFormula>'Battery Costs'!N5+'Non-Battery Costs'!N5+'Fuel Cell Tank Cost'!N5+'Fuel Cell Stack Cost'!N5</calculatedColumnFormula>
    </tableColumn>
    <tableColumn id="14" xr3:uid="{02B291F6-D03C-4D6E-BD8A-1B8298D41CED}" name="Column14" dataDxfId="209">
      <calculatedColumnFormula>'Battery Costs'!O5+'Non-Battery Costs'!O5+'Fuel Cell Tank Cost'!O5+'Fuel Cell Stack Cost'!O5</calculatedColumnFormula>
    </tableColumn>
  </tableColumns>
  <tableStyleInfo name="TableStyleMedium1" showFirstColumn="0" showLastColumn="0" showRowStripes="1" showColumnStripes="0"/>
  <extLst>
    <ext xmlns:x14="http://schemas.microsoft.com/office/spreadsheetml/2009/9/main" uri="{504A1905-F514-4f6f-8877-14C23A59335A}">
      <x14:table altText="Non-Incremental ZEV Package Cost ($)" altTextSummary="Non-Inremental ZEV Package Costs in current dollars on a year by year basis for each technology combination"/>
    </ext>
  </extLst>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D0880F49-F1DF-48AF-B4AA-DF35827A9A16}" name="Table36" displayName="Table36" ref="B4:O34" totalsRowShown="0" headerRowDxfId="208" dataDxfId="207" tableBorderDxfId="206">
  <tableColumns count="14">
    <tableColumn id="1" xr3:uid="{95447204-C8FD-4B3A-9FEF-F3FB6C4EC283}" name="Column1" dataDxfId="205">
      <calculatedColumnFormula>'Vehicle Attributes - Base Year'!B2</calculatedColumnFormula>
    </tableColumn>
    <tableColumn id="2" xr3:uid="{3CEC3BCE-286F-41D0-85E7-CB8507BFE0BB}" name="Column2" dataDxfId="204">
      <calculatedColumnFormula>'Vehicle Attributes - Base Year'!C2</calculatedColumnFormula>
    </tableColumn>
    <tableColumn id="3" xr3:uid="{3FC0247A-2EEC-44EB-9DA3-CD16F2CCA1BE}" name="Column3" dataDxfId="203">
      <calculatedColumnFormula>'Vehicle Attributes - Base Year'!D2</calculatedColumnFormula>
    </tableColumn>
    <tableColumn id="4" xr3:uid="{B3343262-C09E-41AB-8B85-37E2FE54AF09}" name="Column4" dataDxfId="202"/>
    <tableColumn id="5" xr3:uid="{B156C590-71EC-404B-9DCE-2C514E6309D2}" name="Column5" dataDxfId="201"/>
    <tableColumn id="6" xr3:uid="{AB89AC3D-96CA-44C3-9732-AC0DDE50121C}" name="Column6" dataDxfId="200"/>
    <tableColumn id="7" xr3:uid="{83DD6C3D-6837-4DF6-B12D-A0C878C69E9A}" name="Column7" dataDxfId="199"/>
    <tableColumn id="8" xr3:uid="{A5718213-4F42-4CC8-95E4-8D2A4C31FDFB}" name="Column8" dataDxfId="198"/>
    <tableColumn id="9" xr3:uid="{847D64D7-1E58-413F-8439-3A492E990A70}" name="Column9" dataDxfId="197"/>
    <tableColumn id="10" xr3:uid="{9AB8CC71-8B12-4456-84B4-66B672875FA8}" name="Column10" dataDxfId="196"/>
    <tableColumn id="11" xr3:uid="{CBFA4A5E-81C6-4EE0-99D1-1AB70425D22D}" name="Column11" dataDxfId="195"/>
    <tableColumn id="12" xr3:uid="{1EB4613C-1D4E-45B6-B67A-882E29F6D2EC}" name="Column12" dataDxfId="194"/>
    <tableColumn id="13" xr3:uid="{37D12C73-114B-4078-8707-63BB6E13FD65}" name="Column13" dataDxfId="193"/>
    <tableColumn id="14" xr3:uid="{F5073464-50A8-4D2E-9744-325B8F624DCC}" name="Column14" dataDxfId="192"/>
  </tableColumns>
  <tableStyleInfo name="TableStyleMedium1" showFirstColumn="0" showLastColumn="0" showRowStripes="1" showColumnStripes="0"/>
  <extLst>
    <ext xmlns:x14="http://schemas.microsoft.com/office/spreadsheetml/2009/9/main" uri="{504A1905-F514-4f6f-8877-14C23A59335A}">
      <x14:table altText=" ICE Removal Cost ($)" altTextSummary="Internal Combustion Engine (ICE) Removal Cost in current dollars on a year by year basis for each technology combination"/>
    </ext>
  </extLst>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6EF6401E-A739-4BC9-8869-22E3A1294CB6}" name="Table37" displayName="Table37" ref="B4:O34" totalsRowShown="0" headerRowDxfId="191" dataDxfId="190" tableBorderDxfId="189">
  <tableColumns count="14">
    <tableColumn id="1" xr3:uid="{9CC374CE-13F5-47A9-8DB2-2A342FDDB6E7}" name="Column1" dataDxfId="188">
      <calculatedColumnFormula>'Vehicle Attributes - Base Year'!B2</calculatedColumnFormula>
    </tableColumn>
    <tableColumn id="2" xr3:uid="{237F3DBE-3020-40A1-969B-A39D5E284929}" name="Column2" dataDxfId="187">
      <calculatedColumnFormula>'Vehicle Attributes - Base Year'!C2</calculatedColumnFormula>
    </tableColumn>
    <tableColumn id="3" xr3:uid="{F84C56A2-C9AF-4564-96A3-043493746E65}" name="Column3" dataDxfId="186">
      <calculatedColumnFormula>'Vehicle Attributes - Base Year'!D2</calculatedColumnFormula>
    </tableColumn>
    <tableColumn id="4" xr3:uid="{0E532405-E171-4ED5-8F31-23C5DAA97BA7}" name="Column4" dataDxfId="185"/>
    <tableColumn id="5" xr3:uid="{877F6C72-E87C-4849-9A2D-D985002842CA}" name="Column5" dataDxfId="184"/>
    <tableColumn id="6" xr3:uid="{6B4BC540-2E08-426D-8FD4-11C521143D18}" name="Column6" dataDxfId="183"/>
    <tableColumn id="7" xr3:uid="{8A12A953-1AD1-459C-9D61-2CC449305036}" name="Column7" dataDxfId="182"/>
    <tableColumn id="8" xr3:uid="{CB0867D7-E244-4B37-93C2-94AC23448BE9}" name="Column8" dataDxfId="181"/>
    <tableColumn id="9" xr3:uid="{87A2BB84-0373-48E1-AB7F-182C24C9613B}" name="Column9" dataDxfId="180"/>
    <tableColumn id="10" xr3:uid="{5AFF163B-2A5B-472B-8D36-D83CB53C4531}" name="Column10" dataDxfId="179"/>
    <tableColumn id="11" xr3:uid="{3D101E09-7028-441B-8174-4E4D815C45C2}" name="Column11" dataDxfId="178"/>
    <tableColumn id="12" xr3:uid="{DC1F9B3B-4398-4873-84AE-2ADD960413DE}" name="Column12" dataDxfId="177"/>
    <tableColumn id="13" xr3:uid="{26AD1821-CA46-468D-9ABB-0CFBFCD99A03}" name="Column13" dataDxfId="176"/>
    <tableColumn id="14" xr3:uid="{0C2CB03D-053B-461D-963D-67A6D79D7A38}" name="Column14" dataDxfId="175"/>
  </tableColumns>
  <tableStyleInfo name="TableStyleMedium1" showFirstColumn="0" showLastColumn="0" showRowStripes="1" showColumnStripes="0"/>
  <extLst>
    <ext xmlns:x14="http://schemas.microsoft.com/office/spreadsheetml/2009/9/main" uri="{504A1905-F514-4f6f-8877-14C23A59335A}">
      <x14:table altText="Transmission Removal Cost ($)" altTextSummary="Transmission Removal Cost in current dollars on a year by year basis for each technology combination"/>
    </ext>
  </extLst>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2E284A35-DFA1-44F9-9469-3EEE4597D972}" name="Table38" displayName="Table38" ref="B4:O34" totalsRowShown="0" headerRowDxfId="174" dataDxfId="173" tableBorderDxfId="172">
  <tableColumns count="14">
    <tableColumn id="1" xr3:uid="{46F62618-4095-4BAD-BB6B-E5DDAE7F41D8}" name="Column1" dataDxfId="171">
      <calculatedColumnFormula>'Vehicle Attributes - Base Year'!B2</calculatedColumnFormula>
    </tableColumn>
    <tableColumn id="2" xr3:uid="{FF9034CF-F65B-48F3-8995-7B327B7C8EC6}" name="Column2" dataDxfId="170">
      <calculatedColumnFormula>'Vehicle Attributes - Base Year'!C2</calculatedColumnFormula>
    </tableColumn>
    <tableColumn id="3" xr3:uid="{850183D1-1985-4703-844E-05E700F644C0}" name="Column3" dataDxfId="169">
      <calculatedColumnFormula>'Vehicle Attributes - Base Year'!D2</calculatedColumnFormula>
    </tableColumn>
    <tableColumn id="4" xr3:uid="{416D0565-16AC-4AFF-AF2C-1287D4138A43}" name="Column4" dataDxfId="168"/>
    <tableColumn id="5" xr3:uid="{84D56E64-8B07-403B-8AFB-0C953502FDA8}" name="Column5" dataDxfId="167"/>
    <tableColumn id="6" xr3:uid="{C4AE1D6D-72E2-437C-A56F-3905D53D4D44}" name="Column6" dataDxfId="166"/>
    <tableColumn id="7" xr3:uid="{17DC5325-FBED-4A28-AFEF-960521092024}" name="Column7" dataDxfId="165"/>
    <tableColumn id="8" xr3:uid="{C32658C0-CCC7-4886-AFCC-9BCB580876AD}" name="Column8" dataDxfId="164"/>
    <tableColumn id="9" xr3:uid="{CB5CAF5E-8263-414C-AFCF-DCE195BC0B84}" name="Column9" dataDxfId="163"/>
    <tableColumn id="10" xr3:uid="{1234DBDA-3D33-4060-8276-9363B7B447EE}" name="Column10" dataDxfId="162"/>
    <tableColumn id="11" xr3:uid="{426D2B1A-290E-4230-AA31-2FBB568851FD}" name="Column11" dataDxfId="161"/>
    <tableColumn id="12" xr3:uid="{E079382A-3B52-49A4-A36B-86607080A085}" name="Column12" dataDxfId="160"/>
    <tableColumn id="13" xr3:uid="{F8D44945-9C7A-4F95-BDED-FF98CFBF7C1D}" name="Column13" dataDxfId="159"/>
    <tableColumn id="14" xr3:uid="{5D5EFB4A-66AD-4097-AB21-99B83C2435A3}" name="Column14" dataDxfId="158"/>
  </tableColumns>
  <tableStyleInfo name="TableStyleMedium1" showFirstColumn="0" showLastColumn="0" showRowStripes="1" showColumnStripes="0"/>
  <extLst>
    <ext xmlns:x14="http://schemas.microsoft.com/office/spreadsheetml/2009/9/main" uri="{504A1905-F514-4f6f-8877-14C23A59335A}">
      <x14:table altText="LEV3 Criteria Pollutant Emissions Removal Cost ($)" altTextSummary="LEV3 Criteria Pollutant Emissions Removal Cost in current dollars on a year by year basis for each technology combination"/>
    </ext>
  </extLst>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D25FE5A-42FE-4975-9937-0C530C303251}" name="Table3834948" displayName="Table3834948" ref="B4:O34" totalsRowShown="0" headerRowDxfId="157" dataDxfId="156" tableBorderDxfId="155">
  <tableColumns count="14">
    <tableColumn id="1" xr3:uid="{E027F37D-3FD1-4316-9FCB-30E77BE2A655}" name="Column1" dataDxfId="154">
      <calculatedColumnFormula>'Vehicle Attributes - Base Year'!B2</calculatedColumnFormula>
    </tableColumn>
    <tableColumn id="2" xr3:uid="{B735F0FB-2C54-4FF5-AA7B-A30ABD1F59CB}" name="Column2" dataDxfId="153">
      <calculatedColumnFormula>'Vehicle Attributes - Base Year'!C2</calculatedColumnFormula>
    </tableColumn>
    <tableColumn id="3" xr3:uid="{AF429C56-F1FA-4F9F-B5F3-F1E4B594E342}" name="Column3" dataDxfId="152">
      <calculatedColumnFormula>'Vehicle Attributes - Base Year'!D2</calculatedColumnFormula>
    </tableColumn>
    <tableColumn id="4" xr3:uid="{052E0CF9-3B89-4FD1-B6C2-C0A6DC7E796B}" name="Column4" dataDxfId="151"/>
    <tableColumn id="5" xr3:uid="{F8D9E009-215E-40A0-84E0-F08E6FA91A84}" name="Column5" dataDxfId="150"/>
    <tableColumn id="6" xr3:uid="{5942B9F9-2386-470F-9F5A-88928ADD54A4}" name="Column6" dataDxfId="149"/>
    <tableColumn id="7" xr3:uid="{B3BFC052-798E-4ED3-8AE7-45823EF999EF}" name="Column7" dataDxfId="148"/>
    <tableColumn id="8" xr3:uid="{0B8BADC7-ED7B-4AC6-BCBE-9BA6FC099B03}" name="Column8" dataDxfId="147"/>
    <tableColumn id="9" xr3:uid="{BFD48C68-29C4-48D9-AA16-1ACDCA9C169F}" name="Column9" dataDxfId="146"/>
    <tableColumn id="10" xr3:uid="{48CB46E2-3D2F-42A1-AEA6-6FC84C3C5AB1}" name="Column10" dataDxfId="145"/>
    <tableColumn id="11" xr3:uid="{81F03CE8-7E19-411E-9803-E03D0E3D63FC}" name="Column11" dataDxfId="144"/>
    <tableColumn id="12" xr3:uid="{90904DD4-CACC-4C09-8352-21C761522E65}" name="Column12" dataDxfId="143"/>
    <tableColumn id="13" xr3:uid="{DB7500EA-FBDF-48A0-8F7F-5F5183ABE3B4}" name="Column13" dataDxfId="142"/>
    <tableColumn id="14" xr3:uid="{99204C9A-446C-41CA-A9BC-5C75048D2316}" name="Column14" dataDxfId="141"/>
  </tableColumns>
  <tableStyleInfo name="TableStyleMedium1" showFirstColumn="0" showLastColumn="0" showRowStripes="1" showColumnStripes="0"/>
  <extLst>
    <ext xmlns:x14="http://schemas.microsoft.com/office/spreadsheetml/2009/9/main" uri="{504A1905-F514-4f6f-8877-14C23A59335A}">
      <x14:table altText="LEV3 Criteria Pollutant Emissions Removal Cost ($)" altTextSummary="LEV3 Criteria Pollutant Emissions Removal Cost in current dollars on a year by year basis for each technology combination"/>
    </ext>
  </extLst>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BA75D76-A56D-4BD9-96F1-08489E366AC8}" name="Table383" displayName="Table383" ref="B4:O34" totalsRowShown="0" headerRowDxfId="140" dataDxfId="139" tableBorderDxfId="138">
  <tableColumns count="14">
    <tableColumn id="1" xr3:uid="{EF1154E1-2325-4C2C-91BB-412DBBC9D4B4}" name="Column1" dataDxfId="137">
      <calculatedColumnFormula>'Vehicle Attributes - Base Year'!B2</calculatedColumnFormula>
    </tableColumn>
    <tableColumn id="2" xr3:uid="{7F6804CB-4719-4983-9884-3C6AD7DA4D79}" name="Column2" dataDxfId="136">
      <calculatedColumnFormula>'Vehicle Attributes - Base Year'!C2</calculatedColumnFormula>
    </tableColumn>
    <tableColumn id="3" xr3:uid="{369FE817-0923-4CF4-BFAD-447AB1D6AD4F}" name="Column3" dataDxfId="135">
      <calculatedColumnFormula>'Vehicle Attributes - Base Year'!D2</calculatedColumnFormula>
    </tableColumn>
    <tableColumn id="4" xr3:uid="{8DFC4763-4CD0-4711-BE8B-EDAACA4AB434}" name="Column4" dataDxfId="134"/>
    <tableColumn id="5" xr3:uid="{590EA9E5-7DFD-4F81-A26C-030618E00E2A}" name="Column5" dataDxfId="133"/>
    <tableColumn id="6" xr3:uid="{58F82E01-4820-4C14-AAC3-7FC7727FD873}" name="Column6" dataDxfId="132"/>
    <tableColumn id="7" xr3:uid="{0FE38578-DD85-4D2B-B2D7-BA0BCF440CE6}" name="Column7" dataDxfId="131"/>
    <tableColumn id="8" xr3:uid="{55B2C8BB-739B-41B4-8874-903EA328FD7E}" name="Column8" dataDxfId="130"/>
    <tableColumn id="9" xr3:uid="{D3938E38-C9DF-45E1-8161-FD2AC783DD93}" name="Column9" dataDxfId="129"/>
    <tableColumn id="10" xr3:uid="{142B1F40-5F41-4887-A15F-37311D74AE72}" name="Column10" dataDxfId="128"/>
    <tableColumn id="11" xr3:uid="{EF56EECC-6471-419D-8BA0-02B9BF1FF2D1}" name="Column11" dataDxfId="127"/>
    <tableColumn id="12" xr3:uid="{BD2B82DC-05C0-4999-A098-89BC4065EA7F}" name="Column12" dataDxfId="126"/>
    <tableColumn id="13" xr3:uid="{100AF8E7-C63C-456B-9C03-26458760CE31}" name="Column13" dataDxfId="125"/>
    <tableColumn id="14" xr3:uid="{669695D4-4000-4B31-B227-99D62D122876}" name="Column14" dataDxfId="124"/>
  </tableColumns>
  <tableStyleInfo name="TableStyleMedium1" showFirstColumn="0" showLastColumn="0" showRowStripes="1" showColumnStripes="0"/>
  <extLst>
    <ext xmlns:x14="http://schemas.microsoft.com/office/spreadsheetml/2009/9/main" uri="{504A1905-F514-4f6f-8877-14C23A59335A}">
      <x14:table altText="LEV3 Criteria Pollutant Emissions Removal Cost ($)" altTextSummary="LEV3 Criteria Pollutant Emissions Removal Cost in current dollars on a year by year basis for each technology combination"/>
    </ext>
  </extLst>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AD11EAB3-5E12-49BC-A5C3-F0C445E0D0A7}" name="Table38349" displayName="Table38349" ref="B4:O34" totalsRowShown="0" headerRowDxfId="123" dataDxfId="122" tableBorderDxfId="121">
  <tableColumns count="14">
    <tableColumn id="1" xr3:uid="{B8A5BA55-71B4-49A8-ACD1-9769CD162E48}" name="Column1" dataDxfId="120">
      <calculatedColumnFormula>'Vehicle Attributes - Base Year'!B2</calculatedColumnFormula>
    </tableColumn>
    <tableColumn id="2" xr3:uid="{67981624-A594-4E66-BD1D-0591EE6B7B1D}" name="Column2" dataDxfId="119">
      <calculatedColumnFormula>'Vehicle Attributes - Base Year'!C2</calculatedColumnFormula>
    </tableColumn>
    <tableColumn id="3" xr3:uid="{D7384140-EB47-4CF2-A3FE-3BAF36369977}" name="Column3" dataDxfId="118">
      <calculatedColumnFormula>'Vehicle Attributes - Base Year'!D2</calculatedColumnFormula>
    </tableColumn>
    <tableColumn id="4" xr3:uid="{ED3A18BB-A61E-40D1-96D3-91CFBD393E9B}" name="Column4" dataDxfId="117"/>
    <tableColumn id="5" xr3:uid="{6E0BBBF8-1F13-4E4A-84D0-425C2E6143E5}" name="Column5" dataDxfId="116"/>
    <tableColumn id="6" xr3:uid="{B3CE5E44-ACAE-47C8-8D94-92DEDAB48AB2}" name="Column6" dataDxfId="115"/>
    <tableColumn id="7" xr3:uid="{D943B929-47A1-4103-9D07-1FA085CABD50}" name="Column7" dataDxfId="114"/>
    <tableColumn id="8" xr3:uid="{A6178AD6-9AD4-4D0F-A8D9-F6AF25F7F03B}" name="Column8" dataDxfId="113"/>
    <tableColumn id="9" xr3:uid="{CF37F13E-E5AA-4EA2-B961-7AF9352B5DD4}" name="Column9" dataDxfId="112"/>
    <tableColumn id="10" xr3:uid="{D1C59AC3-C7D2-47F5-B477-6F0340AAB3D5}" name="Column10" dataDxfId="111"/>
    <tableColumn id="11" xr3:uid="{A571AD1A-B08B-4753-AA40-87CE34BEC769}" name="Column11" dataDxfId="110"/>
    <tableColumn id="12" xr3:uid="{6C1A5F7A-5857-4744-88A8-492BC21D6845}" name="Column12" dataDxfId="109"/>
    <tableColumn id="13" xr3:uid="{C53920AB-FBB1-49C9-B9BB-7DFAF61FA0D9}" name="Column13" dataDxfId="108"/>
    <tableColumn id="14" xr3:uid="{911F4FA6-85CC-40E5-A664-94CFEB5AE87D}" name="Column14" dataDxfId="107"/>
  </tableColumns>
  <tableStyleInfo name="TableStyleMedium1" showFirstColumn="0" showLastColumn="0" showRowStripes="1" showColumnStripes="0"/>
  <extLst>
    <ext xmlns:x14="http://schemas.microsoft.com/office/spreadsheetml/2009/9/main" uri="{504A1905-F514-4f6f-8877-14C23A59335A}">
      <x14:table altText="LEV3 Criteria Pollutant Emissions Removal Cost ($)" altTextSummary="LEV3 Criteria Pollutant Emissions Removal Cost in current dollars on a year by year basis for each technology combination"/>
    </ext>
  </extLst>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3B9A0A1C-D08D-400B-948F-4C042471B4E9}" name="Table39" displayName="Table39" ref="B4:O34" totalsRowShown="0" headerRowDxfId="106" dataDxfId="105" tableBorderDxfId="104">
  <tableColumns count="14">
    <tableColumn id="1" xr3:uid="{B8E74BC4-1FC9-4927-A31A-694FE17C9CEB}" name="Column1" dataDxfId="103">
      <calculatedColumnFormula>'Vehicle Attributes - Base Year'!B2</calculatedColumnFormula>
    </tableColumn>
    <tableColumn id="2" xr3:uid="{1B693D3C-D435-4F25-9B32-944F8E4EE969}" name="Column2" dataDxfId="102">
      <calculatedColumnFormula>'Vehicle Attributes - Base Year'!C2</calculatedColumnFormula>
    </tableColumn>
    <tableColumn id="3" xr3:uid="{E4FDBBB2-6EA5-49DD-AE83-963019CD0B2F}" name="Column3" dataDxfId="101">
      <calculatedColumnFormula>'Vehicle Attributes - Base Year'!D2</calculatedColumnFormula>
    </tableColumn>
    <tableColumn id="4" xr3:uid="{7009E9FE-504F-4CE2-8F7A-7FEF68D034B7}" name="Column4" dataDxfId="100"/>
    <tableColumn id="5" xr3:uid="{E269196D-5FFE-409D-A35F-368B186A8490}" name="Column5" dataDxfId="99"/>
    <tableColumn id="6" xr3:uid="{2C3DDBFC-E1B1-43DD-8EFE-DF132F390341}" name="Column6" dataDxfId="98"/>
    <tableColumn id="7" xr3:uid="{0A57871D-1DE3-4C5B-9B88-E7E711EE0FE8}" name="Column7" dataDxfId="97"/>
    <tableColumn id="8" xr3:uid="{0E23F157-D1CA-4D61-9AD6-FBBF22369AC6}" name="Column8" dataDxfId="96"/>
    <tableColumn id="9" xr3:uid="{7E043835-205A-4ABD-8C76-42FC12744B43}" name="Column9" dataDxfId="95"/>
    <tableColumn id="10" xr3:uid="{13E66430-3DCA-4104-81B8-79EF85873A60}" name="Column10" dataDxfId="94"/>
    <tableColumn id="11" xr3:uid="{98A7F333-B385-48D9-A994-C003672C03DC}" name="Column11" dataDxfId="93"/>
    <tableColumn id="12" xr3:uid="{1A829A09-F0F2-47D7-9595-B7494112C625}" name="Column12" dataDxfId="92"/>
    <tableColumn id="13" xr3:uid="{94665A3B-652B-44F2-836E-0DF615AB68A1}" name="Column13" dataDxfId="91"/>
    <tableColumn id="14" xr3:uid="{2F71E8CA-BD37-4C57-AD34-4CF49969075F}" name="Column14" dataDxfId="90"/>
  </tableColumns>
  <tableStyleInfo name="TableStyleMedium1" showFirstColumn="0" showLastColumn="0" showRowStripes="1" showColumnStripes="0"/>
  <extLst>
    <ext xmlns:x14="http://schemas.microsoft.com/office/spreadsheetml/2009/9/main" uri="{504A1905-F514-4f6f-8877-14C23A59335A}">
      <x14:table altText="ZEV Assembly Cost Reduction ($)" altTextSummary="ZEV Assembly Cost Reduction in current dollars on a year by year basis for each technology combination"/>
    </ext>
  </extLst>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F6CD7231-AF26-444D-9EC2-A4BE91D880DD}" name="Table40" displayName="Table40" ref="B4:O34" totalsRowShown="0" headerRowDxfId="89" dataDxfId="88" tableBorderDxfId="87">
  <tableColumns count="14">
    <tableColumn id="1" xr3:uid="{523059C0-2245-42E9-BF1B-B79673FE06C1}" name="Column1" dataDxfId="86">
      <calculatedColumnFormula>'Vehicle Attributes - Base Year'!B2</calculatedColumnFormula>
    </tableColumn>
    <tableColumn id="2" xr3:uid="{2727F00E-2D5F-4000-988C-6A05D752DCFF}" name="Column2" dataDxfId="85">
      <calculatedColumnFormula>'Vehicle Attributes - Base Year'!C2</calculatedColumnFormula>
    </tableColumn>
    <tableColumn id="3" xr3:uid="{69430B87-F312-4CED-B879-95F61DB09869}" name="Column3" dataDxfId="84">
      <calculatedColumnFormula>'Vehicle Attributes - Base Year'!D2</calculatedColumnFormula>
    </tableColumn>
    <tableColumn id="4" xr3:uid="{2A978BFC-4A19-45F9-8B56-71903CCF5D9D}" name="Column4" dataDxfId="83"/>
    <tableColumn id="5" xr3:uid="{629F172E-73E1-4571-B656-08BB519D4237}" name="Column5" dataDxfId="82">
      <calculatedColumnFormula>E5*(1-$C$1)</calculatedColumnFormula>
    </tableColumn>
    <tableColumn id="6" xr3:uid="{9EDDB4C0-8ACC-40A7-A07B-5F7FABA522C5}" name="Column6" dataDxfId="81">
      <calculatedColumnFormula>F5*(1-$C$1)</calculatedColumnFormula>
    </tableColumn>
    <tableColumn id="7" xr3:uid="{778732FC-D950-47FD-B42E-D06D3068D50E}" name="Column7" dataDxfId="80">
      <calculatedColumnFormula>G5*(1-$C$1)</calculatedColumnFormula>
    </tableColumn>
    <tableColumn id="8" xr3:uid="{1D787865-B622-4A5F-BC16-82C5417870E2}" name="Column8" dataDxfId="79">
      <calculatedColumnFormula>H5*(1-$C$1)</calculatedColumnFormula>
    </tableColumn>
    <tableColumn id="9" xr3:uid="{157A93B8-519F-4CEB-AC76-79DB228BD084}" name="Column9" dataDxfId="78">
      <calculatedColumnFormula>I5*(1-$C$1)</calculatedColumnFormula>
    </tableColumn>
    <tableColumn id="10" xr3:uid="{4AE83ED6-8E37-49A1-8061-7F87E66780CE}" name="Column10" dataDxfId="77">
      <calculatedColumnFormula>J5*(1-$C$1)</calculatedColumnFormula>
    </tableColumn>
    <tableColumn id="11" xr3:uid="{063B25F0-A47B-4C7E-93F9-DC7D26629FB5}" name="Column11" dataDxfId="76">
      <calculatedColumnFormula>K5*(1-$C$1)</calculatedColumnFormula>
    </tableColumn>
    <tableColumn id="12" xr3:uid="{98E95344-0D87-4DA9-BCC4-4EAD2FAC6263}" name="Column12" dataDxfId="75">
      <calculatedColumnFormula>L5*(1-$C$1)</calculatedColumnFormula>
    </tableColumn>
    <tableColumn id="13" xr3:uid="{83357592-1551-4857-A937-C24993DAF05D}" name="Column13" dataDxfId="74">
      <calculatedColumnFormula>M5*(1-$C$1)</calculatedColumnFormula>
    </tableColumn>
    <tableColumn id="14" xr3:uid="{213333AE-DA0D-4D23-B0A3-97E81BAA2DEF}" name="Column14" dataDxfId="73">
      <calculatedColumnFormula>N5*(1-$C$1)</calculatedColumnFormula>
    </tableColumn>
  </tableColumns>
  <tableStyleInfo name="TableStyleMedium1" showFirstColumn="0" showLastColumn="0" showRowStripes="1" showColumnStripes="0"/>
  <extLst>
    <ext xmlns:x14="http://schemas.microsoft.com/office/spreadsheetml/2009/9/main" uri="{504A1905-F514-4f6f-8877-14C23A59335A}">
      <x14:table altText="Cold Weather Package Cost ($)" altTextSummary="Cold Weather Package Cost in current dollars on a year by year basis for each technology combination"/>
    </ext>
  </extLst>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78E1EF49-A672-4112-AF78-ED24779D6641}" name="Table41" displayName="Table41" ref="B4:O34" totalsRowShown="0" headerRowDxfId="72" dataDxfId="71" tableBorderDxfId="70">
  <tableColumns count="14">
    <tableColumn id="1" xr3:uid="{E71D6F75-95B3-413A-92FD-651419EE5D23}" name="Column1" dataDxfId="69">
      <calculatedColumnFormula>'Vehicle Attributes - Base Year'!B2</calculatedColumnFormula>
    </tableColumn>
    <tableColumn id="2" xr3:uid="{6E46EDBB-5437-4571-A2D8-7A8A64A4946B}" name="Column2" dataDxfId="68">
      <calculatedColumnFormula>'Vehicle Attributes - Base Year'!C2</calculatedColumnFormula>
    </tableColumn>
    <tableColumn id="3" xr3:uid="{15E1993A-BB89-4524-929C-37B0F55CE0CD}" name="Column3" dataDxfId="67">
      <calculatedColumnFormula>'Vehicle Attributes - Base Year'!D2</calculatedColumnFormula>
    </tableColumn>
    <tableColumn id="4" xr3:uid="{28809B8E-0DDF-48F9-90CE-8105397CF64E}" name="Column4" dataDxfId="66">
      <calculatedColumnFormula>'Vehicle Attributes - Base Year'!AE2</calculatedColumnFormula>
    </tableColumn>
    <tableColumn id="5" xr3:uid="{A524CE6E-B0D5-492B-ACE1-211B1DB406D9}" name="Column5" dataDxfId="65">
      <calculatedColumnFormula>E5*(1-Non_Battery_Annual_Cost_Reduction)</calculatedColumnFormula>
    </tableColumn>
    <tableColumn id="6" xr3:uid="{E7C1FBF3-A7F2-4A1A-BF48-1C40B2A7230B}" name="Column6" dataDxfId="64">
      <calculatedColumnFormula>F5*(1-Non_Battery_Annual_Cost_Reduction)</calculatedColumnFormula>
    </tableColumn>
    <tableColumn id="7" xr3:uid="{BA63E177-80E8-4564-B630-C55E0BD9F2A5}" name="Column7" dataDxfId="63">
      <calculatedColumnFormula>G5*(1-Non_Battery_Annual_Cost_Reduction)</calculatedColumnFormula>
    </tableColumn>
    <tableColumn id="8" xr3:uid="{91467FF3-4AC6-4E23-8BF8-E043CBCED765}" name="Column8" dataDxfId="62">
      <calculatedColumnFormula>H5*(1-Non_Battery_Annual_Cost_Reduction)</calculatedColumnFormula>
    </tableColumn>
    <tableColumn id="9" xr3:uid="{8D3D9747-28EF-4913-8CBC-CAFE28A437A1}" name="Column9" dataDxfId="61">
      <calculatedColumnFormula>I5*(1-Non_Battery_Annual_Cost_Reduction)</calculatedColumnFormula>
    </tableColumn>
    <tableColumn id="10" xr3:uid="{3895DA46-27DE-4A86-9849-8B2B5CC4D0F0}" name="Column10" dataDxfId="60">
      <calculatedColumnFormula>J5*(1-Non_Battery_Annual_Cost_Reduction)</calculatedColumnFormula>
    </tableColumn>
    <tableColumn id="11" xr3:uid="{56F18346-C5D3-47CB-B7D9-EC918A45CBEC}" name="Column11" dataDxfId="59">
      <calculatedColumnFormula>K5*(1-Non_Battery_Annual_Cost_Reduction)</calculatedColumnFormula>
    </tableColumn>
    <tableColumn id="12" xr3:uid="{52A79FB0-9BC8-4E3B-840D-5194717CB413}" name="Column12" dataDxfId="58">
      <calculatedColumnFormula>L5*(1-Non_Battery_Annual_Cost_Reduction)</calculatedColumnFormula>
    </tableColumn>
    <tableColumn id="13" xr3:uid="{07300FE6-2673-45F5-BDB8-E488576BAC3E}" name="Column13" dataDxfId="57">
      <calculatedColumnFormula>M5*(1-Non_Battery_Annual_Cost_Reduction)</calculatedColumnFormula>
    </tableColumn>
    <tableColumn id="14" xr3:uid="{E7A85CFA-383B-4DA2-9794-96A371E0FB09}" name="Column14" dataDxfId="56">
      <calculatedColumnFormula>N5*(1-Non_Battery_Annual_Cost_Reduction)</calculatedColumnFormula>
    </tableColumn>
  </tableColumns>
  <tableStyleInfo name="TableStyleMedium1" showFirstColumn="0" showLastColumn="0" showRowStripes="1" showColumnStripes="0"/>
  <extLst>
    <ext xmlns:x14="http://schemas.microsoft.com/office/spreadsheetml/2009/9/main" uri="{504A1905-F514-4f6f-8877-14C23A59335A}">
      <x14:table altText="eAWD Package Cost ($)" altTextSummary="Electric All-Wheel Drive Cost (eAWD) in current dollars on a year by year basis for each technology combination"/>
    </ext>
  </extLst>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3B6697AA-B802-4FA1-8CB9-0434E830EF28}" name="Table42" displayName="Table42" ref="B4:O34" totalsRowShown="0" headerRowDxfId="55" dataDxfId="54" tableBorderDxfId="53">
  <tableColumns count="14">
    <tableColumn id="1" xr3:uid="{A6F4CB84-15D7-44F9-B31B-ADE75D5DF749}" name="Column1" dataDxfId="52">
      <calculatedColumnFormula>'Vehicle Attributes - Base Year'!B2</calculatedColumnFormula>
    </tableColumn>
    <tableColumn id="2" xr3:uid="{1276D59B-FFEE-4CE6-96F7-6944568B3A6A}" name="Column2" dataDxfId="51">
      <calculatedColumnFormula>'Vehicle Attributes - Base Year'!C2</calculatedColumnFormula>
    </tableColumn>
    <tableColumn id="3" xr3:uid="{B4509EA8-9A07-4ED7-86AF-42B99BA8C562}" name="Column3" dataDxfId="50">
      <calculatedColumnFormula>'Vehicle Attributes - Base Year'!D2</calculatedColumnFormula>
    </tableColumn>
    <tableColumn id="4" xr3:uid="{413F0EB1-2BC6-4503-B96D-B27659C756A2}" name="Column4" dataDxfId="49"/>
    <tableColumn id="5" xr3:uid="{7632D7D6-7C5E-4D9E-A26C-5470A8B7E90B}" name="Column5" dataDxfId="48">
      <calculatedColumnFormula>E5*(1-Towing_Package_Annual_Efficiency_Improvement)</calculatedColumnFormula>
    </tableColumn>
    <tableColumn id="6" xr3:uid="{84CFBE1D-B983-4B9E-B180-BC7F6A3F50BE}" name="Column6" dataDxfId="47"/>
    <tableColumn id="7" xr3:uid="{F0D69EDF-8A46-403B-B72F-56E35318C2E7}" name="Column7" dataDxfId="46"/>
    <tableColumn id="8" xr3:uid="{BB915897-A1FF-444A-8E65-F2192BE2B20A}" name="Column8" dataDxfId="45"/>
    <tableColumn id="9" xr3:uid="{B20E7A5D-267E-4A46-BB4D-833BEDB0EC89}" name="Column9" dataDxfId="44"/>
    <tableColumn id="10" xr3:uid="{F9D0863D-57D7-4612-9BFE-CAFBA4EA4CCC}" name="Column10" dataDxfId="43"/>
    <tableColumn id="11" xr3:uid="{D82616AB-326A-40A8-A9A4-6ACFD4EB5DD5}" name="Column11" dataDxfId="42"/>
    <tableColumn id="12" xr3:uid="{AF258999-A13E-4CE6-AF36-0B32DF1F2153}" name="Column12" dataDxfId="41"/>
    <tableColumn id="13" xr3:uid="{7FF361E3-2C9E-4F8C-82D6-3268A7F5443E}" name="Column13" dataDxfId="40"/>
    <tableColumn id="14" xr3:uid="{DD394C10-1882-40BA-A6A2-639C3718C94F}" name="Column14" dataDxfId="39"/>
  </tableColumns>
  <tableStyleInfo name="TableStyleMedium1" showFirstColumn="0" showLastColumn="0" showRowStripes="1" showColumnStripes="0"/>
  <extLst>
    <ext xmlns:x14="http://schemas.microsoft.com/office/spreadsheetml/2009/9/main" uri="{504A1905-F514-4f6f-8877-14C23A59335A}">
      <x14:table altText="Towing Package Additional Battery Capacity (kWh)" altTextSummary="Towing Package Additional Battery capacity in kiloWatt-hours on a year by year basis for each technology combination"/>
    </ext>
  </extLst>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6D6D2B4F-9669-4AFD-A277-3BF47DCBF041}" name="Table43" displayName="Table43" ref="B4:O34" totalsRowShown="0" headerRowDxfId="38" dataDxfId="37" tableBorderDxfId="36">
  <tableColumns count="14">
    <tableColumn id="1" xr3:uid="{CE9812A7-0549-4DDE-8C79-18B7A7AEADB6}" name="Column1" dataDxfId="35">
      <calculatedColumnFormula>'Vehicle Attributes - Base Year'!B2</calculatedColumnFormula>
    </tableColumn>
    <tableColumn id="2" xr3:uid="{A4598E23-21F9-41B0-BEF2-63EDCDF54A9A}" name="Column2" dataDxfId="34">
      <calculatedColumnFormula>'Vehicle Attributes - Base Year'!C2</calculatedColumnFormula>
    </tableColumn>
    <tableColumn id="3" xr3:uid="{42107817-5CBF-41E3-B20D-BF0EB217BDBA}" name="Column3" dataDxfId="33">
      <calculatedColumnFormula>'Vehicle Attributes - Base Year'!D2</calculatedColumnFormula>
    </tableColumn>
    <tableColumn id="4" xr3:uid="{CD930B3C-0986-4EAF-ADC2-E70F62468C0D}" name="Column4" dataDxfId="32">
      <calculatedColumnFormula>'Towing Package - Additional Bat'!E5*'Battery Costs'!R$6</calculatedColumnFormula>
    </tableColumn>
    <tableColumn id="5" xr3:uid="{F97514BB-3490-451A-8138-1BB419FBB87A}" name="Column5" dataDxfId="31">
      <calculatedColumnFormula>'Towing Package - Additional Bat'!F5*'Battery Costs'!S$6</calculatedColumnFormula>
    </tableColumn>
    <tableColumn id="6" xr3:uid="{BBEEC381-39FF-4D36-A180-0D58E9FEEB28}" name="Column6" dataDxfId="30">
      <calculatedColumnFormula>'Towing Package - Additional Bat'!G5*'Battery Costs'!T$6</calculatedColumnFormula>
    </tableColumn>
    <tableColumn id="7" xr3:uid="{DE3A4C07-9857-4932-B7EA-B0843D97054A}" name="Column7" dataDxfId="29">
      <calculatedColumnFormula>'Towing Package - Additional Bat'!H5*'Battery Costs'!U$6</calculatedColumnFormula>
    </tableColumn>
    <tableColumn id="8" xr3:uid="{DE57BAAE-6381-4139-BE95-6975353C8E29}" name="Column8" dataDxfId="28">
      <calculatedColumnFormula>'Towing Package - Additional Bat'!I5*'Battery Costs'!V$6</calculatedColumnFormula>
    </tableColumn>
    <tableColumn id="9" xr3:uid="{F66F576A-ADC7-458C-8E8C-FDFD9807C78B}" name="Column9" dataDxfId="27">
      <calculatedColumnFormula>'Towing Package - Additional Bat'!J5*'Battery Costs'!W$6</calculatedColumnFormula>
    </tableColumn>
    <tableColumn id="10" xr3:uid="{E670EA3E-251C-4FC4-B76A-50644AE321C6}" name="Column10" dataDxfId="26">
      <calculatedColumnFormula>'Towing Package - Additional Bat'!K5*'Battery Costs'!X$6</calculatedColumnFormula>
    </tableColumn>
    <tableColumn id="11" xr3:uid="{05E657A8-5AE3-4BB7-B8FB-D0987A033A47}" name="Column11" dataDxfId="25">
      <calculatedColumnFormula>'Towing Package - Additional Bat'!L5*'Battery Costs'!Y$6</calculatedColumnFormula>
    </tableColumn>
    <tableColumn id="12" xr3:uid="{207ACC02-07DC-48DE-B251-E7D5F755FADF}" name="Column12" dataDxfId="24">
      <calculatedColumnFormula>'Towing Package - Additional Bat'!M5*'Battery Costs'!Z$6</calculatedColumnFormula>
    </tableColumn>
    <tableColumn id="13" xr3:uid="{07F095D1-C07B-45BF-89DF-514B4A91CC5E}" name="Column13" dataDxfId="23">
      <calculatedColumnFormula>'Towing Package - Additional Bat'!N5*'Battery Costs'!AA$6</calculatedColumnFormula>
    </tableColumn>
    <tableColumn id="14" xr3:uid="{48F44895-338C-4D7A-9829-AB089E9EFF5C}" name="Column14" dataDxfId="22">
      <calculatedColumnFormula>'Towing Package - Additional Bat'!O5*'Battery Costs'!AB$6</calculatedColumnFormula>
    </tableColumn>
  </tableColumns>
  <tableStyleInfo name="TableStyleMedium1" showFirstColumn="0" showLastColumn="0" showRowStripes="1" showColumnStripes="0"/>
  <extLst>
    <ext xmlns:x14="http://schemas.microsoft.com/office/spreadsheetml/2009/9/main" uri="{504A1905-F514-4f6f-8877-14C23A59335A}">
      <x14:table altTextSummary="Towing Package Additional Battery cost in current dollars on a year by year basis for each technology combination"/>
    </ext>
  </extLst>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58BA068D-847B-4329-9E7B-BF37B55AF984}" name="Table44" displayName="Table44" ref="B3:S243" totalsRowShown="0" headerRowDxfId="21" dataDxfId="19" headerRowBorderDxfId="20" tableBorderDxfId="18">
  <autoFilter ref="B3:S243" xr:uid="{B062C4ED-E600-4474-9130-444BE987AB43}">
    <filterColumn colId="5">
      <filters>
        <filter val="N"/>
      </filters>
    </filterColumn>
  </autoFilter>
  <tableColumns count="18">
    <tableColumn id="1" xr3:uid="{7BBB4576-84AF-4F9E-8606-7475961AE377}" name="Vehicle Class" dataDxfId="17"/>
    <tableColumn id="2" xr3:uid="{CA2DBADF-EB7A-41EF-8F1B-C90A4250F95E}" name="Vehicle Type" dataDxfId="16"/>
    <tableColumn id="3" xr3:uid="{980C1D99-9A88-42C0-8DD6-EBF9FDE09F57}" name="Tech Type" dataDxfId="15"/>
    <tableColumn id="4" xr3:uid="{5F6AA1EA-B2C3-4157-A232-329A8A503E5C}" name="Cold" dataDxfId="14"/>
    <tableColumn id="5" xr3:uid="{7EEDA4A7-277B-49C3-AA48-7D2423442252}" name="eAWD" dataDxfId="13"/>
    <tableColumn id="6" xr3:uid="{3CD82181-ECA6-4569-B8FD-A336A125F0F9}" name="Towing" dataDxfId="12"/>
    <tableColumn id="18" xr3:uid="{B4762173-6FD8-4BB4-B3BC-79093EC86DAE}" name="Applicable Package?" dataDxfId="11"/>
    <tableColumn id="7" xr3:uid="{8634DC07-7F21-4A76-A625-706960756139}" name="2025" dataDxfId="10"/>
    <tableColumn id="8" xr3:uid="{0000F193-944A-4888-8970-26EED8A0108A}" name="2026" dataDxfId="9"/>
    <tableColumn id="9" xr3:uid="{F0B50E1E-C17C-4592-8BCD-6B8E2B5B46EA}" name="2027" dataDxfId="8"/>
    <tableColumn id="10" xr3:uid="{4D49626B-A101-4CDD-AE69-44512FF41A41}" name="2028" dataDxfId="7"/>
    <tableColumn id="11" xr3:uid="{7D2E02B9-0ACE-400F-A907-6229E193888C}" name="2029" dataDxfId="6"/>
    <tableColumn id="12" xr3:uid="{418A3CD4-A98D-4E6E-B961-AFA956873A59}" name="2030" dataDxfId="5"/>
    <tableColumn id="13" xr3:uid="{01334522-30CD-48E7-9E40-DA0E3F1B3D01}" name="2031" dataDxfId="4"/>
    <tableColumn id="14" xr3:uid="{366295B7-B855-4271-86B6-4A8426A36BFD}" name="2032" dataDxfId="3"/>
    <tableColumn id="15" xr3:uid="{68E5E497-C5C5-4FEE-9A73-13911D62ED53}" name="2033" dataDxfId="2"/>
    <tableColumn id="16" xr3:uid="{78ADC6B9-09DF-4FB6-9917-98E428B290AA}" name="2034" dataDxfId="1"/>
    <tableColumn id="17" xr3:uid="{8A8A104E-1310-455E-BA0A-15B4E241880D}" name="2035" dataDxfId="0"/>
  </tableColumns>
  <tableStyleInfo name="TableStyleMedium1" showFirstColumn="0" showLastColumn="0" showRowStripes="1" showColumnStripes="0"/>
  <extLst>
    <ext xmlns:x14="http://schemas.microsoft.com/office/spreadsheetml/2009/9/main" uri="{504A1905-F514-4f6f-8877-14C23A59335A}">
      <x14:table altText="Rolled Up Incremental ZEV Package Costs ($)" altTextSummary="Rolled Up Incremental ZEV Package Costs in current dollars on a year by year basis for each technology combination including the additive Cold, eAWD, and Towing package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table" Target="../tables/table4.xml"/><Relationship Id="rId7" Type="http://schemas.openxmlformats.org/officeDocument/2006/relationships/table" Target="../tables/table8.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4.bin"/><Relationship Id="rId6" Type="http://schemas.openxmlformats.org/officeDocument/2006/relationships/table" Target="../tables/table13.xml"/><Relationship Id="rId5" Type="http://schemas.openxmlformats.org/officeDocument/2006/relationships/table" Target="../tables/table12.xml"/><Relationship Id="rId4" Type="http://schemas.openxmlformats.org/officeDocument/2006/relationships/table" Target="../tables/table11.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table" Target="../tables/table14.xml"/><Relationship Id="rId1" Type="http://schemas.openxmlformats.org/officeDocument/2006/relationships/printerSettings" Target="../printerSettings/printerSettings5.bin"/><Relationship Id="rId6" Type="http://schemas.openxmlformats.org/officeDocument/2006/relationships/table" Target="../tables/table18.xml"/><Relationship Id="rId5" Type="http://schemas.openxmlformats.org/officeDocument/2006/relationships/table" Target="../tables/table17.xml"/><Relationship Id="rId4" Type="http://schemas.openxmlformats.org/officeDocument/2006/relationships/table" Target="../tables/table16.xml"/></Relationships>
</file>

<file path=xl/worksheets/_rels/sheet6.xml.rels><?xml version="1.0" encoding="UTF-8" standalone="yes"?>
<Relationships xmlns="http://schemas.openxmlformats.org/package/2006/relationships"><Relationship Id="rId8" Type="http://schemas.openxmlformats.org/officeDocument/2006/relationships/table" Target="../tables/table25.xml"/><Relationship Id="rId3" Type="http://schemas.openxmlformats.org/officeDocument/2006/relationships/table" Target="../tables/table20.xml"/><Relationship Id="rId7" Type="http://schemas.openxmlformats.org/officeDocument/2006/relationships/table" Target="../tables/table24.xml"/><Relationship Id="rId2" Type="http://schemas.openxmlformats.org/officeDocument/2006/relationships/table" Target="../tables/table19.xml"/><Relationship Id="rId1" Type="http://schemas.openxmlformats.org/officeDocument/2006/relationships/printerSettings" Target="../printerSettings/printerSettings6.bin"/><Relationship Id="rId6" Type="http://schemas.openxmlformats.org/officeDocument/2006/relationships/table" Target="../tables/table23.xml"/><Relationship Id="rId5" Type="http://schemas.openxmlformats.org/officeDocument/2006/relationships/table" Target="../tables/table22.xml"/><Relationship Id="rId4" Type="http://schemas.openxmlformats.org/officeDocument/2006/relationships/table" Target="../tables/table21.xml"/></Relationships>
</file>

<file path=xl/worksheets/_rels/sheet7.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table" Target="../tables/table2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16.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table" Target="../tables/table37.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38.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39.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40.xml"/><Relationship Id="rId1" Type="http://schemas.openxmlformats.org/officeDocument/2006/relationships/vmlDrawing" Target="../drawings/vmlDrawing2.vml"/></Relationships>
</file>

<file path=xl/worksheets/_rels/sheet21.xml.rels><?xml version="1.0" encoding="UTF-8" standalone="yes"?>
<Relationships xmlns="http://schemas.openxmlformats.org/package/2006/relationships"><Relationship Id="rId1" Type="http://schemas.openxmlformats.org/officeDocument/2006/relationships/table" Target="../tables/table41.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table" Target="../tables/table42.xml"/><Relationship Id="rId1" Type="http://schemas.openxmlformats.org/officeDocument/2006/relationships/vmlDrawing" Target="../drawings/vmlDrawing3.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table" Target="../tables/table43.xml"/><Relationship Id="rId1" Type="http://schemas.openxmlformats.org/officeDocument/2006/relationships/vmlDrawing" Target="../drawings/vmlDrawing4.vml"/></Relationships>
</file>

<file path=xl/worksheets/_rels/sheet24.xml.rels><?xml version="1.0" encoding="UTF-8" standalone="yes"?>
<Relationships xmlns="http://schemas.openxmlformats.org/package/2006/relationships"><Relationship Id="rId1" Type="http://schemas.openxmlformats.org/officeDocument/2006/relationships/table" Target="../tables/table44.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45.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46.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47.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48.xml"/></Relationships>
</file>

<file path=xl/worksheets/_rels/sheet29.xml.rels><?xml version="1.0" encoding="UTF-8" standalone="yes"?>
<Relationships xmlns="http://schemas.openxmlformats.org/package/2006/relationships"><Relationship Id="rId2" Type="http://schemas.openxmlformats.org/officeDocument/2006/relationships/table" Target="../tables/table49.xml"/><Relationship Id="rId1" Type="http://schemas.openxmlformats.org/officeDocument/2006/relationships/printerSettings" Target="../printerSettings/printerSettings13.bin"/></Relationships>
</file>

<file path=xl/worksheets/_rels/sheet30.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3.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B58"/>
  <sheetViews>
    <sheetView zoomScaleNormal="100" workbookViewId="0">
      <selection activeCell="A26" sqref="A26:B26"/>
    </sheetView>
  </sheetViews>
  <sheetFormatPr defaultRowHeight="14.4" x14ac:dyDescent="0.3"/>
  <cols>
    <col min="1" max="1" width="64.88671875" bestFit="1" customWidth="1"/>
    <col min="2" max="2" width="144.109375" bestFit="1" customWidth="1"/>
  </cols>
  <sheetData>
    <row r="1" spans="1:1" x14ac:dyDescent="0.3">
      <c r="A1" s="8"/>
    </row>
    <row r="2" spans="1:1" x14ac:dyDescent="0.3">
      <c r="A2" s="9"/>
    </row>
    <row r="20" spans="1:2" x14ac:dyDescent="0.3">
      <c r="A20" s="29"/>
      <c r="B20" s="29"/>
    </row>
    <row r="21" spans="1:2" x14ac:dyDescent="0.3">
      <c r="A21" s="29"/>
      <c r="B21" s="29"/>
    </row>
    <row r="22" spans="1:2" x14ac:dyDescent="0.3">
      <c r="A22" s="29"/>
      <c r="B22" s="29"/>
    </row>
    <row r="23" spans="1:2" x14ac:dyDescent="0.3">
      <c r="A23" s="141" t="s">
        <v>0</v>
      </c>
      <c r="B23" s="142" t="s">
        <v>1</v>
      </c>
    </row>
    <row r="24" spans="1:2" x14ac:dyDescent="0.3">
      <c r="A24" s="147" t="s">
        <v>269</v>
      </c>
      <c r="B24" s="147" t="s">
        <v>270</v>
      </c>
    </row>
    <row r="25" spans="1:2" x14ac:dyDescent="0.3">
      <c r="A25" s="146" t="s">
        <v>2</v>
      </c>
      <c r="B25" s="146" t="s">
        <v>3</v>
      </c>
    </row>
    <row r="26" spans="1:2" x14ac:dyDescent="0.3">
      <c r="A26" s="143" t="s">
        <v>4</v>
      </c>
      <c r="B26" s="143" t="s">
        <v>5</v>
      </c>
    </row>
    <row r="27" spans="1:2" x14ac:dyDescent="0.3">
      <c r="A27" s="144" t="s">
        <v>6</v>
      </c>
      <c r="B27" s="144" t="s">
        <v>7</v>
      </c>
    </row>
    <row r="28" spans="1:2" x14ac:dyDescent="0.3">
      <c r="A28" s="145" t="s">
        <v>8</v>
      </c>
      <c r="B28" s="145" t="s">
        <v>9</v>
      </c>
    </row>
    <row r="29" spans="1:2" x14ac:dyDescent="0.3">
      <c r="A29" s="29"/>
      <c r="B29" s="29"/>
    </row>
    <row r="30" spans="1:2" ht="16.2" thickBot="1" x14ac:dyDescent="0.35">
      <c r="A30" s="38" t="s">
        <v>10</v>
      </c>
      <c r="B30" s="39" t="s">
        <v>11</v>
      </c>
    </row>
    <row r="31" spans="1:2" x14ac:dyDescent="0.3">
      <c r="A31" s="54" t="s">
        <v>2</v>
      </c>
      <c r="B31" s="37" t="s">
        <v>12</v>
      </c>
    </row>
    <row r="32" spans="1:2" x14ac:dyDescent="0.3">
      <c r="A32" s="54" t="s">
        <v>13</v>
      </c>
      <c r="B32" s="37" t="s">
        <v>14</v>
      </c>
    </row>
    <row r="33" spans="1:2" x14ac:dyDescent="0.3">
      <c r="A33" s="54" t="s">
        <v>15</v>
      </c>
      <c r="B33" s="37" t="s">
        <v>16</v>
      </c>
    </row>
    <row r="34" spans="1:2" x14ac:dyDescent="0.3">
      <c r="A34" s="54" t="s">
        <v>17</v>
      </c>
      <c r="B34" s="37" t="s">
        <v>18</v>
      </c>
    </row>
    <row r="35" spans="1:2" x14ac:dyDescent="0.3">
      <c r="A35" s="54" t="s">
        <v>19</v>
      </c>
      <c r="B35" s="37" t="s">
        <v>20</v>
      </c>
    </row>
    <row r="36" spans="1:2" x14ac:dyDescent="0.3">
      <c r="A36" s="54" t="s">
        <v>21</v>
      </c>
      <c r="B36" s="37" t="s">
        <v>22</v>
      </c>
    </row>
    <row r="37" spans="1:2" x14ac:dyDescent="0.3">
      <c r="A37" s="54" t="s">
        <v>23</v>
      </c>
      <c r="B37" s="37" t="s">
        <v>24</v>
      </c>
    </row>
    <row r="38" spans="1:2" x14ac:dyDescent="0.3">
      <c r="A38" s="54" t="s">
        <v>25</v>
      </c>
      <c r="B38" s="37" t="s">
        <v>26</v>
      </c>
    </row>
    <row r="39" spans="1:2" x14ac:dyDescent="0.3">
      <c r="A39" s="54" t="s">
        <v>27</v>
      </c>
      <c r="B39" s="37" t="s">
        <v>28</v>
      </c>
    </row>
    <row r="40" spans="1:2" x14ac:dyDescent="0.3">
      <c r="A40" s="54" t="s">
        <v>29</v>
      </c>
      <c r="B40" s="37" t="s">
        <v>30</v>
      </c>
    </row>
    <row r="41" spans="1:2" x14ac:dyDescent="0.3">
      <c r="A41" s="54" t="s">
        <v>31</v>
      </c>
      <c r="B41" s="37" t="s">
        <v>272</v>
      </c>
    </row>
    <row r="42" spans="1:2" x14ac:dyDescent="0.3">
      <c r="A42" s="54" t="s">
        <v>32</v>
      </c>
      <c r="B42" s="37" t="s">
        <v>273</v>
      </c>
    </row>
    <row r="43" spans="1:2" x14ac:dyDescent="0.3">
      <c r="A43" s="54" t="s">
        <v>33</v>
      </c>
      <c r="B43" s="37" t="s">
        <v>34</v>
      </c>
    </row>
    <row r="44" spans="1:2" x14ac:dyDescent="0.3">
      <c r="A44" s="54" t="s">
        <v>35</v>
      </c>
      <c r="B44" s="37" t="s">
        <v>36</v>
      </c>
    </row>
    <row r="45" spans="1:2" x14ac:dyDescent="0.3">
      <c r="A45" s="54" t="s">
        <v>37</v>
      </c>
      <c r="B45" s="37" t="s">
        <v>38</v>
      </c>
    </row>
    <row r="46" spans="1:2" x14ac:dyDescent="0.3">
      <c r="A46" s="54" t="s">
        <v>39</v>
      </c>
      <c r="B46" s="37" t="s">
        <v>40</v>
      </c>
    </row>
    <row r="47" spans="1:2" x14ac:dyDescent="0.3">
      <c r="A47" s="54" t="s">
        <v>274</v>
      </c>
      <c r="B47" s="37" t="s">
        <v>41</v>
      </c>
    </row>
    <row r="48" spans="1:2" x14ac:dyDescent="0.3">
      <c r="A48" s="54" t="s">
        <v>42</v>
      </c>
      <c r="B48" s="37" t="s">
        <v>43</v>
      </c>
    </row>
    <row r="49" spans="1:2" x14ac:dyDescent="0.3">
      <c r="A49" s="54" t="s">
        <v>267</v>
      </c>
      <c r="B49" s="37" t="s">
        <v>268</v>
      </c>
    </row>
    <row r="50" spans="1:2" x14ac:dyDescent="0.3">
      <c r="A50" s="54" t="s">
        <v>44</v>
      </c>
      <c r="B50" s="37" t="s">
        <v>45</v>
      </c>
    </row>
    <row r="51" spans="1:2" x14ac:dyDescent="0.3">
      <c r="A51" s="54" t="s">
        <v>46</v>
      </c>
      <c r="B51" s="37" t="s">
        <v>47</v>
      </c>
    </row>
    <row r="52" spans="1:2" x14ac:dyDescent="0.3">
      <c r="A52" s="54" t="s">
        <v>48</v>
      </c>
      <c r="B52" s="37" t="s">
        <v>49</v>
      </c>
    </row>
    <row r="53" spans="1:2" x14ac:dyDescent="0.3">
      <c r="A53" s="54" t="s">
        <v>50</v>
      </c>
      <c r="B53" s="37" t="s">
        <v>51</v>
      </c>
    </row>
    <row r="54" spans="1:2" x14ac:dyDescent="0.3">
      <c r="A54" s="54" t="s">
        <v>52</v>
      </c>
      <c r="B54" s="37" t="s">
        <v>53</v>
      </c>
    </row>
    <row r="55" spans="1:2" x14ac:dyDescent="0.3">
      <c r="A55" s="54" t="s">
        <v>54</v>
      </c>
      <c r="B55" s="37" t="s">
        <v>55</v>
      </c>
    </row>
    <row r="56" spans="1:2" x14ac:dyDescent="0.3">
      <c r="A56" s="54" t="s">
        <v>56</v>
      </c>
      <c r="B56" s="37" t="s">
        <v>57</v>
      </c>
    </row>
    <row r="57" spans="1:2" x14ac:dyDescent="0.3">
      <c r="A57" s="54" t="s">
        <v>58</v>
      </c>
      <c r="B57" s="37" t="s">
        <v>59</v>
      </c>
    </row>
    <row r="58" spans="1:2" x14ac:dyDescent="0.3">
      <c r="A58" s="54" t="s">
        <v>60</v>
      </c>
      <c r="B58" s="37" t="s">
        <v>275</v>
      </c>
    </row>
  </sheetData>
  <hyperlinks>
    <hyperlink ref="A31" location="'Vehicle Attributes Overview'!A1" display="Vehical Attributes" xr:uid="{00000000-0004-0000-0000-000000000000}"/>
    <hyperlink ref="A32" location="BEV!A1" display="BEVs" xr:uid="{00000000-0004-0000-0000-000001000000}"/>
    <hyperlink ref="A33" location="PHEV!A1" display="PHEVs" xr:uid="{00000000-0004-0000-0000-000002000000}"/>
    <hyperlink ref="A34" location="FCEV!A1" display="FCEVs" xr:uid="{00000000-0004-0000-0000-000003000000}"/>
    <hyperlink ref="A35" location="'Vehicle Attributes - Base Year'!A1" display="Base Vehicle Attributes and Component Costs" xr:uid="{00000000-0004-0000-0000-000004000000}"/>
    <hyperlink ref="A36" location="'Battery Capacity'!A1" display="Battery Capacity" xr:uid="{00000000-0004-0000-0000-000005000000}"/>
    <hyperlink ref="A37" location="'Battery Costs'!A1" display="Battery Costs" xr:uid="{00000000-0004-0000-0000-000006000000}"/>
    <hyperlink ref="A38" location="'Motor Power'!A1" display="Motor Power" xr:uid="{00000000-0004-0000-0000-000007000000}"/>
    <hyperlink ref="A39" location="'Non-Battery Cost Input'!A1" display="Non-Battery Cost Input" xr:uid="{00000000-0004-0000-0000-000008000000}"/>
    <hyperlink ref="A40" location="'Non-Battery Costs'!A1" display="Non-Battery Costs" xr:uid="{00000000-0004-0000-0000-000009000000}"/>
    <hyperlink ref="A41" location="'Fuel Cell Tank Size'!A1" display="Fuel Cell Tank Sizes" xr:uid="{00000000-0004-0000-0000-00000A000000}"/>
    <hyperlink ref="A42" location="'Fuel Cell Tank Cost'!A1" display="Fuel Cell Tank Costs" xr:uid="{00000000-0004-0000-0000-00000B000000}"/>
    <hyperlink ref="A43" location="'Fuel Cell Stack Power'!A1" display="Fuel Cell Stack Power" xr:uid="{00000000-0004-0000-0000-00000C000000}"/>
    <hyperlink ref="A44" location="'Fuel Cell Tank Cost'!A1" display="Fuel Cell Stack Costs" xr:uid="{00000000-0004-0000-0000-00000D000000}"/>
    <hyperlink ref="A45" location="'Rolled Up Non-Incremental Costs'!A1" display="Rolled Up Non-Incremental Costs" xr:uid="{00000000-0004-0000-0000-00000E000000}"/>
    <hyperlink ref="A46" location="'ICE Removal Cost'!A1" display="ICE Removal Costs" xr:uid="{00000000-0004-0000-0000-00000F000000}"/>
    <hyperlink ref="A47" location="'Trans Removal Cost'!A1" display="Trans Removal Costs" xr:uid="{00000000-0004-0000-0000-000010000000}"/>
    <hyperlink ref="A48" location="'LEV3 Criteria Emissions Cost'!A1" display="LEV3 ICE Criteria Pollutant Emissions Compliance Cost" xr:uid="{00000000-0004-0000-0000-000011000000}"/>
    <hyperlink ref="A52" location="'ZEV Assembly Reductions'!A1" display="ZEV Assembly Reductions" xr:uid="{00000000-0004-0000-0000-000012000000}"/>
    <hyperlink ref="A53" location="'Cold Weather Package'!A1" display="Cold Weather Package" xr:uid="{00000000-0004-0000-0000-000013000000}"/>
    <hyperlink ref="A54" location="'eAWD - 4WD Package'!A1" display="eAWD-4WD Package" xr:uid="{00000000-0004-0000-0000-000014000000}"/>
    <hyperlink ref="A55" location="'Towing Package - Additional Bat'!A1" display="Towing Package - Additional Battery" xr:uid="{00000000-0004-0000-0000-000015000000}"/>
    <hyperlink ref="A56" location="'Towing Bat Cost'!A1" display="Towing Battery Costs" xr:uid="{00000000-0004-0000-0000-000016000000}"/>
    <hyperlink ref="A57" location="'Incremental Cost'!A1" display="Incremental Costs" xr:uid="{00000000-0004-0000-0000-000017000000}"/>
    <hyperlink ref="A58" location="'Incremental Cost Pivot'!A1" display="Inremental Costs Pivot" xr:uid="{00000000-0004-0000-0000-000018000000}"/>
    <hyperlink ref="A50" location="'ACCII Criteria Compliance Cost'!A1" display="Projected ACC II Criteria Pollutant Emissions Compliance Cost Avoided" xr:uid="{9EE9EC06-A131-487B-B859-0A0DAEE50EDD}"/>
    <hyperlink ref="A51" location="'ACCII GHG Compliance'!A1" display="Projected ACC II ICE GHG Compliance Cost Avoided" xr:uid="{D6797C9E-196A-437D-BC3B-16E3A01F9F73}"/>
    <hyperlink ref="A49" location="'Current GHG Compliance'!A1" display="Current GHG Compliance" xr:uid="{42E525DB-8A02-45EC-8E40-397B00650A77}"/>
  </hyperlinks>
  <pageMargins left="0.7" right="0.7" top="0.75" bottom="0.75" header="0.3" footer="0.3"/>
  <pageSetup orientation="portrait" r:id="rId1"/>
  <drawing r:id="rId2"/>
  <tableParts count="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3D5C2-77E7-4DC6-8E51-01EAA358FA5D}">
  <sheetPr>
    <tabColor theme="0"/>
  </sheetPr>
  <dimension ref="A1:B31"/>
  <sheetViews>
    <sheetView zoomScaleNormal="100" workbookViewId="0">
      <selection activeCell="B28" sqref="B28"/>
    </sheetView>
  </sheetViews>
  <sheetFormatPr defaultRowHeight="14.4" x14ac:dyDescent="0.3"/>
  <cols>
    <col min="1" max="1" width="64.88671875" bestFit="1" customWidth="1"/>
    <col min="2" max="2" width="152.109375" customWidth="1"/>
  </cols>
  <sheetData>
    <row r="1" spans="1:2" ht="16.2" thickBot="1" x14ac:dyDescent="0.35">
      <c r="A1" s="38" t="s">
        <v>10</v>
      </c>
      <c r="B1" s="39" t="s">
        <v>251</v>
      </c>
    </row>
    <row r="2" spans="1:2" ht="43.2" x14ac:dyDescent="0.3">
      <c r="A2" s="167" t="s">
        <v>271</v>
      </c>
      <c r="B2" s="166" t="s">
        <v>277</v>
      </c>
    </row>
    <row r="3" spans="1:2" ht="43.2" x14ac:dyDescent="0.3">
      <c r="A3" s="167" t="s">
        <v>271</v>
      </c>
      <c r="B3" s="166" t="s">
        <v>259</v>
      </c>
    </row>
    <row r="4" spans="1:2" x14ac:dyDescent="0.3">
      <c r="A4" s="167" t="s">
        <v>13</v>
      </c>
      <c r="B4" s="37" t="s">
        <v>276</v>
      </c>
    </row>
    <row r="5" spans="1:2" x14ac:dyDescent="0.3">
      <c r="A5" s="167" t="s">
        <v>15</v>
      </c>
      <c r="B5" s="37" t="s">
        <v>276</v>
      </c>
    </row>
    <row r="6" spans="1:2" ht="43.2" x14ac:dyDescent="0.3">
      <c r="A6" s="167" t="s">
        <v>17</v>
      </c>
      <c r="B6" s="166" t="s">
        <v>256</v>
      </c>
    </row>
    <row r="7" spans="1:2" x14ac:dyDescent="0.3">
      <c r="A7" s="167" t="s">
        <v>19</v>
      </c>
      <c r="B7" s="37" t="s">
        <v>196</v>
      </c>
    </row>
    <row r="8" spans="1:2" x14ac:dyDescent="0.3">
      <c r="A8" s="167" t="s">
        <v>21</v>
      </c>
      <c r="B8" s="37" t="s">
        <v>196</v>
      </c>
    </row>
    <row r="9" spans="1:2" ht="28.8" x14ac:dyDescent="0.3">
      <c r="A9" s="167" t="s">
        <v>23</v>
      </c>
      <c r="B9" s="166" t="s">
        <v>255</v>
      </c>
    </row>
    <row r="10" spans="1:2" x14ac:dyDescent="0.3">
      <c r="A10" s="167"/>
      <c r="B10" s="37" t="s">
        <v>254</v>
      </c>
    </row>
    <row r="11" spans="1:2" x14ac:dyDescent="0.3">
      <c r="A11" s="167" t="s">
        <v>25</v>
      </c>
      <c r="B11" s="37" t="s">
        <v>253</v>
      </c>
    </row>
    <row r="12" spans="1:2" x14ac:dyDescent="0.3">
      <c r="A12" s="167" t="s">
        <v>27</v>
      </c>
      <c r="B12" s="169" t="s">
        <v>264</v>
      </c>
    </row>
    <row r="13" spans="1:2" x14ac:dyDescent="0.3">
      <c r="A13" s="167" t="s">
        <v>29</v>
      </c>
      <c r="B13" s="37"/>
    </row>
    <row r="14" spans="1:2" x14ac:dyDescent="0.3">
      <c r="A14" s="167" t="s">
        <v>31</v>
      </c>
      <c r="B14" s="37" t="s">
        <v>253</v>
      </c>
    </row>
    <row r="15" spans="1:2" x14ac:dyDescent="0.3">
      <c r="A15" s="167" t="s">
        <v>32</v>
      </c>
      <c r="B15" s="37" t="s">
        <v>253</v>
      </c>
    </row>
    <row r="16" spans="1:2" x14ac:dyDescent="0.3">
      <c r="A16" s="167" t="s">
        <v>33</v>
      </c>
      <c r="B16" s="37" t="s">
        <v>253</v>
      </c>
    </row>
    <row r="17" spans="1:2" x14ac:dyDescent="0.3">
      <c r="A17" s="167" t="s">
        <v>35</v>
      </c>
      <c r="B17" s="37" t="s">
        <v>253</v>
      </c>
    </row>
    <row r="18" spans="1:2" x14ac:dyDescent="0.3">
      <c r="A18" s="167" t="s">
        <v>37</v>
      </c>
      <c r="B18" s="37"/>
    </row>
    <row r="19" spans="1:2" x14ac:dyDescent="0.3">
      <c r="A19" s="167" t="s">
        <v>39</v>
      </c>
      <c r="B19" s="37" t="s">
        <v>281</v>
      </c>
    </row>
    <row r="20" spans="1:2" x14ac:dyDescent="0.3">
      <c r="A20" s="167" t="s">
        <v>274</v>
      </c>
      <c r="B20" s="37" t="s">
        <v>281</v>
      </c>
    </row>
    <row r="21" spans="1:2" ht="57.6" x14ac:dyDescent="0.3">
      <c r="A21" s="167" t="s">
        <v>42</v>
      </c>
      <c r="B21" s="166" t="s">
        <v>257</v>
      </c>
    </row>
    <row r="22" spans="1:2" x14ac:dyDescent="0.3">
      <c r="A22" s="167" t="s">
        <v>252</v>
      </c>
      <c r="B22" s="166" t="s">
        <v>258</v>
      </c>
    </row>
    <row r="23" spans="1:2" x14ac:dyDescent="0.3">
      <c r="A23" s="54" t="s">
        <v>44</v>
      </c>
      <c r="B23" s="37" t="s">
        <v>280</v>
      </c>
    </row>
    <row r="24" spans="1:2" x14ac:dyDescent="0.3">
      <c r="A24" s="54" t="s">
        <v>46</v>
      </c>
      <c r="B24" s="37" t="s">
        <v>280</v>
      </c>
    </row>
    <row r="25" spans="1:2" ht="28.8" x14ac:dyDescent="0.3">
      <c r="A25" s="167" t="s">
        <v>48</v>
      </c>
      <c r="B25" s="166" t="s">
        <v>278</v>
      </c>
    </row>
    <row r="26" spans="1:2" x14ac:dyDescent="0.3">
      <c r="A26" s="167" t="s">
        <v>50</v>
      </c>
      <c r="B26" s="169" t="s">
        <v>282</v>
      </c>
    </row>
    <row r="27" spans="1:2" x14ac:dyDescent="0.3">
      <c r="A27" s="167" t="s">
        <v>52</v>
      </c>
      <c r="B27" s="169" t="s">
        <v>282</v>
      </c>
    </row>
    <row r="28" spans="1:2" ht="43.2" x14ac:dyDescent="0.3">
      <c r="A28" s="167" t="s">
        <v>54</v>
      </c>
      <c r="B28" s="166" t="s">
        <v>279</v>
      </c>
    </row>
    <row r="29" spans="1:2" x14ac:dyDescent="0.3">
      <c r="A29" s="167" t="s">
        <v>56</v>
      </c>
      <c r="B29" s="37"/>
    </row>
    <row r="30" spans="1:2" x14ac:dyDescent="0.3">
      <c r="A30" s="167" t="s">
        <v>58</v>
      </c>
      <c r="B30" s="37"/>
    </row>
    <row r="31" spans="1:2" x14ac:dyDescent="0.3">
      <c r="A31" s="167" t="s">
        <v>60</v>
      </c>
      <c r="B31" s="37"/>
    </row>
  </sheetData>
  <hyperlinks>
    <hyperlink ref="A2" location="'Vehicle Attributes Overview'!A1" display="Vehical Attributes" xr:uid="{5EB4FBF8-5CCB-4131-AD17-FF9238096C2C}"/>
    <hyperlink ref="A4" location="BEV!A1" display="BEVs" xr:uid="{DD7B9EF1-3F50-4036-B30C-C50E2190E236}"/>
    <hyperlink ref="A5" location="PHEV!A1" display="PHEVs" xr:uid="{4CEC97D6-9F0C-49C4-AB52-CD6DDEEE63B5}"/>
    <hyperlink ref="A6" location="FCEV!A1" display="FCEVs" xr:uid="{02B60F82-C988-43FE-8DD9-1293C6DA60BD}"/>
    <hyperlink ref="A8" location="'Battery Capacity'!A1" display="Battery Capacity" xr:uid="{ED4A0BAF-D18D-4B53-900F-E9DEAD1611B9}"/>
    <hyperlink ref="A9" location="'Battery Costs'!A1" display="Battery Costs" xr:uid="{6FF0CB56-2C6B-4FB3-A3C6-E3F5663B1968}"/>
    <hyperlink ref="A11" location="'Motor Power'!A1" display="Motor Power" xr:uid="{9F49BD46-8BEA-4369-9553-FD5A9F091E9D}"/>
    <hyperlink ref="A12" location="'Non-Battery Cost Input'!A1" display="Non-Battery Cost Input" xr:uid="{FBB229C2-742E-4D60-B2DE-C10DB212364D}"/>
    <hyperlink ref="A13" location="'Non-Battery Costs'!A1" display="Non-Battery Costs" xr:uid="{2B2C59EF-F947-4AF0-8957-6B1756C9405E}"/>
    <hyperlink ref="A14" location="'Fuel Cell Tank Size'!A1" display="Fuel Cell Tank Sizes" xr:uid="{305CCD1F-1375-4604-9309-0CAE7B8E0249}"/>
    <hyperlink ref="A15" location="'Fuel Cell Tank Cost'!A1" display="Fuel Cell Tank Costs" xr:uid="{90130224-0CF5-41B5-8541-A83F252B6AA5}"/>
    <hyperlink ref="A16" location="'Fuel Cell Stack Power'!A1" display="Fuel Cell Stack Power" xr:uid="{B5214D91-236A-4A35-88D1-EB1FC88147A1}"/>
    <hyperlink ref="A17" location="'Fuel Cell Tank Cost'!A1" display="Fuel Cell Stack Costs" xr:uid="{64DAD5F8-2555-4E1B-8250-B5631CA99E3B}"/>
    <hyperlink ref="A18" location="'Rolled Up Non-Incremental Costs'!A1" display="Rolled Up Non-Incremental Costs" xr:uid="{DCA8BB1F-A8C1-45C0-ADEA-4E2B7202098F}"/>
    <hyperlink ref="A19" location="'ICE Removal Cost'!A1" display="ICE Removal Costs" xr:uid="{FBF7F585-A5DF-4614-AE54-4520E0E89CEF}"/>
    <hyperlink ref="A21" location="'LEV3 Criteria Emissions Cost'!A1" display="LEV3 ICE Criteria Pollutant Emissions Compliance Cost" xr:uid="{BB5B675C-C81C-4F4C-A55D-950FDEAC4385}"/>
    <hyperlink ref="A25" location="'ZEV Assembly Reductions'!A1" display="ZEV Assembly Reductions" xr:uid="{FD5B4EE1-E14D-4526-816B-860EC6277930}"/>
    <hyperlink ref="A26" location="'Cold Weather Package'!A1" display="Cold Weather Package" xr:uid="{35D1DDE1-E9C0-4F6A-960E-1F0FF22B21C1}"/>
    <hyperlink ref="A27" location="'eAWD - 4WD Package'!A1" display="eAWD-4WD Package" xr:uid="{580701E3-348D-4753-B2B0-650328738127}"/>
    <hyperlink ref="A28" location="'Towing Package - Additional Bat'!A1" display="Towing Package - Additional Battery" xr:uid="{E22EA322-CEFD-4552-8980-52EE4A0CB7AE}"/>
    <hyperlink ref="A29" location="'Towing Bat Cost'!A1" display="Towing Battery Costs" xr:uid="{E0C6E956-A8EC-476B-A747-7D2094CBED9E}"/>
    <hyperlink ref="A30" location="'Incremental Cost'!A1" display="Incremental Costs" xr:uid="{2314D40E-51C8-47C7-97F6-BACB051199D9}"/>
    <hyperlink ref="A31" location="'Incremental Cost Pivot'!A1" display="Inremental Costs Pivot" xr:uid="{080F9A44-7C5E-43CA-A49E-968D47E6B357}"/>
    <hyperlink ref="A3" location="'Vehicle Attributes Overview'!A1" display="Vehicle Attributes Overview" xr:uid="{111CCBB3-08DE-4E20-A590-8ED3E707A8A3}"/>
    <hyperlink ref="A20" location="'Trans Removal Cost'!A1" display="Trans Removal Costs" xr:uid="{EF4CF05A-D9CC-4FBD-9C2A-B83481BA48ED}"/>
    <hyperlink ref="A7" location="'Vehicle Attributes - Base Year'!A1" display="Base Vehicle Attributes and Component Costs" xr:uid="{7E44F6C0-8928-45DC-BACF-B877458B465E}"/>
    <hyperlink ref="A23" location="'ACCII Criteria Compliance Cost'!A1" display="Projected ACC II Criteria Pollutant Emissions Compliance Cost Avoided" xr:uid="{224B2787-B695-4A90-8275-104B86D15B01}"/>
    <hyperlink ref="A24" location="'ACCII GHG Compliance'!A1" display="Projected ACC II ICE GHG Compliance Cost Avoided" xr:uid="{31277DC8-534A-4C3B-B683-685824C6D858}"/>
  </hyperlink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10597B"/>
  </sheetPr>
  <dimension ref="A1:U32"/>
  <sheetViews>
    <sheetView zoomScaleNormal="100" workbookViewId="0">
      <selection activeCell="B16" sqref="B16"/>
    </sheetView>
  </sheetViews>
  <sheetFormatPr defaultRowHeight="14.4" x14ac:dyDescent="0.3"/>
  <cols>
    <col min="1" max="1" width="12.109375" bestFit="1" customWidth="1"/>
    <col min="2" max="2" width="45" bestFit="1" customWidth="1"/>
    <col min="4" max="4" width="14.109375" customWidth="1"/>
    <col min="5" max="5" width="12" customWidth="1"/>
    <col min="6" max="6" width="16.109375" customWidth="1"/>
    <col min="9" max="9" width="9.5546875" customWidth="1"/>
    <col min="11" max="11" width="14.44140625" hidden="1" customWidth="1"/>
    <col min="12" max="21" width="0" hidden="1" customWidth="1"/>
  </cols>
  <sheetData>
    <row r="1" spans="1:21" ht="15" thickBot="1" x14ac:dyDescent="0.35">
      <c r="A1" s="170" t="s">
        <v>61</v>
      </c>
      <c r="B1" s="171"/>
      <c r="C1" s="29"/>
      <c r="D1" s="172" t="s">
        <v>62</v>
      </c>
      <c r="E1" s="174"/>
      <c r="F1" s="174"/>
      <c r="G1" s="174"/>
      <c r="H1" s="174"/>
      <c r="I1" s="173"/>
      <c r="K1" s="139" t="s">
        <v>63</v>
      </c>
      <c r="L1" s="139"/>
      <c r="M1" s="40"/>
      <c r="N1" s="40"/>
      <c r="O1" s="40"/>
      <c r="P1" s="40"/>
      <c r="Q1" s="40"/>
      <c r="R1" s="40"/>
      <c r="S1" s="40"/>
      <c r="T1" s="40"/>
      <c r="U1" s="40"/>
    </row>
    <row r="2" spans="1:21" x14ac:dyDescent="0.3">
      <c r="A2" s="84" t="s">
        <v>64</v>
      </c>
      <c r="B2" s="47" t="s">
        <v>65</v>
      </c>
      <c r="C2" s="29"/>
      <c r="D2" s="35" t="s">
        <v>66</v>
      </c>
      <c r="E2" s="36" t="s">
        <v>67</v>
      </c>
      <c r="F2" s="36" t="s">
        <v>68</v>
      </c>
      <c r="G2" s="36" t="s">
        <v>69</v>
      </c>
      <c r="H2" s="36" t="s">
        <v>70</v>
      </c>
      <c r="I2" s="35" t="s">
        <v>71</v>
      </c>
      <c r="K2" s="140">
        <v>2025</v>
      </c>
      <c r="L2" s="140">
        <v>2026</v>
      </c>
      <c r="M2" s="40">
        <v>2027</v>
      </c>
      <c r="N2" s="40">
        <v>2028</v>
      </c>
      <c r="O2" s="40">
        <v>2029</v>
      </c>
      <c r="P2" s="40">
        <v>2030</v>
      </c>
      <c r="Q2" s="40">
        <v>2031</v>
      </c>
      <c r="R2" s="40">
        <v>2032</v>
      </c>
      <c r="S2" s="40">
        <v>2033</v>
      </c>
      <c r="T2" s="40">
        <v>2034</v>
      </c>
      <c r="U2" s="40">
        <v>2035</v>
      </c>
    </row>
    <row r="3" spans="1:21" x14ac:dyDescent="0.3">
      <c r="A3" s="49">
        <v>0.5</v>
      </c>
      <c r="B3" s="47" t="s">
        <v>72</v>
      </c>
      <c r="C3" s="29"/>
      <c r="D3" s="33" t="s">
        <v>73</v>
      </c>
      <c r="E3" s="13" t="s">
        <v>74</v>
      </c>
      <c r="F3" s="13" t="s">
        <v>75</v>
      </c>
      <c r="G3" s="13" t="s">
        <v>76</v>
      </c>
      <c r="H3" s="13" t="s">
        <v>76</v>
      </c>
      <c r="I3" s="17" t="s">
        <v>77</v>
      </c>
      <c r="K3" s="1"/>
      <c r="L3" s="1"/>
    </row>
    <row r="4" spans="1:21" ht="15" thickBot="1" x14ac:dyDescent="0.35">
      <c r="A4" s="83">
        <v>0.01</v>
      </c>
      <c r="B4" s="51" t="s">
        <v>78</v>
      </c>
      <c r="C4" s="29"/>
      <c r="D4" s="34" t="s">
        <v>73</v>
      </c>
      <c r="E4" s="14" t="s">
        <v>79</v>
      </c>
      <c r="F4" s="14" t="s">
        <v>80</v>
      </c>
      <c r="G4" s="14" t="s">
        <v>76</v>
      </c>
      <c r="H4" s="14" t="s">
        <v>76</v>
      </c>
      <c r="I4" s="1" t="s">
        <v>77</v>
      </c>
      <c r="K4" s="140" t="s">
        <v>81</v>
      </c>
      <c r="L4" s="1"/>
    </row>
    <row r="5" spans="1:21" ht="15" thickBot="1" x14ac:dyDescent="0.35">
      <c r="C5" s="29"/>
      <c r="D5" s="33" t="s">
        <v>82</v>
      </c>
      <c r="E5" s="13" t="s">
        <v>74</v>
      </c>
      <c r="F5" s="13" t="s">
        <v>75</v>
      </c>
      <c r="G5" s="13" t="s">
        <v>76</v>
      </c>
      <c r="H5" s="13" t="s">
        <v>76</v>
      </c>
      <c r="I5" s="17" t="s">
        <v>77</v>
      </c>
    </row>
    <row r="6" spans="1:21" x14ac:dyDescent="0.3">
      <c r="A6" s="170" t="s">
        <v>13</v>
      </c>
      <c r="B6" s="171"/>
      <c r="C6" s="29"/>
      <c r="D6" s="34" t="s">
        <v>82</v>
      </c>
      <c r="E6" s="14" t="s">
        <v>79</v>
      </c>
      <c r="F6" s="14" t="s">
        <v>80</v>
      </c>
      <c r="G6" s="14" t="s">
        <v>76</v>
      </c>
      <c r="H6" s="14" t="s">
        <v>76</v>
      </c>
      <c r="I6" s="1" t="s">
        <v>77</v>
      </c>
    </row>
    <row r="7" spans="1:21" x14ac:dyDescent="0.3">
      <c r="A7" s="52" t="s">
        <v>64</v>
      </c>
      <c r="B7" s="53" t="s">
        <v>65</v>
      </c>
      <c r="C7" s="29"/>
      <c r="D7" s="33" t="s">
        <v>83</v>
      </c>
      <c r="E7" s="13" t="s">
        <v>74</v>
      </c>
      <c r="F7" s="13" t="s">
        <v>75</v>
      </c>
      <c r="G7" s="13" t="s">
        <v>76</v>
      </c>
      <c r="H7" s="13" t="s">
        <v>76</v>
      </c>
      <c r="I7" s="17" t="s">
        <v>77</v>
      </c>
    </row>
    <row r="8" spans="1:21" x14ac:dyDescent="0.3">
      <c r="A8" s="48">
        <v>5.0000000000000001E-3</v>
      </c>
      <c r="B8" s="47" t="s">
        <v>84</v>
      </c>
      <c r="C8" s="29"/>
      <c r="D8" s="34" t="s">
        <v>83</v>
      </c>
      <c r="E8" s="14" t="s">
        <v>79</v>
      </c>
      <c r="F8" s="14" t="s">
        <v>80</v>
      </c>
      <c r="G8" s="14" t="s">
        <v>76</v>
      </c>
      <c r="H8" s="14" t="s">
        <v>76</v>
      </c>
      <c r="I8" s="1" t="s">
        <v>77</v>
      </c>
    </row>
    <row r="9" spans="1:21" x14ac:dyDescent="0.3">
      <c r="A9" s="49">
        <v>0.95</v>
      </c>
      <c r="B9" s="47" t="s">
        <v>85</v>
      </c>
      <c r="C9" s="29"/>
      <c r="D9" s="33" t="s">
        <v>86</v>
      </c>
      <c r="E9" s="13" t="s">
        <v>74</v>
      </c>
      <c r="F9" s="13" t="s">
        <v>75</v>
      </c>
      <c r="G9" s="13" t="s">
        <v>76</v>
      </c>
      <c r="H9" s="13" t="s">
        <v>76</v>
      </c>
      <c r="I9" s="17" t="s">
        <v>76</v>
      </c>
    </row>
    <row r="10" spans="1:21" x14ac:dyDescent="0.3">
      <c r="A10" s="48">
        <v>5.0000000000000001E-3</v>
      </c>
      <c r="B10" s="47" t="s">
        <v>87</v>
      </c>
      <c r="C10" s="29"/>
      <c r="D10" s="34" t="s">
        <v>86</v>
      </c>
      <c r="E10" s="14" t="s">
        <v>79</v>
      </c>
      <c r="F10" s="14" t="s">
        <v>80</v>
      </c>
      <c r="G10" s="14" t="s">
        <v>76</v>
      </c>
      <c r="H10" s="14" t="s">
        <v>76</v>
      </c>
      <c r="I10" s="1" t="s">
        <v>76</v>
      </c>
    </row>
    <row r="11" spans="1:21" ht="15" thickBot="1" x14ac:dyDescent="0.35">
      <c r="A11" s="50">
        <v>5.0000000000000001E-3</v>
      </c>
      <c r="B11" s="51" t="s">
        <v>88</v>
      </c>
      <c r="C11" s="29"/>
      <c r="D11" s="33" t="s">
        <v>89</v>
      </c>
      <c r="E11" s="13" t="s">
        <v>74</v>
      </c>
      <c r="F11" s="13" t="s">
        <v>75</v>
      </c>
      <c r="G11" s="13" t="s">
        <v>76</v>
      </c>
      <c r="H11" s="13" t="s">
        <v>76</v>
      </c>
      <c r="I11" s="17" t="s">
        <v>76</v>
      </c>
    </row>
    <row r="12" spans="1:21" ht="15" thickBot="1" x14ac:dyDescent="0.35">
      <c r="C12" s="29"/>
      <c r="D12" s="34" t="s">
        <v>90</v>
      </c>
      <c r="E12" s="14" t="s">
        <v>79</v>
      </c>
      <c r="F12" s="14" t="s">
        <v>80</v>
      </c>
      <c r="G12" s="14" t="s">
        <v>76</v>
      </c>
      <c r="H12" s="14" t="s">
        <v>76</v>
      </c>
      <c r="I12" s="1" t="s">
        <v>76</v>
      </c>
    </row>
    <row r="13" spans="1:21" x14ac:dyDescent="0.3">
      <c r="A13" s="170" t="s">
        <v>15</v>
      </c>
      <c r="B13" s="171"/>
      <c r="C13" s="29"/>
      <c r="D13" s="33" t="s">
        <v>73</v>
      </c>
      <c r="E13" s="13" t="s">
        <v>91</v>
      </c>
      <c r="F13" s="13" t="s">
        <v>75</v>
      </c>
      <c r="G13" s="13" t="s">
        <v>77</v>
      </c>
      <c r="H13" s="13" t="s">
        <v>76</v>
      </c>
      <c r="I13" s="17" t="s">
        <v>77</v>
      </c>
    </row>
    <row r="14" spans="1:21" x14ac:dyDescent="0.3">
      <c r="A14" s="46" t="s">
        <v>64</v>
      </c>
      <c r="B14" s="47" t="s">
        <v>65</v>
      </c>
      <c r="C14" s="29"/>
      <c r="D14" s="34" t="s">
        <v>73</v>
      </c>
      <c r="E14" s="14" t="s">
        <v>91</v>
      </c>
      <c r="F14" s="14" t="s">
        <v>80</v>
      </c>
      <c r="G14" s="14" t="s">
        <v>77</v>
      </c>
      <c r="H14" s="14" t="s">
        <v>76</v>
      </c>
      <c r="I14" s="1" t="s">
        <v>77</v>
      </c>
    </row>
    <row r="15" spans="1:21" x14ac:dyDescent="0.3">
      <c r="A15" s="48">
        <v>5.0000000000000001E-3</v>
      </c>
      <c r="B15" s="47" t="s">
        <v>249</v>
      </c>
      <c r="C15" s="29"/>
      <c r="D15" s="33" t="s">
        <v>82</v>
      </c>
      <c r="E15" s="13" t="s">
        <v>91</v>
      </c>
      <c r="F15" s="13" t="s">
        <v>75</v>
      </c>
      <c r="G15" s="13" t="s">
        <v>77</v>
      </c>
      <c r="H15" s="13" t="s">
        <v>76</v>
      </c>
      <c r="I15" s="17" t="s">
        <v>77</v>
      </c>
    </row>
    <row r="16" spans="1:21" ht="15" thickBot="1" x14ac:dyDescent="0.35">
      <c r="A16" s="83">
        <v>0.85</v>
      </c>
      <c r="B16" s="51" t="s">
        <v>92</v>
      </c>
      <c r="C16" s="29"/>
      <c r="D16" s="34" t="s">
        <v>82</v>
      </c>
      <c r="E16" s="14" t="s">
        <v>91</v>
      </c>
      <c r="F16" s="14" t="s">
        <v>80</v>
      </c>
      <c r="G16" s="14" t="s">
        <v>77</v>
      </c>
      <c r="H16" s="14" t="s">
        <v>76</v>
      </c>
      <c r="I16" s="1" t="s">
        <v>77</v>
      </c>
    </row>
    <row r="17" spans="1:9" x14ac:dyDescent="0.3">
      <c r="A17" s="149">
        <v>0.85</v>
      </c>
      <c r="B17" s="150" t="s">
        <v>93</v>
      </c>
      <c r="D17" s="33" t="s">
        <v>83</v>
      </c>
      <c r="E17" s="13" t="s">
        <v>91</v>
      </c>
      <c r="F17" s="13" t="s">
        <v>75</v>
      </c>
      <c r="G17" s="13" t="s">
        <v>77</v>
      </c>
      <c r="H17" s="13" t="s">
        <v>76</v>
      </c>
      <c r="I17" s="17" t="s">
        <v>77</v>
      </c>
    </row>
    <row r="18" spans="1:9" x14ac:dyDescent="0.3">
      <c r="A18" s="159">
        <v>5.0000000000000001E-3</v>
      </c>
      <c r="B18" s="150" t="s">
        <v>250</v>
      </c>
      <c r="D18" s="34" t="s">
        <v>83</v>
      </c>
      <c r="E18" s="14" t="s">
        <v>91</v>
      </c>
      <c r="F18" s="14" t="s">
        <v>80</v>
      </c>
      <c r="G18" s="14" t="s">
        <v>77</v>
      </c>
      <c r="H18" s="14" t="s">
        <v>76</v>
      </c>
      <c r="I18" s="1" t="s">
        <v>77</v>
      </c>
    </row>
    <row r="19" spans="1:9" ht="15" thickBot="1" x14ac:dyDescent="0.35">
      <c r="D19" s="33" t="s">
        <v>86</v>
      </c>
      <c r="E19" s="13" t="s">
        <v>91</v>
      </c>
      <c r="F19" s="13" t="s">
        <v>75</v>
      </c>
      <c r="G19" s="13" t="s">
        <v>77</v>
      </c>
      <c r="H19" s="13" t="s">
        <v>76</v>
      </c>
      <c r="I19" s="17" t="s">
        <v>77</v>
      </c>
    </row>
    <row r="20" spans="1:9" ht="15" thickBot="1" x14ac:dyDescent="0.35">
      <c r="A20" s="172" t="s">
        <v>94</v>
      </c>
      <c r="B20" s="173"/>
      <c r="D20" s="34" t="s">
        <v>86</v>
      </c>
      <c r="E20" s="14" t="s">
        <v>91</v>
      </c>
      <c r="F20" s="14" t="s">
        <v>80</v>
      </c>
      <c r="G20" s="14" t="s">
        <v>77</v>
      </c>
      <c r="H20" s="14" t="s">
        <v>77</v>
      </c>
      <c r="I20" s="1" t="s">
        <v>77</v>
      </c>
    </row>
    <row r="21" spans="1:9" ht="15" thickBot="1" x14ac:dyDescent="0.35">
      <c r="A21" s="81" t="s">
        <v>64</v>
      </c>
      <c r="B21" s="51" t="s">
        <v>65</v>
      </c>
      <c r="D21" s="33" t="s">
        <v>89</v>
      </c>
      <c r="E21" s="13" t="s">
        <v>91</v>
      </c>
      <c r="F21" s="13" t="s">
        <v>75</v>
      </c>
      <c r="G21" s="13" t="s">
        <v>77</v>
      </c>
      <c r="H21" s="13" t="s">
        <v>77</v>
      </c>
      <c r="I21" s="17" t="s">
        <v>77</v>
      </c>
    </row>
    <row r="22" spans="1:9" ht="15" thickBot="1" x14ac:dyDescent="0.35">
      <c r="A22" s="82" t="s">
        <v>95</v>
      </c>
      <c r="B22" s="80"/>
      <c r="D22" s="34" t="s">
        <v>90</v>
      </c>
      <c r="E22" s="14" t="s">
        <v>91</v>
      </c>
      <c r="F22" s="14" t="s">
        <v>80</v>
      </c>
      <c r="G22" s="14" t="s">
        <v>77</v>
      </c>
      <c r="H22" s="14" t="s">
        <v>77</v>
      </c>
      <c r="I22" s="1" t="s">
        <v>77</v>
      </c>
    </row>
    <row r="23" spans="1:9" x14ac:dyDescent="0.3">
      <c r="D23" s="33" t="s">
        <v>73</v>
      </c>
      <c r="E23" s="13" t="s">
        <v>96</v>
      </c>
      <c r="F23" s="13" t="s">
        <v>75</v>
      </c>
      <c r="G23" s="13" t="s">
        <v>77</v>
      </c>
      <c r="H23" s="13" t="s">
        <v>76</v>
      </c>
      <c r="I23" s="17" t="s">
        <v>77</v>
      </c>
    </row>
    <row r="24" spans="1:9" x14ac:dyDescent="0.3">
      <c r="D24" s="34" t="s">
        <v>73</v>
      </c>
      <c r="E24" s="14" t="s">
        <v>96</v>
      </c>
      <c r="F24" s="14" t="s">
        <v>80</v>
      </c>
      <c r="G24" s="14" t="s">
        <v>77</v>
      </c>
      <c r="H24" s="14" t="s">
        <v>76</v>
      </c>
      <c r="I24" s="1" t="s">
        <v>77</v>
      </c>
    </row>
    <row r="25" spans="1:9" x14ac:dyDescent="0.3">
      <c r="D25" s="33" t="s">
        <v>82</v>
      </c>
      <c r="E25" s="13" t="s">
        <v>96</v>
      </c>
      <c r="F25" s="13" t="s">
        <v>75</v>
      </c>
      <c r="G25" s="13" t="s">
        <v>77</v>
      </c>
      <c r="H25" s="13" t="s">
        <v>76</v>
      </c>
      <c r="I25" s="17" t="s">
        <v>77</v>
      </c>
    </row>
    <row r="26" spans="1:9" x14ac:dyDescent="0.3">
      <c r="D26" s="34" t="s">
        <v>82</v>
      </c>
      <c r="E26" s="14" t="s">
        <v>96</v>
      </c>
      <c r="F26" s="14" t="s">
        <v>80</v>
      </c>
      <c r="G26" s="14" t="s">
        <v>77</v>
      </c>
      <c r="H26" s="14" t="s">
        <v>76</v>
      </c>
      <c r="I26" s="1" t="s">
        <v>77</v>
      </c>
    </row>
    <row r="27" spans="1:9" x14ac:dyDescent="0.3">
      <c r="D27" s="33" t="s">
        <v>83</v>
      </c>
      <c r="E27" s="13" t="s">
        <v>96</v>
      </c>
      <c r="F27" s="13" t="s">
        <v>75</v>
      </c>
      <c r="G27" s="13" t="s">
        <v>77</v>
      </c>
      <c r="H27" s="13" t="s">
        <v>76</v>
      </c>
      <c r="I27" s="17" t="s">
        <v>77</v>
      </c>
    </row>
    <row r="28" spans="1:9" x14ac:dyDescent="0.3">
      <c r="D28" s="34" t="s">
        <v>83</v>
      </c>
      <c r="E28" s="14" t="s">
        <v>96</v>
      </c>
      <c r="F28" s="14" t="s">
        <v>80</v>
      </c>
      <c r="G28" s="14" t="s">
        <v>77</v>
      </c>
      <c r="H28" s="14" t="s">
        <v>76</v>
      </c>
      <c r="I28" s="1" t="s">
        <v>77</v>
      </c>
    </row>
    <row r="29" spans="1:9" x14ac:dyDescent="0.3">
      <c r="D29" s="33" t="s">
        <v>86</v>
      </c>
      <c r="E29" s="13" t="s">
        <v>96</v>
      </c>
      <c r="F29" s="13" t="s">
        <v>75</v>
      </c>
      <c r="G29" s="13" t="s">
        <v>77</v>
      </c>
      <c r="H29" s="13" t="s">
        <v>76</v>
      </c>
      <c r="I29" s="17" t="s">
        <v>77</v>
      </c>
    </row>
    <row r="30" spans="1:9" x14ac:dyDescent="0.3">
      <c r="D30" s="34" t="s">
        <v>86</v>
      </c>
      <c r="E30" s="14" t="s">
        <v>96</v>
      </c>
      <c r="F30" s="14" t="s">
        <v>80</v>
      </c>
      <c r="G30" s="14" t="s">
        <v>77</v>
      </c>
      <c r="H30" s="14" t="s">
        <v>76</v>
      </c>
      <c r="I30" s="1" t="s">
        <v>77</v>
      </c>
    </row>
    <row r="31" spans="1:9" x14ac:dyDescent="0.3">
      <c r="D31" s="33" t="s">
        <v>89</v>
      </c>
      <c r="E31" s="13" t="s">
        <v>96</v>
      </c>
      <c r="F31" s="13" t="s">
        <v>75</v>
      </c>
      <c r="G31" s="13" t="s">
        <v>77</v>
      </c>
      <c r="H31" s="13" t="s">
        <v>76</v>
      </c>
      <c r="I31" s="17" t="s">
        <v>77</v>
      </c>
    </row>
    <row r="32" spans="1:9" x14ac:dyDescent="0.3">
      <c r="D32" s="34" t="s">
        <v>90</v>
      </c>
      <c r="E32" s="14" t="s">
        <v>96</v>
      </c>
      <c r="F32" s="14" t="s">
        <v>80</v>
      </c>
      <c r="G32" s="14" t="s">
        <v>77</v>
      </c>
      <c r="H32" s="14" t="s">
        <v>76</v>
      </c>
      <c r="I32" s="1" t="s">
        <v>77</v>
      </c>
    </row>
  </sheetData>
  <mergeCells count="5">
    <mergeCell ref="A1:B1"/>
    <mergeCell ref="A13:B13"/>
    <mergeCell ref="A20:B20"/>
    <mergeCell ref="D1:I1"/>
    <mergeCell ref="A6:B6"/>
  </mergeCells>
  <pageMargins left="0.7" right="0.7" top="0.75" bottom="0.75" header="0.3" footer="0.3"/>
  <pageSetup orientation="portrait" r:id="rId1"/>
  <legacyDrawing r:id="rId2"/>
  <tableParts count="5">
    <tablePart r:id="rId3"/>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10597B"/>
  </sheetPr>
  <dimension ref="A1:Q84"/>
  <sheetViews>
    <sheetView topLeftCell="B1" zoomScaleNormal="100" workbookViewId="0">
      <selection activeCell="B54" activeCellId="4" sqref="B2:O2 B15 B28 B41 B54"/>
    </sheetView>
  </sheetViews>
  <sheetFormatPr defaultRowHeight="14.4" x14ac:dyDescent="0.3"/>
  <cols>
    <col min="1" max="1" width="28.109375" hidden="1" customWidth="1"/>
    <col min="2" max="2" width="14.88671875" customWidth="1"/>
    <col min="3" max="3" width="14.5546875" customWidth="1"/>
    <col min="4" max="4" width="12" customWidth="1"/>
    <col min="5" max="15" width="10.88671875" customWidth="1"/>
    <col min="17" max="17" width="12" bestFit="1" customWidth="1"/>
  </cols>
  <sheetData>
    <row r="1" spans="1:16" ht="30" customHeight="1" thickBot="1" x14ac:dyDescent="0.35">
      <c r="B1" s="176" t="s">
        <v>97</v>
      </c>
      <c r="C1" s="177"/>
      <c r="D1" s="177"/>
      <c r="E1" s="177"/>
      <c r="F1" s="177"/>
      <c r="G1" s="177"/>
      <c r="H1" s="177"/>
      <c r="I1" s="177"/>
      <c r="J1" s="177"/>
      <c r="K1" s="177"/>
      <c r="L1" s="177"/>
      <c r="M1" s="177"/>
      <c r="N1" s="177"/>
      <c r="O1" s="178"/>
    </row>
    <row r="2" spans="1:16" ht="15" customHeight="1" thickBot="1" x14ac:dyDescent="0.35">
      <c r="B2" s="179" t="s">
        <v>98</v>
      </c>
      <c r="C2" s="180"/>
      <c r="D2" s="180"/>
      <c r="E2" s="180"/>
      <c r="F2" s="180"/>
      <c r="G2" s="180"/>
      <c r="H2" s="180"/>
      <c r="I2" s="180"/>
      <c r="J2" s="180"/>
      <c r="K2" s="180"/>
      <c r="L2" s="180"/>
      <c r="M2" s="180"/>
      <c r="N2" s="180"/>
      <c r="O2" s="181"/>
    </row>
    <row r="3" spans="1:16" ht="15" customHeight="1" thickBot="1" x14ac:dyDescent="0.35">
      <c r="B3" s="172" t="s">
        <v>99</v>
      </c>
      <c r="C3" s="174"/>
      <c r="D3" s="174"/>
      <c r="E3" s="174"/>
      <c r="F3" s="174"/>
      <c r="G3" s="174"/>
      <c r="H3" s="174"/>
      <c r="I3" s="174"/>
      <c r="J3" s="174"/>
      <c r="K3" s="174"/>
      <c r="L3" s="174"/>
      <c r="M3" s="174"/>
      <c r="N3" s="174"/>
      <c r="O3" s="173"/>
    </row>
    <row r="4" spans="1:16" x14ac:dyDescent="0.3">
      <c r="B4" s="91" t="s">
        <v>100</v>
      </c>
      <c r="C4" s="92" t="s">
        <v>101</v>
      </c>
      <c r="D4" s="93" t="s">
        <v>67</v>
      </c>
      <c r="E4" s="94" t="s">
        <v>102</v>
      </c>
      <c r="F4" s="94" t="s">
        <v>103</v>
      </c>
      <c r="G4" s="94" t="s">
        <v>104</v>
      </c>
      <c r="H4" s="94" t="s">
        <v>105</v>
      </c>
      <c r="I4" s="94" t="s">
        <v>106</v>
      </c>
      <c r="J4" s="94" t="s">
        <v>107</v>
      </c>
      <c r="K4" s="94" t="s">
        <v>108</v>
      </c>
      <c r="L4" s="94" t="s">
        <v>109</v>
      </c>
      <c r="M4" s="94" t="s">
        <v>110</v>
      </c>
      <c r="N4" s="94" t="s">
        <v>111</v>
      </c>
      <c r="O4" s="95" t="s">
        <v>112</v>
      </c>
    </row>
    <row r="5" spans="1:16" x14ac:dyDescent="0.3">
      <c r="A5" t="str">
        <f>CONCATENATE(B5,C5,D5)</f>
        <v>SmallCarBaseBEV300</v>
      </c>
      <c r="B5" s="85" t="s">
        <v>73</v>
      </c>
      <c r="C5" s="86" t="s">
        <v>75</v>
      </c>
      <c r="D5" s="87" t="s">
        <v>74</v>
      </c>
      <c r="E5" s="88" t="str">
        <f>RIGHT($D5,LEN($D5)-MIN(FIND({0,1,2,3,4,5,6,7,8,9},$D5&amp;"0123456789"))+1)</f>
        <v>300</v>
      </c>
      <c r="F5" s="88" t="str">
        <f>RIGHT($D5,LEN($D5)-MIN(FIND({0,1,2,3,4,5,6,7,8,9},$D5&amp;"0123456789"))+1)</f>
        <v>300</v>
      </c>
      <c r="G5" s="88" t="str">
        <f>RIGHT($D5,LEN($D5)-MIN(FIND({0,1,2,3,4,5,6,7,8,9},$D5&amp;"0123456789"))+1)</f>
        <v>300</v>
      </c>
      <c r="H5" s="88" t="str">
        <f>RIGHT($D5,LEN($D5)-MIN(FIND({0,1,2,3,4,5,6,7,8,9},$D5&amp;"0123456789"))+1)</f>
        <v>300</v>
      </c>
      <c r="I5" s="88" t="str">
        <f>RIGHT($D5,LEN($D5)-MIN(FIND({0,1,2,3,4,5,6,7,8,9},$D5&amp;"0123456789"))+1)</f>
        <v>300</v>
      </c>
      <c r="J5" s="88" t="str">
        <f>RIGHT($D5,LEN($D5)-MIN(FIND({0,1,2,3,4,5,6,7,8,9},$D5&amp;"0123456789"))+1)</f>
        <v>300</v>
      </c>
      <c r="K5" s="88" t="str">
        <f>RIGHT($D5,LEN($D5)-MIN(FIND({0,1,2,3,4,5,6,7,8,9},$D5&amp;"0123456789"))+1)</f>
        <v>300</v>
      </c>
      <c r="L5" s="88" t="str">
        <f>RIGHT($D5,LEN($D5)-MIN(FIND({0,1,2,3,4,5,6,7,8,9},$D5&amp;"0123456789"))+1)</f>
        <v>300</v>
      </c>
      <c r="M5" s="88" t="str">
        <f>RIGHT($D5,LEN($D5)-MIN(FIND({0,1,2,3,4,5,6,7,8,9},$D5&amp;"0123456789"))+1)</f>
        <v>300</v>
      </c>
      <c r="N5" s="88" t="str">
        <f>RIGHT($D5,LEN($D5)-MIN(FIND({0,1,2,3,4,5,6,7,8,9},$D5&amp;"0123456789"))+1)</f>
        <v>300</v>
      </c>
      <c r="O5" s="89" t="str">
        <f>RIGHT($D5,LEN($D5)-MIN(FIND({0,1,2,3,4,5,6,7,8,9},$D5&amp;"0123456789"))+1)</f>
        <v>300</v>
      </c>
    </row>
    <row r="6" spans="1:16" x14ac:dyDescent="0.3">
      <c r="A6" t="str">
        <f t="shared" ref="A6:A14" si="0">CONCATENATE(B6,C6,D6)</f>
        <v>SmallCarPremiumBEV400</v>
      </c>
      <c r="B6" s="90" t="s">
        <v>73</v>
      </c>
      <c r="C6" s="45" t="s">
        <v>80</v>
      </c>
      <c r="D6" s="87" t="s">
        <v>79</v>
      </c>
      <c r="E6" s="88" t="str">
        <f>RIGHT($D6,LEN($D6)-MIN(FIND({0,1,2,3,4,5,6,7,8,9},$D6&amp;"0123456789"))+1)</f>
        <v>400</v>
      </c>
      <c r="F6" s="88" t="str">
        <f>RIGHT($D6,LEN($D6)-MIN(FIND({0,1,2,3,4,5,6,7,8,9},$D6&amp;"0123456789"))+1)</f>
        <v>400</v>
      </c>
      <c r="G6" s="88" t="str">
        <f>RIGHT($D6,LEN($D6)-MIN(FIND({0,1,2,3,4,5,6,7,8,9},$D6&amp;"0123456789"))+1)</f>
        <v>400</v>
      </c>
      <c r="H6" s="88" t="str">
        <f>RIGHT($D6,LEN($D6)-MIN(FIND({0,1,2,3,4,5,6,7,8,9},$D6&amp;"0123456789"))+1)</f>
        <v>400</v>
      </c>
      <c r="I6" s="88" t="str">
        <f>RIGHT($D6,LEN($D6)-MIN(FIND({0,1,2,3,4,5,6,7,8,9},$D6&amp;"0123456789"))+1)</f>
        <v>400</v>
      </c>
      <c r="J6" s="88" t="str">
        <f>RIGHT($D6,LEN($D6)-MIN(FIND({0,1,2,3,4,5,6,7,8,9},$D6&amp;"0123456789"))+1)</f>
        <v>400</v>
      </c>
      <c r="K6" s="88" t="str">
        <f>RIGHT($D6,LEN($D6)-MIN(FIND({0,1,2,3,4,5,6,7,8,9},$D6&amp;"0123456789"))+1)</f>
        <v>400</v>
      </c>
      <c r="L6" s="88" t="str">
        <f>RIGHT($D6,LEN($D6)-MIN(FIND({0,1,2,3,4,5,6,7,8,9},$D6&amp;"0123456789"))+1)</f>
        <v>400</v>
      </c>
      <c r="M6" s="88" t="str">
        <f>RIGHT($D6,LEN($D6)-MIN(FIND({0,1,2,3,4,5,6,7,8,9},$D6&amp;"0123456789"))+1)</f>
        <v>400</v>
      </c>
      <c r="N6" s="88" t="str">
        <f>RIGHT($D6,LEN($D6)-MIN(FIND({0,1,2,3,4,5,6,7,8,9},$D6&amp;"0123456789"))+1)</f>
        <v>400</v>
      </c>
      <c r="O6" s="89" t="str">
        <f>RIGHT($D6,LEN($D6)-MIN(FIND({0,1,2,3,4,5,6,7,8,9},$D6&amp;"0123456789"))+1)</f>
        <v>400</v>
      </c>
    </row>
    <row r="7" spans="1:16" x14ac:dyDescent="0.3">
      <c r="A7" t="str">
        <f t="shared" si="0"/>
        <v>MedCarBaseBEV300</v>
      </c>
      <c r="B7" s="90" t="s">
        <v>82</v>
      </c>
      <c r="C7" s="45" t="s">
        <v>75</v>
      </c>
      <c r="D7" s="87" t="s">
        <v>74</v>
      </c>
      <c r="E7" s="88" t="str">
        <f>RIGHT($D7,LEN($D7)-MIN(FIND({0,1,2,3,4,5,6,7,8,9},$D7&amp;"0123456789"))+1)</f>
        <v>300</v>
      </c>
      <c r="F7" s="88" t="str">
        <f>RIGHT($D7,LEN($D7)-MIN(FIND({0,1,2,3,4,5,6,7,8,9},$D7&amp;"0123456789"))+1)</f>
        <v>300</v>
      </c>
      <c r="G7" s="88" t="str">
        <f>RIGHT($D7,LEN($D7)-MIN(FIND({0,1,2,3,4,5,6,7,8,9},$D7&amp;"0123456789"))+1)</f>
        <v>300</v>
      </c>
      <c r="H7" s="88" t="str">
        <f>RIGHT($D7,LEN($D7)-MIN(FIND({0,1,2,3,4,5,6,7,8,9},$D7&amp;"0123456789"))+1)</f>
        <v>300</v>
      </c>
      <c r="I7" s="88" t="str">
        <f>RIGHT($D7,LEN($D7)-MIN(FIND({0,1,2,3,4,5,6,7,8,9},$D7&amp;"0123456789"))+1)</f>
        <v>300</v>
      </c>
      <c r="J7" s="88" t="str">
        <f>RIGHT($D7,LEN($D7)-MIN(FIND({0,1,2,3,4,5,6,7,8,9},$D7&amp;"0123456789"))+1)</f>
        <v>300</v>
      </c>
      <c r="K7" s="88" t="str">
        <f>RIGHT($D7,LEN($D7)-MIN(FIND({0,1,2,3,4,5,6,7,8,9},$D7&amp;"0123456789"))+1)</f>
        <v>300</v>
      </c>
      <c r="L7" s="88" t="str">
        <f>RIGHT($D7,LEN($D7)-MIN(FIND({0,1,2,3,4,5,6,7,8,9},$D7&amp;"0123456789"))+1)</f>
        <v>300</v>
      </c>
      <c r="M7" s="88" t="str">
        <f>RIGHT($D7,LEN($D7)-MIN(FIND({0,1,2,3,4,5,6,7,8,9},$D7&amp;"0123456789"))+1)</f>
        <v>300</v>
      </c>
      <c r="N7" s="88" t="str">
        <f>RIGHT($D7,LEN($D7)-MIN(FIND({0,1,2,3,4,5,6,7,8,9},$D7&amp;"0123456789"))+1)</f>
        <v>300</v>
      </c>
      <c r="O7" s="89" t="str">
        <f>RIGHT($D7,LEN($D7)-MIN(FIND({0,1,2,3,4,5,6,7,8,9},$D7&amp;"0123456789"))+1)</f>
        <v>300</v>
      </c>
    </row>
    <row r="8" spans="1:16" x14ac:dyDescent="0.3">
      <c r="A8" t="str">
        <f t="shared" si="0"/>
        <v>MedCarPremiumBEV400</v>
      </c>
      <c r="B8" s="90" t="s">
        <v>82</v>
      </c>
      <c r="C8" s="45" t="s">
        <v>80</v>
      </c>
      <c r="D8" s="87" t="s">
        <v>79</v>
      </c>
      <c r="E8" s="88" t="str">
        <f>RIGHT($D8,LEN($D8)-MIN(FIND({0,1,2,3,4,5,6,7,8,9},$D8&amp;"0123456789"))+1)</f>
        <v>400</v>
      </c>
      <c r="F8" s="88" t="str">
        <f>RIGHT($D8,LEN($D8)-MIN(FIND({0,1,2,3,4,5,6,7,8,9},$D8&amp;"0123456789"))+1)</f>
        <v>400</v>
      </c>
      <c r="G8" s="88" t="str">
        <f>RIGHT($D8,LEN($D8)-MIN(FIND({0,1,2,3,4,5,6,7,8,9},$D8&amp;"0123456789"))+1)</f>
        <v>400</v>
      </c>
      <c r="H8" s="88" t="str">
        <f>RIGHT($D8,LEN($D8)-MIN(FIND({0,1,2,3,4,5,6,7,8,9},$D8&amp;"0123456789"))+1)</f>
        <v>400</v>
      </c>
      <c r="I8" s="88" t="str">
        <f>RIGHT($D8,LEN($D8)-MIN(FIND({0,1,2,3,4,5,6,7,8,9},$D8&amp;"0123456789"))+1)</f>
        <v>400</v>
      </c>
      <c r="J8" s="88" t="str">
        <f>RIGHT($D8,LEN($D8)-MIN(FIND({0,1,2,3,4,5,6,7,8,9},$D8&amp;"0123456789"))+1)</f>
        <v>400</v>
      </c>
      <c r="K8" s="88" t="str">
        <f>RIGHT($D8,LEN($D8)-MIN(FIND({0,1,2,3,4,5,6,7,8,9},$D8&amp;"0123456789"))+1)</f>
        <v>400</v>
      </c>
      <c r="L8" s="88" t="str">
        <f>RIGHT($D8,LEN($D8)-MIN(FIND({0,1,2,3,4,5,6,7,8,9},$D8&amp;"0123456789"))+1)</f>
        <v>400</v>
      </c>
      <c r="M8" s="88" t="str">
        <f>RIGHT($D8,LEN($D8)-MIN(FIND({0,1,2,3,4,5,6,7,8,9},$D8&amp;"0123456789"))+1)</f>
        <v>400</v>
      </c>
      <c r="N8" s="88" t="str">
        <f>RIGHT($D8,LEN($D8)-MIN(FIND({0,1,2,3,4,5,6,7,8,9},$D8&amp;"0123456789"))+1)</f>
        <v>400</v>
      </c>
      <c r="O8" s="89" t="str">
        <f>RIGHT($D8,LEN($D8)-MIN(FIND({0,1,2,3,4,5,6,7,8,9},$D8&amp;"0123456789"))+1)</f>
        <v>400</v>
      </c>
    </row>
    <row r="9" spans="1:16" x14ac:dyDescent="0.3">
      <c r="A9" t="str">
        <f t="shared" si="0"/>
        <v>SmallSUVBaseBEV300</v>
      </c>
      <c r="B9" s="90" t="s">
        <v>83</v>
      </c>
      <c r="C9" s="45" t="s">
        <v>75</v>
      </c>
      <c r="D9" s="87" t="s">
        <v>74</v>
      </c>
      <c r="E9" s="88" t="str">
        <f>RIGHT($D9,LEN($D9)-MIN(FIND({0,1,2,3,4,5,6,7,8,9},$D9&amp;"0123456789"))+1)</f>
        <v>300</v>
      </c>
      <c r="F9" s="88" t="str">
        <f>RIGHT($D9,LEN($D9)-MIN(FIND({0,1,2,3,4,5,6,7,8,9},$D9&amp;"0123456789"))+1)</f>
        <v>300</v>
      </c>
      <c r="G9" s="88" t="str">
        <f>RIGHT($D9,LEN($D9)-MIN(FIND({0,1,2,3,4,5,6,7,8,9},$D9&amp;"0123456789"))+1)</f>
        <v>300</v>
      </c>
      <c r="H9" s="88" t="str">
        <f>RIGHT($D9,LEN($D9)-MIN(FIND({0,1,2,3,4,5,6,7,8,9},$D9&amp;"0123456789"))+1)</f>
        <v>300</v>
      </c>
      <c r="I9" s="88" t="str">
        <f>RIGHT($D9,LEN($D9)-MIN(FIND({0,1,2,3,4,5,6,7,8,9},$D9&amp;"0123456789"))+1)</f>
        <v>300</v>
      </c>
      <c r="J9" s="88" t="str">
        <f>RIGHT($D9,LEN($D9)-MIN(FIND({0,1,2,3,4,5,6,7,8,9},$D9&amp;"0123456789"))+1)</f>
        <v>300</v>
      </c>
      <c r="K9" s="88" t="str">
        <f>RIGHT($D9,LEN($D9)-MIN(FIND({0,1,2,3,4,5,6,7,8,9},$D9&amp;"0123456789"))+1)</f>
        <v>300</v>
      </c>
      <c r="L9" s="88" t="str">
        <f>RIGHT($D9,LEN($D9)-MIN(FIND({0,1,2,3,4,5,6,7,8,9},$D9&amp;"0123456789"))+1)</f>
        <v>300</v>
      </c>
      <c r="M9" s="88" t="str">
        <f>RIGHT($D9,LEN($D9)-MIN(FIND({0,1,2,3,4,5,6,7,8,9},$D9&amp;"0123456789"))+1)</f>
        <v>300</v>
      </c>
      <c r="N9" s="88" t="str">
        <f>RIGHT($D9,LEN($D9)-MIN(FIND({0,1,2,3,4,5,6,7,8,9},$D9&amp;"0123456789"))+1)</f>
        <v>300</v>
      </c>
      <c r="O9" s="89" t="str">
        <f>RIGHT($D9,LEN($D9)-MIN(FIND({0,1,2,3,4,5,6,7,8,9},$D9&amp;"0123456789"))+1)</f>
        <v>300</v>
      </c>
    </row>
    <row r="10" spans="1:16" x14ac:dyDescent="0.3">
      <c r="A10" t="str">
        <f t="shared" si="0"/>
        <v>SmallSUVPremiumBEV400</v>
      </c>
      <c r="B10" s="90" t="s">
        <v>83</v>
      </c>
      <c r="C10" s="45" t="s">
        <v>80</v>
      </c>
      <c r="D10" s="87" t="s">
        <v>79</v>
      </c>
      <c r="E10" s="88" t="str">
        <f>RIGHT($D10,LEN($D10)-MIN(FIND({0,1,2,3,4,5,6,7,8,9},$D10&amp;"0123456789"))+1)</f>
        <v>400</v>
      </c>
      <c r="F10" s="88" t="str">
        <f>RIGHT($D10,LEN($D10)-MIN(FIND({0,1,2,3,4,5,6,7,8,9},$D10&amp;"0123456789"))+1)</f>
        <v>400</v>
      </c>
      <c r="G10" s="88" t="str">
        <f>RIGHT($D10,LEN($D10)-MIN(FIND({0,1,2,3,4,5,6,7,8,9},$D10&amp;"0123456789"))+1)</f>
        <v>400</v>
      </c>
      <c r="H10" s="88" t="str">
        <f>RIGHT($D10,LEN($D10)-MIN(FIND({0,1,2,3,4,5,6,7,8,9},$D10&amp;"0123456789"))+1)</f>
        <v>400</v>
      </c>
      <c r="I10" s="88" t="str">
        <f>RIGHT($D10,LEN($D10)-MIN(FIND({0,1,2,3,4,5,6,7,8,9},$D10&amp;"0123456789"))+1)</f>
        <v>400</v>
      </c>
      <c r="J10" s="88" t="str">
        <f>RIGHT($D10,LEN($D10)-MIN(FIND({0,1,2,3,4,5,6,7,8,9},$D10&amp;"0123456789"))+1)</f>
        <v>400</v>
      </c>
      <c r="K10" s="88" t="str">
        <f>RIGHT($D10,LEN($D10)-MIN(FIND({0,1,2,3,4,5,6,7,8,9},$D10&amp;"0123456789"))+1)</f>
        <v>400</v>
      </c>
      <c r="L10" s="88" t="str">
        <f>RIGHT($D10,LEN($D10)-MIN(FIND({0,1,2,3,4,5,6,7,8,9},$D10&amp;"0123456789"))+1)</f>
        <v>400</v>
      </c>
      <c r="M10" s="88" t="str">
        <f>RIGHT($D10,LEN($D10)-MIN(FIND({0,1,2,3,4,5,6,7,8,9},$D10&amp;"0123456789"))+1)</f>
        <v>400</v>
      </c>
      <c r="N10" s="88" t="str">
        <f>RIGHT($D10,LEN($D10)-MIN(FIND({0,1,2,3,4,5,6,7,8,9},$D10&amp;"0123456789"))+1)</f>
        <v>400</v>
      </c>
      <c r="O10" s="89" t="str">
        <f>RIGHT($D10,LEN($D10)-MIN(FIND({0,1,2,3,4,5,6,7,8,9},$D10&amp;"0123456789"))+1)</f>
        <v>400</v>
      </c>
    </row>
    <row r="11" spans="1:16" x14ac:dyDescent="0.3">
      <c r="A11" t="str">
        <f t="shared" si="0"/>
        <v>MedSUVBaseBEV300</v>
      </c>
      <c r="B11" s="90" t="s">
        <v>86</v>
      </c>
      <c r="C11" s="45" t="s">
        <v>75</v>
      </c>
      <c r="D11" s="87" t="s">
        <v>74</v>
      </c>
      <c r="E11" s="88" t="str">
        <f>RIGHT($D11,LEN($D11)-MIN(FIND({0,1,2,3,4,5,6,7,8,9},$D11&amp;"0123456789"))+1)</f>
        <v>300</v>
      </c>
      <c r="F11" s="88" t="str">
        <f>RIGHT($D11,LEN($D11)-MIN(FIND({0,1,2,3,4,5,6,7,8,9},$D11&amp;"0123456789"))+1)</f>
        <v>300</v>
      </c>
      <c r="G11" s="88" t="str">
        <f>RIGHT($D11,LEN($D11)-MIN(FIND({0,1,2,3,4,5,6,7,8,9},$D11&amp;"0123456789"))+1)</f>
        <v>300</v>
      </c>
      <c r="H11" s="88" t="str">
        <f>RIGHT($D11,LEN($D11)-MIN(FIND({0,1,2,3,4,5,6,7,8,9},$D11&amp;"0123456789"))+1)</f>
        <v>300</v>
      </c>
      <c r="I11" s="88" t="str">
        <f>RIGHT($D11,LEN($D11)-MIN(FIND({0,1,2,3,4,5,6,7,8,9},$D11&amp;"0123456789"))+1)</f>
        <v>300</v>
      </c>
      <c r="J11" s="88" t="str">
        <f>RIGHT($D11,LEN($D11)-MIN(FIND({0,1,2,3,4,5,6,7,8,9},$D11&amp;"0123456789"))+1)</f>
        <v>300</v>
      </c>
      <c r="K11" s="88" t="str">
        <f>RIGHT($D11,LEN($D11)-MIN(FIND({0,1,2,3,4,5,6,7,8,9},$D11&amp;"0123456789"))+1)</f>
        <v>300</v>
      </c>
      <c r="L11" s="88" t="str">
        <f>RIGHT($D11,LEN($D11)-MIN(FIND({0,1,2,3,4,5,6,7,8,9},$D11&amp;"0123456789"))+1)</f>
        <v>300</v>
      </c>
      <c r="M11" s="88" t="str">
        <f>RIGHT($D11,LEN($D11)-MIN(FIND({0,1,2,3,4,5,6,7,8,9},$D11&amp;"0123456789"))+1)</f>
        <v>300</v>
      </c>
      <c r="N11" s="88" t="str">
        <f>RIGHT($D11,LEN($D11)-MIN(FIND({0,1,2,3,4,5,6,7,8,9},$D11&amp;"0123456789"))+1)</f>
        <v>300</v>
      </c>
      <c r="O11" s="89" t="str">
        <f>RIGHT($D11,LEN($D11)-MIN(FIND({0,1,2,3,4,5,6,7,8,9},$D11&amp;"0123456789"))+1)</f>
        <v>300</v>
      </c>
    </row>
    <row r="12" spans="1:16" x14ac:dyDescent="0.3">
      <c r="A12" t="str">
        <f t="shared" si="0"/>
        <v>MedSUVPremiumBEV400</v>
      </c>
      <c r="B12" s="90" t="s">
        <v>86</v>
      </c>
      <c r="C12" s="45" t="s">
        <v>80</v>
      </c>
      <c r="D12" s="87" t="s">
        <v>79</v>
      </c>
      <c r="E12" s="88" t="str">
        <f>RIGHT($D12,LEN($D12)-MIN(FIND({0,1,2,3,4,5,6,7,8,9},$D12&amp;"0123456789"))+1)</f>
        <v>400</v>
      </c>
      <c r="F12" s="88" t="str">
        <f>RIGHT($D12,LEN($D12)-MIN(FIND({0,1,2,3,4,5,6,7,8,9},$D12&amp;"0123456789"))+1)</f>
        <v>400</v>
      </c>
      <c r="G12" s="88" t="str">
        <f>RIGHT($D12,LEN($D12)-MIN(FIND({0,1,2,3,4,5,6,7,8,9},$D12&amp;"0123456789"))+1)</f>
        <v>400</v>
      </c>
      <c r="H12" s="88" t="str">
        <f>RIGHT($D12,LEN($D12)-MIN(FIND({0,1,2,3,4,5,6,7,8,9},$D12&amp;"0123456789"))+1)</f>
        <v>400</v>
      </c>
      <c r="I12" s="88" t="str">
        <f>RIGHT($D12,LEN($D12)-MIN(FIND({0,1,2,3,4,5,6,7,8,9},$D12&amp;"0123456789"))+1)</f>
        <v>400</v>
      </c>
      <c r="J12" s="88" t="str">
        <f>RIGHT($D12,LEN($D12)-MIN(FIND({0,1,2,3,4,5,6,7,8,9},$D12&amp;"0123456789"))+1)</f>
        <v>400</v>
      </c>
      <c r="K12" s="88" t="str">
        <f>RIGHT($D12,LEN($D12)-MIN(FIND({0,1,2,3,4,5,6,7,8,9},$D12&amp;"0123456789"))+1)</f>
        <v>400</v>
      </c>
      <c r="L12" s="88" t="str">
        <f>RIGHT($D12,LEN($D12)-MIN(FIND({0,1,2,3,4,5,6,7,8,9},$D12&amp;"0123456789"))+1)</f>
        <v>400</v>
      </c>
      <c r="M12" s="88" t="str">
        <f>RIGHT($D12,LEN($D12)-MIN(FIND({0,1,2,3,4,5,6,7,8,9},$D12&amp;"0123456789"))+1)</f>
        <v>400</v>
      </c>
      <c r="N12" s="88" t="str">
        <f>RIGHT($D12,LEN($D12)-MIN(FIND({0,1,2,3,4,5,6,7,8,9},$D12&amp;"0123456789"))+1)</f>
        <v>400</v>
      </c>
      <c r="O12" s="89" t="str">
        <f>RIGHT($D12,LEN($D12)-MIN(FIND({0,1,2,3,4,5,6,7,8,9},$D12&amp;"0123456789"))+1)</f>
        <v>400</v>
      </c>
    </row>
    <row r="13" spans="1:16" x14ac:dyDescent="0.3">
      <c r="A13" t="str">
        <f t="shared" si="0"/>
        <v>PickupBaseBEV300</v>
      </c>
      <c r="B13" s="90" t="s">
        <v>89</v>
      </c>
      <c r="C13" s="45" t="s">
        <v>75</v>
      </c>
      <c r="D13" s="87" t="s">
        <v>74</v>
      </c>
      <c r="E13" s="88" t="str">
        <f>RIGHT($D13,LEN($D13)-MIN(FIND({0,1,2,3,4,5,6,7,8,9},$D13&amp;"0123456789"))+1)</f>
        <v>300</v>
      </c>
      <c r="F13" s="88" t="str">
        <f>RIGHT($D13,LEN($D13)-MIN(FIND({0,1,2,3,4,5,6,7,8,9},$D13&amp;"0123456789"))+1)</f>
        <v>300</v>
      </c>
      <c r="G13" s="88" t="str">
        <f>RIGHT($D13,LEN($D13)-MIN(FIND({0,1,2,3,4,5,6,7,8,9},$D13&amp;"0123456789"))+1)</f>
        <v>300</v>
      </c>
      <c r="H13" s="88" t="str">
        <f>RIGHT($D13,LEN($D13)-MIN(FIND({0,1,2,3,4,5,6,7,8,9},$D13&amp;"0123456789"))+1)</f>
        <v>300</v>
      </c>
      <c r="I13" s="88" t="str">
        <f>RIGHT($D13,LEN($D13)-MIN(FIND({0,1,2,3,4,5,6,7,8,9},$D13&amp;"0123456789"))+1)</f>
        <v>300</v>
      </c>
      <c r="J13" s="88" t="str">
        <f>RIGHT($D13,LEN($D13)-MIN(FIND({0,1,2,3,4,5,6,7,8,9},$D13&amp;"0123456789"))+1)</f>
        <v>300</v>
      </c>
      <c r="K13" s="88" t="str">
        <f>RIGHT($D13,LEN($D13)-MIN(FIND({0,1,2,3,4,5,6,7,8,9},$D13&amp;"0123456789"))+1)</f>
        <v>300</v>
      </c>
      <c r="L13" s="88" t="str">
        <f>RIGHT($D13,LEN($D13)-MIN(FIND({0,1,2,3,4,5,6,7,8,9},$D13&amp;"0123456789"))+1)</f>
        <v>300</v>
      </c>
      <c r="M13" s="88" t="str">
        <f>RIGHT($D13,LEN($D13)-MIN(FIND({0,1,2,3,4,5,6,7,8,9},$D13&amp;"0123456789"))+1)</f>
        <v>300</v>
      </c>
      <c r="N13" s="88" t="str">
        <f>RIGHT($D13,LEN($D13)-MIN(FIND({0,1,2,3,4,5,6,7,8,9},$D13&amp;"0123456789"))+1)</f>
        <v>300</v>
      </c>
      <c r="O13" s="89" t="str">
        <f>RIGHT($D13,LEN($D13)-MIN(FIND({0,1,2,3,4,5,6,7,8,9},$D13&amp;"0123456789"))+1)</f>
        <v>300</v>
      </c>
    </row>
    <row r="14" spans="1:16" ht="15" thickBot="1" x14ac:dyDescent="0.35">
      <c r="A14" t="str">
        <f t="shared" si="0"/>
        <v>PickupHTBEV400</v>
      </c>
      <c r="B14" s="90" t="s">
        <v>89</v>
      </c>
      <c r="C14" s="45" t="s">
        <v>113</v>
      </c>
      <c r="D14" s="87" t="s">
        <v>79</v>
      </c>
      <c r="E14" s="88" t="str">
        <f>RIGHT($D14,LEN($D14)-MIN(FIND({0,1,2,3,4,5,6,7,8,9},$D14&amp;"0123456789"))+1)</f>
        <v>400</v>
      </c>
      <c r="F14" s="88" t="str">
        <f>RIGHT($D14,LEN($D14)-MIN(FIND({0,1,2,3,4,5,6,7,8,9},$D14&amp;"0123456789"))+1)</f>
        <v>400</v>
      </c>
      <c r="G14" s="88" t="str">
        <f>RIGHT($D14,LEN($D14)-MIN(FIND({0,1,2,3,4,5,6,7,8,9},$D14&amp;"0123456789"))+1)</f>
        <v>400</v>
      </c>
      <c r="H14" s="88" t="str">
        <f>RIGHT($D14,LEN($D14)-MIN(FIND({0,1,2,3,4,5,6,7,8,9},$D14&amp;"0123456789"))+1)</f>
        <v>400</v>
      </c>
      <c r="I14" s="88" t="str">
        <f>RIGHT($D14,LEN($D14)-MIN(FIND({0,1,2,3,4,5,6,7,8,9},$D14&amp;"0123456789"))+1)</f>
        <v>400</v>
      </c>
      <c r="J14" s="88" t="str">
        <f>RIGHT($D14,LEN($D14)-MIN(FIND({0,1,2,3,4,5,6,7,8,9},$D14&amp;"0123456789"))+1)</f>
        <v>400</v>
      </c>
      <c r="K14" s="88" t="str">
        <f>RIGHT($D14,LEN($D14)-MIN(FIND({0,1,2,3,4,5,6,7,8,9},$D14&amp;"0123456789"))+1)</f>
        <v>400</v>
      </c>
      <c r="L14" s="88" t="str">
        <f>RIGHT($D14,LEN($D14)-MIN(FIND({0,1,2,3,4,5,6,7,8,9},$D14&amp;"0123456789"))+1)</f>
        <v>400</v>
      </c>
      <c r="M14" s="88" t="str">
        <f>RIGHT($D14,LEN($D14)-MIN(FIND({0,1,2,3,4,5,6,7,8,9},$D14&amp;"0123456789"))+1)</f>
        <v>400</v>
      </c>
      <c r="N14" s="88" t="str">
        <f>RIGHT($D14,LEN($D14)-MIN(FIND({0,1,2,3,4,5,6,7,8,9},$D14&amp;"0123456789"))+1)</f>
        <v>400</v>
      </c>
      <c r="O14" s="89" t="str">
        <f>RIGHT($D14,LEN($D14)-MIN(FIND({0,1,2,3,4,5,6,7,8,9},$D14&amp;"0123456789"))+1)</f>
        <v>400</v>
      </c>
    </row>
    <row r="15" spans="1:16" ht="16.2" thickBot="1" x14ac:dyDescent="0.35">
      <c r="B15" s="179" t="s">
        <v>98</v>
      </c>
      <c r="C15" s="180"/>
      <c r="D15" s="180"/>
      <c r="E15" s="180"/>
      <c r="F15" s="180"/>
      <c r="G15" s="180"/>
      <c r="H15" s="180"/>
      <c r="I15" s="180"/>
      <c r="J15" s="180"/>
      <c r="K15" s="180"/>
      <c r="L15" s="180"/>
      <c r="M15" s="180"/>
      <c r="N15" s="180"/>
      <c r="O15" s="181"/>
    </row>
    <row r="16" spans="1:16" x14ac:dyDescent="0.3">
      <c r="B16" s="170" t="s">
        <v>114</v>
      </c>
      <c r="C16" s="175"/>
      <c r="D16" s="175"/>
      <c r="E16" s="175"/>
      <c r="F16" s="175"/>
      <c r="G16" s="175"/>
      <c r="H16" s="175"/>
      <c r="I16" s="175"/>
      <c r="J16" s="175"/>
      <c r="K16" s="175"/>
      <c r="L16" s="175"/>
      <c r="M16" s="175"/>
      <c r="N16" s="175"/>
      <c r="O16" s="171"/>
      <c r="P16" s="12"/>
    </row>
    <row r="17" spans="1:16" x14ac:dyDescent="0.3">
      <c r="B17" s="91" t="s">
        <v>100</v>
      </c>
      <c r="C17" s="92" t="s">
        <v>101</v>
      </c>
      <c r="D17" s="93" t="s">
        <v>67</v>
      </c>
      <c r="E17" s="94" t="s">
        <v>102</v>
      </c>
      <c r="F17" s="94" t="s">
        <v>103</v>
      </c>
      <c r="G17" s="94" t="s">
        <v>104</v>
      </c>
      <c r="H17" s="94" t="s">
        <v>105</v>
      </c>
      <c r="I17" s="94" t="s">
        <v>106</v>
      </c>
      <c r="J17" s="94" t="s">
        <v>107</v>
      </c>
      <c r="K17" s="94" t="s">
        <v>108</v>
      </c>
      <c r="L17" s="94" t="s">
        <v>109</v>
      </c>
      <c r="M17" s="94" t="s">
        <v>110</v>
      </c>
      <c r="N17" s="94" t="s">
        <v>111</v>
      </c>
      <c r="O17" s="95" t="s">
        <v>112</v>
      </c>
      <c r="P17" s="11"/>
    </row>
    <row r="18" spans="1:16" x14ac:dyDescent="0.3">
      <c r="A18" t="str">
        <f>CONCATENATE(B18,C18,D18)</f>
        <v>SmallCarBaseBEV300</v>
      </c>
      <c r="B18" s="85" t="s">
        <v>73</v>
      </c>
      <c r="C18" s="86" t="s">
        <v>75</v>
      </c>
      <c r="D18" s="87" t="s">
        <v>74</v>
      </c>
      <c r="E18" s="88">
        <v>230</v>
      </c>
      <c r="F18" s="88">
        <f t="shared" ref="F18:O18" si="1">E18*(1-BEV_Annual_Efficiency_Improvement)</f>
        <v>228.85</v>
      </c>
      <c r="G18" s="88">
        <f t="shared" si="1"/>
        <v>227.70574999999999</v>
      </c>
      <c r="H18" s="88">
        <f t="shared" si="1"/>
        <v>226.56722124999999</v>
      </c>
      <c r="I18" s="88">
        <f t="shared" si="1"/>
        <v>225.43438514374998</v>
      </c>
      <c r="J18" s="88">
        <f t="shared" si="1"/>
        <v>224.30721321803122</v>
      </c>
      <c r="K18" s="88">
        <f t="shared" si="1"/>
        <v>223.18567715194106</v>
      </c>
      <c r="L18" s="88">
        <f t="shared" si="1"/>
        <v>222.06974876618136</v>
      </c>
      <c r="M18" s="88">
        <f t="shared" si="1"/>
        <v>220.95940002235045</v>
      </c>
      <c r="N18" s="88">
        <f t="shared" si="1"/>
        <v>219.85460302223871</v>
      </c>
      <c r="O18" s="89">
        <f t="shared" si="1"/>
        <v>218.7553300071275</v>
      </c>
      <c r="P18" s="11"/>
    </row>
    <row r="19" spans="1:16" x14ac:dyDescent="0.3">
      <c r="A19" t="str">
        <f t="shared" ref="A19:A27" si="2">CONCATENATE(B19,C19,D19)</f>
        <v>SmallCarPremiumBEV400</v>
      </c>
      <c r="B19" s="90" t="s">
        <v>73</v>
      </c>
      <c r="C19" s="45" t="s">
        <v>80</v>
      </c>
      <c r="D19" s="87" t="s">
        <v>79</v>
      </c>
      <c r="E19" s="88">
        <v>235</v>
      </c>
      <c r="F19" s="88">
        <f t="shared" ref="F19:O19" si="3">E19*(1-BEV_Annual_Efficiency_Improvement)</f>
        <v>233.82499999999999</v>
      </c>
      <c r="G19" s="88">
        <f t="shared" si="3"/>
        <v>232.65587499999998</v>
      </c>
      <c r="H19" s="88">
        <f t="shared" si="3"/>
        <v>231.49259562499998</v>
      </c>
      <c r="I19" s="88">
        <f t="shared" si="3"/>
        <v>230.33513264687497</v>
      </c>
      <c r="J19" s="88">
        <f t="shared" si="3"/>
        <v>229.18345698364058</v>
      </c>
      <c r="K19" s="88">
        <f t="shared" si="3"/>
        <v>228.03753969872238</v>
      </c>
      <c r="L19" s="88">
        <f t="shared" si="3"/>
        <v>226.89735200022878</v>
      </c>
      <c r="M19" s="88">
        <f t="shared" si="3"/>
        <v>225.76286524022763</v>
      </c>
      <c r="N19" s="88">
        <f t="shared" si="3"/>
        <v>224.63405091402649</v>
      </c>
      <c r="O19" s="89">
        <f t="shared" si="3"/>
        <v>223.51088065945635</v>
      </c>
      <c r="P19" s="11"/>
    </row>
    <row r="20" spans="1:16" x14ac:dyDescent="0.3">
      <c r="A20" t="str">
        <f t="shared" si="2"/>
        <v>MedCarBaseBEV300</v>
      </c>
      <c r="B20" s="90" t="s">
        <v>82</v>
      </c>
      <c r="C20" s="45" t="s">
        <v>75</v>
      </c>
      <c r="D20" s="87" t="s">
        <v>74</v>
      </c>
      <c r="E20" s="88">
        <v>240</v>
      </c>
      <c r="F20" s="88">
        <f t="shared" ref="F20:O20" si="4">E20*(1-BEV_Annual_Efficiency_Improvement)</f>
        <v>238.8</v>
      </c>
      <c r="G20" s="88">
        <f t="shared" si="4"/>
        <v>237.60600000000002</v>
      </c>
      <c r="H20" s="88">
        <f t="shared" si="4"/>
        <v>236.41797000000003</v>
      </c>
      <c r="I20" s="88">
        <f t="shared" si="4"/>
        <v>235.23588015000001</v>
      </c>
      <c r="J20" s="88">
        <f t="shared" si="4"/>
        <v>234.05970074925003</v>
      </c>
      <c r="K20" s="88">
        <f t="shared" si="4"/>
        <v>232.88940224550379</v>
      </c>
      <c r="L20" s="88">
        <f t="shared" si="4"/>
        <v>231.72495523427628</v>
      </c>
      <c r="M20" s="88">
        <f t="shared" si="4"/>
        <v>230.56633045810489</v>
      </c>
      <c r="N20" s="88">
        <f t="shared" si="4"/>
        <v>229.41349880581436</v>
      </c>
      <c r="O20" s="89">
        <f t="shared" si="4"/>
        <v>228.26643131178528</v>
      </c>
      <c r="P20" s="11"/>
    </row>
    <row r="21" spans="1:16" x14ac:dyDescent="0.3">
      <c r="A21" t="str">
        <f t="shared" si="2"/>
        <v>MedCarPremiumBEV400</v>
      </c>
      <c r="B21" s="90" t="s">
        <v>82</v>
      </c>
      <c r="C21" s="45" t="s">
        <v>80</v>
      </c>
      <c r="D21" s="87" t="s">
        <v>79</v>
      </c>
      <c r="E21" s="88">
        <v>252</v>
      </c>
      <c r="F21" s="88">
        <f t="shared" ref="F21:O21" si="5">E21*(1-BEV_Annual_Efficiency_Improvement)</f>
        <v>250.74</v>
      </c>
      <c r="G21" s="88">
        <f t="shared" si="5"/>
        <v>249.4863</v>
      </c>
      <c r="H21" s="88">
        <f t="shared" si="5"/>
        <v>248.2388685</v>
      </c>
      <c r="I21" s="88">
        <f t="shared" si="5"/>
        <v>246.9976741575</v>
      </c>
      <c r="J21" s="88">
        <f t="shared" si="5"/>
        <v>245.7626857867125</v>
      </c>
      <c r="K21" s="88">
        <f t="shared" si="5"/>
        <v>244.53387235777893</v>
      </c>
      <c r="L21" s="88">
        <f t="shared" si="5"/>
        <v>243.31120299599004</v>
      </c>
      <c r="M21" s="88">
        <f t="shared" si="5"/>
        <v>242.0946469810101</v>
      </c>
      <c r="N21" s="88">
        <f t="shared" si="5"/>
        <v>240.88417374610506</v>
      </c>
      <c r="O21" s="89">
        <f t="shared" si="5"/>
        <v>239.67975287737454</v>
      </c>
      <c r="P21" s="11"/>
    </row>
    <row r="22" spans="1:16" x14ac:dyDescent="0.3">
      <c r="A22" t="str">
        <f t="shared" si="2"/>
        <v>SmallSUVBaseBEV300</v>
      </c>
      <c r="B22" s="90" t="s">
        <v>83</v>
      </c>
      <c r="C22" s="45" t="s">
        <v>75</v>
      </c>
      <c r="D22" s="87" t="s">
        <v>74</v>
      </c>
      <c r="E22" s="88">
        <v>245</v>
      </c>
      <c r="F22" s="88">
        <f t="shared" ref="F22:O22" si="6">E22*(1-BEV_Annual_Efficiency_Improvement)</f>
        <v>243.77500000000001</v>
      </c>
      <c r="G22" s="88">
        <f t="shared" si="6"/>
        <v>242.55612500000001</v>
      </c>
      <c r="H22" s="88">
        <f t="shared" si="6"/>
        <v>241.34334437500002</v>
      </c>
      <c r="I22" s="88">
        <f t="shared" si="6"/>
        <v>240.136627653125</v>
      </c>
      <c r="J22" s="88">
        <f t="shared" si="6"/>
        <v>238.93594451485939</v>
      </c>
      <c r="K22" s="88">
        <f t="shared" si="6"/>
        <v>237.74126479228508</v>
      </c>
      <c r="L22" s="88">
        <f t="shared" si="6"/>
        <v>236.55255846832364</v>
      </c>
      <c r="M22" s="88">
        <f t="shared" si="6"/>
        <v>235.36979567598203</v>
      </c>
      <c r="N22" s="88">
        <f t="shared" si="6"/>
        <v>234.19294669760211</v>
      </c>
      <c r="O22" s="89">
        <f t="shared" si="6"/>
        <v>233.0219819641141</v>
      </c>
      <c r="P22" s="11"/>
    </row>
    <row r="23" spans="1:16" x14ac:dyDescent="0.3">
      <c r="A23" t="str">
        <f t="shared" si="2"/>
        <v>SmallSUVPremiumBEV400</v>
      </c>
      <c r="B23" s="90" t="s">
        <v>83</v>
      </c>
      <c r="C23" s="45" t="s">
        <v>80</v>
      </c>
      <c r="D23" s="87" t="s">
        <v>79</v>
      </c>
      <c r="E23" s="88">
        <v>257</v>
      </c>
      <c r="F23" s="88">
        <f t="shared" ref="F23:O23" si="7">E23*(1-BEV_Annual_Efficiency_Improvement)</f>
        <v>255.715</v>
      </c>
      <c r="G23" s="88">
        <f t="shared" si="7"/>
        <v>254.43642500000001</v>
      </c>
      <c r="H23" s="88">
        <f t="shared" si="7"/>
        <v>253.16424287500001</v>
      </c>
      <c r="I23" s="88">
        <f t="shared" si="7"/>
        <v>251.89842166062502</v>
      </c>
      <c r="J23" s="88">
        <f t="shared" si="7"/>
        <v>250.63892955232188</v>
      </c>
      <c r="K23" s="88">
        <f t="shared" si="7"/>
        <v>249.38573490456028</v>
      </c>
      <c r="L23" s="88">
        <f t="shared" si="7"/>
        <v>248.13880623003749</v>
      </c>
      <c r="M23" s="88">
        <f t="shared" si="7"/>
        <v>246.8981121988873</v>
      </c>
      <c r="N23" s="88">
        <f t="shared" si="7"/>
        <v>245.66362163789287</v>
      </c>
      <c r="O23" s="89">
        <f t="shared" si="7"/>
        <v>244.43530352970342</v>
      </c>
      <c r="P23" s="11"/>
    </row>
    <row r="24" spans="1:16" x14ac:dyDescent="0.3">
      <c r="A24" t="str">
        <f t="shared" si="2"/>
        <v>MedSUVBaseBEV300</v>
      </c>
      <c r="B24" s="90" t="s">
        <v>86</v>
      </c>
      <c r="C24" s="45" t="s">
        <v>75</v>
      </c>
      <c r="D24" s="87" t="s">
        <v>74</v>
      </c>
      <c r="E24" s="88">
        <v>297</v>
      </c>
      <c r="F24" s="88">
        <f t="shared" ref="F24:O24" si="8">E24*(1-BEV_Annual_Efficiency_Improvement)</f>
        <v>295.51499999999999</v>
      </c>
      <c r="G24" s="88">
        <f t="shared" si="8"/>
        <v>294.03742499999998</v>
      </c>
      <c r="H24" s="88">
        <f t="shared" si="8"/>
        <v>292.56723787499999</v>
      </c>
      <c r="I24" s="88">
        <f t="shared" si="8"/>
        <v>291.10440168562496</v>
      </c>
      <c r="J24" s="88">
        <f t="shared" si="8"/>
        <v>289.64887967719682</v>
      </c>
      <c r="K24" s="88">
        <f t="shared" si="8"/>
        <v>288.20063527881081</v>
      </c>
      <c r="L24" s="88">
        <f t="shared" si="8"/>
        <v>286.75963210241673</v>
      </c>
      <c r="M24" s="88">
        <f t="shared" si="8"/>
        <v>285.32583394190465</v>
      </c>
      <c r="N24" s="88">
        <f t="shared" si="8"/>
        <v>283.89920477219511</v>
      </c>
      <c r="O24" s="89">
        <f t="shared" si="8"/>
        <v>282.47970874833413</v>
      </c>
      <c r="P24" s="11"/>
    </row>
    <row r="25" spans="1:16" x14ac:dyDescent="0.3">
      <c r="A25" t="str">
        <f t="shared" si="2"/>
        <v>MedSUVPremiumBEV400</v>
      </c>
      <c r="B25" s="90" t="s">
        <v>86</v>
      </c>
      <c r="C25" s="45" t="s">
        <v>80</v>
      </c>
      <c r="D25" s="87" t="s">
        <v>79</v>
      </c>
      <c r="E25" s="88">
        <v>312</v>
      </c>
      <c r="F25" s="88">
        <f t="shared" ref="F25:O25" si="9">E25*(1-BEV_Annual_Efficiency_Improvement)</f>
        <v>310.44</v>
      </c>
      <c r="G25" s="88">
        <f t="shared" si="9"/>
        <v>308.88779999999997</v>
      </c>
      <c r="H25" s="88">
        <f t="shared" si="9"/>
        <v>307.34336099999996</v>
      </c>
      <c r="I25" s="88">
        <f t="shared" si="9"/>
        <v>305.80664419499993</v>
      </c>
      <c r="J25" s="88">
        <f t="shared" si="9"/>
        <v>304.27761097402492</v>
      </c>
      <c r="K25" s="88">
        <f t="shared" si="9"/>
        <v>302.75622291915482</v>
      </c>
      <c r="L25" s="88">
        <f t="shared" si="9"/>
        <v>301.24244180455906</v>
      </c>
      <c r="M25" s="88">
        <f t="shared" si="9"/>
        <v>299.73622959553626</v>
      </c>
      <c r="N25" s="88">
        <f t="shared" si="9"/>
        <v>298.23754844755859</v>
      </c>
      <c r="O25" s="89">
        <f t="shared" si="9"/>
        <v>296.7463607053208</v>
      </c>
      <c r="P25" s="11"/>
    </row>
    <row r="26" spans="1:16" x14ac:dyDescent="0.3">
      <c r="A26" t="str">
        <f t="shared" si="2"/>
        <v>PickupBaseBEV300</v>
      </c>
      <c r="B26" s="90" t="s">
        <v>89</v>
      </c>
      <c r="C26" s="45" t="s">
        <v>75</v>
      </c>
      <c r="D26" s="87" t="s">
        <v>74</v>
      </c>
      <c r="E26" s="88">
        <v>356</v>
      </c>
      <c r="F26" s="88">
        <f t="shared" ref="F26:O26" si="10">E26*(1-BEV_Annual_Efficiency_Improvement)</f>
        <v>354.21999999999997</v>
      </c>
      <c r="G26" s="88">
        <f t="shared" si="10"/>
        <v>352.44889999999998</v>
      </c>
      <c r="H26" s="88">
        <f t="shared" si="10"/>
        <v>350.68665549999997</v>
      </c>
      <c r="I26" s="88">
        <f t="shared" si="10"/>
        <v>348.93322222249998</v>
      </c>
      <c r="J26" s="88">
        <f t="shared" si="10"/>
        <v>347.18855611138747</v>
      </c>
      <c r="K26" s="88">
        <f t="shared" si="10"/>
        <v>345.45261333083056</v>
      </c>
      <c r="L26" s="88">
        <f t="shared" si="10"/>
        <v>343.72535026417643</v>
      </c>
      <c r="M26" s="88">
        <f t="shared" si="10"/>
        <v>342.00672351285556</v>
      </c>
      <c r="N26" s="88">
        <f t="shared" si="10"/>
        <v>340.29668989529125</v>
      </c>
      <c r="O26" s="89">
        <f t="shared" si="10"/>
        <v>338.59520644581477</v>
      </c>
      <c r="P26" s="11"/>
    </row>
    <row r="27" spans="1:16" x14ac:dyDescent="0.3">
      <c r="A27" t="str">
        <f t="shared" si="2"/>
        <v>PickupHTBEV400</v>
      </c>
      <c r="B27" s="90" t="s">
        <v>89</v>
      </c>
      <c r="C27" s="45" t="s">
        <v>113</v>
      </c>
      <c r="D27" s="87" t="s">
        <v>79</v>
      </c>
      <c r="E27" s="88">
        <v>374</v>
      </c>
      <c r="F27" s="88">
        <f t="shared" ref="F27:O27" si="11">E27*(1-BEV_Annual_Efficiency_Improvement)</f>
        <v>372.13</v>
      </c>
      <c r="G27" s="88">
        <f t="shared" si="11"/>
        <v>370.26934999999997</v>
      </c>
      <c r="H27" s="88">
        <f t="shared" si="11"/>
        <v>368.41800324999997</v>
      </c>
      <c r="I27" s="88">
        <f t="shared" si="11"/>
        <v>366.57591323374999</v>
      </c>
      <c r="J27" s="88">
        <f t="shared" si="11"/>
        <v>364.74303366758124</v>
      </c>
      <c r="K27" s="88">
        <f t="shared" si="11"/>
        <v>362.91931849924333</v>
      </c>
      <c r="L27" s="88">
        <f t="shared" si="11"/>
        <v>361.1047219067471</v>
      </c>
      <c r="M27" s="88">
        <f t="shared" si="11"/>
        <v>359.29919829721337</v>
      </c>
      <c r="N27" s="88">
        <f t="shared" si="11"/>
        <v>357.50270230572733</v>
      </c>
      <c r="O27" s="89">
        <f t="shared" si="11"/>
        <v>355.7151887941987</v>
      </c>
      <c r="P27" s="11"/>
    </row>
    <row r="28" spans="1:16" ht="16.2" thickBot="1" x14ac:dyDescent="0.35">
      <c r="B28" s="182" t="s">
        <v>98</v>
      </c>
      <c r="C28" s="183"/>
      <c r="D28" s="183"/>
      <c r="E28" s="183"/>
      <c r="F28" s="183"/>
      <c r="G28" s="183"/>
      <c r="H28" s="183"/>
      <c r="I28" s="183"/>
      <c r="J28" s="183"/>
      <c r="K28" s="183"/>
      <c r="L28" s="183"/>
      <c r="M28" s="183"/>
      <c r="N28" s="183"/>
      <c r="O28" s="184"/>
      <c r="P28" s="11"/>
    </row>
    <row r="29" spans="1:16" x14ac:dyDescent="0.3">
      <c r="B29" s="170" t="s">
        <v>115</v>
      </c>
      <c r="C29" s="175"/>
      <c r="D29" s="175"/>
      <c r="E29" s="175"/>
      <c r="F29" s="175"/>
      <c r="G29" s="175"/>
      <c r="H29" s="175"/>
      <c r="I29" s="175"/>
      <c r="J29" s="175"/>
      <c r="K29" s="175"/>
      <c r="L29" s="175"/>
      <c r="M29" s="175"/>
      <c r="N29" s="175"/>
      <c r="O29" s="171"/>
      <c r="P29" s="31"/>
    </row>
    <row r="30" spans="1:16" x14ac:dyDescent="0.3">
      <c r="B30" s="91" t="s">
        <v>100</v>
      </c>
      <c r="C30" s="92" t="s">
        <v>101</v>
      </c>
      <c r="D30" s="93" t="s">
        <v>67</v>
      </c>
      <c r="E30" s="94" t="s">
        <v>102</v>
      </c>
      <c r="F30" s="94" t="s">
        <v>103</v>
      </c>
      <c r="G30" s="94" t="s">
        <v>104</v>
      </c>
      <c r="H30" s="94" t="s">
        <v>105</v>
      </c>
      <c r="I30" s="94" t="s">
        <v>106</v>
      </c>
      <c r="J30" s="94" t="s">
        <v>107</v>
      </c>
      <c r="K30" s="94" t="s">
        <v>108</v>
      </c>
      <c r="L30" s="94" t="s">
        <v>109</v>
      </c>
      <c r="M30" s="94" t="s">
        <v>110</v>
      </c>
      <c r="N30" s="94" t="s">
        <v>111</v>
      </c>
      <c r="O30" s="95" t="s">
        <v>112</v>
      </c>
      <c r="P30" s="11"/>
    </row>
    <row r="31" spans="1:16" x14ac:dyDescent="0.3">
      <c r="A31" t="str">
        <f>CONCATENATE(B31,C31,D31)</f>
        <v>SmallCarBaseBEV300</v>
      </c>
      <c r="B31" s="85" t="s">
        <v>73</v>
      </c>
      <c r="C31" s="86" t="s">
        <v>75</v>
      </c>
      <c r="D31" s="87" t="s">
        <v>74</v>
      </c>
      <c r="E31" s="88">
        <f t="shared" ref="E31:O31" si="12">(E5*E18)/1000</f>
        <v>69</v>
      </c>
      <c r="F31" s="88">
        <f t="shared" si="12"/>
        <v>68.655000000000001</v>
      </c>
      <c r="G31" s="88">
        <f t="shared" si="12"/>
        <v>68.311724999999996</v>
      </c>
      <c r="H31" s="88">
        <f t="shared" si="12"/>
        <v>67.970166375000005</v>
      </c>
      <c r="I31" s="88">
        <f t="shared" si="12"/>
        <v>67.630315543124993</v>
      </c>
      <c r="J31" s="88">
        <f t="shared" si="12"/>
        <v>67.292163965409358</v>
      </c>
      <c r="K31" s="88">
        <f t="shared" si="12"/>
        <v>66.955703145582319</v>
      </c>
      <c r="L31" s="88">
        <f t="shared" si="12"/>
        <v>66.6209246298544</v>
      </c>
      <c r="M31" s="88">
        <f t="shared" si="12"/>
        <v>66.287820006705132</v>
      </c>
      <c r="N31" s="88">
        <f t="shared" si="12"/>
        <v>65.956380906671612</v>
      </c>
      <c r="O31" s="89">
        <f t="shared" si="12"/>
        <v>65.626599002138249</v>
      </c>
      <c r="P31" s="11"/>
    </row>
    <row r="32" spans="1:16" x14ac:dyDescent="0.3">
      <c r="A32" t="str">
        <f t="shared" ref="A32:A40" si="13">CONCATENATE(B32,C32,D32)</f>
        <v>SmallCarPremiumBEV400</v>
      </c>
      <c r="B32" s="90" t="s">
        <v>73</v>
      </c>
      <c r="C32" s="45" t="s">
        <v>80</v>
      </c>
      <c r="D32" s="87" t="s">
        <v>79</v>
      </c>
      <c r="E32" s="88">
        <f t="shared" ref="E32:O32" si="14">(E6*E19)/1000</f>
        <v>94</v>
      </c>
      <c r="F32" s="88">
        <f t="shared" si="14"/>
        <v>93.53</v>
      </c>
      <c r="G32" s="88">
        <f t="shared" si="14"/>
        <v>93.062349999999995</v>
      </c>
      <c r="H32" s="88">
        <f t="shared" si="14"/>
        <v>92.597038249999997</v>
      </c>
      <c r="I32" s="88">
        <f t="shared" si="14"/>
        <v>92.134053058749984</v>
      </c>
      <c r="J32" s="88">
        <f t="shared" si="14"/>
        <v>91.673382793456227</v>
      </c>
      <c r="K32" s="88">
        <f t="shared" si="14"/>
        <v>91.215015879488959</v>
      </c>
      <c r="L32" s="88">
        <f t="shared" si="14"/>
        <v>90.758940800091509</v>
      </c>
      <c r="M32" s="88">
        <f t="shared" si="14"/>
        <v>90.30514609609105</v>
      </c>
      <c r="N32" s="88">
        <f t="shared" si="14"/>
        <v>89.853620365610595</v>
      </c>
      <c r="O32" s="89">
        <f t="shared" si="14"/>
        <v>89.404352263782542</v>
      </c>
      <c r="P32" s="11"/>
    </row>
    <row r="33" spans="1:17" x14ac:dyDescent="0.3">
      <c r="A33" t="str">
        <f t="shared" si="13"/>
        <v>MedCarBaseBEV300</v>
      </c>
      <c r="B33" s="90" t="s">
        <v>82</v>
      </c>
      <c r="C33" s="45" t="s">
        <v>75</v>
      </c>
      <c r="D33" s="87" t="s">
        <v>74</v>
      </c>
      <c r="E33" s="88">
        <f t="shared" ref="E33:O33" si="15">(E7*E20)/1000</f>
        <v>72</v>
      </c>
      <c r="F33" s="88">
        <f t="shared" si="15"/>
        <v>71.64</v>
      </c>
      <c r="G33" s="88">
        <f t="shared" si="15"/>
        <v>71.281800000000004</v>
      </c>
      <c r="H33" s="88">
        <f t="shared" si="15"/>
        <v>70.925391000000005</v>
      </c>
      <c r="I33" s="88">
        <f t="shared" si="15"/>
        <v>70.570764045000004</v>
      </c>
      <c r="J33" s="88">
        <f t="shared" si="15"/>
        <v>70.217910224775011</v>
      </c>
      <c r="K33" s="88">
        <f t="shared" si="15"/>
        <v>69.866820673651134</v>
      </c>
      <c r="L33" s="88">
        <f t="shared" si="15"/>
        <v>69.517486570282884</v>
      </c>
      <c r="M33" s="88">
        <f t="shared" si="15"/>
        <v>69.169899137431472</v>
      </c>
      <c r="N33" s="88">
        <f t="shared" si="15"/>
        <v>68.82404964174431</v>
      </c>
      <c r="O33" s="89">
        <f t="shared" si="15"/>
        <v>68.479929393535585</v>
      </c>
    </row>
    <row r="34" spans="1:17" x14ac:dyDescent="0.3">
      <c r="A34" t="str">
        <f t="shared" si="13"/>
        <v>MedCarPremiumBEV400</v>
      </c>
      <c r="B34" s="90" t="s">
        <v>82</v>
      </c>
      <c r="C34" s="45" t="s">
        <v>80</v>
      </c>
      <c r="D34" s="87" t="s">
        <v>79</v>
      </c>
      <c r="E34" s="88">
        <f t="shared" ref="E34:O34" si="16">(E8*E21)/1000</f>
        <v>100.8</v>
      </c>
      <c r="F34" s="88">
        <f t="shared" si="16"/>
        <v>100.29600000000001</v>
      </c>
      <c r="G34" s="88">
        <f t="shared" si="16"/>
        <v>99.794520000000006</v>
      </c>
      <c r="H34" s="88">
        <f t="shared" si="16"/>
        <v>99.29554739999999</v>
      </c>
      <c r="I34" s="88">
        <f t="shared" si="16"/>
        <v>98.799069662999997</v>
      </c>
      <c r="J34" s="88">
        <f t="shared" si="16"/>
        <v>98.305074314685001</v>
      </c>
      <c r="K34" s="88">
        <f t="shared" si="16"/>
        <v>97.81354894311157</v>
      </c>
      <c r="L34" s="88">
        <f t="shared" si="16"/>
        <v>97.324481198396029</v>
      </c>
      <c r="M34" s="88">
        <f t="shared" si="16"/>
        <v>96.837858792404035</v>
      </c>
      <c r="N34" s="88">
        <f t="shared" si="16"/>
        <v>96.353669498442031</v>
      </c>
      <c r="O34" s="89">
        <f t="shared" si="16"/>
        <v>95.871901150949824</v>
      </c>
    </row>
    <row r="35" spans="1:17" x14ac:dyDescent="0.3">
      <c r="A35" t="str">
        <f t="shared" si="13"/>
        <v>SmallSUVBaseBEV300</v>
      </c>
      <c r="B35" s="90" t="s">
        <v>83</v>
      </c>
      <c r="C35" s="45" t="s">
        <v>75</v>
      </c>
      <c r="D35" s="87" t="s">
        <v>74</v>
      </c>
      <c r="E35" s="88">
        <f t="shared" ref="E35:O35" si="17">(E9*E22)/1000</f>
        <v>73.5</v>
      </c>
      <c r="F35" s="88">
        <f t="shared" si="17"/>
        <v>73.132499999999993</v>
      </c>
      <c r="G35" s="88">
        <f t="shared" si="17"/>
        <v>72.766837500000008</v>
      </c>
      <c r="H35" s="88">
        <f t="shared" si="17"/>
        <v>72.403003312500005</v>
      </c>
      <c r="I35" s="88">
        <f t="shared" si="17"/>
        <v>72.040988295937495</v>
      </c>
      <c r="J35" s="88">
        <f t="shared" si="17"/>
        <v>71.680783354457816</v>
      </c>
      <c r="K35" s="88">
        <f t="shared" si="17"/>
        <v>71.322379437685527</v>
      </c>
      <c r="L35" s="88">
        <f t="shared" si="17"/>
        <v>70.965767540497097</v>
      </c>
      <c r="M35" s="88">
        <f t="shared" si="17"/>
        <v>70.610938702794613</v>
      </c>
      <c r="N35" s="88">
        <f t="shared" si="17"/>
        <v>70.25788400928063</v>
      </c>
      <c r="O35" s="89">
        <f t="shared" si="17"/>
        <v>69.906594589234231</v>
      </c>
    </row>
    <row r="36" spans="1:17" x14ac:dyDescent="0.3">
      <c r="A36" t="str">
        <f t="shared" si="13"/>
        <v>SmallSUVPremiumBEV400</v>
      </c>
      <c r="B36" s="90" t="s">
        <v>83</v>
      </c>
      <c r="C36" s="45" t="s">
        <v>80</v>
      </c>
      <c r="D36" s="87" t="s">
        <v>79</v>
      </c>
      <c r="E36" s="88">
        <f t="shared" ref="E36:O36" si="18">(E10*E23)/1000</f>
        <v>102.8</v>
      </c>
      <c r="F36" s="88">
        <f t="shared" si="18"/>
        <v>102.286</v>
      </c>
      <c r="G36" s="88">
        <f t="shared" si="18"/>
        <v>101.77457000000001</v>
      </c>
      <c r="H36" s="88">
        <f t="shared" si="18"/>
        <v>101.26569715000001</v>
      </c>
      <c r="I36" s="88">
        <f t="shared" si="18"/>
        <v>100.75936866425</v>
      </c>
      <c r="J36" s="88">
        <f t="shared" si="18"/>
        <v>100.25557182092876</v>
      </c>
      <c r="K36" s="88">
        <f t="shared" si="18"/>
        <v>99.754293961824104</v>
      </c>
      <c r="L36" s="88">
        <f t="shared" si="18"/>
        <v>99.25552249201499</v>
      </c>
      <c r="M36" s="88">
        <f t="shared" si="18"/>
        <v>98.759244879554927</v>
      </c>
      <c r="N36" s="88">
        <f t="shared" si="18"/>
        <v>98.265448655157144</v>
      </c>
      <c r="O36" s="89">
        <f t="shared" si="18"/>
        <v>97.774121411881367</v>
      </c>
    </row>
    <row r="37" spans="1:17" x14ac:dyDescent="0.3">
      <c r="A37" t="str">
        <f t="shared" si="13"/>
        <v>MedSUVBaseBEV300</v>
      </c>
      <c r="B37" s="90" t="s">
        <v>86</v>
      </c>
      <c r="C37" s="45" t="s">
        <v>75</v>
      </c>
      <c r="D37" s="87" t="s">
        <v>74</v>
      </c>
      <c r="E37" s="88">
        <f t="shared" ref="E37:O37" si="19">(E11*E24)/1000</f>
        <v>89.1</v>
      </c>
      <c r="F37" s="88">
        <f t="shared" si="19"/>
        <v>88.654499999999999</v>
      </c>
      <c r="G37" s="88">
        <f t="shared" si="19"/>
        <v>88.211227499999993</v>
      </c>
      <c r="H37" s="88">
        <f t="shared" si="19"/>
        <v>87.770171362499994</v>
      </c>
      <c r="I37" s="88">
        <f t="shared" si="19"/>
        <v>87.331320505687486</v>
      </c>
      <c r="J37" s="88">
        <f t="shared" si="19"/>
        <v>86.894663903159042</v>
      </c>
      <c r="K37" s="88">
        <f t="shared" si="19"/>
        <v>86.460190583643239</v>
      </c>
      <c r="L37" s="88">
        <f t="shared" si="19"/>
        <v>86.027889630725028</v>
      </c>
      <c r="M37" s="88">
        <f t="shared" si="19"/>
        <v>85.597750182571403</v>
      </c>
      <c r="N37" s="88">
        <f t="shared" si="19"/>
        <v>85.169761431658543</v>
      </c>
      <c r="O37" s="89">
        <f t="shared" si="19"/>
        <v>84.74391262450024</v>
      </c>
    </row>
    <row r="38" spans="1:17" x14ac:dyDescent="0.3">
      <c r="A38" t="str">
        <f t="shared" si="13"/>
        <v>MedSUVPremiumBEV400</v>
      </c>
      <c r="B38" s="90" t="s">
        <v>86</v>
      </c>
      <c r="C38" s="45" t="s">
        <v>80</v>
      </c>
      <c r="D38" s="87" t="s">
        <v>79</v>
      </c>
      <c r="E38" s="88">
        <f t="shared" ref="E38:O38" si="20">(E12*E25)/1000</f>
        <v>124.8</v>
      </c>
      <c r="F38" s="88">
        <f t="shared" si="20"/>
        <v>124.176</v>
      </c>
      <c r="G38" s="88">
        <f t="shared" si="20"/>
        <v>123.55512</v>
      </c>
      <c r="H38" s="88">
        <f t="shared" si="20"/>
        <v>122.93734439999999</v>
      </c>
      <c r="I38" s="88">
        <f t="shared" si="20"/>
        <v>122.32265767799997</v>
      </c>
      <c r="J38" s="88">
        <f t="shared" si="20"/>
        <v>121.71104438960998</v>
      </c>
      <c r="K38" s="88">
        <f t="shared" si="20"/>
        <v>121.10248916766193</v>
      </c>
      <c r="L38" s="88">
        <f t="shared" si="20"/>
        <v>120.49697672182363</v>
      </c>
      <c r="M38" s="88">
        <f t="shared" si="20"/>
        <v>119.89449183821449</v>
      </c>
      <c r="N38" s="88">
        <f t="shared" si="20"/>
        <v>119.29501937902343</v>
      </c>
      <c r="O38" s="89">
        <f t="shared" si="20"/>
        <v>118.69854428212832</v>
      </c>
    </row>
    <row r="39" spans="1:17" x14ac:dyDescent="0.3">
      <c r="A39" t="str">
        <f t="shared" si="13"/>
        <v>PickupBaseBEV300</v>
      </c>
      <c r="B39" s="90" t="s">
        <v>89</v>
      </c>
      <c r="C39" s="45" t="s">
        <v>75</v>
      </c>
      <c r="D39" s="87" t="s">
        <v>74</v>
      </c>
      <c r="E39" s="88">
        <f t="shared" ref="E39:O39" si="21">(E13*E26)/1000</f>
        <v>106.8</v>
      </c>
      <c r="F39" s="88">
        <f t="shared" si="21"/>
        <v>106.26599999999999</v>
      </c>
      <c r="G39" s="88">
        <f t="shared" si="21"/>
        <v>105.73466999999999</v>
      </c>
      <c r="H39" s="88">
        <f t="shared" si="21"/>
        <v>105.20599664999999</v>
      </c>
      <c r="I39" s="88">
        <f t="shared" si="21"/>
        <v>104.67996666675</v>
      </c>
      <c r="J39" s="88">
        <f t="shared" si="21"/>
        <v>104.15656683341625</v>
      </c>
      <c r="K39" s="88">
        <f t="shared" si="21"/>
        <v>103.63578399924917</v>
      </c>
      <c r="L39" s="88">
        <f t="shared" si="21"/>
        <v>103.11760507925293</v>
      </c>
      <c r="M39" s="88">
        <f t="shared" si="21"/>
        <v>102.60201705385667</v>
      </c>
      <c r="N39" s="88">
        <f t="shared" si="21"/>
        <v>102.08900696858737</v>
      </c>
      <c r="O39" s="89">
        <f t="shared" si="21"/>
        <v>101.57856193374444</v>
      </c>
    </row>
    <row r="40" spans="1:17" x14ac:dyDescent="0.3">
      <c r="A40" t="str">
        <f t="shared" si="13"/>
        <v>PickupHTBEV400</v>
      </c>
      <c r="B40" s="90" t="s">
        <v>89</v>
      </c>
      <c r="C40" s="45" t="s">
        <v>113</v>
      </c>
      <c r="D40" s="87" t="s">
        <v>79</v>
      </c>
      <c r="E40" s="88">
        <f t="shared" ref="E40:O40" si="22">(E14*E27)/1000</f>
        <v>149.6</v>
      </c>
      <c r="F40" s="88">
        <f t="shared" si="22"/>
        <v>148.852</v>
      </c>
      <c r="G40" s="88">
        <f t="shared" si="22"/>
        <v>148.10773999999998</v>
      </c>
      <c r="H40" s="88">
        <f t="shared" si="22"/>
        <v>147.36720129999998</v>
      </c>
      <c r="I40" s="88">
        <f t="shared" si="22"/>
        <v>146.63036529349998</v>
      </c>
      <c r="J40" s="88">
        <f t="shared" si="22"/>
        <v>145.89721346703251</v>
      </c>
      <c r="K40" s="88">
        <f t="shared" si="22"/>
        <v>145.16772739969733</v>
      </c>
      <c r="L40" s="88">
        <f t="shared" si="22"/>
        <v>144.44188876269882</v>
      </c>
      <c r="M40" s="88">
        <f t="shared" si="22"/>
        <v>143.71967931888534</v>
      </c>
      <c r="N40" s="88">
        <f t="shared" si="22"/>
        <v>143.00108092229092</v>
      </c>
      <c r="O40" s="89">
        <f t="shared" si="22"/>
        <v>142.28607551767948</v>
      </c>
    </row>
    <row r="41" spans="1:17" ht="16.2" thickBot="1" x14ac:dyDescent="0.35">
      <c r="B41" s="182" t="s">
        <v>98</v>
      </c>
      <c r="C41" s="183"/>
      <c r="D41" s="183"/>
      <c r="E41" s="183"/>
      <c r="F41" s="183"/>
      <c r="G41" s="183"/>
      <c r="H41" s="183"/>
      <c r="I41" s="183"/>
      <c r="J41" s="183"/>
      <c r="K41" s="183"/>
      <c r="L41" s="183"/>
      <c r="M41" s="183"/>
      <c r="N41" s="183"/>
      <c r="O41" s="184"/>
    </row>
    <row r="42" spans="1:17" x14ac:dyDescent="0.3">
      <c r="B42" s="170" t="s">
        <v>116</v>
      </c>
      <c r="C42" s="175"/>
      <c r="D42" s="175"/>
      <c r="E42" s="175"/>
      <c r="F42" s="175"/>
      <c r="G42" s="175"/>
      <c r="H42" s="175"/>
      <c r="I42" s="175"/>
      <c r="J42" s="175"/>
      <c r="K42" s="175"/>
      <c r="L42" s="175"/>
      <c r="M42" s="175"/>
      <c r="N42" s="175"/>
      <c r="O42" s="171"/>
      <c r="P42" s="12"/>
    </row>
    <row r="43" spans="1:17" x14ac:dyDescent="0.3">
      <c r="B43" s="91" t="s">
        <v>100</v>
      </c>
      <c r="C43" s="92" t="s">
        <v>101</v>
      </c>
      <c r="D43" s="93" t="s">
        <v>67</v>
      </c>
      <c r="E43" s="94" t="s">
        <v>102</v>
      </c>
      <c r="F43" s="94" t="s">
        <v>103</v>
      </c>
      <c r="G43" s="94" t="s">
        <v>104</v>
      </c>
      <c r="H43" s="94" t="s">
        <v>105</v>
      </c>
      <c r="I43" s="94" t="s">
        <v>106</v>
      </c>
      <c r="J43" s="94" t="s">
        <v>107</v>
      </c>
      <c r="K43" s="94" t="s">
        <v>108</v>
      </c>
      <c r="L43" s="94" t="s">
        <v>109</v>
      </c>
      <c r="M43" s="94" t="s">
        <v>110</v>
      </c>
      <c r="N43" s="94" t="s">
        <v>111</v>
      </c>
      <c r="O43" s="95" t="s">
        <v>112</v>
      </c>
    </row>
    <row r="44" spans="1:17" x14ac:dyDescent="0.3">
      <c r="A44" t="str">
        <f>CONCATENATE(B44,C44,D44)</f>
        <v>SmallCarBaseBEV300</v>
      </c>
      <c r="B44" s="85" t="s">
        <v>73</v>
      </c>
      <c r="C44" s="86" t="s">
        <v>75</v>
      </c>
      <c r="D44" s="87" t="s">
        <v>74</v>
      </c>
      <c r="E44" s="88">
        <f t="shared" ref="E44:O44" si="23">((E5*E18)/1000)/BEV_Battery_SOC_Utilization</f>
        <v>72.631578947368425</v>
      </c>
      <c r="F44" s="88">
        <f t="shared" si="23"/>
        <v>72.268421052631581</v>
      </c>
      <c r="G44" s="88">
        <f t="shared" si="23"/>
        <v>71.907078947368419</v>
      </c>
      <c r="H44" s="88">
        <f t="shared" si="23"/>
        <v>71.547543552631581</v>
      </c>
      <c r="I44" s="88">
        <f t="shared" si="23"/>
        <v>71.189805834868423</v>
      </c>
      <c r="J44" s="88">
        <f t="shared" si="23"/>
        <v>70.833856805694069</v>
      </c>
      <c r="K44" s="88">
        <f t="shared" si="23"/>
        <v>70.479687521665596</v>
      </c>
      <c r="L44" s="88">
        <f t="shared" si="23"/>
        <v>70.127289084057267</v>
      </c>
      <c r="M44" s="88">
        <f t="shared" si="23"/>
        <v>69.776652638636989</v>
      </c>
      <c r="N44" s="88">
        <f t="shared" si="23"/>
        <v>69.427769375443802</v>
      </c>
      <c r="O44" s="89">
        <f t="shared" si="23"/>
        <v>69.080630528566587</v>
      </c>
    </row>
    <row r="45" spans="1:17" x14ac:dyDescent="0.3">
      <c r="A45" t="str">
        <f t="shared" ref="A45:A53" si="24">CONCATENATE(B45,C45,D45)</f>
        <v>SmallCarPremiumBEV400</v>
      </c>
      <c r="B45" s="90" t="s">
        <v>73</v>
      </c>
      <c r="C45" s="45" t="s">
        <v>80</v>
      </c>
      <c r="D45" s="87" t="s">
        <v>79</v>
      </c>
      <c r="E45" s="88">
        <f t="shared" ref="E45:O45" si="25">((E6*E19)/1000)/BEV_Battery_SOC_Utilization</f>
        <v>98.94736842105263</v>
      </c>
      <c r="F45" s="88">
        <f t="shared" si="25"/>
        <v>98.452631578947376</v>
      </c>
      <c r="G45" s="88">
        <f t="shared" si="25"/>
        <v>97.960368421052635</v>
      </c>
      <c r="H45" s="88">
        <f t="shared" si="25"/>
        <v>97.47056657894737</v>
      </c>
      <c r="I45" s="88">
        <f t="shared" si="25"/>
        <v>96.983213746052613</v>
      </c>
      <c r="J45" s="88">
        <f t="shared" si="25"/>
        <v>96.498297677322356</v>
      </c>
      <c r="K45" s="88">
        <f t="shared" si="25"/>
        <v>96.015806188935755</v>
      </c>
      <c r="L45" s="88">
        <f t="shared" si="25"/>
        <v>95.535727157991062</v>
      </c>
      <c r="M45" s="88">
        <f t="shared" si="25"/>
        <v>95.058048522201105</v>
      </c>
      <c r="N45" s="88">
        <f t="shared" si="25"/>
        <v>94.582758279590109</v>
      </c>
      <c r="O45" s="89">
        <f t="shared" si="25"/>
        <v>94.109844488192152</v>
      </c>
      <c r="Q45" s="4"/>
    </row>
    <row r="46" spans="1:17" x14ac:dyDescent="0.3">
      <c r="A46" t="str">
        <f t="shared" si="24"/>
        <v>MedCarBaseBEV300</v>
      </c>
      <c r="B46" s="90" t="s">
        <v>82</v>
      </c>
      <c r="C46" s="45" t="s">
        <v>75</v>
      </c>
      <c r="D46" s="87" t="s">
        <v>74</v>
      </c>
      <c r="E46" s="88">
        <f t="shared" ref="E46:O46" si="26">((E7*E20)/1000)/BEV_Battery_SOC_Utilization</f>
        <v>75.789473684210535</v>
      </c>
      <c r="F46" s="88">
        <f t="shared" si="26"/>
        <v>75.410526315789483</v>
      </c>
      <c r="G46" s="88">
        <f t="shared" si="26"/>
        <v>75.033473684210534</v>
      </c>
      <c r="H46" s="88">
        <f t="shared" si="26"/>
        <v>74.658306315789488</v>
      </c>
      <c r="I46" s="88">
        <f t="shared" si="26"/>
        <v>74.285014784210532</v>
      </c>
      <c r="J46" s="88">
        <f t="shared" si="26"/>
        <v>73.913589710289486</v>
      </c>
      <c r="K46" s="88">
        <f t="shared" si="26"/>
        <v>73.544021761738037</v>
      </c>
      <c r="L46" s="88">
        <f t="shared" si="26"/>
        <v>73.176301652929354</v>
      </c>
      <c r="M46" s="88">
        <f t="shared" si="26"/>
        <v>72.810420144664704</v>
      </c>
      <c r="N46" s="88">
        <f t="shared" si="26"/>
        <v>72.446368043941376</v>
      </c>
      <c r="O46" s="89">
        <f t="shared" si="26"/>
        <v>72.08413620372167</v>
      </c>
    </row>
    <row r="47" spans="1:17" x14ac:dyDescent="0.3">
      <c r="A47" t="str">
        <f t="shared" si="24"/>
        <v>MedCarPremiumBEV400</v>
      </c>
      <c r="B47" s="90" t="s">
        <v>82</v>
      </c>
      <c r="C47" s="45" t="s">
        <v>80</v>
      </c>
      <c r="D47" s="87" t="s">
        <v>79</v>
      </c>
      <c r="E47" s="88">
        <f t="shared" ref="E47:O47" si="27">((E8*E21)/1000)/BEV_Battery_SOC_Utilization</f>
        <v>106.10526315789474</v>
      </c>
      <c r="F47" s="88">
        <f t="shared" si="27"/>
        <v>105.57473684210528</v>
      </c>
      <c r="G47" s="88">
        <f t="shared" si="27"/>
        <v>105.04686315789475</v>
      </c>
      <c r="H47" s="88">
        <f t="shared" si="27"/>
        <v>104.52162884210526</v>
      </c>
      <c r="I47" s="88">
        <f t="shared" si="27"/>
        <v>103.99902069789474</v>
      </c>
      <c r="J47" s="88">
        <f t="shared" si="27"/>
        <v>103.47902559440527</v>
      </c>
      <c r="K47" s="88">
        <f t="shared" si="27"/>
        <v>102.96163046643323</v>
      </c>
      <c r="L47" s="88">
        <f t="shared" si="27"/>
        <v>102.44682231410108</v>
      </c>
      <c r="M47" s="88">
        <f t="shared" si="27"/>
        <v>101.93458820253056</v>
      </c>
      <c r="N47" s="88">
        <f t="shared" si="27"/>
        <v>101.42491526151794</v>
      </c>
      <c r="O47" s="89">
        <f t="shared" si="27"/>
        <v>100.91779068521035</v>
      </c>
      <c r="Q47" s="4"/>
    </row>
    <row r="48" spans="1:17" x14ac:dyDescent="0.3">
      <c r="A48" t="str">
        <f t="shared" si="24"/>
        <v>SmallSUVBaseBEV300</v>
      </c>
      <c r="B48" s="90" t="s">
        <v>83</v>
      </c>
      <c r="C48" s="45" t="s">
        <v>75</v>
      </c>
      <c r="D48" s="87" t="s">
        <v>74</v>
      </c>
      <c r="E48" s="88">
        <f t="shared" ref="E48:O48" si="28">((E9*E22)/1000)/BEV_Battery_SOC_Utilization</f>
        <v>77.368421052631589</v>
      </c>
      <c r="F48" s="88">
        <f t="shared" si="28"/>
        <v>76.981578947368419</v>
      </c>
      <c r="G48" s="88">
        <f t="shared" si="28"/>
        <v>76.596671052631592</v>
      </c>
      <c r="H48" s="88">
        <f t="shared" si="28"/>
        <v>76.213687697368428</v>
      </c>
      <c r="I48" s="88">
        <f t="shared" si="28"/>
        <v>75.832619258881579</v>
      </c>
      <c r="J48" s="88">
        <f t="shared" si="28"/>
        <v>75.453456162587173</v>
      </c>
      <c r="K48" s="88">
        <f t="shared" si="28"/>
        <v>75.076188881774243</v>
      </c>
      <c r="L48" s="88">
        <f t="shared" si="28"/>
        <v>74.700807937365369</v>
      </c>
      <c r="M48" s="88">
        <f t="shared" si="28"/>
        <v>74.327303897678547</v>
      </c>
      <c r="N48" s="88">
        <f t="shared" si="28"/>
        <v>73.955667378190142</v>
      </c>
      <c r="O48" s="89">
        <f t="shared" si="28"/>
        <v>73.585889041299197</v>
      </c>
    </row>
    <row r="49" spans="1:17" x14ac:dyDescent="0.3">
      <c r="A49" t="str">
        <f t="shared" si="24"/>
        <v>SmallSUVPremiumBEV400</v>
      </c>
      <c r="B49" s="90" t="s">
        <v>83</v>
      </c>
      <c r="C49" s="45" t="s">
        <v>80</v>
      </c>
      <c r="D49" s="87" t="s">
        <v>79</v>
      </c>
      <c r="E49" s="88">
        <f t="shared" ref="E49:O49" si="29">((E10*E23)/1000)/BEV_Battery_SOC_Utilization</f>
        <v>108.21052631578948</v>
      </c>
      <c r="F49" s="88">
        <f t="shared" si="29"/>
        <v>107.66947368421053</v>
      </c>
      <c r="G49" s="88">
        <f t="shared" si="29"/>
        <v>107.13112631578949</v>
      </c>
      <c r="H49" s="88">
        <f t="shared" si="29"/>
        <v>106.59547068421054</v>
      </c>
      <c r="I49" s="88">
        <f t="shared" si="29"/>
        <v>106.06249333078948</v>
      </c>
      <c r="J49" s="88">
        <f t="shared" si="29"/>
        <v>105.53218086413554</v>
      </c>
      <c r="K49" s="88">
        <f t="shared" si="29"/>
        <v>105.00451995981486</v>
      </c>
      <c r="L49" s="88">
        <f t="shared" si="29"/>
        <v>104.47949736001578</v>
      </c>
      <c r="M49" s="88">
        <f t="shared" si="29"/>
        <v>103.95709987321572</v>
      </c>
      <c r="N49" s="88">
        <f t="shared" si="29"/>
        <v>103.43731437384963</v>
      </c>
      <c r="O49" s="89">
        <f t="shared" si="29"/>
        <v>102.92012780198039</v>
      </c>
      <c r="Q49" s="4"/>
    </row>
    <row r="50" spans="1:17" x14ac:dyDescent="0.3">
      <c r="A50" t="str">
        <f t="shared" si="24"/>
        <v>MedSUVBaseBEV300</v>
      </c>
      <c r="B50" s="90" t="s">
        <v>86</v>
      </c>
      <c r="C50" s="45" t="s">
        <v>75</v>
      </c>
      <c r="D50" s="87" t="s">
        <v>74</v>
      </c>
      <c r="E50" s="88">
        <f t="shared" ref="E50:O50" si="30">((E11*E24)/1000)/BEV_Battery_SOC_Utilization</f>
        <v>93.78947368421052</v>
      </c>
      <c r="F50" s="88">
        <f t="shared" si="30"/>
        <v>93.320526315789479</v>
      </c>
      <c r="G50" s="88">
        <f t="shared" si="30"/>
        <v>92.853923684210528</v>
      </c>
      <c r="H50" s="88">
        <f t="shared" si="30"/>
        <v>92.389654065789472</v>
      </c>
      <c r="I50" s="88">
        <f t="shared" si="30"/>
        <v>91.927705795460511</v>
      </c>
      <c r="J50" s="88">
        <f t="shared" si="30"/>
        <v>91.468067266483203</v>
      </c>
      <c r="K50" s="88">
        <f t="shared" si="30"/>
        <v>91.010726930150781</v>
      </c>
      <c r="L50" s="88">
        <f t="shared" si="30"/>
        <v>90.555673295500029</v>
      </c>
      <c r="M50" s="88">
        <f t="shared" si="30"/>
        <v>90.10289492902254</v>
      </c>
      <c r="N50" s="88">
        <f t="shared" si="30"/>
        <v>89.652380454377422</v>
      </c>
      <c r="O50" s="89">
        <f t="shared" si="30"/>
        <v>89.204118552105527</v>
      </c>
    </row>
    <row r="51" spans="1:17" x14ac:dyDescent="0.3">
      <c r="A51" t="str">
        <f t="shared" si="24"/>
        <v>MedSUVPremiumBEV400</v>
      </c>
      <c r="B51" s="90" t="s">
        <v>86</v>
      </c>
      <c r="C51" s="45" t="s">
        <v>80</v>
      </c>
      <c r="D51" s="87" t="s">
        <v>79</v>
      </c>
      <c r="E51" s="88">
        <f t="shared" ref="E51:O51" si="31">((E12*E25)/1000)/BEV_Battery_SOC_Utilization</f>
        <v>131.36842105263159</v>
      </c>
      <c r="F51" s="88">
        <f t="shared" si="31"/>
        <v>130.71157894736842</v>
      </c>
      <c r="G51" s="88">
        <f t="shared" si="31"/>
        <v>130.05802105263157</v>
      </c>
      <c r="H51" s="88">
        <f t="shared" si="31"/>
        <v>129.40773094736841</v>
      </c>
      <c r="I51" s="88">
        <f t="shared" si="31"/>
        <v>128.76069229263155</v>
      </c>
      <c r="J51" s="88">
        <f t="shared" si="31"/>
        <v>128.11688883116841</v>
      </c>
      <c r="K51" s="88">
        <f t="shared" si="31"/>
        <v>127.47630438701256</v>
      </c>
      <c r="L51" s="88">
        <f t="shared" si="31"/>
        <v>126.83892286507751</v>
      </c>
      <c r="M51" s="88">
        <f t="shared" si="31"/>
        <v>126.2047282507521</v>
      </c>
      <c r="N51" s="88">
        <f t="shared" si="31"/>
        <v>125.57370460949835</v>
      </c>
      <c r="O51" s="89">
        <f t="shared" si="31"/>
        <v>124.94583608645087</v>
      </c>
    </row>
    <row r="52" spans="1:17" x14ac:dyDescent="0.3">
      <c r="A52" t="str">
        <f t="shared" si="24"/>
        <v>PickupBaseBEV300</v>
      </c>
      <c r="B52" s="90" t="s">
        <v>89</v>
      </c>
      <c r="C52" s="45" t="s">
        <v>75</v>
      </c>
      <c r="D52" s="87" t="s">
        <v>74</v>
      </c>
      <c r="E52" s="88">
        <f t="shared" ref="E52:O52" si="32">((E13*E26)/1000)/BEV_Battery_SOC_Utilization</f>
        <v>112.42105263157895</v>
      </c>
      <c r="F52" s="88">
        <f t="shared" si="32"/>
        <v>111.85894736842104</v>
      </c>
      <c r="G52" s="88">
        <f t="shared" si="32"/>
        <v>111.29965263157895</v>
      </c>
      <c r="H52" s="88">
        <f t="shared" si="32"/>
        <v>110.74315436842105</v>
      </c>
      <c r="I52" s="88">
        <f t="shared" si="32"/>
        <v>110.18943859657895</v>
      </c>
      <c r="J52" s="88">
        <f t="shared" si="32"/>
        <v>109.63849140359606</v>
      </c>
      <c r="K52" s="88">
        <f t="shared" si="32"/>
        <v>109.09029894657807</v>
      </c>
      <c r="L52" s="88">
        <f t="shared" si="32"/>
        <v>108.54484745184519</v>
      </c>
      <c r="M52" s="88">
        <f t="shared" si="32"/>
        <v>108.00212321458598</v>
      </c>
      <c r="N52" s="88">
        <f t="shared" si="32"/>
        <v>107.46211259851303</v>
      </c>
      <c r="O52" s="89">
        <f t="shared" si="32"/>
        <v>106.92480203552047</v>
      </c>
    </row>
    <row r="53" spans="1:17" x14ac:dyDescent="0.3">
      <c r="A53" t="str">
        <f t="shared" si="24"/>
        <v>PickupHTBEV400</v>
      </c>
      <c r="B53" s="90" t="s">
        <v>89</v>
      </c>
      <c r="C53" s="45" t="s">
        <v>113</v>
      </c>
      <c r="D53" s="87" t="s">
        <v>79</v>
      </c>
      <c r="E53" s="88">
        <f t="shared" ref="E53:O53" si="33">((E14*E27)/1000)/BEV_Battery_SOC_Utilization</f>
        <v>157.47368421052633</v>
      </c>
      <c r="F53" s="88">
        <f t="shared" si="33"/>
        <v>156.6863157894737</v>
      </c>
      <c r="G53" s="88">
        <f t="shared" si="33"/>
        <v>155.90288421052631</v>
      </c>
      <c r="H53" s="88">
        <f t="shared" si="33"/>
        <v>155.12336978947366</v>
      </c>
      <c r="I53" s="88">
        <f t="shared" si="33"/>
        <v>154.34775294052631</v>
      </c>
      <c r="J53" s="88">
        <f t="shared" si="33"/>
        <v>153.5760141758237</v>
      </c>
      <c r="K53" s="88">
        <f t="shared" si="33"/>
        <v>152.80813410494457</v>
      </c>
      <c r="L53" s="88">
        <f t="shared" si="33"/>
        <v>152.04409343441984</v>
      </c>
      <c r="M53" s="88">
        <f t="shared" si="33"/>
        <v>151.28387296724773</v>
      </c>
      <c r="N53" s="88">
        <f t="shared" si="33"/>
        <v>150.5274536024115</v>
      </c>
      <c r="O53" s="89">
        <f t="shared" si="33"/>
        <v>149.77481633439945</v>
      </c>
    </row>
    <row r="54" spans="1:17" ht="16.2" thickBot="1" x14ac:dyDescent="0.35">
      <c r="A54" s="29"/>
      <c r="B54" s="182" t="s">
        <v>98</v>
      </c>
      <c r="C54" s="183"/>
      <c r="D54" s="183"/>
      <c r="E54" s="183"/>
      <c r="F54" s="183"/>
      <c r="G54" s="183"/>
      <c r="H54" s="183"/>
      <c r="I54" s="183"/>
      <c r="J54" s="183"/>
      <c r="K54" s="183"/>
      <c r="L54" s="183"/>
      <c r="M54" s="183"/>
      <c r="N54" s="183"/>
      <c r="O54" s="184"/>
    </row>
    <row r="55" spans="1:17" x14ac:dyDescent="0.3">
      <c r="B55" s="170" t="s">
        <v>117</v>
      </c>
      <c r="C55" s="175"/>
      <c r="D55" s="175"/>
      <c r="E55" s="175"/>
      <c r="F55" s="175"/>
      <c r="G55" s="175"/>
      <c r="H55" s="175"/>
      <c r="I55" s="175"/>
      <c r="J55" s="175"/>
      <c r="K55" s="175"/>
      <c r="L55" s="175"/>
      <c r="M55" s="175"/>
      <c r="N55" s="175"/>
      <c r="O55" s="171"/>
      <c r="P55" s="12"/>
    </row>
    <row r="56" spans="1:17" x14ac:dyDescent="0.3">
      <c r="B56" s="91" t="s">
        <v>100</v>
      </c>
      <c r="C56" s="92" t="s">
        <v>101</v>
      </c>
      <c r="D56" s="93" t="s">
        <v>67</v>
      </c>
      <c r="E56" s="94" t="s">
        <v>102</v>
      </c>
      <c r="F56" s="94" t="s">
        <v>103</v>
      </c>
      <c r="G56" s="94" t="s">
        <v>104</v>
      </c>
      <c r="H56" s="94" t="s">
        <v>105</v>
      </c>
      <c r="I56" s="94" t="s">
        <v>106</v>
      </c>
      <c r="J56" s="94" t="s">
        <v>107</v>
      </c>
      <c r="K56" s="94" t="s">
        <v>108</v>
      </c>
      <c r="L56" s="94" t="s">
        <v>109</v>
      </c>
      <c r="M56" s="94" t="s">
        <v>110</v>
      </c>
      <c r="N56" s="94" t="s">
        <v>111</v>
      </c>
      <c r="O56" s="95" t="s">
        <v>112</v>
      </c>
    </row>
    <row r="57" spans="1:17" x14ac:dyDescent="0.3">
      <c r="A57" t="str">
        <f>CONCATENATE(B57,C57,D57)</f>
        <v>SmallCarBaseBEV300</v>
      </c>
      <c r="B57" s="85" t="s">
        <v>73</v>
      </c>
      <c r="C57" s="86" t="s">
        <v>75</v>
      </c>
      <c r="D57" s="87" t="s">
        <v>74</v>
      </c>
      <c r="E57" s="88">
        <v>108</v>
      </c>
      <c r="F57" s="88">
        <f t="shared" ref="F57:O57" si="34">E57*(1-BEV_Annual_Motor_Power_Reduction)</f>
        <v>107.46</v>
      </c>
      <c r="G57" s="88">
        <f t="shared" si="34"/>
        <v>106.92269999999999</v>
      </c>
      <c r="H57" s="88">
        <f t="shared" si="34"/>
        <v>106.38808649999999</v>
      </c>
      <c r="I57" s="88">
        <f t="shared" si="34"/>
        <v>105.85614606749999</v>
      </c>
      <c r="J57" s="88">
        <f t="shared" si="34"/>
        <v>105.32686533716249</v>
      </c>
      <c r="K57" s="88">
        <f t="shared" si="34"/>
        <v>104.80023101047668</v>
      </c>
      <c r="L57" s="88">
        <f t="shared" si="34"/>
        <v>104.27622985542429</v>
      </c>
      <c r="M57" s="88">
        <f t="shared" si="34"/>
        <v>103.75484870614717</v>
      </c>
      <c r="N57" s="88">
        <f t="shared" si="34"/>
        <v>103.23607446261643</v>
      </c>
      <c r="O57" s="89">
        <f t="shared" si="34"/>
        <v>102.71989409030334</v>
      </c>
    </row>
    <row r="58" spans="1:17" x14ac:dyDescent="0.3">
      <c r="A58" t="str">
        <f t="shared" ref="A58:A66" si="35">CONCATENATE(B58,C58,D58)</f>
        <v>SmallCarPremiumBEV400</v>
      </c>
      <c r="B58" s="90" t="s">
        <v>73</v>
      </c>
      <c r="C58" s="45" t="s">
        <v>80</v>
      </c>
      <c r="D58" s="87" t="s">
        <v>79</v>
      </c>
      <c r="E58" s="88">
        <v>130</v>
      </c>
      <c r="F58" s="88">
        <f t="shared" ref="F58:O58" si="36">E58*(1-BEV_Annual_Motor_Power_Reduction)</f>
        <v>129.35</v>
      </c>
      <c r="G58" s="88">
        <f t="shared" si="36"/>
        <v>128.70325</v>
      </c>
      <c r="H58" s="88">
        <f t="shared" si="36"/>
        <v>128.05973374999999</v>
      </c>
      <c r="I58" s="88">
        <f t="shared" si="36"/>
        <v>127.41943508124999</v>
      </c>
      <c r="J58" s="88">
        <f t="shared" si="36"/>
        <v>126.78233790584373</v>
      </c>
      <c r="K58" s="88">
        <f t="shared" si="36"/>
        <v>126.14842621631452</v>
      </c>
      <c r="L58" s="88">
        <f t="shared" si="36"/>
        <v>125.51768408523294</v>
      </c>
      <c r="M58" s="88">
        <f t="shared" si="36"/>
        <v>124.89009566480678</v>
      </c>
      <c r="N58" s="88">
        <f t="shared" si="36"/>
        <v>124.26564518648274</v>
      </c>
      <c r="O58" s="89">
        <f t="shared" si="36"/>
        <v>123.64431696055033</v>
      </c>
      <c r="Q58" s="158"/>
    </row>
    <row r="59" spans="1:17" x14ac:dyDescent="0.3">
      <c r="A59" t="str">
        <f t="shared" si="35"/>
        <v>MedCarBaseBEV300</v>
      </c>
      <c r="B59" s="90" t="s">
        <v>82</v>
      </c>
      <c r="C59" s="45" t="s">
        <v>75</v>
      </c>
      <c r="D59" s="87" t="s">
        <v>74</v>
      </c>
      <c r="E59" s="88">
        <v>144</v>
      </c>
      <c r="F59" s="88">
        <f t="shared" ref="F59:O59" si="37">E59*(1-BEV_Annual_Motor_Power_Reduction)</f>
        <v>143.28</v>
      </c>
      <c r="G59" s="88">
        <f t="shared" si="37"/>
        <v>142.56360000000001</v>
      </c>
      <c r="H59" s="88">
        <f t="shared" si="37"/>
        <v>141.85078200000001</v>
      </c>
      <c r="I59" s="88">
        <f t="shared" si="37"/>
        <v>141.14152809000001</v>
      </c>
      <c r="J59" s="88">
        <f t="shared" si="37"/>
        <v>140.43582044955002</v>
      </c>
      <c r="K59" s="88">
        <f t="shared" si="37"/>
        <v>139.73364134730227</v>
      </c>
      <c r="L59" s="88">
        <f t="shared" si="37"/>
        <v>139.03497314056577</v>
      </c>
      <c r="M59" s="88">
        <f t="shared" si="37"/>
        <v>138.33979827486294</v>
      </c>
      <c r="N59" s="88">
        <f t="shared" si="37"/>
        <v>137.64809928348862</v>
      </c>
      <c r="O59" s="89">
        <f t="shared" si="37"/>
        <v>136.95985878707117</v>
      </c>
    </row>
    <row r="60" spans="1:17" x14ac:dyDescent="0.3">
      <c r="A60" t="str">
        <f t="shared" si="35"/>
        <v>MedCarPremiumBEV400</v>
      </c>
      <c r="B60" s="90" t="s">
        <v>82</v>
      </c>
      <c r="C60" s="45" t="s">
        <v>80</v>
      </c>
      <c r="D60" s="87" t="s">
        <v>79</v>
      </c>
      <c r="E60" s="88">
        <v>180</v>
      </c>
      <c r="F60" s="88">
        <f t="shared" ref="F60:O60" si="38">E60*(1-BEV_Annual_Motor_Power_Reduction)</f>
        <v>179.1</v>
      </c>
      <c r="G60" s="88">
        <f t="shared" si="38"/>
        <v>178.2045</v>
      </c>
      <c r="H60" s="88">
        <f t="shared" si="38"/>
        <v>177.3134775</v>
      </c>
      <c r="I60" s="88">
        <f t="shared" si="38"/>
        <v>176.4269101125</v>
      </c>
      <c r="J60" s="88">
        <f t="shared" si="38"/>
        <v>175.54477556193748</v>
      </c>
      <c r="K60" s="88">
        <f t="shared" si="38"/>
        <v>174.66705168412778</v>
      </c>
      <c r="L60" s="88">
        <f t="shared" si="38"/>
        <v>173.79371642570715</v>
      </c>
      <c r="M60" s="88">
        <f t="shared" si="38"/>
        <v>172.92474784357861</v>
      </c>
      <c r="N60" s="88">
        <f t="shared" si="38"/>
        <v>172.06012410436071</v>
      </c>
      <c r="O60" s="89">
        <f t="shared" si="38"/>
        <v>171.19982348383891</v>
      </c>
      <c r="Q60" s="158"/>
    </row>
    <row r="61" spans="1:17" x14ac:dyDescent="0.3">
      <c r="A61" t="str">
        <f t="shared" si="35"/>
        <v>SmallSUVBaseBEV300</v>
      </c>
      <c r="B61" s="90" t="s">
        <v>83</v>
      </c>
      <c r="C61" s="45" t="s">
        <v>75</v>
      </c>
      <c r="D61" s="87" t="s">
        <v>74</v>
      </c>
      <c r="E61" s="88">
        <v>117</v>
      </c>
      <c r="F61" s="88">
        <f t="shared" ref="F61:O61" si="39">E61*(1-BEV_Annual_Motor_Power_Reduction)</f>
        <v>116.41500000000001</v>
      </c>
      <c r="G61" s="88">
        <f t="shared" si="39"/>
        <v>115.832925</v>
      </c>
      <c r="H61" s="88">
        <f t="shared" si="39"/>
        <v>115.253760375</v>
      </c>
      <c r="I61" s="88">
        <f t="shared" si="39"/>
        <v>114.677491573125</v>
      </c>
      <c r="J61" s="88">
        <f t="shared" si="39"/>
        <v>114.10410411525937</v>
      </c>
      <c r="K61" s="88">
        <f t="shared" si="39"/>
        <v>113.53358359468308</v>
      </c>
      <c r="L61" s="88">
        <f t="shared" si="39"/>
        <v>112.96591567670967</v>
      </c>
      <c r="M61" s="88">
        <f t="shared" si="39"/>
        <v>112.40108609832612</v>
      </c>
      <c r="N61" s="88">
        <f t="shared" si="39"/>
        <v>111.83908066783448</v>
      </c>
      <c r="O61" s="89">
        <f t="shared" si="39"/>
        <v>111.27988526449531</v>
      </c>
    </row>
    <row r="62" spans="1:17" x14ac:dyDescent="0.3">
      <c r="A62" t="str">
        <f t="shared" si="35"/>
        <v>SmallSUVPremiumBEV400</v>
      </c>
      <c r="B62" s="90" t="s">
        <v>83</v>
      </c>
      <c r="C62" s="45" t="s">
        <v>80</v>
      </c>
      <c r="D62" s="87" t="s">
        <v>79</v>
      </c>
      <c r="E62" s="88">
        <v>144</v>
      </c>
      <c r="F62" s="88">
        <f t="shared" ref="F62:O62" si="40">E62*(1-BEV_Annual_Motor_Power_Reduction)</f>
        <v>143.28</v>
      </c>
      <c r="G62" s="88">
        <f t="shared" si="40"/>
        <v>142.56360000000001</v>
      </c>
      <c r="H62" s="88">
        <f t="shared" si="40"/>
        <v>141.85078200000001</v>
      </c>
      <c r="I62" s="88">
        <f t="shared" si="40"/>
        <v>141.14152809000001</v>
      </c>
      <c r="J62" s="88">
        <f t="shared" si="40"/>
        <v>140.43582044955002</v>
      </c>
      <c r="K62" s="88">
        <f t="shared" si="40"/>
        <v>139.73364134730227</v>
      </c>
      <c r="L62" s="88">
        <f t="shared" si="40"/>
        <v>139.03497314056577</v>
      </c>
      <c r="M62" s="88">
        <f t="shared" si="40"/>
        <v>138.33979827486294</v>
      </c>
      <c r="N62" s="88">
        <f t="shared" si="40"/>
        <v>137.64809928348862</v>
      </c>
      <c r="O62" s="89">
        <f t="shared" si="40"/>
        <v>136.95985878707117</v>
      </c>
      <c r="Q62" s="158"/>
    </row>
    <row r="63" spans="1:17" x14ac:dyDescent="0.3">
      <c r="A63" t="str">
        <f t="shared" si="35"/>
        <v>MedSUVBaseBEV300</v>
      </c>
      <c r="B63" s="90" t="s">
        <v>86</v>
      </c>
      <c r="C63" s="45" t="s">
        <v>75</v>
      </c>
      <c r="D63" s="87" t="s">
        <v>74</v>
      </c>
      <c r="E63" s="88">
        <v>190</v>
      </c>
      <c r="F63" s="88">
        <f t="shared" ref="F63:O63" si="41">E63*(1-BEV_Annual_Motor_Power_Reduction)</f>
        <v>189.05</v>
      </c>
      <c r="G63" s="88">
        <f t="shared" si="41"/>
        <v>188.10475000000002</v>
      </c>
      <c r="H63" s="88">
        <f t="shared" si="41"/>
        <v>187.16422625000001</v>
      </c>
      <c r="I63" s="88">
        <f t="shared" si="41"/>
        <v>186.22840511875</v>
      </c>
      <c r="J63" s="88">
        <f t="shared" si="41"/>
        <v>185.29726309315626</v>
      </c>
      <c r="K63" s="88">
        <f t="shared" si="41"/>
        <v>184.37077677769048</v>
      </c>
      <c r="L63" s="88">
        <f t="shared" si="41"/>
        <v>183.44892289380203</v>
      </c>
      <c r="M63" s="88">
        <f t="shared" si="41"/>
        <v>182.53167827933302</v>
      </c>
      <c r="N63" s="88">
        <f t="shared" si="41"/>
        <v>181.61901988793636</v>
      </c>
      <c r="O63" s="89">
        <f t="shared" si="41"/>
        <v>180.71092478849667</v>
      </c>
    </row>
    <row r="64" spans="1:17" x14ac:dyDescent="0.3">
      <c r="A64" t="str">
        <f t="shared" si="35"/>
        <v>MedSUVPremiumBEV400</v>
      </c>
      <c r="B64" s="90" t="s">
        <v>86</v>
      </c>
      <c r="C64" s="45" t="s">
        <v>80</v>
      </c>
      <c r="D64" s="87" t="s">
        <v>79</v>
      </c>
      <c r="E64" s="88">
        <v>225</v>
      </c>
      <c r="F64" s="88">
        <f t="shared" ref="F64:O64" si="42">E64*(1-BEV_Annual_Motor_Power_Reduction)</f>
        <v>223.875</v>
      </c>
      <c r="G64" s="88">
        <f t="shared" si="42"/>
        <v>222.75562500000001</v>
      </c>
      <c r="H64" s="88">
        <f t="shared" si="42"/>
        <v>221.641846875</v>
      </c>
      <c r="I64" s="88">
        <f t="shared" si="42"/>
        <v>220.53363764062499</v>
      </c>
      <c r="J64" s="88">
        <f t="shared" si="42"/>
        <v>219.43096945242186</v>
      </c>
      <c r="K64" s="88">
        <f t="shared" si="42"/>
        <v>218.33381460515974</v>
      </c>
      <c r="L64" s="88">
        <f t="shared" si="42"/>
        <v>217.24214553213395</v>
      </c>
      <c r="M64" s="88">
        <f t="shared" si="42"/>
        <v>216.15593480447328</v>
      </c>
      <c r="N64" s="88">
        <f t="shared" si="42"/>
        <v>215.0751551304509</v>
      </c>
      <c r="O64" s="89">
        <f t="shared" si="42"/>
        <v>213.99977935479865</v>
      </c>
      <c r="Q64" s="158"/>
    </row>
    <row r="65" spans="1:17" x14ac:dyDescent="0.3">
      <c r="A65" t="str">
        <f t="shared" si="35"/>
        <v>PickupBaseBEV300</v>
      </c>
      <c r="B65" s="90" t="s">
        <v>89</v>
      </c>
      <c r="C65" s="45" t="s">
        <v>75</v>
      </c>
      <c r="D65" s="87" t="s">
        <v>74</v>
      </c>
      <c r="E65" s="88">
        <v>220.61111111111111</v>
      </c>
      <c r="F65" s="88">
        <f t="shared" ref="F65:O65" si="43">E65*(1-BEV_Annual_Motor_Power_Reduction)</f>
        <v>219.50805555555556</v>
      </c>
      <c r="G65" s="88">
        <f t="shared" si="43"/>
        <v>218.41051527777779</v>
      </c>
      <c r="H65" s="88">
        <f t="shared" si="43"/>
        <v>217.31846270138891</v>
      </c>
      <c r="I65" s="88">
        <f t="shared" si="43"/>
        <v>216.23187038788197</v>
      </c>
      <c r="J65" s="88">
        <f t="shared" si="43"/>
        <v>215.15071103594255</v>
      </c>
      <c r="K65" s="88">
        <f t="shared" si="43"/>
        <v>214.07495748076283</v>
      </c>
      <c r="L65" s="88">
        <f t="shared" si="43"/>
        <v>213.00458269335903</v>
      </c>
      <c r="M65" s="88">
        <f t="shared" si="43"/>
        <v>211.93955977989222</v>
      </c>
      <c r="N65" s="88">
        <f t="shared" si="43"/>
        <v>210.87986198099276</v>
      </c>
      <c r="O65" s="89">
        <f t="shared" si="43"/>
        <v>209.82546267108779</v>
      </c>
    </row>
    <row r="66" spans="1:17" ht="15" thickBot="1" x14ac:dyDescent="0.35">
      <c r="A66" t="str">
        <f t="shared" si="35"/>
        <v>PickupHTBEV400</v>
      </c>
      <c r="B66" s="96" t="s">
        <v>89</v>
      </c>
      <c r="C66" s="97" t="s">
        <v>113</v>
      </c>
      <c r="D66" s="98" t="s">
        <v>79</v>
      </c>
      <c r="E66" s="99">
        <v>241</v>
      </c>
      <c r="F66" s="99">
        <f t="shared" ref="F66:O66" si="44">E66*(1-BEV_Annual_Motor_Power_Reduction)</f>
        <v>239.79499999999999</v>
      </c>
      <c r="G66" s="99">
        <f t="shared" si="44"/>
        <v>238.596025</v>
      </c>
      <c r="H66" s="99">
        <f t="shared" si="44"/>
        <v>237.40304487500001</v>
      </c>
      <c r="I66" s="99">
        <f t="shared" si="44"/>
        <v>236.21602965062502</v>
      </c>
      <c r="J66" s="99">
        <f t="shared" si="44"/>
        <v>235.03494950237189</v>
      </c>
      <c r="K66" s="99">
        <f t="shared" si="44"/>
        <v>233.85977475486004</v>
      </c>
      <c r="L66" s="99">
        <f t="shared" si="44"/>
        <v>232.69047588108575</v>
      </c>
      <c r="M66" s="99">
        <f t="shared" si="44"/>
        <v>231.5270235016803</v>
      </c>
      <c r="N66" s="99">
        <f t="shared" si="44"/>
        <v>230.36938838417191</v>
      </c>
      <c r="O66" s="100">
        <f t="shared" si="44"/>
        <v>229.21754144225105</v>
      </c>
      <c r="Q66" s="158"/>
    </row>
    <row r="68" spans="1:17" x14ac:dyDescent="0.3">
      <c r="B68" s="126"/>
      <c r="C68" s="151"/>
      <c r="D68" s="152"/>
      <c r="E68" s="152"/>
      <c r="F68" s="153"/>
      <c r="G68" s="11"/>
      <c r="H68" s="11"/>
      <c r="I68" s="11"/>
      <c r="J68" s="11"/>
    </row>
    <row r="69" spans="1:17" x14ac:dyDescent="0.3">
      <c r="B69" s="154"/>
      <c r="C69" s="151"/>
      <c r="D69" s="152"/>
      <c r="E69" s="152"/>
      <c r="F69" s="153"/>
      <c r="G69" s="11"/>
      <c r="H69" s="11"/>
      <c r="I69" s="11"/>
      <c r="J69" s="11"/>
    </row>
    <row r="70" spans="1:17" x14ac:dyDescent="0.3">
      <c r="B70" s="126"/>
      <c r="C70" s="151"/>
      <c r="D70" s="152"/>
      <c r="E70" s="152"/>
      <c r="F70" s="153"/>
      <c r="G70" s="11"/>
      <c r="H70" s="11"/>
      <c r="I70" s="11"/>
      <c r="J70" s="11"/>
    </row>
    <row r="71" spans="1:17" x14ac:dyDescent="0.3">
      <c r="B71" s="126"/>
      <c r="C71" s="151"/>
      <c r="D71" s="152"/>
      <c r="E71" s="152"/>
      <c r="F71" s="153"/>
      <c r="G71" s="11"/>
      <c r="H71" s="11"/>
      <c r="I71" s="11"/>
      <c r="J71" s="11"/>
    </row>
    <row r="72" spans="1:17" x14ac:dyDescent="0.3">
      <c r="B72" s="126"/>
      <c r="C72" s="151"/>
      <c r="D72" s="152"/>
      <c r="E72" s="152"/>
      <c r="F72" s="153"/>
      <c r="G72" s="11"/>
      <c r="H72" s="11"/>
      <c r="I72" s="11"/>
      <c r="J72" s="11"/>
    </row>
    <row r="73" spans="1:17" x14ac:dyDescent="0.3">
      <c r="B73" s="126"/>
      <c r="C73" s="151"/>
      <c r="D73" s="152"/>
      <c r="E73" s="152"/>
      <c r="F73" s="153"/>
      <c r="G73" s="11"/>
      <c r="H73" s="11"/>
      <c r="I73" s="11"/>
      <c r="J73" s="11"/>
    </row>
    <row r="74" spans="1:17" x14ac:dyDescent="0.3">
      <c r="B74" s="126"/>
      <c r="C74" s="151"/>
      <c r="D74" s="152"/>
      <c r="E74" s="152"/>
      <c r="F74" s="153"/>
      <c r="G74" s="11"/>
      <c r="H74" s="11"/>
      <c r="I74" s="11"/>
      <c r="J74" s="11"/>
    </row>
    <row r="75" spans="1:17" x14ac:dyDescent="0.3">
      <c r="B75" s="126"/>
      <c r="C75" s="151"/>
      <c r="D75" s="152"/>
      <c r="E75" s="152"/>
      <c r="F75" s="153"/>
      <c r="G75" s="11"/>
      <c r="H75" s="11"/>
      <c r="I75" s="11"/>
      <c r="J75" s="11"/>
    </row>
    <row r="76" spans="1:17" x14ac:dyDescent="0.3">
      <c r="B76" s="126"/>
      <c r="C76" s="151"/>
      <c r="D76" s="152"/>
      <c r="E76" s="152"/>
      <c r="F76" s="153"/>
      <c r="G76" s="11"/>
      <c r="H76" s="11"/>
      <c r="I76" s="11"/>
      <c r="J76" s="11"/>
    </row>
    <row r="77" spans="1:17" x14ac:dyDescent="0.3">
      <c r="B77" s="126"/>
      <c r="C77" s="151"/>
      <c r="D77" s="152"/>
      <c r="E77" s="152"/>
      <c r="F77" s="153"/>
      <c r="G77" s="11"/>
      <c r="H77" s="11"/>
      <c r="I77" s="11"/>
      <c r="J77" s="11"/>
    </row>
    <row r="78" spans="1:17" x14ac:dyDescent="0.3">
      <c r="E78" s="152"/>
    </row>
    <row r="79" spans="1:17" x14ac:dyDescent="0.3">
      <c r="E79" s="152"/>
    </row>
    <row r="80" spans="1:17" x14ac:dyDescent="0.3">
      <c r="A80" t="e">
        <f>CONCATENATE(B80,#REF!,#REF!)</f>
        <v>#REF!</v>
      </c>
      <c r="E80" s="152"/>
    </row>
    <row r="81" spans="1:5" x14ac:dyDescent="0.3">
      <c r="A81" t="e">
        <f>CONCATENATE(B81,#REF!,#REF!)</f>
        <v>#REF!</v>
      </c>
      <c r="E81" s="152"/>
    </row>
    <row r="82" spans="1:5" x14ac:dyDescent="0.3">
      <c r="A82" t="e">
        <f>CONCATENATE(B82,#REF!,#REF!)</f>
        <v>#REF!</v>
      </c>
    </row>
    <row r="83" spans="1:5" x14ac:dyDescent="0.3">
      <c r="A83" t="e">
        <f>CONCATENATE(B83,#REF!,#REF!)</f>
        <v>#REF!</v>
      </c>
    </row>
    <row r="84" spans="1:5" x14ac:dyDescent="0.3">
      <c r="A84" t="e">
        <f>CONCATENATE(B84,#REF!,#REF!)</f>
        <v>#REF!</v>
      </c>
    </row>
  </sheetData>
  <dataConsolidate link="1"/>
  <mergeCells count="11">
    <mergeCell ref="B55:O55"/>
    <mergeCell ref="B1:O1"/>
    <mergeCell ref="B16:O16"/>
    <mergeCell ref="B29:O29"/>
    <mergeCell ref="B42:O42"/>
    <mergeCell ref="B3:O3"/>
    <mergeCell ref="B15:O15"/>
    <mergeCell ref="B41:O41"/>
    <mergeCell ref="B2:O2"/>
    <mergeCell ref="B28:O28"/>
    <mergeCell ref="B54:O54"/>
  </mergeCells>
  <phoneticPr fontId="6" type="noConversion"/>
  <pageMargins left="0.7" right="0.7" top="0.75" bottom="0.75" header="0.3" footer="0.3"/>
  <pageSetup orientation="portrait" r:id="rId1"/>
  <tableParts count="5">
    <tablePart r:id="rId2"/>
    <tablePart r:id="rId3"/>
    <tablePart r:id="rId4"/>
    <tablePart r:id="rId5"/>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10597B"/>
  </sheetPr>
  <dimension ref="A1:S66"/>
  <sheetViews>
    <sheetView topLeftCell="B1" zoomScaleNormal="100" workbookViewId="0">
      <selection activeCell="B54" activeCellId="4" sqref="B2:O2 B15 B28 B41 B54"/>
    </sheetView>
  </sheetViews>
  <sheetFormatPr defaultRowHeight="14.4" x14ac:dyDescent="0.3"/>
  <cols>
    <col min="1" max="1" width="9.109375" hidden="1" customWidth="1"/>
    <col min="2" max="2" width="14.88671875" customWidth="1"/>
    <col min="3" max="3" width="14.5546875" customWidth="1"/>
    <col min="4" max="4" width="12" customWidth="1"/>
    <col min="5" max="15" width="10.88671875" customWidth="1"/>
  </cols>
  <sheetData>
    <row r="1" spans="1:16" ht="30" customHeight="1" thickBot="1" x14ac:dyDescent="0.35">
      <c r="B1" s="185" t="s">
        <v>118</v>
      </c>
      <c r="C1" s="186"/>
      <c r="D1" s="186"/>
      <c r="E1" s="186"/>
      <c r="F1" s="186"/>
      <c r="G1" s="186"/>
      <c r="H1" s="186"/>
      <c r="I1" s="186"/>
      <c r="J1" s="186"/>
      <c r="K1" s="186"/>
      <c r="L1" s="186"/>
      <c r="M1" s="186"/>
      <c r="N1" s="186"/>
      <c r="O1" s="187"/>
    </row>
    <row r="2" spans="1:16" ht="16.2" thickBot="1" x14ac:dyDescent="0.35">
      <c r="B2" s="179" t="s">
        <v>98</v>
      </c>
      <c r="C2" s="180"/>
      <c r="D2" s="180"/>
      <c r="E2" s="180"/>
      <c r="F2" s="180"/>
      <c r="G2" s="180"/>
      <c r="H2" s="180"/>
      <c r="I2" s="180"/>
      <c r="J2" s="180"/>
      <c r="K2" s="180"/>
      <c r="L2" s="180"/>
      <c r="M2" s="180"/>
      <c r="N2" s="180"/>
      <c r="O2" s="181"/>
    </row>
    <row r="3" spans="1:16" ht="15" thickBot="1" x14ac:dyDescent="0.35">
      <c r="B3" s="172" t="s">
        <v>99</v>
      </c>
      <c r="C3" s="174"/>
      <c r="D3" s="174"/>
      <c r="E3" s="174"/>
      <c r="F3" s="174"/>
      <c r="G3" s="174"/>
      <c r="H3" s="174"/>
      <c r="I3" s="174"/>
      <c r="J3" s="174"/>
      <c r="K3" s="174"/>
      <c r="L3" s="174"/>
      <c r="M3" s="174"/>
      <c r="N3" s="174"/>
      <c r="O3" s="173"/>
    </row>
    <row r="4" spans="1:16" x14ac:dyDescent="0.3">
      <c r="A4" s="41"/>
      <c r="B4" s="93" t="s">
        <v>100</v>
      </c>
      <c r="C4" s="107" t="s">
        <v>101</v>
      </c>
      <c r="D4" s="108" t="s">
        <v>67</v>
      </c>
      <c r="E4" s="92" t="s">
        <v>102</v>
      </c>
      <c r="F4" s="92" t="s">
        <v>103</v>
      </c>
      <c r="G4" s="92" t="s">
        <v>104</v>
      </c>
      <c r="H4" s="92" t="s">
        <v>105</v>
      </c>
      <c r="I4" s="92" t="s">
        <v>106</v>
      </c>
      <c r="J4" s="92" t="s">
        <v>107</v>
      </c>
      <c r="K4" s="92" t="s">
        <v>108</v>
      </c>
      <c r="L4" s="92" t="s">
        <v>109</v>
      </c>
      <c r="M4" s="92" t="s">
        <v>110</v>
      </c>
      <c r="N4" s="92" t="s">
        <v>111</v>
      </c>
      <c r="O4" s="109" t="s">
        <v>112</v>
      </c>
    </row>
    <row r="5" spans="1:16" x14ac:dyDescent="0.3">
      <c r="A5" t="str">
        <f>CONCATENATE(B5,C5,D5)</f>
        <v>SmallCarBasePHEV50</v>
      </c>
      <c r="B5" s="101" t="s">
        <v>73</v>
      </c>
      <c r="C5" s="86" t="s">
        <v>75</v>
      </c>
      <c r="D5" s="87" t="s">
        <v>91</v>
      </c>
      <c r="E5" s="88" t="str">
        <f>VLOOKUP($B5&amp;$C5&amp;$D5,'Vehicle Attributes - Base Year'!$A$1:$M$31,6,FALSE)</f>
        <v>50</v>
      </c>
      <c r="F5" s="88" t="str">
        <f>Table3[[#This Row],[2025]]</f>
        <v>50</v>
      </c>
      <c r="G5" s="88" t="str">
        <f>Table3[[#This Row],[2026]]</f>
        <v>50</v>
      </c>
      <c r="H5" s="88" t="str">
        <f>Table3[[#This Row],[2027]]</f>
        <v>50</v>
      </c>
      <c r="I5" s="88" t="str">
        <f>Table3[[#This Row],[2028]]</f>
        <v>50</v>
      </c>
      <c r="J5" s="88" t="str">
        <f>Table3[[#This Row],[2029]]</f>
        <v>50</v>
      </c>
      <c r="K5" s="88" t="str">
        <f>Table3[[#This Row],[2030]]</f>
        <v>50</v>
      </c>
      <c r="L5" s="88" t="str">
        <f>Table3[[#This Row],[2031]]</f>
        <v>50</v>
      </c>
      <c r="M5" s="88" t="str">
        <f>Table3[[#This Row],[2032]]</f>
        <v>50</v>
      </c>
      <c r="N5" s="88" t="str">
        <f>Table3[[#This Row],[2033]]</f>
        <v>50</v>
      </c>
      <c r="O5" s="102" t="str">
        <f>Table3[[#This Row],[2034]]</f>
        <v>50</v>
      </c>
    </row>
    <row r="6" spans="1:16" x14ac:dyDescent="0.3">
      <c r="A6" t="str">
        <f t="shared" ref="A6:A14" si="0">CONCATENATE(B6,C6,D6)</f>
        <v>SmallCarPremiumPHEV50</v>
      </c>
      <c r="B6" s="79" t="s">
        <v>73</v>
      </c>
      <c r="C6" s="45" t="s">
        <v>80</v>
      </c>
      <c r="D6" s="87" t="s">
        <v>91</v>
      </c>
      <c r="E6" s="88" t="str">
        <f>VLOOKUP($B6&amp;$C6&amp;$D6,'Vehicle Attributes - Base Year'!$A$1:$M$31,6,FALSE)</f>
        <v>50</v>
      </c>
      <c r="F6" s="88" t="str">
        <f>Table3[[#This Row],[2025]]</f>
        <v>50</v>
      </c>
      <c r="G6" s="88" t="str">
        <f>Table3[[#This Row],[2026]]</f>
        <v>50</v>
      </c>
      <c r="H6" s="88" t="str">
        <f>Table3[[#This Row],[2027]]</f>
        <v>50</v>
      </c>
      <c r="I6" s="88" t="str">
        <f>Table3[[#This Row],[2028]]</f>
        <v>50</v>
      </c>
      <c r="J6" s="88" t="str">
        <f>Table3[[#This Row],[2029]]</f>
        <v>50</v>
      </c>
      <c r="K6" s="88" t="str">
        <f>Table3[[#This Row],[2030]]</f>
        <v>50</v>
      </c>
      <c r="L6" s="88" t="str">
        <f>Table3[[#This Row],[2031]]</f>
        <v>50</v>
      </c>
      <c r="M6" s="88" t="str">
        <f>Table3[[#This Row],[2032]]</f>
        <v>50</v>
      </c>
      <c r="N6" s="88" t="str">
        <f>Table3[[#This Row],[2033]]</f>
        <v>50</v>
      </c>
      <c r="O6" s="102" t="str">
        <f>Table3[[#This Row],[2034]]</f>
        <v>50</v>
      </c>
    </row>
    <row r="7" spans="1:16" x14ac:dyDescent="0.3">
      <c r="A7" t="str">
        <f t="shared" si="0"/>
        <v>MedCarBasePHEV50</v>
      </c>
      <c r="B7" s="79" t="s">
        <v>82</v>
      </c>
      <c r="C7" s="45" t="s">
        <v>75</v>
      </c>
      <c r="D7" s="87" t="s">
        <v>91</v>
      </c>
      <c r="E7" s="88" t="str">
        <f>VLOOKUP($B7&amp;$C7&amp;$D7,'Vehicle Attributes - Base Year'!$A$1:$M$31,6,FALSE)</f>
        <v>50</v>
      </c>
      <c r="F7" s="88" t="str">
        <f>Table3[[#This Row],[2025]]</f>
        <v>50</v>
      </c>
      <c r="G7" s="88" t="str">
        <f>Table3[[#This Row],[2026]]</f>
        <v>50</v>
      </c>
      <c r="H7" s="88" t="str">
        <f>Table3[[#This Row],[2027]]</f>
        <v>50</v>
      </c>
      <c r="I7" s="88" t="str">
        <f>Table3[[#This Row],[2028]]</f>
        <v>50</v>
      </c>
      <c r="J7" s="88" t="str">
        <f>Table3[[#This Row],[2029]]</f>
        <v>50</v>
      </c>
      <c r="K7" s="88" t="str">
        <f>Table3[[#This Row],[2030]]</f>
        <v>50</v>
      </c>
      <c r="L7" s="88" t="str">
        <f>Table3[[#This Row],[2031]]</f>
        <v>50</v>
      </c>
      <c r="M7" s="88" t="str">
        <f>Table3[[#This Row],[2032]]</f>
        <v>50</v>
      </c>
      <c r="N7" s="88" t="str">
        <f>Table3[[#This Row],[2033]]</f>
        <v>50</v>
      </c>
      <c r="O7" s="102" t="str">
        <f>Table3[[#This Row],[2034]]</f>
        <v>50</v>
      </c>
    </row>
    <row r="8" spans="1:16" x14ac:dyDescent="0.3">
      <c r="A8" t="str">
        <f t="shared" si="0"/>
        <v>MedCarPremiumPHEV50</v>
      </c>
      <c r="B8" s="79" t="s">
        <v>82</v>
      </c>
      <c r="C8" s="45" t="s">
        <v>80</v>
      </c>
      <c r="D8" s="87" t="s">
        <v>91</v>
      </c>
      <c r="E8" s="88" t="str">
        <f>VLOOKUP($B8&amp;$C8&amp;$D8,'Vehicle Attributes - Base Year'!$A$1:$M$31,6,FALSE)</f>
        <v>50</v>
      </c>
      <c r="F8" s="88" t="str">
        <f>Table3[[#This Row],[2025]]</f>
        <v>50</v>
      </c>
      <c r="G8" s="88" t="str">
        <f>Table3[[#This Row],[2026]]</f>
        <v>50</v>
      </c>
      <c r="H8" s="88" t="str">
        <f>Table3[[#This Row],[2027]]</f>
        <v>50</v>
      </c>
      <c r="I8" s="88" t="str">
        <f>Table3[[#This Row],[2028]]</f>
        <v>50</v>
      </c>
      <c r="J8" s="88" t="str">
        <f>Table3[[#This Row],[2029]]</f>
        <v>50</v>
      </c>
      <c r="K8" s="88" t="str">
        <f>Table3[[#This Row],[2030]]</f>
        <v>50</v>
      </c>
      <c r="L8" s="88" t="str">
        <f>Table3[[#This Row],[2031]]</f>
        <v>50</v>
      </c>
      <c r="M8" s="88" t="str">
        <f>Table3[[#This Row],[2032]]</f>
        <v>50</v>
      </c>
      <c r="N8" s="88" t="str">
        <f>Table3[[#This Row],[2033]]</f>
        <v>50</v>
      </c>
      <c r="O8" s="102" t="str">
        <f>Table3[[#This Row],[2034]]</f>
        <v>50</v>
      </c>
    </row>
    <row r="9" spans="1:16" x14ac:dyDescent="0.3">
      <c r="A9" t="str">
        <f t="shared" si="0"/>
        <v>SmallSUVBasePHEV50</v>
      </c>
      <c r="B9" s="79" t="s">
        <v>83</v>
      </c>
      <c r="C9" s="45" t="s">
        <v>75</v>
      </c>
      <c r="D9" s="87" t="s">
        <v>91</v>
      </c>
      <c r="E9" s="88" t="str">
        <f>VLOOKUP($B9&amp;$C9&amp;$D9,'Vehicle Attributes - Base Year'!$A$1:$M$31,6,FALSE)</f>
        <v>50</v>
      </c>
      <c r="F9" s="88" t="str">
        <f>Table3[[#This Row],[2025]]</f>
        <v>50</v>
      </c>
      <c r="G9" s="88" t="str">
        <f>Table3[[#This Row],[2026]]</f>
        <v>50</v>
      </c>
      <c r="H9" s="88" t="str">
        <f>Table3[[#This Row],[2027]]</f>
        <v>50</v>
      </c>
      <c r="I9" s="88" t="str">
        <f>Table3[[#This Row],[2028]]</f>
        <v>50</v>
      </c>
      <c r="J9" s="88" t="str">
        <f>Table3[[#This Row],[2029]]</f>
        <v>50</v>
      </c>
      <c r="K9" s="88" t="str">
        <f>Table3[[#This Row],[2030]]</f>
        <v>50</v>
      </c>
      <c r="L9" s="88" t="str">
        <f>Table3[[#This Row],[2031]]</f>
        <v>50</v>
      </c>
      <c r="M9" s="88" t="str">
        <f>Table3[[#This Row],[2032]]</f>
        <v>50</v>
      </c>
      <c r="N9" s="88" t="str">
        <f>Table3[[#This Row],[2033]]</f>
        <v>50</v>
      </c>
      <c r="O9" s="102" t="str">
        <f>Table3[[#This Row],[2034]]</f>
        <v>50</v>
      </c>
    </row>
    <row r="10" spans="1:16" x14ac:dyDescent="0.3">
      <c r="A10" t="str">
        <f t="shared" si="0"/>
        <v>SmallSUVPremiumPHEV50</v>
      </c>
      <c r="B10" s="79" t="s">
        <v>83</v>
      </c>
      <c r="C10" s="45" t="s">
        <v>80</v>
      </c>
      <c r="D10" s="87" t="s">
        <v>91</v>
      </c>
      <c r="E10" s="88" t="str">
        <f>VLOOKUP($B10&amp;$C10&amp;$D10,'Vehicle Attributes - Base Year'!$A$1:$M$31,6,FALSE)</f>
        <v>50</v>
      </c>
      <c r="F10" s="88" t="str">
        <f>Table3[[#This Row],[2025]]</f>
        <v>50</v>
      </c>
      <c r="G10" s="88" t="str">
        <f>Table3[[#This Row],[2026]]</f>
        <v>50</v>
      </c>
      <c r="H10" s="88" t="str">
        <f>Table3[[#This Row],[2027]]</f>
        <v>50</v>
      </c>
      <c r="I10" s="88" t="str">
        <f>Table3[[#This Row],[2028]]</f>
        <v>50</v>
      </c>
      <c r="J10" s="88" t="str">
        <f>Table3[[#This Row],[2029]]</f>
        <v>50</v>
      </c>
      <c r="K10" s="88" t="str">
        <f>Table3[[#This Row],[2030]]</f>
        <v>50</v>
      </c>
      <c r="L10" s="88" t="str">
        <f>Table3[[#This Row],[2031]]</f>
        <v>50</v>
      </c>
      <c r="M10" s="88" t="str">
        <f>Table3[[#This Row],[2032]]</f>
        <v>50</v>
      </c>
      <c r="N10" s="88" t="str">
        <f>Table3[[#This Row],[2033]]</f>
        <v>50</v>
      </c>
      <c r="O10" s="102" t="str">
        <f>Table3[[#This Row],[2034]]</f>
        <v>50</v>
      </c>
    </row>
    <row r="11" spans="1:16" x14ac:dyDescent="0.3">
      <c r="A11" t="str">
        <f t="shared" si="0"/>
        <v>MedSUVBasePHEV50</v>
      </c>
      <c r="B11" s="79" t="s">
        <v>86</v>
      </c>
      <c r="C11" s="45" t="s">
        <v>75</v>
      </c>
      <c r="D11" s="87" t="s">
        <v>91</v>
      </c>
      <c r="E11" s="88">
        <v>50</v>
      </c>
      <c r="F11" s="88">
        <f>Table3[[#This Row],[2025]]</f>
        <v>50</v>
      </c>
      <c r="G11" s="88">
        <f>Table3[[#This Row],[2026]]</f>
        <v>50</v>
      </c>
      <c r="H11" s="88">
        <f>Table3[[#This Row],[2027]]</f>
        <v>50</v>
      </c>
      <c r="I11" s="88">
        <f>Table3[[#This Row],[2028]]</f>
        <v>50</v>
      </c>
      <c r="J11" s="88">
        <f>Table3[[#This Row],[2029]]</f>
        <v>50</v>
      </c>
      <c r="K11" s="88">
        <f>Table3[[#This Row],[2030]]</f>
        <v>50</v>
      </c>
      <c r="L11" s="88">
        <f>Table3[[#This Row],[2031]]</f>
        <v>50</v>
      </c>
      <c r="M11" s="88">
        <f>Table3[[#This Row],[2032]]</f>
        <v>50</v>
      </c>
      <c r="N11" s="88">
        <f>Table3[[#This Row],[2033]]</f>
        <v>50</v>
      </c>
      <c r="O11" s="102">
        <f>Table3[[#This Row],[2034]]</f>
        <v>50</v>
      </c>
    </row>
    <row r="12" spans="1:16" x14ac:dyDescent="0.3">
      <c r="A12" t="str">
        <f t="shared" si="0"/>
        <v>MedSUVPremiumPHEV50</v>
      </c>
      <c r="B12" s="79" t="s">
        <v>86</v>
      </c>
      <c r="C12" s="45" t="s">
        <v>80</v>
      </c>
      <c r="D12" s="87" t="s">
        <v>91</v>
      </c>
      <c r="E12" s="88">
        <v>50</v>
      </c>
      <c r="F12" s="88">
        <f>Table3[[#This Row],[2025]]</f>
        <v>50</v>
      </c>
      <c r="G12" s="88">
        <f>Table3[[#This Row],[2026]]</f>
        <v>50</v>
      </c>
      <c r="H12" s="88">
        <f>Table3[[#This Row],[2027]]</f>
        <v>50</v>
      </c>
      <c r="I12" s="88">
        <f>Table3[[#This Row],[2028]]</f>
        <v>50</v>
      </c>
      <c r="J12" s="88">
        <f>Table3[[#This Row],[2029]]</f>
        <v>50</v>
      </c>
      <c r="K12" s="88">
        <f>Table3[[#This Row],[2030]]</f>
        <v>50</v>
      </c>
      <c r="L12" s="88">
        <f>Table3[[#This Row],[2031]]</f>
        <v>50</v>
      </c>
      <c r="M12" s="88">
        <f>Table3[[#This Row],[2032]]</f>
        <v>50</v>
      </c>
      <c r="N12" s="88">
        <f>Table3[[#This Row],[2033]]</f>
        <v>50</v>
      </c>
      <c r="O12" s="102">
        <f>Table3[[#This Row],[2034]]</f>
        <v>50</v>
      </c>
    </row>
    <row r="13" spans="1:16" x14ac:dyDescent="0.3">
      <c r="A13" t="str">
        <f t="shared" si="0"/>
        <v>PickupBasePHEV50</v>
      </c>
      <c r="B13" s="79" t="s">
        <v>89</v>
      </c>
      <c r="C13" s="45" t="s">
        <v>75</v>
      </c>
      <c r="D13" s="87" t="s">
        <v>91</v>
      </c>
      <c r="E13" s="88">
        <v>50</v>
      </c>
      <c r="F13" s="88">
        <f>Table3[[#This Row],[2025]]</f>
        <v>50</v>
      </c>
      <c r="G13" s="88">
        <f>Table3[[#This Row],[2026]]</f>
        <v>50</v>
      </c>
      <c r="H13" s="88">
        <f>Table3[[#This Row],[2027]]</f>
        <v>50</v>
      </c>
      <c r="I13" s="88">
        <f>Table3[[#This Row],[2028]]</f>
        <v>50</v>
      </c>
      <c r="J13" s="88">
        <f>Table3[[#This Row],[2029]]</f>
        <v>50</v>
      </c>
      <c r="K13" s="88">
        <f>Table3[[#This Row],[2030]]</f>
        <v>50</v>
      </c>
      <c r="L13" s="88">
        <f>Table3[[#This Row],[2031]]</f>
        <v>50</v>
      </c>
      <c r="M13" s="88">
        <f>Table3[[#This Row],[2032]]</f>
        <v>50</v>
      </c>
      <c r="N13" s="88">
        <f>Table3[[#This Row],[2033]]</f>
        <v>50</v>
      </c>
      <c r="O13" s="102">
        <f>Table3[[#This Row],[2034]]</f>
        <v>50</v>
      </c>
    </row>
    <row r="14" spans="1:16" ht="15" thickBot="1" x14ac:dyDescent="0.35">
      <c r="A14" t="str">
        <f t="shared" si="0"/>
        <v>PickupHTPHEV50</v>
      </c>
      <c r="B14" s="79" t="s">
        <v>89</v>
      </c>
      <c r="C14" s="45" t="s">
        <v>113</v>
      </c>
      <c r="D14" s="87" t="s">
        <v>91</v>
      </c>
      <c r="E14" s="88">
        <v>50</v>
      </c>
      <c r="F14" s="88">
        <f>Table3[[#This Row],[2025]]</f>
        <v>50</v>
      </c>
      <c r="G14" s="88">
        <f>Table3[[#This Row],[2026]]</f>
        <v>50</v>
      </c>
      <c r="H14" s="88">
        <f>Table3[[#This Row],[2027]]</f>
        <v>50</v>
      </c>
      <c r="I14" s="88">
        <f>Table3[[#This Row],[2028]]</f>
        <v>50</v>
      </c>
      <c r="J14" s="88">
        <f>Table3[[#This Row],[2029]]</f>
        <v>50</v>
      </c>
      <c r="K14" s="88">
        <f>Table3[[#This Row],[2030]]</f>
        <v>50</v>
      </c>
      <c r="L14" s="88">
        <f>Table3[[#This Row],[2031]]</f>
        <v>50</v>
      </c>
      <c r="M14" s="88">
        <f>Table3[[#This Row],[2032]]</f>
        <v>50</v>
      </c>
      <c r="N14" s="88">
        <f>Table3[[#This Row],[2033]]</f>
        <v>50</v>
      </c>
      <c r="O14" s="102">
        <f>Table3[[#This Row],[2034]]</f>
        <v>50</v>
      </c>
    </row>
    <row r="15" spans="1:16" ht="16.2" thickBot="1" x14ac:dyDescent="0.35">
      <c r="B15" s="179" t="s">
        <v>98</v>
      </c>
      <c r="C15" s="180"/>
      <c r="D15" s="180"/>
      <c r="E15" s="180"/>
      <c r="F15" s="180"/>
      <c r="G15" s="180"/>
      <c r="H15" s="180"/>
      <c r="I15" s="180"/>
      <c r="J15" s="180"/>
      <c r="K15" s="180"/>
      <c r="L15" s="180"/>
      <c r="M15" s="180"/>
      <c r="N15" s="180"/>
      <c r="O15" s="181"/>
    </row>
    <row r="16" spans="1:16" ht="15" thickBot="1" x14ac:dyDescent="0.35">
      <c r="B16" s="172" t="s">
        <v>119</v>
      </c>
      <c r="C16" s="174"/>
      <c r="D16" s="174"/>
      <c r="E16" s="174"/>
      <c r="F16" s="174"/>
      <c r="G16" s="174"/>
      <c r="H16" s="174"/>
      <c r="I16" s="174"/>
      <c r="J16" s="174"/>
      <c r="K16" s="174"/>
      <c r="L16" s="174"/>
      <c r="M16" s="174"/>
      <c r="N16" s="174"/>
      <c r="O16" s="173"/>
      <c r="P16" s="12"/>
    </row>
    <row r="17" spans="1:16" x14ac:dyDescent="0.3">
      <c r="B17" s="93" t="s">
        <v>100</v>
      </c>
      <c r="C17" s="107" t="s">
        <v>101</v>
      </c>
      <c r="D17" s="108" t="s">
        <v>67</v>
      </c>
      <c r="E17" s="92" t="s">
        <v>102</v>
      </c>
      <c r="F17" s="92" t="s">
        <v>103</v>
      </c>
      <c r="G17" s="92" t="s">
        <v>104</v>
      </c>
      <c r="H17" s="92" t="s">
        <v>105</v>
      </c>
      <c r="I17" s="92" t="s">
        <v>106</v>
      </c>
      <c r="J17" s="92" t="s">
        <v>107</v>
      </c>
      <c r="K17" s="92" t="s">
        <v>108</v>
      </c>
      <c r="L17" s="92" t="s">
        <v>109</v>
      </c>
      <c r="M17" s="92" t="s">
        <v>110</v>
      </c>
      <c r="N17" s="92" t="s">
        <v>111</v>
      </c>
      <c r="O17" s="109" t="s">
        <v>112</v>
      </c>
      <c r="P17" s="11"/>
    </row>
    <row r="18" spans="1:16" x14ac:dyDescent="0.3">
      <c r="A18" t="str">
        <f>CONCATENATE(B18,C18,D18)</f>
        <v>SmallCarBasePHEV50</v>
      </c>
      <c r="B18" s="101" t="s">
        <v>73</v>
      </c>
      <c r="C18" s="86" t="s">
        <v>75</v>
      </c>
      <c r="D18" s="87" t="s">
        <v>91</v>
      </c>
      <c r="E18" s="88">
        <v>291</v>
      </c>
      <c r="F18" s="88">
        <f t="shared" ref="F18:F27" si="1">E18*(1-PHEV_Annual_Efficiency_Improvement)</f>
        <v>289.54500000000002</v>
      </c>
      <c r="G18" s="88">
        <f t="shared" ref="G18:G27" si="2">F18*(1-PHEV_Annual_Efficiency_Improvement)</f>
        <v>288.09727500000002</v>
      </c>
      <c r="H18" s="88">
        <f t="shared" ref="H18:H27" si="3">G18*(1-PHEV_Annual_Efficiency_Improvement)</f>
        <v>286.65678862500005</v>
      </c>
      <c r="I18" s="88">
        <f t="shared" ref="I18:I27" si="4">H18*(1-PHEV_Annual_Efficiency_Improvement)</f>
        <v>285.22350468187506</v>
      </c>
      <c r="J18" s="88">
        <f t="shared" ref="J18:J27" si="5">I18*(1-PHEV_Annual_Efficiency_Improvement)</f>
        <v>283.79738715846565</v>
      </c>
      <c r="K18" s="88">
        <f t="shared" ref="K18:K27" si="6">J18*(1-PHEV_Annual_Efficiency_Improvement)</f>
        <v>282.37840022267335</v>
      </c>
      <c r="L18" s="88">
        <f t="shared" ref="L18:L27" si="7">K18*(1-PHEV_Annual_Efficiency_Improvement)</f>
        <v>280.96650822155999</v>
      </c>
      <c r="M18" s="88">
        <f t="shared" ref="M18:M27" si="8">L18*(1-PHEV_Annual_Efficiency_Improvement)</f>
        <v>279.5616756804522</v>
      </c>
      <c r="N18" s="88">
        <f t="shared" ref="N18:N27" si="9">M18*(1-PHEV_Annual_Efficiency_Improvement)</f>
        <v>278.16386730204994</v>
      </c>
      <c r="O18" s="102">
        <f t="shared" ref="O18:O27" si="10">N18*(1-PHEV_Annual_Efficiency_Improvement)</f>
        <v>276.77304796553966</v>
      </c>
      <c r="P18" s="11"/>
    </row>
    <row r="19" spans="1:16" x14ac:dyDescent="0.3">
      <c r="A19" t="str">
        <f t="shared" ref="A19:A27" si="11">CONCATENATE(B19,C19,D19)</f>
        <v>SmallCarPremiumPHEV50</v>
      </c>
      <c r="B19" s="79" t="s">
        <v>73</v>
      </c>
      <c r="C19" s="45" t="s">
        <v>80</v>
      </c>
      <c r="D19" s="87" t="s">
        <v>91</v>
      </c>
      <c r="E19" s="88">
        <f>E18</f>
        <v>291</v>
      </c>
      <c r="F19" s="88">
        <f t="shared" si="1"/>
        <v>289.54500000000002</v>
      </c>
      <c r="G19" s="88">
        <f t="shared" si="2"/>
        <v>288.09727500000002</v>
      </c>
      <c r="H19" s="88">
        <f t="shared" si="3"/>
        <v>286.65678862500005</v>
      </c>
      <c r="I19" s="88">
        <f t="shared" si="4"/>
        <v>285.22350468187506</v>
      </c>
      <c r="J19" s="88">
        <f t="shared" si="5"/>
        <v>283.79738715846565</v>
      </c>
      <c r="K19" s="88">
        <f t="shared" si="6"/>
        <v>282.37840022267335</v>
      </c>
      <c r="L19" s="88">
        <f t="shared" si="7"/>
        <v>280.96650822155999</v>
      </c>
      <c r="M19" s="88">
        <f t="shared" si="8"/>
        <v>279.5616756804522</v>
      </c>
      <c r="N19" s="88">
        <f t="shared" si="9"/>
        <v>278.16386730204994</v>
      </c>
      <c r="O19" s="102">
        <f t="shared" si="10"/>
        <v>276.77304796553966</v>
      </c>
      <c r="P19" s="11"/>
    </row>
    <row r="20" spans="1:16" x14ac:dyDescent="0.3">
      <c r="A20" t="str">
        <f t="shared" si="11"/>
        <v>MedCarBasePHEV50</v>
      </c>
      <c r="B20" s="79" t="s">
        <v>82</v>
      </c>
      <c r="C20" s="45" t="s">
        <v>75</v>
      </c>
      <c r="D20" s="87" t="s">
        <v>91</v>
      </c>
      <c r="E20" s="88">
        <v>312</v>
      </c>
      <c r="F20" s="88">
        <f t="shared" si="1"/>
        <v>310.44</v>
      </c>
      <c r="G20" s="88">
        <f t="shared" si="2"/>
        <v>308.88779999999997</v>
      </c>
      <c r="H20" s="88">
        <f t="shared" si="3"/>
        <v>307.34336099999996</v>
      </c>
      <c r="I20" s="88">
        <f t="shared" si="4"/>
        <v>305.80664419499993</v>
      </c>
      <c r="J20" s="88">
        <f t="shared" si="5"/>
        <v>304.27761097402492</v>
      </c>
      <c r="K20" s="88">
        <f t="shared" si="6"/>
        <v>302.75622291915482</v>
      </c>
      <c r="L20" s="88">
        <f t="shared" si="7"/>
        <v>301.24244180455906</v>
      </c>
      <c r="M20" s="88">
        <f t="shared" si="8"/>
        <v>299.73622959553626</v>
      </c>
      <c r="N20" s="88">
        <f t="shared" si="9"/>
        <v>298.23754844755859</v>
      </c>
      <c r="O20" s="102">
        <f t="shared" si="10"/>
        <v>296.7463607053208</v>
      </c>
      <c r="P20" s="11"/>
    </row>
    <row r="21" spans="1:16" x14ac:dyDescent="0.3">
      <c r="A21" t="str">
        <f t="shared" si="11"/>
        <v>MedCarPremiumPHEV50</v>
      </c>
      <c r="B21" s="79" t="s">
        <v>82</v>
      </c>
      <c r="C21" s="45" t="s">
        <v>80</v>
      </c>
      <c r="D21" s="87" t="s">
        <v>91</v>
      </c>
      <c r="E21" s="88">
        <f>E20</f>
        <v>312</v>
      </c>
      <c r="F21" s="88">
        <f t="shared" si="1"/>
        <v>310.44</v>
      </c>
      <c r="G21" s="88">
        <f t="shared" si="2"/>
        <v>308.88779999999997</v>
      </c>
      <c r="H21" s="88">
        <f t="shared" si="3"/>
        <v>307.34336099999996</v>
      </c>
      <c r="I21" s="88">
        <f t="shared" si="4"/>
        <v>305.80664419499993</v>
      </c>
      <c r="J21" s="88">
        <f t="shared" si="5"/>
        <v>304.27761097402492</v>
      </c>
      <c r="K21" s="88">
        <f t="shared" si="6"/>
        <v>302.75622291915482</v>
      </c>
      <c r="L21" s="88">
        <f t="shared" si="7"/>
        <v>301.24244180455906</v>
      </c>
      <c r="M21" s="88">
        <f t="shared" si="8"/>
        <v>299.73622959553626</v>
      </c>
      <c r="N21" s="88">
        <f t="shared" si="9"/>
        <v>298.23754844755859</v>
      </c>
      <c r="O21" s="102">
        <f t="shared" si="10"/>
        <v>296.7463607053208</v>
      </c>
      <c r="P21" s="11"/>
    </row>
    <row r="22" spans="1:16" x14ac:dyDescent="0.3">
      <c r="A22" t="str">
        <f t="shared" si="11"/>
        <v>SmallSUVBasePHEV50</v>
      </c>
      <c r="B22" s="79" t="s">
        <v>83</v>
      </c>
      <c r="C22" s="45" t="s">
        <v>75</v>
      </c>
      <c r="D22" s="87" t="s">
        <v>91</v>
      </c>
      <c r="E22" s="88">
        <v>358</v>
      </c>
      <c r="F22" s="88">
        <f t="shared" si="1"/>
        <v>356.21</v>
      </c>
      <c r="G22" s="88">
        <f t="shared" si="2"/>
        <v>354.42894999999999</v>
      </c>
      <c r="H22" s="88">
        <f t="shared" si="3"/>
        <v>352.65680524999999</v>
      </c>
      <c r="I22" s="88">
        <f t="shared" si="4"/>
        <v>350.89352122374999</v>
      </c>
      <c r="J22" s="88">
        <f t="shared" si="5"/>
        <v>349.13905361763125</v>
      </c>
      <c r="K22" s="88">
        <f t="shared" si="6"/>
        <v>347.39335834954306</v>
      </c>
      <c r="L22" s="88">
        <f t="shared" si="7"/>
        <v>345.65639155779536</v>
      </c>
      <c r="M22" s="88">
        <f t="shared" si="8"/>
        <v>343.92810960000639</v>
      </c>
      <c r="N22" s="88">
        <f t="shared" si="9"/>
        <v>342.20846905200636</v>
      </c>
      <c r="O22" s="102">
        <f t="shared" si="10"/>
        <v>340.49742670674635</v>
      </c>
      <c r="P22" s="11"/>
    </row>
    <row r="23" spans="1:16" x14ac:dyDescent="0.3">
      <c r="A23" t="str">
        <f t="shared" si="11"/>
        <v>SmallSUVPremiumPHEV50</v>
      </c>
      <c r="B23" s="79" t="s">
        <v>83</v>
      </c>
      <c r="C23" s="45" t="s">
        <v>80</v>
      </c>
      <c r="D23" s="87" t="s">
        <v>91</v>
      </c>
      <c r="E23" s="88">
        <f>E22</f>
        <v>358</v>
      </c>
      <c r="F23" s="88">
        <f t="shared" si="1"/>
        <v>356.21</v>
      </c>
      <c r="G23" s="88">
        <f t="shared" si="2"/>
        <v>354.42894999999999</v>
      </c>
      <c r="H23" s="88">
        <f t="shared" si="3"/>
        <v>352.65680524999999</v>
      </c>
      <c r="I23" s="88">
        <f t="shared" si="4"/>
        <v>350.89352122374999</v>
      </c>
      <c r="J23" s="88">
        <f t="shared" si="5"/>
        <v>349.13905361763125</v>
      </c>
      <c r="K23" s="88">
        <f t="shared" si="6"/>
        <v>347.39335834954306</v>
      </c>
      <c r="L23" s="88">
        <f t="shared" si="7"/>
        <v>345.65639155779536</v>
      </c>
      <c r="M23" s="88">
        <f t="shared" si="8"/>
        <v>343.92810960000639</v>
      </c>
      <c r="N23" s="88">
        <f t="shared" si="9"/>
        <v>342.20846905200636</v>
      </c>
      <c r="O23" s="102">
        <f t="shared" si="10"/>
        <v>340.49742670674635</v>
      </c>
      <c r="P23" s="11"/>
    </row>
    <row r="24" spans="1:16" x14ac:dyDescent="0.3">
      <c r="A24" t="str">
        <f t="shared" si="11"/>
        <v>MedSUVBasePHEV50</v>
      </c>
      <c r="B24" s="79" t="s">
        <v>86</v>
      </c>
      <c r="C24" s="45" t="s">
        <v>75</v>
      </c>
      <c r="D24" s="87" t="s">
        <v>91</v>
      </c>
      <c r="E24" s="88">
        <v>386</v>
      </c>
      <c r="F24" s="88">
        <f t="shared" si="1"/>
        <v>384.07</v>
      </c>
      <c r="G24" s="88">
        <f t="shared" si="2"/>
        <v>382.14965000000001</v>
      </c>
      <c r="H24" s="88">
        <f t="shared" si="3"/>
        <v>380.23890175000003</v>
      </c>
      <c r="I24" s="88">
        <f t="shared" si="4"/>
        <v>378.33770724125003</v>
      </c>
      <c r="J24" s="88">
        <f t="shared" si="5"/>
        <v>376.4460187050438</v>
      </c>
      <c r="K24" s="88">
        <f t="shared" si="6"/>
        <v>374.56378861151859</v>
      </c>
      <c r="L24" s="88">
        <f t="shared" si="7"/>
        <v>372.69096966846098</v>
      </c>
      <c r="M24" s="88">
        <f t="shared" si="8"/>
        <v>370.82751482011867</v>
      </c>
      <c r="N24" s="88">
        <f t="shared" si="9"/>
        <v>368.97337724601806</v>
      </c>
      <c r="O24" s="102">
        <f t="shared" si="10"/>
        <v>367.12851035978798</v>
      </c>
      <c r="P24" s="11"/>
    </row>
    <row r="25" spans="1:16" x14ac:dyDescent="0.3">
      <c r="A25" t="str">
        <f t="shared" si="11"/>
        <v>MedSUVPremiumPHEV50</v>
      </c>
      <c r="B25" s="79" t="s">
        <v>86</v>
      </c>
      <c r="C25" s="45" t="s">
        <v>80</v>
      </c>
      <c r="D25" s="87" t="s">
        <v>91</v>
      </c>
      <c r="E25" s="88">
        <f>E24</f>
        <v>386</v>
      </c>
      <c r="F25" s="88">
        <f t="shared" si="1"/>
        <v>384.07</v>
      </c>
      <c r="G25" s="88">
        <f t="shared" si="2"/>
        <v>382.14965000000001</v>
      </c>
      <c r="H25" s="88">
        <f t="shared" si="3"/>
        <v>380.23890175000003</v>
      </c>
      <c r="I25" s="88">
        <f t="shared" si="4"/>
        <v>378.33770724125003</v>
      </c>
      <c r="J25" s="88">
        <f t="shared" si="5"/>
        <v>376.4460187050438</v>
      </c>
      <c r="K25" s="88">
        <f t="shared" si="6"/>
        <v>374.56378861151859</v>
      </c>
      <c r="L25" s="88">
        <f t="shared" si="7"/>
        <v>372.69096966846098</v>
      </c>
      <c r="M25" s="88">
        <f t="shared" si="8"/>
        <v>370.82751482011867</v>
      </c>
      <c r="N25" s="88">
        <f t="shared" si="9"/>
        <v>368.97337724601806</v>
      </c>
      <c r="O25" s="102">
        <f t="shared" si="10"/>
        <v>367.12851035978798</v>
      </c>
      <c r="P25" s="11"/>
    </row>
    <row r="26" spans="1:16" x14ac:dyDescent="0.3">
      <c r="A26" t="str">
        <f t="shared" si="11"/>
        <v>PickupBasePHEV50</v>
      </c>
      <c r="B26" s="79" t="s">
        <v>89</v>
      </c>
      <c r="C26" s="45" t="s">
        <v>75</v>
      </c>
      <c r="D26" s="87" t="s">
        <v>91</v>
      </c>
      <c r="E26" s="88">
        <v>463</v>
      </c>
      <c r="F26" s="88">
        <f t="shared" si="1"/>
        <v>460.685</v>
      </c>
      <c r="G26" s="88">
        <f t="shared" si="2"/>
        <v>458.381575</v>
      </c>
      <c r="H26" s="88">
        <f t="shared" si="3"/>
        <v>456.08966712500001</v>
      </c>
      <c r="I26" s="88">
        <f t="shared" si="4"/>
        <v>453.809218789375</v>
      </c>
      <c r="J26" s="88">
        <f t="shared" si="5"/>
        <v>451.54017269542811</v>
      </c>
      <c r="K26" s="88">
        <f t="shared" si="6"/>
        <v>449.28247183195094</v>
      </c>
      <c r="L26" s="88">
        <f t="shared" si="7"/>
        <v>447.03605947279118</v>
      </c>
      <c r="M26" s="88">
        <f t="shared" si="8"/>
        <v>444.80087917542721</v>
      </c>
      <c r="N26" s="88">
        <f t="shared" si="9"/>
        <v>442.57687477955005</v>
      </c>
      <c r="O26" s="102">
        <f t="shared" si="10"/>
        <v>440.36399040565232</v>
      </c>
      <c r="P26" s="11"/>
    </row>
    <row r="27" spans="1:16" ht="15" thickBot="1" x14ac:dyDescent="0.35">
      <c r="A27" t="str">
        <f t="shared" si="11"/>
        <v>PickupHTPHEV50</v>
      </c>
      <c r="B27" s="79" t="s">
        <v>89</v>
      </c>
      <c r="C27" s="45" t="s">
        <v>113</v>
      </c>
      <c r="D27" s="87" t="s">
        <v>91</v>
      </c>
      <c r="E27" s="88">
        <f>E26</f>
        <v>463</v>
      </c>
      <c r="F27" s="88">
        <f t="shared" si="1"/>
        <v>460.685</v>
      </c>
      <c r="G27" s="88">
        <f t="shared" si="2"/>
        <v>458.381575</v>
      </c>
      <c r="H27" s="88">
        <f t="shared" si="3"/>
        <v>456.08966712500001</v>
      </c>
      <c r="I27" s="88">
        <f t="shared" si="4"/>
        <v>453.809218789375</v>
      </c>
      <c r="J27" s="88">
        <f t="shared" si="5"/>
        <v>451.54017269542811</v>
      </c>
      <c r="K27" s="88">
        <f t="shared" si="6"/>
        <v>449.28247183195094</v>
      </c>
      <c r="L27" s="88">
        <f t="shared" si="7"/>
        <v>447.03605947279118</v>
      </c>
      <c r="M27" s="88">
        <f t="shared" si="8"/>
        <v>444.80087917542721</v>
      </c>
      <c r="N27" s="88">
        <f t="shared" si="9"/>
        <v>442.57687477955005</v>
      </c>
      <c r="O27" s="102">
        <f t="shared" si="10"/>
        <v>440.36399040565232</v>
      </c>
      <c r="P27" s="11"/>
    </row>
    <row r="28" spans="1:16" ht="16.2" thickBot="1" x14ac:dyDescent="0.35">
      <c r="A28" s="29"/>
      <c r="B28" s="179" t="s">
        <v>98</v>
      </c>
      <c r="C28" s="180"/>
      <c r="D28" s="180"/>
      <c r="E28" s="180"/>
      <c r="F28" s="180"/>
      <c r="G28" s="180"/>
      <c r="H28" s="180"/>
      <c r="I28" s="180"/>
      <c r="J28" s="180"/>
      <c r="K28" s="180"/>
      <c r="L28" s="180"/>
      <c r="M28" s="180"/>
      <c r="N28" s="180"/>
      <c r="O28" s="181"/>
      <c r="P28" s="11"/>
    </row>
    <row r="29" spans="1:16" x14ac:dyDescent="0.3">
      <c r="A29" s="11"/>
      <c r="B29" s="170" t="s">
        <v>120</v>
      </c>
      <c r="C29" s="175"/>
      <c r="D29" s="175"/>
      <c r="E29" s="175"/>
      <c r="F29" s="175"/>
      <c r="G29" s="175"/>
      <c r="H29" s="175"/>
      <c r="I29" s="175"/>
      <c r="J29" s="175"/>
      <c r="K29" s="175"/>
      <c r="L29" s="175"/>
      <c r="M29" s="175"/>
      <c r="N29" s="175"/>
      <c r="O29" s="171"/>
      <c r="P29" s="31"/>
    </row>
    <row r="30" spans="1:16" ht="15" thickBot="1" x14ac:dyDescent="0.35">
      <c r="A30" s="11"/>
      <c r="B30" s="110" t="s">
        <v>100</v>
      </c>
      <c r="C30" s="111" t="s">
        <v>101</v>
      </c>
      <c r="D30" s="112" t="s">
        <v>67</v>
      </c>
      <c r="E30" s="113" t="s">
        <v>102</v>
      </c>
      <c r="F30" s="113" t="s">
        <v>103</v>
      </c>
      <c r="G30" s="113" t="s">
        <v>104</v>
      </c>
      <c r="H30" s="113" t="s">
        <v>105</v>
      </c>
      <c r="I30" s="113" t="s">
        <v>106</v>
      </c>
      <c r="J30" s="113" t="s">
        <v>107</v>
      </c>
      <c r="K30" s="113" t="s">
        <v>108</v>
      </c>
      <c r="L30" s="113" t="s">
        <v>109</v>
      </c>
      <c r="M30" s="113" t="s">
        <v>110</v>
      </c>
      <c r="N30" s="113" t="s">
        <v>111</v>
      </c>
      <c r="O30" s="114" t="s">
        <v>112</v>
      </c>
      <c r="P30" s="11"/>
    </row>
    <row r="31" spans="1:16" x14ac:dyDescent="0.3">
      <c r="A31" s="11" t="str">
        <f>CONCATENATE(B31,C31,D31)</f>
        <v>SmallCarBasePHEV50</v>
      </c>
      <c r="B31" s="103" t="s">
        <v>73</v>
      </c>
      <c r="C31" s="63" t="s">
        <v>75</v>
      </c>
      <c r="D31" s="104" t="s">
        <v>91</v>
      </c>
      <c r="E31" s="160">
        <f>((E18*E5)/1000)</f>
        <v>14.55</v>
      </c>
      <c r="F31" s="160">
        <f t="shared" ref="F31:O31" si="12">((F18*F5)/1000)</f>
        <v>14.47725</v>
      </c>
      <c r="G31" s="160">
        <f t="shared" si="12"/>
        <v>14.404863750000001</v>
      </c>
      <c r="H31" s="160">
        <f t="shared" si="12"/>
        <v>14.332839431250003</v>
      </c>
      <c r="I31" s="160">
        <f t="shared" si="12"/>
        <v>14.261175234093752</v>
      </c>
      <c r="J31" s="160">
        <f t="shared" si="12"/>
        <v>14.189869357923282</v>
      </c>
      <c r="K31" s="160">
        <f t="shared" si="12"/>
        <v>14.118920011133667</v>
      </c>
      <c r="L31" s="160">
        <f t="shared" si="12"/>
        <v>14.048325411078</v>
      </c>
      <c r="M31" s="160">
        <f t="shared" si="12"/>
        <v>13.97808378402261</v>
      </c>
      <c r="N31" s="160">
        <f t="shared" si="12"/>
        <v>13.908193365102498</v>
      </c>
      <c r="O31" s="161">
        <f t="shared" si="12"/>
        <v>13.838652398276983</v>
      </c>
      <c r="P31" s="11"/>
    </row>
    <row r="32" spans="1:16" x14ac:dyDescent="0.3">
      <c r="A32" s="11" t="str">
        <f t="shared" ref="A32:A40" si="13">CONCATENATE(B32,C32,D32)</f>
        <v>SmallCarPremiumPHEV50</v>
      </c>
      <c r="B32" s="90" t="s">
        <v>73</v>
      </c>
      <c r="C32" s="45" t="s">
        <v>80</v>
      </c>
      <c r="D32" s="87" t="s">
        <v>91</v>
      </c>
      <c r="E32" s="162">
        <f t="shared" ref="E32:O40" si="14">((E19*E6)/1000)</f>
        <v>14.55</v>
      </c>
      <c r="F32" s="162">
        <f t="shared" si="14"/>
        <v>14.47725</v>
      </c>
      <c r="G32" s="162">
        <f t="shared" si="14"/>
        <v>14.404863750000001</v>
      </c>
      <c r="H32" s="162">
        <f t="shared" si="14"/>
        <v>14.332839431250003</v>
      </c>
      <c r="I32" s="162">
        <f t="shared" si="14"/>
        <v>14.261175234093752</v>
      </c>
      <c r="J32" s="162">
        <f t="shared" si="14"/>
        <v>14.189869357923282</v>
      </c>
      <c r="K32" s="162">
        <f t="shared" si="14"/>
        <v>14.118920011133667</v>
      </c>
      <c r="L32" s="162">
        <f t="shared" si="14"/>
        <v>14.048325411078</v>
      </c>
      <c r="M32" s="162">
        <f t="shared" si="14"/>
        <v>13.97808378402261</v>
      </c>
      <c r="N32" s="162">
        <f t="shared" si="14"/>
        <v>13.908193365102498</v>
      </c>
      <c r="O32" s="163">
        <f t="shared" si="14"/>
        <v>13.838652398276983</v>
      </c>
      <c r="P32" s="11"/>
    </row>
    <row r="33" spans="1:16" x14ac:dyDescent="0.3">
      <c r="A33" s="11" t="str">
        <f t="shared" si="13"/>
        <v>MedCarBasePHEV50</v>
      </c>
      <c r="B33" s="90" t="s">
        <v>82</v>
      </c>
      <c r="C33" s="45" t="s">
        <v>75</v>
      </c>
      <c r="D33" s="87" t="s">
        <v>91</v>
      </c>
      <c r="E33" s="162">
        <f t="shared" si="14"/>
        <v>15.6</v>
      </c>
      <c r="F33" s="162">
        <f t="shared" si="14"/>
        <v>15.522</v>
      </c>
      <c r="G33" s="162">
        <f t="shared" si="14"/>
        <v>15.44439</v>
      </c>
      <c r="H33" s="162">
        <f t="shared" si="14"/>
        <v>15.367168049999998</v>
      </c>
      <c r="I33" s="162">
        <f t="shared" si="14"/>
        <v>15.290332209749996</v>
      </c>
      <c r="J33" s="162">
        <f t="shared" si="14"/>
        <v>15.213880548701248</v>
      </c>
      <c r="K33" s="162">
        <f t="shared" si="14"/>
        <v>15.137811145957741</v>
      </c>
      <c r="L33" s="162">
        <f t="shared" si="14"/>
        <v>15.062122090227954</v>
      </c>
      <c r="M33" s="162">
        <f t="shared" si="14"/>
        <v>14.986811479776811</v>
      </c>
      <c r="N33" s="162">
        <f t="shared" si="14"/>
        <v>14.911877422377929</v>
      </c>
      <c r="O33" s="163">
        <f t="shared" si="14"/>
        <v>14.837318035266041</v>
      </c>
    </row>
    <row r="34" spans="1:16" x14ac:dyDescent="0.3">
      <c r="A34" s="11" t="str">
        <f t="shared" si="13"/>
        <v>MedCarPremiumPHEV50</v>
      </c>
      <c r="B34" s="90" t="s">
        <v>82</v>
      </c>
      <c r="C34" s="45" t="s">
        <v>80</v>
      </c>
      <c r="D34" s="87" t="s">
        <v>91</v>
      </c>
      <c r="E34" s="162">
        <f t="shared" si="14"/>
        <v>15.6</v>
      </c>
      <c r="F34" s="162">
        <f t="shared" si="14"/>
        <v>15.522</v>
      </c>
      <c r="G34" s="162">
        <f t="shared" si="14"/>
        <v>15.44439</v>
      </c>
      <c r="H34" s="162">
        <f t="shared" si="14"/>
        <v>15.367168049999998</v>
      </c>
      <c r="I34" s="162">
        <f t="shared" si="14"/>
        <v>15.290332209749996</v>
      </c>
      <c r="J34" s="162">
        <f t="shared" si="14"/>
        <v>15.213880548701248</v>
      </c>
      <c r="K34" s="162">
        <f t="shared" si="14"/>
        <v>15.137811145957741</v>
      </c>
      <c r="L34" s="162">
        <f t="shared" si="14"/>
        <v>15.062122090227954</v>
      </c>
      <c r="M34" s="162">
        <f t="shared" si="14"/>
        <v>14.986811479776811</v>
      </c>
      <c r="N34" s="162">
        <f t="shared" si="14"/>
        <v>14.911877422377929</v>
      </c>
      <c r="O34" s="163">
        <f t="shared" si="14"/>
        <v>14.837318035266041</v>
      </c>
    </row>
    <row r="35" spans="1:16" x14ac:dyDescent="0.3">
      <c r="A35" s="11" t="str">
        <f t="shared" si="13"/>
        <v>SmallSUVBasePHEV50</v>
      </c>
      <c r="B35" s="90" t="s">
        <v>83</v>
      </c>
      <c r="C35" s="45" t="s">
        <v>75</v>
      </c>
      <c r="D35" s="87" t="s">
        <v>91</v>
      </c>
      <c r="E35" s="162">
        <f t="shared" si="14"/>
        <v>17.899999999999999</v>
      </c>
      <c r="F35" s="162">
        <f t="shared" si="14"/>
        <v>17.810500000000001</v>
      </c>
      <c r="G35" s="162">
        <f t="shared" si="14"/>
        <v>17.7214475</v>
      </c>
      <c r="H35" s="162">
        <f t="shared" si="14"/>
        <v>17.632840262499997</v>
      </c>
      <c r="I35" s="162">
        <f t="shared" si="14"/>
        <v>17.544676061187499</v>
      </c>
      <c r="J35" s="162">
        <f t="shared" si="14"/>
        <v>17.45695268088156</v>
      </c>
      <c r="K35" s="162">
        <f t="shared" si="14"/>
        <v>17.369667917477152</v>
      </c>
      <c r="L35" s="162">
        <f t="shared" si="14"/>
        <v>17.282819577889768</v>
      </c>
      <c r="M35" s="162">
        <f t="shared" si="14"/>
        <v>17.196405480000323</v>
      </c>
      <c r="N35" s="162">
        <f t="shared" si="14"/>
        <v>17.110423452600315</v>
      </c>
      <c r="O35" s="163">
        <f t="shared" si="14"/>
        <v>17.024871335337316</v>
      </c>
    </row>
    <row r="36" spans="1:16" x14ac:dyDescent="0.3">
      <c r="A36" s="11" t="str">
        <f t="shared" si="13"/>
        <v>SmallSUVPremiumPHEV50</v>
      </c>
      <c r="B36" s="90" t="s">
        <v>83</v>
      </c>
      <c r="C36" s="45" t="s">
        <v>80</v>
      </c>
      <c r="D36" s="87" t="s">
        <v>91</v>
      </c>
      <c r="E36" s="162">
        <f t="shared" si="14"/>
        <v>17.899999999999999</v>
      </c>
      <c r="F36" s="162">
        <f t="shared" si="14"/>
        <v>17.810500000000001</v>
      </c>
      <c r="G36" s="162">
        <f t="shared" si="14"/>
        <v>17.7214475</v>
      </c>
      <c r="H36" s="162">
        <f t="shared" si="14"/>
        <v>17.632840262499997</v>
      </c>
      <c r="I36" s="162">
        <f t="shared" si="14"/>
        <v>17.544676061187499</v>
      </c>
      <c r="J36" s="162">
        <f t="shared" si="14"/>
        <v>17.45695268088156</v>
      </c>
      <c r="K36" s="162">
        <f t="shared" si="14"/>
        <v>17.369667917477152</v>
      </c>
      <c r="L36" s="162">
        <f t="shared" si="14"/>
        <v>17.282819577889768</v>
      </c>
      <c r="M36" s="162">
        <f t="shared" si="14"/>
        <v>17.196405480000323</v>
      </c>
      <c r="N36" s="162">
        <f t="shared" si="14"/>
        <v>17.110423452600315</v>
      </c>
      <c r="O36" s="163">
        <f t="shared" si="14"/>
        <v>17.024871335337316</v>
      </c>
    </row>
    <row r="37" spans="1:16" x14ac:dyDescent="0.3">
      <c r="A37" s="11" t="str">
        <f t="shared" si="13"/>
        <v>MedSUVBasePHEV50</v>
      </c>
      <c r="B37" s="90" t="s">
        <v>86</v>
      </c>
      <c r="C37" s="45" t="s">
        <v>75</v>
      </c>
      <c r="D37" s="87" t="s">
        <v>91</v>
      </c>
      <c r="E37" s="162">
        <f t="shared" si="14"/>
        <v>19.3</v>
      </c>
      <c r="F37" s="162">
        <f t="shared" si="14"/>
        <v>19.203499999999998</v>
      </c>
      <c r="G37" s="162">
        <f t="shared" si="14"/>
        <v>19.107482500000003</v>
      </c>
      <c r="H37" s="162">
        <f t="shared" si="14"/>
        <v>19.011945087499999</v>
      </c>
      <c r="I37" s="162">
        <f t="shared" si="14"/>
        <v>18.916885362062501</v>
      </c>
      <c r="J37" s="162">
        <f t="shared" si="14"/>
        <v>18.822300935252191</v>
      </c>
      <c r="K37" s="162">
        <f t="shared" si="14"/>
        <v>18.728189430575931</v>
      </c>
      <c r="L37" s="162">
        <f t="shared" si="14"/>
        <v>18.63454848342305</v>
      </c>
      <c r="M37" s="162">
        <f t="shared" si="14"/>
        <v>18.541375741005933</v>
      </c>
      <c r="N37" s="162">
        <f t="shared" si="14"/>
        <v>18.448668862300902</v>
      </c>
      <c r="O37" s="163">
        <f t="shared" si="14"/>
        <v>18.3564255179894</v>
      </c>
    </row>
    <row r="38" spans="1:16" x14ac:dyDescent="0.3">
      <c r="A38" s="11" t="str">
        <f t="shared" si="13"/>
        <v>MedSUVPremiumPHEV50</v>
      </c>
      <c r="B38" s="90" t="s">
        <v>86</v>
      </c>
      <c r="C38" s="45" t="s">
        <v>80</v>
      </c>
      <c r="D38" s="87" t="s">
        <v>91</v>
      </c>
      <c r="E38" s="162">
        <f t="shared" si="14"/>
        <v>19.3</v>
      </c>
      <c r="F38" s="162">
        <f t="shared" si="14"/>
        <v>19.203499999999998</v>
      </c>
      <c r="G38" s="162">
        <f t="shared" si="14"/>
        <v>19.107482500000003</v>
      </c>
      <c r="H38" s="162">
        <f t="shared" si="14"/>
        <v>19.011945087499999</v>
      </c>
      <c r="I38" s="162">
        <f t="shared" si="14"/>
        <v>18.916885362062501</v>
      </c>
      <c r="J38" s="162">
        <f t="shared" si="14"/>
        <v>18.822300935252191</v>
      </c>
      <c r="K38" s="162">
        <f t="shared" si="14"/>
        <v>18.728189430575931</v>
      </c>
      <c r="L38" s="162">
        <f t="shared" si="14"/>
        <v>18.63454848342305</v>
      </c>
      <c r="M38" s="162">
        <f t="shared" si="14"/>
        <v>18.541375741005933</v>
      </c>
      <c r="N38" s="162">
        <f t="shared" si="14"/>
        <v>18.448668862300902</v>
      </c>
      <c r="O38" s="163">
        <f t="shared" si="14"/>
        <v>18.3564255179894</v>
      </c>
    </row>
    <row r="39" spans="1:16" x14ac:dyDescent="0.3">
      <c r="A39" s="11" t="str">
        <f t="shared" si="13"/>
        <v>PickupBasePHEV50</v>
      </c>
      <c r="B39" s="90" t="s">
        <v>89</v>
      </c>
      <c r="C39" s="45" t="s">
        <v>75</v>
      </c>
      <c r="D39" s="87" t="s">
        <v>91</v>
      </c>
      <c r="E39" s="162">
        <f t="shared" si="14"/>
        <v>23.15</v>
      </c>
      <c r="F39" s="162">
        <f t="shared" si="14"/>
        <v>23.03425</v>
      </c>
      <c r="G39" s="162">
        <f t="shared" si="14"/>
        <v>22.919078750000001</v>
      </c>
      <c r="H39" s="162">
        <f t="shared" si="14"/>
        <v>22.80448335625</v>
      </c>
      <c r="I39" s="162">
        <f t="shared" si="14"/>
        <v>22.69046093946875</v>
      </c>
      <c r="J39" s="162">
        <f t="shared" si="14"/>
        <v>22.577008634771406</v>
      </c>
      <c r="K39" s="162">
        <f t="shared" si="14"/>
        <v>22.464123591597549</v>
      </c>
      <c r="L39" s="162">
        <f t="shared" si="14"/>
        <v>22.351802973639558</v>
      </c>
      <c r="M39" s="162">
        <f t="shared" si="14"/>
        <v>22.240043958771359</v>
      </c>
      <c r="N39" s="162">
        <f t="shared" si="14"/>
        <v>22.128843738977501</v>
      </c>
      <c r="O39" s="163">
        <f t="shared" si="14"/>
        <v>22.018199520282614</v>
      </c>
    </row>
    <row r="40" spans="1:16" ht="15" thickBot="1" x14ac:dyDescent="0.35">
      <c r="A40" s="11" t="str">
        <f t="shared" si="13"/>
        <v>PickupHTPHEV50</v>
      </c>
      <c r="B40" s="96" t="s">
        <v>89</v>
      </c>
      <c r="C40" s="97" t="s">
        <v>113</v>
      </c>
      <c r="D40" s="98" t="s">
        <v>91</v>
      </c>
      <c r="E40" s="164">
        <f t="shared" si="14"/>
        <v>23.15</v>
      </c>
      <c r="F40" s="164">
        <f t="shared" si="14"/>
        <v>23.03425</v>
      </c>
      <c r="G40" s="164">
        <f t="shared" si="14"/>
        <v>22.919078750000001</v>
      </c>
      <c r="H40" s="164">
        <f t="shared" si="14"/>
        <v>22.80448335625</v>
      </c>
      <c r="I40" s="164">
        <f t="shared" si="14"/>
        <v>22.69046093946875</v>
      </c>
      <c r="J40" s="164">
        <f t="shared" si="14"/>
        <v>22.577008634771406</v>
      </c>
      <c r="K40" s="164">
        <f t="shared" si="14"/>
        <v>22.464123591597549</v>
      </c>
      <c r="L40" s="164">
        <f t="shared" si="14"/>
        <v>22.351802973639558</v>
      </c>
      <c r="M40" s="164">
        <f t="shared" si="14"/>
        <v>22.240043958771359</v>
      </c>
      <c r="N40" s="164">
        <f t="shared" si="14"/>
        <v>22.128843738977501</v>
      </c>
      <c r="O40" s="165">
        <f t="shared" si="14"/>
        <v>22.018199520282614</v>
      </c>
    </row>
    <row r="41" spans="1:16" ht="16.2" thickBot="1" x14ac:dyDescent="0.35">
      <c r="B41" s="179" t="s">
        <v>98</v>
      </c>
      <c r="C41" s="180"/>
      <c r="D41" s="180"/>
      <c r="E41" s="180"/>
      <c r="F41" s="180"/>
      <c r="G41" s="180"/>
      <c r="H41" s="180"/>
      <c r="I41" s="180"/>
      <c r="J41" s="180"/>
      <c r="K41" s="180"/>
      <c r="L41" s="180"/>
      <c r="M41" s="180"/>
      <c r="N41" s="180"/>
      <c r="O41" s="181"/>
    </row>
    <row r="42" spans="1:16" x14ac:dyDescent="0.3">
      <c r="B42" s="170" t="s">
        <v>116</v>
      </c>
      <c r="C42" s="175"/>
      <c r="D42" s="175"/>
      <c r="E42" s="175"/>
      <c r="F42" s="175"/>
      <c r="G42" s="175"/>
      <c r="H42" s="175"/>
      <c r="I42" s="175"/>
      <c r="J42" s="175"/>
      <c r="K42" s="175"/>
      <c r="L42" s="175"/>
      <c r="M42" s="175"/>
      <c r="N42" s="175"/>
      <c r="O42" s="171"/>
      <c r="P42" s="12"/>
    </row>
    <row r="43" spans="1:16" ht="15" thickBot="1" x14ac:dyDescent="0.35">
      <c r="B43" s="110" t="s">
        <v>100</v>
      </c>
      <c r="C43" s="111" t="s">
        <v>101</v>
      </c>
      <c r="D43" s="112" t="s">
        <v>67</v>
      </c>
      <c r="E43" s="113" t="s">
        <v>102</v>
      </c>
      <c r="F43" s="113" t="s">
        <v>103</v>
      </c>
      <c r="G43" s="113" t="s">
        <v>104</v>
      </c>
      <c r="H43" s="113" t="s">
        <v>105</v>
      </c>
      <c r="I43" s="113" t="s">
        <v>106</v>
      </c>
      <c r="J43" s="113" t="s">
        <v>107</v>
      </c>
      <c r="K43" s="113" t="s">
        <v>108</v>
      </c>
      <c r="L43" s="113" t="s">
        <v>109</v>
      </c>
      <c r="M43" s="113" t="s">
        <v>110</v>
      </c>
      <c r="N43" s="113" t="s">
        <v>111</v>
      </c>
      <c r="O43" s="114" t="s">
        <v>112</v>
      </c>
    </row>
    <row r="44" spans="1:16" x14ac:dyDescent="0.3">
      <c r="A44" t="str">
        <f>CONCATENATE(B44,C44,D44)</f>
        <v>SmallCarBasePHEV50</v>
      </c>
      <c r="B44" s="103" t="s">
        <v>73</v>
      </c>
      <c r="C44" s="63" t="s">
        <v>75</v>
      </c>
      <c r="D44" s="104" t="s">
        <v>91</v>
      </c>
      <c r="E44" s="160">
        <f t="shared" ref="E44:I44" si="15">((E5*E18)/1000)/PHEV_Battery_SOC_Utilization</f>
        <v>17.117647058823529</v>
      </c>
      <c r="F44" s="160">
        <f t="shared" si="15"/>
        <v>17.032058823529411</v>
      </c>
      <c r="G44" s="160">
        <f t="shared" si="15"/>
        <v>16.946898529411765</v>
      </c>
      <c r="H44" s="160">
        <f t="shared" si="15"/>
        <v>16.86216403676471</v>
      </c>
      <c r="I44" s="160">
        <f t="shared" si="15"/>
        <v>16.777853216580887</v>
      </c>
      <c r="J44" s="160">
        <f t="shared" ref="J44:O53" si="16">((J5*J18)/1000)/Final_PHEV_Battery_SOC_Utilization</f>
        <v>16.693963950497981</v>
      </c>
      <c r="K44" s="160">
        <f t="shared" si="16"/>
        <v>16.61049413074549</v>
      </c>
      <c r="L44" s="160">
        <f t="shared" si="16"/>
        <v>16.527441660091764</v>
      </c>
      <c r="M44" s="160">
        <f t="shared" si="16"/>
        <v>16.444804451791306</v>
      </c>
      <c r="N44" s="160">
        <f t="shared" si="16"/>
        <v>16.36258042953235</v>
      </c>
      <c r="O44" s="160">
        <f t="shared" si="16"/>
        <v>16.280767527384686</v>
      </c>
    </row>
    <row r="45" spans="1:16" x14ac:dyDescent="0.3">
      <c r="A45" t="str">
        <f t="shared" ref="A45:A53" si="17">CONCATENATE(B45,C45,D45)</f>
        <v>SmallCarPremiumPHEV50</v>
      </c>
      <c r="B45" s="90" t="s">
        <v>73</v>
      </c>
      <c r="C45" s="45" t="s">
        <v>80</v>
      </c>
      <c r="D45" s="87" t="s">
        <v>91</v>
      </c>
      <c r="E45" s="162">
        <f t="shared" ref="E45:I45" si="18">((E6*E19)/1000)/PHEV_Battery_SOC_Utilization</f>
        <v>17.117647058823529</v>
      </c>
      <c r="F45" s="162">
        <f t="shared" si="18"/>
        <v>17.032058823529411</v>
      </c>
      <c r="G45" s="162">
        <f t="shared" si="18"/>
        <v>16.946898529411765</v>
      </c>
      <c r="H45" s="162">
        <f t="shared" si="18"/>
        <v>16.86216403676471</v>
      </c>
      <c r="I45" s="162">
        <f t="shared" si="18"/>
        <v>16.777853216580887</v>
      </c>
      <c r="J45" s="162">
        <f t="shared" si="16"/>
        <v>16.693963950497981</v>
      </c>
      <c r="K45" s="162">
        <f t="shared" si="16"/>
        <v>16.61049413074549</v>
      </c>
      <c r="L45" s="162">
        <f t="shared" si="16"/>
        <v>16.527441660091764</v>
      </c>
      <c r="M45" s="162">
        <f t="shared" si="16"/>
        <v>16.444804451791306</v>
      </c>
      <c r="N45" s="162">
        <f t="shared" si="16"/>
        <v>16.36258042953235</v>
      </c>
      <c r="O45" s="163">
        <f t="shared" si="16"/>
        <v>16.280767527384686</v>
      </c>
    </row>
    <row r="46" spans="1:16" x14ac:dyDescent="0.3">
      <c r="A46" t="str">
        <f t="shared" si="17"/>
        <v>MedCarBasePHEV50</v>
      </c>
      <c r="B46" s="90" t="s">
        <v>82</v>
      </c>
      <c r="C46" s="45" t="s">
        <v>75</v>
      </c>
      <c r="D46" s="87" t="s">
        <v>91</v>
      </c>
      <c r="E46" s="162">
        <f t="shared" ref="E46:I46" si="19">((E7*E20)/1000)/PHEV_Battery_SOC_Utilization</f>
        <v>18.352941176470587</v>
      </c>
      <c r="F46" s="162">
        <f t="shared" si="19"/>
        <v>18.261176470588236</v>
      </c>
      <c r="G46" s="162">
        <f t="shared" si="19"/>
        <v>18.169870588235295</v>
      </c>
      <c r="H46" s="162">
        <f t="shared" si="19"/>
        <v>18.079021235294118</v>
      </c>
      <c r="I46" s="162">
        <f t="shared" si="19"/>
        <v>17.988626129117645</v>
      </c>
      <c r="J46" s="162">
        <f t="shared" si="16"/>
        <v>17.898682998472058</v>
      </c>
      <c r="K46" s="162">
        <f t="shared" si="16"/>
        <v>17.809189583479696</v>
      </c>
      <c r="L46" s="162">
        <f t="shared" si="16"/>
        <v>17.720143635562298</v>
      </c>
      <c r="M46" s="162">
        <f t="shared" si="16"/>
        <v>17.631542917384486</v>
      </c>
      <c r="N46" s="162">
        <f t="shared" si="16"/>
        <v>17.543385202797563</v>
      </c>
      <c r="O46" s="163">
        <f t="shared" si="16"/>
        <v>17.455668276783577</v>
      </c>
    </row>
    <row r="47" spans="1:16" x14ac:dyDescent="0.3">
      <c r="A47" t="str">
        <f t="shared" si="17"/>
        <v>MedCarPremiumPHEV50</v>
      </c>
      <c r="B47" s="90" t="s">
        <v>82</v>
      </c>
      <c r="C47" s="45" t="s">
        <v>80</v>
      </c>
      <c r="D47" s="87" t="s">
        <v>91</v>
      </c>
      <c r="E47" s="162">
        <f t="shared" ref="E47:I47" si="20">((E8*E21)/1000)/PHEV_Battery_SOC_Utilization</f>
        <v>18.352941176470587</v>
      </c>
      <c r="F47" s="162">
        <f t="shared" si="20"/>
        <v>18.261176470588236</v>
      </c>
      <c r="G47" s="162">
        <f t="shared" si="20"/>
        <v>18.169870588235295</v>
      </c>
      <c r="H47" s="162">
        <f t="shared" si="20"/>
        <v>18.079021235294118</v>
      </c>
      <c r="I47" s="162">
        <f t="shared" si="20"/>
        <v>17.988626129117645</v>
      </c>
      <c r="J47" s="162">
        <f t="shared" si="16"/>
        <v>17.898682998472058</v>
      </c>
      <c r="K47" s="162">
        <f t="shared" si="16"/>
        <v>17.809189583479696</v>
      </c>
      <c r="L47" s="162">
        <f t="shared" si="16"/>
        <v>17.720143635562298</v>
      </c>
      <c r="M47" s="162">
        <f t="shared" si="16"/>
        <v>17.631542917384486</v>
      </c>
      <c r="N47" s="162">
        <f t="shared" si="16"/>
        <v>17.543385202797563</v>
      </c>
      <c r="O47" s="163">
        <f t="shared" si="16"/>
        <v>17.455668276783577</v>
      </c>
    </row>
    <row r="48" spans="1:16" x14ac:dyDescent="0.3">
      <c r="A48" t="str">
        <f t="shared" si="17"/>
        <v>SmallSUVBasePHEV50</v>
      </c>
      <c r="B48" s="90" t="s">
        <v>83</v>
      </c>
      <c r="C48" s="45" t="s">
        <v>75</v>
      </c>
      <c r="D48" s="87" t="s">
        <v>91</v>
      </c>
      <c r="E48" s="162">
        <f t="shared" ref="E48:I48" si="21">((E9*E22)/1000)/PHEV_Battery_SOC_Utilization</f>
        <v>21.058823529411764</v>
      </c>
      <c r="F48" s="162">
        <f t="shared" si="21"/>
        <v>20.953529411764709</v>
      </c>
      <c r="G48" s="162">
        <f t="shared" si="21"/>
        <v>20.848761764705884</v>
      </c>
      <c r="H48" s="162">
        <f t="shared" si="21"/>
        <v>20.744517955882351</v>
      </c>
      <c r="I48" s="162">
        <f t="shared" si="21"/>
        <v>20.640795366102939</v>
      </c>
      <c r="J48" s="162">
        <f t="shared" si="16"/>
        <v>20.537591389272425</v>
      </c>
      <c r="K48" s="162">
        <f t="shared" si="16"/>
        <v>20.434903432326063</v>
      </c>
      <c r="L48" s="162">
        <f t="shared" si="16"/>
        <v>20.332728915164434</v>
      </c>
      <c r="M48" s="162">
        <f t="shared" si="16"/>
        <v>20.231065270588616</v>
      </c>
      <c r="N48" s="162">
        <f t="shared" si="16"/>
        <v>20.129909944235667</v>
      </c>
      <c r="O48" s="163">
        <f t="shared" si="16"/>
        <v>20.029260394514491</v>
      </c>
    </row>
    <row r="49" spans="1:19" x14ac:dyDescent="0.3">
      <c r="A49" t="str">
        <f t="shared" si="17"/>
        <v>SmallSUVPremiumPHEV50</v>
      </c>
      <c r="B49" s="90" t="s">
        <v>83</v>
      </c>
      <c r="C49" s="45" t="s">
        <v>80</v>
      </c>
      <c r="D49" s="87" t="s">
        <v>91</v>
      </c>
      <c r="E49" s="162">
        <f t="shared" ref="E49:I49" si="22">((E10*E23)/1000)/PHEV_Battery_SOC_Utilization</f>
        <v>21.058823529411764</v>
      </c>
      <c r="F49" s="162">
        <f t="shared" si="22"/>
        <v>20.953529411764709</v>
      </c>
      <c r="G49" s="162">
        <f t="shared" si="22"/>
        <v>20.848761764705884</v>
      </c>
      <c r="H49" s="162">
        <f t="shared" si="22"/>
        <v>20.744517955882351</v>
      </c>
      <c r="I49" s="162">
        <f t="shared" si="22"/>
        <v>20.640795366102939</v>
      </c>
      <c r="J49" s="162">
        <f t="shared" si="16"/>
        <v>20.537591389272425</v>
      </c>
      <c r="K49" s="162">
        <f t="shared" si="16"/>
        <v>20.434903432326063</v>
      </c>
      <c r="L49" s="162">
        <f t="shared" si="16"/>
        <v>20.332728915164434</v>
      </c>
      <c r="M49" s="162">
        <f t="shared" si="16"/>
        <v>20.231065270588616</v>
      </c>
      <c r="N49" s="162">
        <f t="shared" si="16"/>
        <v>20.129909944235667</v>
      </c>
      <c r="O49" s="163">
        <f t="shared" si="16"/>
        <v>20.029260394514491</v>
      </c>
    </row>
    <row r="50" spans="1:19" x14ac:dyDescent="0.3">
      <c r="A50" t="str">
        <f t="shared" si="17"/>
        <v>MedSUVBasePHEV50</v>
      </c>
      <c r="B50" s="90" t="s">
        <v>86</v>
      </c>
      <c r="C50" s="45" t="s">
        <v>75</v>
      </c>
      <c r="D50" s="87" t="s">
        <v>91</v>
      </c>
      <c r="E50" s="162">
        <f t="shared" ref="E50:I50" si="23">((E11*E24)/1000)/PHEV_Battery_SOC_Utilization</f>
        <v>22.705882352941178</v>
      </c>
      <c r="F50" s="162">
        <f t="shared" si="23"/>
        <v>22.592352941176468</v>
      </c>
      <c r="G50" s="162">
        <f t="shared" si="23"/>
        <v>22.479391176470592</v>
      </c>
      <c r="H50" s="162">
        <f t="shared" si="23"/>
        <v>22.366994220588236</v>
      </c>
      <c r="I50" s="162">
        <f t="shared" si="23"/>
        <v>22.255159249485295</v>
      </c>
      <c r="J50" s="162">
        <f t="shared" si="16"/>
        <v>22.143883453237873</v>
      </c>
      <c r="K50" s="162">
        <f t="shared" si="16"/>
        <v>22.033164035971684</v>
      </c>
      <c r="L50" s="162">
        <f t="shared" si="16"/>
        <v>21.922998215791825</v>
      </c>
      <c r="M50" s="162">
        <f t="shared" si="16"/>
        <v>21.813383224712862</v>
      </c>
      <c r="N50" s="162">
        <f t="shared" si="16"/>
        <v>21.704316308589299</v>
      </c>
      <c r="O50" s="163">
        <f t="shared" si="16"/>
        <v>21.595794727046354</v>
      </c>
    </row>
    <row r="51" spans="1:19" x14ac:dyDescent="0.3">
      <c r="A51" t="str">
        <f t="shared" si="17"/>
        <v>MedSUVPremiumPHEV50</v>
      </c>
      <c r="B51" s="90" t="s">
        <v>86</v>
      </c>
      <c r="C51" s="45" t="s">
        <v>80</v>
      </c>
      <c r="D51" s="87" t="s">
        <v>91</v>
      </c>
      <c r="E51" s="162">
        <f t="shared" ref="E51:I51" si="24">((E12*E25)/1000)/PHEV_Battery_SOC_Utilization</f>
        <v>22.705882352941178</v>
      </c>
      <c r="F51" s="162">
        <f t="shared" si="24"/>
        <v>22.592352941176468</v>
      </c>
      <c r="G51" s="162">
        <f t="shared" si="24"/>
        <v>22.479391176470592</v>
      </c>
      <c r="H51" s="162">
        <f t="shared" si="24"/>
        <v>22.366994220588236</v>
      </c>
      <c r="I51" s="162">
        <f t="shared" si="24"/>
        <v>22.255159249485295</v>
      </c>
      <c r="J51" s="162">
        <f t="shared" si="16"/>
        <v>22.143883453237873</v>
      </c>
      <c r="K51" s="162">
        <f t="shared" si="16"/>
        <v>22.033164035971684</v>
      </c>
      <c r="L51" s="162">
        <f t="shared" si="16"/>
        <v>21.922998215791825</v>
      </c>
      <c r="M51" s="162">
        <f t="shared" si="16"/>
        <v>21.813383224712862</v>
      </c>
      <c r="N51" s="162">
        <f t="shared" si="16"/>
        <v>21.704316308589299</v>
      </c>
      <c r="O51" s="163">
        <f t="shared" si="16"/>
        <v>21.595794727046354</v>
      </c>
    </row>
    <row r="52" spans="1:19" x14ac:dyDescent="0.3">
      <c r="A52" t="str">
        <f t="shared" si="17"/>
        <v>PickupBasePHEV50</v>
      </c>
      <c r="B52" s="90" t="s">
        <v>89</v>
      </c>
      <c r="C52" s="45" t="s">
        <v>75</v>
      </c>
      <c r="D52" s="87" t="s">
        <v>91</v>
      </c>
      <c r="E52" s="162">
        <f t="shared" ref="E52:I52" si="25">((E13*E26)/1000)/PHEV_Battery_SOC_Utilization</f>
        <v>27.235294117647058</v>
      </c>
      <c r="F52" s="162">
        <f t="shared" si="25"/>
        <v>27.099117647058826</v>
      </c>
      <c r="G52" s="162">
        <f t="shared" si="25"/>
        <v>26.963622058823532</v>
      </c>
      <c r="H52" s="162">
        <f t="shared" si="25"/>
        <v>26.828803948529412</v>
      </c>
      <c r="I52" s="162">
        <f t="shared" si="25"/>
        <v>26.694659928786766</v>
      </c>
      <c r="J52" s="162">
        <f t="shared" si="16"/>
        <v>26.561186629142831</v>
      </c>
      <c r="K52" s="162">
        <f t="shared" si="16"/>
        <v>26.428380695997117</v>
      </c>
      <c r="L52" s="162">
        <f t="shared" si="16"/>
        <v>26.296238792517126</v>
      </c>
      <c r="M52" s="162">
        <f t="shared" si="16"/>
        <v>26.164757598554541</v>
      </c>
      <c r="N52" s="162">
        <f t="shared" si="16"/>
        <v>26.033933810561766</v>
      </c>
      <c r="O52" s="163">
        <f t="shared" si="16"/>
        <v>25.903764141508958</v>
      </c>
    </row>
    <row r="53" spans="1:19" ht="15" thickBot="1" x14ac:dyDescent="0.35">
      <c r="A53" t="str">
        <f t="shared" si="17"/>
        <v>PickupHTPHEV50</v>
      </c>
      <c r="B53" s="96" t="s">
        <v>89</v>
      </c>
      <c r="C53" s="97" t="s">
        <v>113</v>
      </c>
      <c r="D53" s="98" t="s">
        <v>91</v>
      </c>
      <c r="E53" s="164">
        <f t="shared" ref="E53:I53" si="26">((E14*E27)/1000)/PHEV_Battery_SOC_Utilization</f>
        <v>27.235294117647058</v>
      </c>
      <c r="F53" s="164">
        <f t="shared" si="26"/>
        <v>27.099117647058826</v>
      </c>
      <c r="G53" s="164">
        <f t="shared" si="26"/>
        <v>26.963622058823532</v>
      </c>
      <c r="H53" s="164">
        <f t="shared" si="26"/>
        <v>26.828803948529412</v>
      </c>
      <c r="I53" s="164">
        <f t="shared" si="26"/>
        <v>26.694659928786766</v>
      </c>
      <c r="J53" s="164">
        <f t="shared" si="16"/>
        <v>26.561186629142831</v>
      </c>
      <c r="K53" s="164">
        <f t="shared" si="16"/>
        <v>26.428380695997117</v>
      </c>
      <c r="L53" s="164">
        <f t="shared" si="16"/>
        <v>26.296238792517126</v>
      </c>
      <c r="M53" s="164">
        <f t="shared" si="16"/>
        <v>26.164757598554541</v>
      </c>
      <c r="N53" s="164">
        <f t="shared" si="16"/>
        <v>26.033933810561766</v>
      </c>
      <c r="O53" s="165">
        <f t="shared" si="16"/>
        <v>25.903764141508958</v>
      </c>
    </row>
    <row r="54" spans="1:19" ht="16.2" thickBot="1" x14ac:dyDescent="0.35">
      <c r="B54" s="179" t="s">
        <v>98</v>
      </c>
      <c r="C54" s="180"/>
      <c r="D54" s="180"/>
      <c r="E54" s="180"/>
      <c r="F54" s="180"/>
      <c r="G54" s="180"/>
      <c r="H54" s="180"/>
      <c r="I54" s="180"/>
      <c r="J54" s="180"/>
      <c r="K54" s="180"/>
      <c r="L54" s="180"/>
      <c r="M54" s="180"/>
      <c r="N54" s="180"/>
      <c r="O54" s="181"/>
    </row>
    <row r="55" spans="1:19" x14ac:dyDescent="0.3">
      <c r="B55" s="170" t="s">
        <v>117</v>
      </c>
      <c r="C55" s="175"/>
      <c r="D55" s="175"/>
      <c r="E55" s="175"/>
      <c r="F55" s="175"/>
      <c r="G55" s="175"/>
      <c r="H55" s="175"/>
      <c r="I55" s="175"/>
      <c r="J55" s="175"/>
      <c r="K55" s="175"/>
      <c r="L55" s="175"/>
      <c r="M55" s="175"/>
      <c r="N55" s="175"/>
      <c r="O55" s="171"/>
      <c r="P55" s="12"/>
    </row>
    <row r="56" spans="1:19" ht="15" thickBot="1" x14ac:dyDescent="0.35">
      <c r="B56" s="110" t="s">
        <v>100</v>
      </c>
      <c r="C56" s="111" t="s">
        <v>101</v>
      </c>
      <c r="D56" s="112" t="s">
        <v>67</v>
      </c>
      <c r="E56" s="113" t="s">
        <v>102</v>
      </c>
      <c r="F56" s="113" t="s">
        <v>103</v>
      </c>
      <c r="G56" s="113" t="s">
        <v>104</v>
      </c>
      <c r="H56" s="113" t="s">
        <v>105</v>
      </c>
      <c r="I56" s="113" t="s">
        <v>106</v>
      </c>
      <c r="J56" s="113" t="s">
        <v>107</v>
      </c>
      <c r="K56" s="113" t="s">
        <v>108</v>
      </c>
      <c r="L56" s="113" t="s">
        <v>109</v>
      </c>
      <c r="M56" s="113" t="s">
        <v>110</v>
      </c>
      <c r="N56" s="113" t="s">
        <v>111</v>
      </c>
      <c r="O56" s="114" t="s">
        <v>112</v>
      </c>
    </row>
    <row r="57" spans="1:19" x14ac:dyDescent="0.3">
      <c r="A57" t="str">
        <f>CONCATENATE(B57,C57,D57)</f>
        <v>SmallCarBasePHEV50</v>
      </c>
      <c r="B57" s="103" t="s">
        <v>73</v>
      </c>
      <c r="C57" s="63" t="s">
        <v>75</v>
      </c>
      <c r="D57" s="104" t="s">
        <v>91</v>
      </c>
      <c r="E57" s="105">
        <v>96</v>
      </c>
      <c r="F57" s="105">
        <f>Table7[[#This Row],[2025]]*(1-PHEV_Annual_Motor_Power_Reduction)</f>
        <v>95.52</v>
      </c>
      <c r="G57" s="105">
        <f>Table7[[#This Row],[2026]]*(1-PHEV_Annual_Motor_Power_Reduction)</f>
        <v>95.042400000000001</v>
      </c>
      <c r="H57" s="105">
        <f>Table7[[#This Row],[2027]]*(1-PHEV_Annual_Motor_Power_Reduction)</f>
        <v>94.567188000000002</v>
      </c>
      <c r="I57" s="105">
        <f>Table7[[#This Row],[2028]]*(1-PHEV_Annual_Motor_Power_Reduction)</f>
        <v>94.094352060000006</v>
      </c>
      <c r="J57" s="105">
        <f>Table7[[#This Row],[2029]]*(1-PHEV_Annual_Motor_Power_Reduction)</f>
        <v>93.623880299700005</v>
      </c>
      <c r="K57" s="105">
        <f>Table7[[#This Row],[2030]]*(1-PHEV_Annual_Motor_Power_Reduction)</f>
        <v>93.155760898201507</v>
      </c>
      <c r="L57" s="105">
        <f>Table7[[#This Row],[2031]]*(1-PHEV_Annual_Motor_Power_Reduction)</f>
        <v>92.689982093710498</v>
      </c>
      <c r="M57" s="105">
        <f>Table7[[#This Row],[2032]]*(1-PHEV_Annual_Motor_Power_Reduction)</f>
        <v>92.226532183241943</v>
      </c>
      <c r="N57" s="105">
        <f>Table7[[#This Row],[2033]]*(1-PHEV_Annual_Motor_Power_Reduction)</f>
        <v>91.765399522325737</v>
      </c>
      <c r="O57" s="106">
        <f>Table7[[#This Row],[2034]]*(1-PHEV_Annual_Motor_Power_Reduction)</f>
        <v>91.306572524714113</v>
      </c>
      <c r="Q57" s="4"/>
      <c r="R57" s="4"/>
      <c r="S57" s="3"/>
    </row>
    <row r="58" spans="1:19" x14ac:dyDescent="0.3">
      <c r="A58" t="str">
        <f t="shared" ref="A58:A66" si="27">CONCATENATE(B58,C58,D58)</f>
        <v>SmallCarPremiumPHEV50</v>
      </c>
      <c r="B58" s="90" t="s">
        <v>73</v>
      </c>
      <c r="C58" s="45" t="s">
        <v>80</v>
      </c>
      <c r="D58" s="87" t="s">
        <v>91</v>
      </c>
      <c r="E58" s="88">
        <f>E57</f>
        <v>96</v>
      </c>
      <c r="F58" s="88">
        <f>Table7[[#This Row],[2025]]*(1-PHEV_Annual_Motor_Power_Reduction)</f>
        <v>95.52</v>
      </c>
      <c r="G58" s="88">
        <f>Table7[[#This Row],[2026]]*(1-PHEV_Annual_Motor_Power_Reduction)</f>
        <v>95.042400000000001</v>
      </c>
      <c r="H58" s="88">
        <f>Table7[[#This Row],[2027]]*(1-PHEV_Annual_Motor_Power_Reduction)</f>
        <v>94.567188000000002</v>
      </c>
      <c r="I58" s="88">
        <f>Table7[[#This Row],[2028]]*(1-PHEV_Annual_Motor_Power_Reduction)</f>
        <v>94.094352060000006</v>
      </c>
      <c r="J58" s="88">
        <f>Table7[[#This Row],[2029]]*(1-PHEV_Annual_Motor_Power_Reduction)</f>
        <v>93.623880299700005</v>
      </c>
      <c r="K58" s="88">
        <f>Table7[[#This Row],[2030]]*(1-PHEV_Annual_Motor_Power_Reduction)</f>
        <v>93.155760898201507</v>
      </c>
      <c r="L58" s="88">
        <f>Table7[[#This Row],[2031]]*(1-PHEV_Annual_Motor_Power_Reduction)</f>
        <v>92.689982093710498</v>
      </c>
      <c r="M58" s="88">
        <f>Table7[[#This Row],[2032]]*(1-PHEV_Annual_Motor_Power_Reduction)</f>
        <v>92.226532183241943</v>
      </c>
      <c r="N58" s="88">
        <f>Table7[[#This Row],[2033]]*(1-PHEV_Annual_Motor_Power_Reduction)</f>
        <v>91.765399522325737</v>
      </c>
      <c r="O58" s="89">
        <f>Table7[[#This Row],[2034]]*(1-PHEV_Annual_Motor_Power_Reduction)</f>
        <v>91.306572524714113</v>
      </c>
      <c r="Q58" s="4"/>
      <c r="R58" s="4"/>
      <c r="S58" s="3"/>
    </row>
    <row r="59" spans="1:19" x14ac:dyDescent="0.3">
      <c r="A59" t="str">
        <f t="shared" si="27"/>
        <v>MedCarBasePHEV50</v>
      </c>
      <c r="B59" s="90" t="s">
        <v>82</v>
      </c>
      <c r="C59" s="45" t="s">
        <v>75</v>
      </c>
      <c r="D59" s="87" t="s">
        <v>91</v>
      </c>
      <c r="E59" s="88">
        <v>128.9082479638009</v>
      </c>
      <c r="F59" s="88">
        <f>Table7[[#This Row],[2025]]*(1-PHEV_Annual_Motor_Power_Reduction)</f>
        <v>128.2637067239819</v>
      </c>
      <c r="G59" s="88">
        <f>Table7[[#This Row],[2026]]*(1-PHEV_Annual_Motor_Power_Reduction)</f>
        <v>127.62238819036199</v>
      </c>
      <c r="H59" s="88">
        <f>Table7[[#This Row],[2027]]*(1-PHEV_Annual_Motor_Power_Reduction)</f>
        <v>126.98427624941017</v>
      </c>
      <c r="I59" s="88">
        <f>Table7[[#This Row],[2028]]*(1-PHEV_Annual_Motor_Power_Reduction)</f>
        <v>126.34935486816312</v>
      </c>
      <c r="J59" s="88">
        <f>Table7[[#This Row],[2029]]*(1-PHEV_Annual_Motor_Power_Reduction)</f>
        <v>125.71760809382231</v>
      </c>
      <c r="K59" s="88">
        <f>Table7[[#This Row],[2030]]*(1-PHEV_Annual_Motor_Power_Reduction)</f>
        <v>125.0890200533532</v>
      </c>
      <c r="L59" s="88">
        <f>Table7[[#This Row],[2031]]*(1-PHEV_Annual_Motor_Power_Reduction)</f>
        <v>124.46357495308642</v>
      </c>
      <c r="M59" s="88">
        <f>Table7[[#This Row],[2032]]*(1-PHEV_Annual_Motor_Power_Reduction)</f>
        <v>123.84125707832099</v>
      </c>
      <c r="N59" s="88">
        <f>Table7[[#This Row],[2033]]*(1-PHEV_Annual_Motor_Power_Reduction)</f>
        <v>123.22205079292939</v>
      </c>
      <c r="O59" s="89">
        <f>Table7[[#This Row],[2034]]*(1-PHEV_Annual_Motor_Power_Reduction)</f>
        <v>122.60594053896475</v>
      </c>
      <c r="Q59" s="4"/>
      <c r="R59" s="4"/>
      <c r="S59" s="3"/>
    </row>
    <row r="60" spans="1:19" x14ac:dyDescent="0.3">
      <c r="A60" t="str">
        <f t="shared" si="27"/>
        <v>MedCarPremiumPHEV50</v>
      </c>
      <c r="B60" s="90" t="s">
        <v>82</v>
      </c>
      <c r="C60" s="45" t="s">
        <v>80</v>
      </c>
      <c r="D60" s="87" t="s">
        <v>91</v>
      </c>
      <c r="E60" s="88">
        <f>E59</f>
        <v>128.9082479638009</v>
      </c>
      <c r="F60" s="88">
        <f>Table7[[#This Row],[2025]]*(1-PHEV_Annual_Motor_Power_Reduction)</f>
        <v>128.2637067239819</v>
      </c>
      <c r="G60" s="88">
        <f>Table7[[#This Row],[2026]]*(1-PHEV_Annual_Motor_Power_Reduction)</f>
        <v>127.62238819036199</v>
      </c>
      <c r="H60" s="88">
        <f>Table7[[#This Row],[2027]]*(1-PHEV_Annual_Motor_Power_Reduction)</f>
        <v>126.98427624941017</v>
      </c>
      <c r="I60" s="88">
        <f>Table7[[#This Row],[2028]]*(1-PHEV_Annual_Motor_Power_Reduction)</f>
        <v>126.34935486816312</v>
      </c>
      <c r="J60" s="88">
        <f>Table7[[#This Row],[2029]]*(1-PHEV_Annual_Motor_Power_Reduction)</f>
        <v>125.71760809382231</v>
      </c>
      <c r="K60" s="88">
        <f>Table7[[#This Row],[2030]]*(1-PHEV_Annual_Motor_Power_Reduction)</f>
        <v>125.0890200533532</v>
      </c>
      <c r="L60" s="88">
        <f>Table7[[#This Row],[2031]]*(1-PHEV_Annual_Motor_Power_Reduction)</f>
        <v>124.46357495308642</v>
      </c>
      <c r="M60" s="88">
        <f>Table7[[#This Row],[2032]]*(1-PHEV_Annual_Motor_Power_Reduction)</f>
        <v>123.84125707832099</v>
      </c>
      <c r="N60" s="88">
        <f>Table7[[#This Row],[2033]]*(1-PHEV_Annual_Motor_Power_Reduction)</f>
        <v>123.22205079292939</v>
      </c>
      <c r="O60" s="89">
        <f>Table7[[#This Row],[2034]]*(1-PHEV_Annual_Motor_Power_Reduction)</f>
        <v>122.60594053896475</v>
      </c>
      <c r="Q60" s="4"/>
      <c r="R60" s="4"/>
      <c r="S60" s="3"/>
    </row>
    <row r="61" spans="1:19" x14ac:dyDescent="0.3">
      <c r="A61" s="11" t="str">
        <f t="shared" si="27"/>
        <v>SmallSUVBasePHEV50</v>
      </c>
      <c r="B61" s="90" t="s">
        <v>83</v>
      </c>
      <c r="C61" s="45" t="s">
        <v>75</v>
      </c>
      <c r="D61" s="87" t="s">
        <v>91</v>
      </c>
      <c r="E61" s="88">
        <v>132.83308867924529</v>
      </c>
      <c r="F61" s="88">
        <f>Table7[[#This Row],[2025]]*(1-PHEV_Annual_Motor_Power_Reduction)</f>
        <v>132.16892323584906</v>
      </c>
      <c r="G61" s="88">
        <f>Table7[[#This Row],[2026]]*(1-PHEV_Annual_Motor_Power_Reduction)</f>
        <v>131.50807861966982</v>
      </c>
      <c r="H61" s="88">
        <f>Table7[[#This Row],[2027]]*(1-PHEV_Annual_Motor_Power_Reduction)</f>
        <v>130.85053822657147</v>
      </c>
      <c r="I61" s="88">
        <f>Table7[[#This Row],[2028]]*(1-PHEV_Annual_Motor_Power_Reduction)</f>
        <v>130.19628553543862</v>
      </c>
      <c r="J61" s="88">
        <f>Table7[[#This Row],[2029]]*(1-PHEV_Annual_Motor_Power_Reduction)</f>
        <v>129.54530410776144</v>
      </c>
      <c r="K61" s="88">
        <f>Table7[[#This Row],[2030]]*(1-PHEV_Annual_Motor_Power_Reduction)</f>
        <v>128.89757758722263</v>
      </c>
      <c r="L61" s="88">
        <f>Table7[[#This Row],[2031]]*(1-PHEV_Annual_Motor_Power_Reduction)</f>
        <v>128.25308969928651</v>
      </c>
      <c r="M61" s="88">
        <f>Table7[[#This Row],[2032]]*(1-PHEV_Annual_Motor_Power_Reduction)</f>
        <v>127.61182425079008</v>
      </c>
      <c r="N61" s="88">
        <f>Table7[[#This Row],[2033]]*(1-PHEV_Annual_Motor_Power_Reduction)</f>
        <v>126.97376512953613</v>
      </c>
      <c r="O61" s="89">
        <f>Table7[[#This Row],[2034]]*(1-PHEV_Annual_Motor_Power_Reduction)</f>
        <v>126.33889630388845</v>
      </c>
      <c r="P61" s="11"/>
      <c r="Q61" s="4"/>
      <c r="R61" s="4"/>
      <c r="S61" s="3"/>
    </row>
    <row r="62" spans="1:19" x14ac:dyDescent="0.3">
      <c r="A62" s="11" t="str">
        <f t="shared" si="27"/>
        <v>SmallSUVPremiumPHEV50</v>
      </c>
      <c r="B62" s="90" t="s">
        <v>83</v>
      </c>
      <c r="C62" s="45" t="s">
        <v>80</v>
      </c>
      <c r="D62" s="87" t="s">
        <v>91</v>
      </c>
      <c r="E62" s="88">
        <f>E61</f>
        <v>132.83308867924529</v>
      </c>
      <c r="F62" s="88">
        <f>Table7[[#This Row],[2025]]*(1-PHEV_Annual_Motor_Power_Reduction)</f>
        <v>132.16892323584906</v>
      </c>
      <c r="G62" s="88">
        <f>Table7[[#This Row],[2026]]*(1-PHEV_Annual_Motor_Power_Reduction)</f>
        <v>131.50807861966982</v>
      </c>
      <c r="H62" s="88">
        <f>Table7[[#This Row],[2027]]*(1-PHEV_Annual_Motor_Power_Reduction)</f>
        <v>130.85053822657147</v>
      </c>
      <c r="I62" s="88">
        <f>Table7[[#This Row],[2028]]*(1-PHEV_Annual_Motor_Power_Reduction)</f>
        <v>130.19628553543862</v>
      </c>
      <c r="J62" s="88">
        <f>Table7[[#This Row],[2029]]*(1-PHEV_Annual_Motor_Power_Reduction)</f>
        <v>129.54530410776144</v>
      </c>
      <c r="K62" s="88">
        <f>Table7[[#This Row],[2030]]*(1-PHEV_Annual_Motor_Power_Reduction)</f>
        <v>128.89757758722263</v>
      </c>
      <c r="L62" s="88">
        <f>Table7[[#This Row],[2031]]*(1-PHEV_Annual_Motor_Power_Reduction)</f>
        <v>128.25308969928651</v>
      </c>
      <c r="M62" s="88">
        <f>Table7[[#This Row],[2032]]*(1-PHEV_Annual_Motor_Power_Reduction)</f>
        <v>127.61182425079008</v>
      </c>
      <c r="N62" s="88">
        <f>Table7[[#This Row],[2033]]*(1-PHEV_Annual_Motor_Power_Reduction)</f>
        <v>126.97376512953613</v>
      </c>
      <c r="O62" s="89">
        <f>Table7[[#This Row],[2034]]*(1-PHEV_Annual_Motor_Power_Reduction)</f>
        <v>126.33889630388845</v>
      </c>
      <c r="P62" s="11"/>
      <c r="Q62" s="4"/>
      <c r="R62" s="4"/>
      <c r="S62" s="3"/>
    </row>
    <row r="63" spans="1:19" x14ac:dyDescent="0.3">
      <c r="A63" s="11" t="str">
        <f t="shared" si="27"/>
        <v>MedSUVBasePHEV50</v>
      </c>
      <c r="B63" s="90" t="s">
        <v>86</v>
      </c>
      <c r="C63" s="45" t="s">
        <v>75</v>
      </c>
      <c r="D63" s="87" t="s">
        <v>91</v>
      </c>
      <c r="E63" s="88">
        <v>159.39828092105262</v>
      </c>
      <c r="F63" s="88">
        <f>Table7[[#This Row],[2025]]*(1-PHEV_Annual_Motor_Power_Reduction)</f>
        <v>158.60128951644737</v>
      </c>
      <c r="G63" s="88">
        <f>Table7[[#This Row],[2026]]*(1-PHEV_Annual_Motor_Power_Reduction)</f>
        <v>157.80828306886514</v>
      </c>
      <c r="H63" s="88">
        <f>Table7[[#This Row],[2027]]*(1-PHEV_Annual_Motor_Power_Reduction)</f>
        <v>157.01924165352082</v>
      </c>
      <c r="I63" s="88">
        <f>Table7[[#This Row],[2028]]*(1-PHEV_Annual_Motor_Power_Reduction)</f>
        <v>156.2341454452532</v>
      </c>
      <c r="J63" s="88">
        <f>Table7[[#This Row],[2029]]*(1-PHEV_Annual_Motor_Power_Reduction)</f>
        <v>155.45297471802695</v>
      </c>
      <c r="K63" s="88">
        <f>Table7[[#This Row],[2030]]*(1-PHEV_Annual_Motor_Power_Reduction)</f>
        <v>154.67570984443682</v>
      </c>
      <c r="L63" s="88">
        <f>Table7[[#This Row],[2031]]*(1-PHEV_Annual_Motor_Power_Reduction)</f>
        <v>153.90233129521465</v>
      </c>
      <c r="M63" s="88">
        <f>Table7[[#This Row],[2032]]*(1-PHEV_Annual_Motor_Power_Reduction)</f>
        <v>153.13281963873857</v>
      </c>
      <c r="N63" s="88">
        <f>Table7[[#This Row],[2033]]*(1-PHEV_Annual_Motor_Power_Reduction)</f>
        <v>152.36715554054487</v>
      </c>
      <c r="O63" s="89">
        <f>Table7[[#This Row],[2034]]*(1-PHEV_Annual_Motor_Power_Reduction)</f>
        <v>151.60531976284216</v>
      </c>
      <c r="P63" s="11"/>
      <c r="Q63" s="4"/>
      <c r="R63" s="4"/>
      <c r="S63" s="3"/>
    </row>
    <row r="64" spans="1:19" x14ac:dyDescent="0.3">
      <c r="A64" s="11" t="str">
        <f t="shared" si="27"/>
        <v>MedSUVPremiumPHEV50</v>
      </c>
      <c r="B64" s="90" t="s">
        <v>86</v>
      </c>
      <c r="C64" s="45" t="s">
        <v>80</v>
      </c>
      <c r="D64" s="87" t="s">
        <v>91</v>
      </c>
      <c r="E64" s="88">
        <f>E63</f>
        <v>159.39828092105262</v>
      </c>
      <c r="F64" s="88">
        <f>Table7[[#This Row],[2025]]*(1-PHEV_Annual_Motor_Power_Reduction)</f>
        <v>158.60128951644737</v>
      </c>
      <c r="G64" s="88">
        <f>Table7[[#This Row],[2026]]*(1-PHEV_Annual_Motor_Power_Reduction)</f>
        <v>157.80828306886514</v>
      </c>
      <c r="H64" s="88">
        <f>Table7[[#This Row],[2027]]*(1-PHEV_Annual_Motor_Power_Reduction)</f>
        <v>157.01924165352082</v>
      </c>
      <c r="I64" s="88">
        <f>Table7[[#This Row],[2028]]*(1-PHEV_Annual_Motor_Power_Reduction)</f>
        <v>156.2341454452532</v>
      </c>
      <c r="J64" s="88">
        <f>Table7[[#This Row],[2029]]*(1-PHEV_Annual_Motor_Power_Reduction)</f>
        <v>155.45297471802695</v>
      </c>
      <c r="K64" s="88">
        <f>Table7[[#This Row],[2030]]*(1-PHEV_Annual_Motor_Power_Reduction)</f>
        <v>154.67570984443682</v>
      </c>
      <c r="L64" s="88">
        <f>Table7[[#This Row],[2031]]*(1-PHEV_Annual_Motor_Power_Reduction)</f>
        <v>153.90233129521465</v>
      </c>
      <c r="M64" s="88">
        <f>Table7[[#This Row],[2032]]*(1-PHEV_Annual_Motor_Power_Reduction)</f>
        <v>153.13281963873857</v>
      </c>
      <c r="N64" s="88">
        <f>Table7[[#This Row],[2033]]*(1-PHEV_Annual_Motor_Power_Reduction)</f>
        <v>152.36715554054487</v>
      </c>
      <c r="O64" s="89">
        <f>Table7[[#This Row],[2034]]*(1-PHEV_Annual_Motor_Power_Reduction)</f>
        <v>151.60531976284216</v>
      </c>
      <c r="P64" s="11"/>
      <c r="Q64" s="4"/>
      <c r="R64" s="4"/>
      <c r="S64" s="3"/>
    </row>
    <row r="65" spans="1:19" x14ac:dyDescent="0.3">
      <c r="A65" s="11" t="str">
        <f t="shared" si="27"/>
        <v>PickupBasePHEV50</v>
      </c>
      <c r="B65" s="90" t="s">
        <v>89</v>
      </c>
      <c r="C65" s="45" t="s">
        <v>75</v>
      </c>
      <c r="D65" s="87" t="s">
        <v>91</v>
      </c>
      <c r="E65" s="88">
        <v>207.35573371428572</v>
      </c>
      <c r="F65" s="88">
        <f>Table7[[#This Row],[2025]]*(1-PHEV_Annual_Motor_Power_Reduction)</f>
        <v>206.31895504571429</v>
      </c>
      <c r="G65" s="88">
        <f>Table7[[#This Row],[2026]]*(1-PHEV_Annual_Motor_Power_Reduction)</f>
        <v>205.28736027048572</v>
      </c>
      <c r="H65" s="88">
        <f>Table7[[#This Row],[2027]]*(1-PHEV_Annual_Motor_Power_Reduction)</f>
        <v>204.2609234691333</v>
      </c>
      <c r="I65" s="88">
        <f>Table7[[#This Row],[2028]]*(1-PHEV_Annual_Motor_Power_Reduction)</f>
        <v>203.23961885178764</v>
      </c>
      <c r="J65" s="88">
        <f>Table7[[#This Row],[2029]]*(1-PHEV_Annual_Motor_Power_Reduction)</f>
        <v>202.22342075752871</v>
      </c>
      <c r="K65" s="88">
        <f>Table7[[#This Row],[2030]]*(1-PHEV_Annual_Motor_Power_Reduction)</f>
        <v>201.21230365374106</v>
      </c>
      <c r="L65" s="88">
        <f>Table7[[#This Row],[2031]]*(1-PHEV_Annual_Motor_Power_Reduction)</f>
        <v>200.20624213547237</v>
      </c>
      <c r="M65" s="88">
        <f>Table7[[#This Row],[2032]]*(1-PHEV_Annual_Motor_Power_Reduction)</f>
        <v>199.20521092479501</v>
      </c>
      <c r="N65" s="88">
        <f>Table7[[#This Row],[2033]]*(1-PHEV_Annual_Motor_Power_Reduction)</f>
        <v>198.20918487017104</v>
      </c>
      <c r="O65" s="89">
        <f>Table7[[#This Row],[2034]]*(1-PHEV_Annual_Motor_Power_Reduction)</f>
        <v>197.21813894582019</v>
      </c>
      <c r="P65" s="11"/>
      <c r="Q65" s="4"/>
      <c r="R65" s="4"/>
      <c r="S65" s="3"/>
    </row>
    <row r="66" spans="1:19" ht="15" thickBot="1" x14ac:dyDescent="0.35">
      <c r="A66" s="11" t="str">
        <f t="shared" si="27"/>
        <v>PickupHTPHEV50</v>
      </c>
      <c r="B66" s="96" t="s">
        <v>89</v>
      </c>
      <c r="C66" s="97" t="s">
        <v>113</v>
      </c>
      <c r="D66" s="98" t="s">
        <v>91</v>
      </c>
      <c r="E66" s="99">
        <f>E65</f>
        <v>207.35573371428572</v>
      </c>
      <c r="F66" s="99">
        <f>Table7[[#This Row],[2025]]*(1-PHEV_Annual_Motor_Power_Reduction)</f>
        <v>206.31895504571429</v>
      </c>
      <c r="G66" s="99">
        <f>Table7[[#This Row],[2026]]*(1-PHEV_Annual_Motor_Power_Reduction)</f>
        <v>205.28736027048572</v>
      </c>
      <c r="H66" s="99">
        <f>Table7[[#This Row],[2027]]*(1-PHEV_Annual_Motor_Power_Reduction)</f>
        <v>204.2609234691333</v>
      </c>
      <c r="I66" s="99">
        <f>Table7[[#This Row],[2028]]*(1-PHEV_Annual_Motor_Power_Reduction)</f>
        <v>203.23961885178764</v>
      </c>
      <c r="J66" s="99">
        <f>Table7[[#This Row],[2029]]*(1-PHEV_Annual_Motor_Power_Reduction)</f>
        <v>202.22342075752871</v>
      </c>
      <c r="K66" s="99">
        <f>Table7[[#This Row],[2030]]*(1-PHEV_Annual_Motor_Power_Reduction)</f>
        <v>201.21230365374106</v>
      </c>
      <c r="L66" s="99">
        <f>Table7[[#This Row],[2031]]*(1-PHEV_Annual_Motor_Power_Reduction)</f>
        <v>200.20624213547237</v>
      </c>
      <c r="M66" s="99">
        <f>Table7[[#This Row],[2032]]*(1-PHEV_Annual_Motor_Power_Reduction)</f>
        <v>199.20521092479501</v>
      </c>
      <c r="N66" s="99">
        <f>Table7[[#This Row],[2033]]*(1-PHEV_Annual_Motor_Power_Reduction)</f>
        <v>198.20918487017104</v>
      </c>
      <c r="O66" s="100">
        <f>Table7[[#This Row],[2034]]*(1-PHEV_Annual_Motor_Power_Reduction)</f>
        <v>197.21813894582019</v>
      </c>
      <c r="P66" s="11"/>
      <c r="Q66" s="4"/>
      <c r="R66" s="4"/>
      <c r="S66" s="3"/>
    </row>
  </sheetData>
  <mergeCells count="11">
    <mergeCell ref="B55:O55"/>
    <mergeCell ref="B1:O1"/>
    <mergeCell ref="B16:O16"/>
    <mergeCell ref="B29:O29"/>
    <mergeCell ref="B42:O42"/>
    <mergeCell ref="B3:O3"/>
    <mergeCell ref="B15:O15"/>
    <mergeCell ref="B2:O2"/>
    <mergeCell ref="B28:O28"/>
    <mergeCell ref="B41:O41"/>
    <mergeCell ref="B54:O54"/>
  </mergeCells>
  <phoneticPr fontId="6" type="noConversion"/>
  <pageMargins left="0.7" right="0.7" top="0.75" bottom="0.75" header="0.3" footer="0.3"/>
  <pageSetup orientation="portrait" r:id="rId1"/>
  <ignoredErrors>
    <ignoredError sqref="F18" calculatedColumn="1"/>
  </ignoredErrors>
  <tableParts count="5">
    <tablePart r:id="rId2"/>
    <tablePart r:id="rId3"/>
    <tablePart r:id="rId4"/>
    <tablePart r:id="rId5"/>
    <tablePart r:id="rId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10597B"/>
  </sheetPr>
  <dimension ref="A1:P93"/>
  <sheetViews>
    <sheetView topLeftCell="B1" zoomScaleNormal="100" workbookViewId="0">
      <selection activeCell="B81" activeCellId="6" sqref="B3:O3 B16 B29 B42 B55 B68 B81"/>
    </sheetView>
  </sheetViews>
  <sheetFormatPr defaultRowHeight="14.4" x14ac:dyDescent="0.3"/>
  <cols>
    <col min="1" max="1" width="25.5546875" hidden="1" customWidth="1"/>
    <col min="2" max="2" width="14.88671875" customWidth="1"/>
    <col min="3" max="3" width="14.5546875" customWidth="1"/>
    <col min="4" max="4" width="12" customWidth="1"/>
    <col min="5" max="15" width="10.88671875" customWidth="1"/>
  </cols>
  <sheetData>
    <row r="1" spans="1:15" ht="15" customHeight="1" x14ac:dyDescent="0.3">
      <c r="B1" s="188" t="s">
        <v>121</v>
      </c>
      <c r="C1" s="189"/>
      <c r="D1" s="189"/>
      <c r="E1" s="189"/>
      <c r="F1" s="189"/>
      <c r="G1" s="189"/>
      <c r="H1" s="189"/>
      <c r="I1" s="189"/>
      <c r="J1" s="189"/>
      <c r="K1" s="189"/>
      <c r="L1" s="189"/>
      <c r="M1" s="189"/>
      <c r="N1" s="189"/>
      <c r="O1" s="190"/>
    </row>
    <row r="2" spans="1:15" ht="15" thickBot="1" x14ac:dyDescent="0.35">
      <c r="B2" s="191" t="s">
        <v>122</v>
      </c>
      <c r="C2" s="192"/>
      <c r="D2" s="192"/>
      <c r="E2" s="192"/>
      <c r="F2" s="192"/>
      <c r="G2" s="192"/>
      <c r="H2" s="192"/>
      <c r="I2" s="192"/>
      <c r="J2" s="192"/>
      <c r="K2" s="192"/>
      <c r="L2" s="192"/>
      <c r="M2" s="192"/>
      <c r="N2" s="192"/>
      <c r="O2" s="193"/>
    </row>
    <row r="3" spans="1:15" ht="15" customHeight="1" thickBot="1" x14ac:dyDescent="0.35">
      <c r="B3" s="179" t="s">
        <v>98</v>
      </c>
      <c r="C3" s="180"/>
      <c r="D3" s="180"/>
      <c r="E3" s="180"/>
      <c r="F3" s="180"/>
      <c r="G3" s="180"/>
      <c r="H3" s="180"/>
      <c r="I3" s="180"/>
      <c r="J3" s="180"/>
      <c r="K3" s="180"/>
      <c r="L3" s="180"/>
      <c r="M3" s="180"/>
      <c r="N3" s="180"/>
      <c r="O3" s="181"/>
    </row>
    <row r="4" spans="1:15" ht="15" thickBot="1" x14ac:dyDescent="0.35">
      <c r="B4" s="172" t="s">
        <v>123</v>
      </c>
      <c r="C4" s="174"/>
      <c r="D4" s="174"/>
      <c r="E4" s="174"/>
      <c r="F4" s="174"/>
      <c r="G4" s="174"/>
      <c r="H4" s="174"/>
      <c r="I4" s="174"/>
      <c r="J4" s="174"/>
      <c r="K4" s="174"/>
      <c r="L4" s="174"/>
      <c r="M4" s="174"/>
      <c r="N4" s="174"/>
      <c r="O4" s="173"/>
    </row>
    <row r="5" spans="1:15" x14ac:dyDescent="0.3">
      <c r="B5" s="93" t="s">
        <v>100</v>
      </c>
      <c r="C5" s="107" t="s">
        <v>101</v>
      </c>
      <c r="D5" s="108" t="s">
        <v>67</v>
      </c>
      <c r="E5" s="92" t="s">
        <v>102</v>
      </c>
      <c r="F5" s="92" t="s">
        <v>103</v>
      </c>
      <c r="G5" s="92" t="s">
        <v>104</v>
      </c>
      <c r="H5" s="92" t="s">
        <v>105</v>
      </c>
      <c r="I5" s="92" t="s">
        <v>106</v>
      </c>
      <c r="J5" s="92" t="s">
        <v>107</v>
      </c>
      <c r="K5" s="92" t="s">
        <v>108</v>
      </c>
      <c r="L5" s="92" t="s">
        <v>109</v>
      </c>
      <c r="M5" s="92" t="s">
        <v>110</v>
      </c>
      <c r="N5" s="92" t="s">
        <v>111</v>
      </c>
      <c r="O5" s="109" t="s">
        <v>112</v>
      </c>
    </row>
    <row r="6" spans="1:15" x14ac:dyDescent="0.3">
      <c r="A6" t="str">
        <f>CONCATENATE(B6,C6,D6)</f>
        <v>SmallCarBaseFCEV320</v>
      </c>
      <c r="B6" s="101" t="s">
        <v>73</v>
      </c>
      <c r="C6" s="86" t="s">
        <v>75</v>
      </c>
      <c r="D6" s="87" t="s">
        <v>96</v>
      </c>
      <c r="E6" s="88">
        <v>320</v>
      </c>
      <c r="F6" s="88">
        <v>320</v>
      </c>
      <c r="G6" s="88">
        <v>320</v>
      </c>
      <c r="H6" s="88">
        <v>320</v>
      </c>
      <c r="I6" s="88">
        <v>320</v>
      </c>
      <c r="J6" s="88">
        <v>320</v>
      </c>
      <c r="K6" s="88">
        <v>320</v>
      </c>
      <c r="L6" s="88">
        <v>320</v>
      </c>
      <c r="M6" s="88">
        <v>320</v>
      </c>
      <c r="N6" s="88">
        <v>320</v>
      </c>
      <c r="O6" s="102">
        <v>320</v>
      </c>
    </row>
    <row r="7" spans="1:15" x14ac:dyDescent="0.3">
      <c r="A7" t="str">
        <f t="shared" ref="A7:A15" si="0">CONCATENATE(B7,C7,D7)</f>
        <v>SmallCarPremiumFCEV320</v>
      </c>
      <c r="B7" s="79" t="s">
        <v>73</v>
      </c>
      <c r="C7" s="45" t="s">
        <v>80</v>
      </c>
      <c r="D7" s="87" t="s">
        <v>96</v>
      </c>
      <c r="E7" s="88">
        <v>320</v>
      </c>
      <c r="F7" s="88">
        <v>320</v>
      </c>
      <c r="G7" s="88">
        <v>320</v>
      </c>
      <c r="H7" s="88">
        <v>320</v>
      </c>
      <c r="I7" s="88">
        <v>320</v>
      </c>
      <c r="J7" s="88">
        <v>320</v>
      </c>
      <c r="K7" s="88">
        <v>320</v>
      </c>
      <c r="L7" s="88">
        <v>320</v>
      </c>
      <c r="M7" s="88">
        <v>320</v>
      </c>
      <c r="N7" s="88">
        <v>320</v>
      </c>
      <c r="O7" s="102">
        <v>320</v>
      </c>
    </row>
    <row r="8" spans="1:15" x14ac:dyDescent="0.3">
      <c r="A8" t="str">
        <f t="shared" si="0"/>
        <v>MedCarBaseFCEV320</v>
      </c>
      <c r="B8" s="79" t="s">
        <v>82</v>
      </c>
      <c r="C8" s="45" t="s">
        <v>75</v>
      </c>
      <c r="D8" s="87" t="s">
        <v>96</v>
      </c>
      <c r="E8" s="88">
        <v>320</v>
      </c>
      <c r="F8" s="88">
        <v>320</v>
      </c>
      <c r="G8" s="88">
        <v>320</v>
      </c>
      <c r="H8" s="88">
        <v>320</v>
      </c>
      <c r="I8" s="88">
        <v>320</v>
      </c>
      <c r="J8" s="88">
        <v>320</v>
      </c>
      <c r="K8" s="88">
        <v>320</v>
      </c>
      <c r="L8" s="88">
        <v>320</v>
      </c>
      <c r="M8" s="88">
        <v>320</v>
      </c>
      <c r="N8" s="88">
        <v>320</v>
      </c>
      <c r="O8" s="102">
        <v>320</v>
      </c>
    </row>
    <row r="9" spans="1:15" x14ac:dyDescent="0.3">
      <c r="A9" t="str">
        <f t="shared" si="0"/>
        <v>MedCarPremiumFCEV320</v>
      </c>
      <c r="B9" s="79" t="s">
        <v>82</v>
      </c>
      <c r="C9" s="45" t="s">
        <v>80</v>
      </c>
      <c r="D9" s="87" t="s">
        <v>96</v>
      </c>
      <c r="E9" s="88">
        <v>320</v>
      </c>
      <c r="F9" s="88">
        <v>320</v>
      </c>
      <c r="G9" s="88">
        <v>320</v>
      </c>
      <c r="H9" s="88">
        <v>320</v>
      </c>
      <c r="I9" s="88">
        <v>320</v>
      </c>
      <c r="J9" s="88">
        <v>320</v>
      </c>
      <c r="K9" s="88">
        <v>320</v>
      </c>
      <c r="L9" s="88">
        <v>320</v>
      </c>
      <c r="M9" s="88">
        <v>320</v>
      </c>
      <c r="N9" s="88">
        <v>320</v>
      </c>
      <c r="O9" s="102">
        <v>320</v>
      </c>
    </row>
    <row r="10" spans="1:15" x14ac:dyDescent="0.3">
      <c r="A10" t="str">
        <f t="shared" si="0"/>
        <v>SmallSUVBaseFCEV320</v>
      </c>
      <c r="B10" s="79" t="s">
        <v>83</v>
      </c>
      <c r="C10" s="45" t="s">
        <v>75</v>
      </c>
      <c r="D10" s="87" t="s">
        <v>96</v>
      </c>
      <c r="E10" s="88">
        <v>320</v>
      </c>
      <c r="F10" s="88">
        <v>320</v>
      </c>
      <c r="G10" s="88">
        <v>320</v>
      </c>
      <c r="H10" s="88">
        <v>320</v>
      </c>
      <c r="I10" s="88">
        <v>320</v>
      </c>
      <c r="J10" s="88">
        <v>320</v>
      </c>
      <c r="K10" s="88">
        <v>320</v>
      </c>
      <c r="L10" s="88">
        <v>320</v>
      </c>
      <c r="M10" s="88">
        <v>320</v>
      </c>
      <c r="N10" s="88">
        <v>320</v>
      </c>
      <c r="O10" s="102">
        <v>320</v>
      </c>
    </row>
    <row r="11" spans="1:15" x14ac:dyDescent="0.3">
      <c r="A11" t="str">
        <f t="shared" si="0"/>
        <v>SmallSUVPremiumFCEV320</v>
      </c>
      <c r="B11" s="79" t="s">
        <v>83</v>
      </c>
      <c r="C11" s="45" t="s">
        <v>80</v>
      </c>
      <c r="D11" s="87" t="s">
        <v>96</v>
      </c>
      <c r="E11" s="88">
        <v>320</v>
      </c>
      <c r="F11" s="88">
        <v>320</v>
      </c>
      <c r="G11" s="88">
        <v>320</v>
      </c>
      <c r="H11" s="88">
        <v>320</v>
      </c>
      <c r="I11" s="88">
        <v>320</v>
      </c>
      <c r="J11" s="88">
        <v>320</v>
      </c>
      <c r="K11" s="88">
        <v>320</v>
      </c>
      <c r="L11" s="88">
        <v>320</v>
      </c>
      <c r="M11" s="88">
        <v>320</v>
      </c>
      <c r="N11" s="88">
        <v>320</v>
      </c>
      <c r="O11" s="102">
        <v>320</v>
      </c>
    </row>
    <row r="12" spans="1:15" x14ac:dyDescent="0.3">
      <c r="A12" t="str">
        <f t="shared" si="0"/>
        <v>MedSUVBaseFCEV320</v>
      </c>
      <c r="B12" s="79" t="s">
        <v>86</v>
      </c>
      <c r="C12" s="45" t="s">
        <v>75</v>
      </c>
      <c r="D12" s="87" t="s">
        <v>96</v>
      </c>
      <c r="E12" s="88">
        <v>320</v>
      </c>
      <c r="F12" s="88">
        <v>320</v>
      </c>
      <c r="G12" s="88">
        <v>320</v>
      </c>
      <c r="H12" s="88">
        <v>320</v>
      </c>
      <c r="I12" s="88">
        <v>320</v>
      </c>
      <c r="J12" s="88">
        <v>320</v>
      </c>
      <c r="K12" s="88">
        <v>320</v>
      </c>
      <c r="L12" s="88">
        <v>320</v>
      </c>
      <c r="M12" s="88">
        <v>320</v>
      </c>
      <c r="N12" s="88">
        <v>320</v>
      </c>
      <c r="O12" s="102">
        <v>320</v>
      </c>
    </row>
    <row r="13" spans="1:15" x14ac:dyDescent="0.3">
      <c r="A13" t="str">
        <f t="shared" si="0"/>
        <v>MedSUVPremiumFCEV320</v>
      </c>
      <c r="B13" s="79" t="s">
        <v>86</v>
      </c>
      <c r="C13" s="45" t="s">
        <v>80</v>
      </c>
      <c r="D13" s="87" t="s">
        <v>96</v>
      </c>
      <c r="E13" s="88">
        <v>320</v>
      </c>
      <c r="F13" s="88">
        <v>320</v>
      </c>
      <c r="G13" s="88">
        <v>320</v>
      </c>
      <c r="H13" s="88">
        <v>320</v>
      </c>
      <c r="I13" s="88">
        <v>320</v>
      </c>
      <c r="J13" s="88">
        <v>320</v>
      </c>
      <c r="K13" s="88">
        <v>320</v>
      </c>
      <c r="L13" s="88">
        <v>320</v>
      </c>
      <c r="M13" s="88">
        <v>320</v>
      </c>
      <c r="N13" s="88">
        <v>320</v>
      </c>
      <c r="O13" s="102">
        <v>320</v>
      </c>
    </row>
    <row r="14" spans="1:15" x14ac:dyDescent="0.3">
      <c r="A14" t="str">
        <f t="shared" si="0"/>
        <v>PickupBaseFCEV320</v>
      </c>
      <c r="B14" s="79" t="s">
        <v>89</v>
      </c>
      <c r="C14" s="45" t="s">
        <v>75</v>
      </c>
      <c r="D14" s="87" t="s">
        <v>96</v>
      </c>
      <c r="E14" s="88">
        <v>320</v>
      </c>
      <c r="F14" s="88">
        <v>320</v>
      </c>
      <c r="G14" s="88">
        <v>320</v>
      </c>
      <c r="H14" s="88">
        <v>320</v>
      </c>
      <c r="I14" s="88">
        <v>320</v>
      </c>
      <c r="J14" s="88">
        <v>320</v>
      </c>
      <c r="K14" s="88">
        <v>320</v>
      </c>
      <c r="L14" s="88">
        <v>320</v>
      </c>
      <c r="M14" s="88">
        <v>320</v>
      </c>
      <c r="N14" s="88">
        <v>320</v>
      </c>
      <c r="O14" s="102">
        <v>320</v>
      </c>
    </row>
    <row r="15" spans="1:15" ht="15" thickBot="1" x14ac:dyDescent="0.35">
      <c r="A15" t="str">
        <f t="shared" si="0"/>
        <v>PickupHTFCEV320</v>
      </c>
      <c r="B15" s="79" t="s">
        <v>89</v>
      </c>
      <c r="C15" s="45" t="s">
        <v>113</v>
      </c>
      <c r="D15" s="87" t="s">
        <v>96</v>
      </c>
      <c r="E15" s="88">
        <v>320</v>
      </c>
      <c r="F15" s="88">
        <v>320</v>
      </c>
      <c r="G15" s="88">
        <v>320</v>
      </c>
      <c r="H15" s="88">
        <v>320</v>
      </c>
      <c r="I15" s="88">
        <v>320</v>
      </c>
      <c r="J15" s="88">
        <v>320</v>
      </c>
      <c r="K15" s="88">
        <v>320</v>
      </c>
      <c r="L15" s="88">
        <v>320</v>
      </c>
      <c r="M15" s="88">
        <v>320</v>
      </c>
      <c r="N15" s="88">
        <v>320</v>
      </c>
      <c r="O15" s="102">
        <v>320</v>
      </c>
    </row>
    <row r="16" spans="1:15" ht="16.2" thickBot="1" x14ac:dyDescent="0.35">
      <c r="B16" s="179" t="s">
        <v>98</v>
      </c>
      <c r="C16" s="180"/>
      <c r="D16" s="180"/>
      <c r="E16" s="180"/>
      <c r="F16" s="180"/>
      <c r="G16" s="180"/>
      <c r="H16" s="180"/>
      <c r="I16" s="180"/>
      <c r="J16" s="180"/>
      <c r="K16" s="180"/>
      <c r="L16" s="180"/>
      <c r="M16" s="180"/>
      <c r="N16" s="180"/>
      <c r="O16" s="181"/>
    </row>
    <row r="17" spans="1:16" x14ac:dyDescent="0.3">
      <c r="B17" s="170" t="s">
        <v>124</v>
      </c>
      <c r="C17" s="175"/>
      <c r="D17" s="175"/>
      <c r="E17" s="175"/>
      <c r="F17" s="175"/>
      <c r="G17" s="175"/>
      <c r="H17" s="175"/>
      <c r="I17" s="175"/>
      <c r="J17" s="175"/>
      <c r="K17" s="175"/>
      <c r="L17" s="175"/>
      <c r="M17" s="175"/>
      <c r="N17" s="175"/>
      <c r="O17" s="171"/>
    </row>
    <row r="18" spans="1:16" ht="15" thickBot="1" x14ac:dyDescent="0.35">
      <c r="B18" s="110" t="s">
        <v>100</v>
      </c>
      <c r="C18" s="111" t="s">
        <v>101</v>
      </c>
      <c r="D18" s="112" t="s">
        <v>67</v>
      </c>
      <c r="E18" s="113" t="s">
        <v>102</v>
      </c>
      <c r="F18" s="113" t="s">
        <v>103</v>
      </c>
      <c r="G18" s="113" t="s">
        <v>104</v>
      </c>
      <c r="H18" s="113" t="s">
        <v>105</v>
      </c>
      <c r="I18" s="113" t="s">
        <v>106</v>
      </c>
      <c r="J18" s="113" t="s">
        <v>107</v>
      </c>
      <c r="K18" s="113" t="s">
        <v>108</v>
      </c>
      <c r="L18" s="113" t="s">
        <v>109</v>
      </c>
      <c r="M18" s="113" t="s">
        <v>110</v>
      </c>
      <c r="N18" s="113" t="s">
        <v>111</v>
      </c>
      <c r="O18" s="114" t="s">
        <v>112</v>
      </c>
      <c r="P18" s="11"/>
    </row>
    <row r="19" spans="1:16" x14ac:dyDescent="0.3">
      <c r="A19" t="str">
        <f>CONCATENATE(B19,C19,D19)</f>
        <v>SmallCarBaseFCEV320</v>
      </c>
      <c r="B19" s="103" t="s">
        <v>73</v>
      </c>
      <c r="C19" s="63" t="s">
        <v>75</v>
      </c>
      <c r="D19" s="104" t="s">
        <v>96</v>
      </c>
      <c r="E19" s="88">
        <v>87.918000000000006</v>
      </c>
      <c r="F19" s="88">
        <v>86.790400000000005</v>
      </c>
      <c r="G19" s="88">
        <v>85.662800000000004</v>
      </c>
      <c r="H19" s="88">
        <v>84.535200000000003</v>
      </c>
      <c r="I19" s="88">
        <v>83.407600000000002</v>
      </c>
      <c r="J19" s="88">
        <v>82.28</v>
      </c>
      <c r="K19" s="88">
        <v>81.535399999999996</v>
      </c>
      <c r="L19" s="88">
        <v>80.790800000000004</v>
      </c>
      <c r="M19" s="88">
        <v>80.046199999999999</v>
      </c>
      <c r="N19" s="88">
        <v>79.301600000000008</v>
      </c>
      <c r="O19" s="89">
        <v>78.557000000000002</v>
      </c>
      <c r="P19" s="11"/>
    </row>
    <row r="20" spans="1:16" x14ac:dyDescent="0.3">
      <c r="A20" t="str">
        <f t="shared" ref="A20:A28" si="1">CONCATENATE(B20,C20,D20)</f>
        <v>SmallCarPremiumFCEV320</v>
      </c>
      <c r="B20" s="90" t="s">
        <v>73</v>
      </c>
      <c r="C20" s="45" t="s">
        <v>80</v>
      </c>
      <c r="D20" s="87" t="s">
        <v>96</v>
      </c>
      <c r="E20" s="88">
        <v>87.918000000000006</v>
      </c>
      <c r="F20" s="88">
        <v>86.790400000000005</v>
      </c>
      <c r="G20" s="88">
        <v>85.662800000000004</v>
      </c>
      <c r="H20" s="88">
        <v>84.535200000000003</v>
      </c>
      <c r="I20" s="88">
        <v>83.407600000000002</v>
      </c>
      <c r="J20" s="88">
        <v>82.28</v>
      </c>
      <c r="K20" s="88">
        <v>81.535399999999996</v>
      </c>
      <c r="L20" s="88">
        <v>80.790800000000004</v>
      </c>
      <c r="M20" s="88">
        <v>80.046199999999999</v>
      </c>
      <c r="N20" s="88">
        <v>79.301600000000008</v>
      </c>
      <c r="O20" s="89">
        <v>78.557000000000002</v>
      </c>
      <c r="P20" s="11"/>
    </row>
    <row r="21" spans="1:16" x14ac:dyDescent="0.3">
      <c r="A21" t="str">
        <f t="shared" si="1"/>
        <v>MedCarBaseFCEV320</v>
      </c>
      <c r="B21" s="90" t="s">
        <v>82</v>
      </c>
      <c r="C21" s="45" t="s">
        <v>75</v>
      </c>
      <c r="D21" s="87" t="s">
        <v>96</v>
      </c>
      <c r="E21" s="88">
        <v>131.17099999999999</v>
      </c>
      <c r="F21" s="88">
        <v>128.63059999999999</v>
      </c>
      <c r="G21" s="88">
        <v>126.0902</v>
      </c>
      <c r="H21" s="88">
        <v>123.54979999999999</v>
      </c>
      <c r="I21" s="88">
        <v>121.0094</v>
      </c>
      <c r="J21" s="88">
        <v>118.46899999999999</v>
      </c>
      <c r="K21" s="88">
        <v>116.61699999999999</v>
      </c>
      <c r="L21" s="88">
        <v>114.765</v>
      </c>
      <c r="M21" s="88">
        <v>112.913</v>
      </c>
      <c r="N21" s="88">
        <v>111.06100000000001</v>
      </c>
      <c r="O21" s="89">
        <v>109.209</v>
      </c>
      <c r="P21" s="11"/>
    </row>
    <row r="22" spans="1:16" x14ac:dyDescent="0.3">
      <c r="A22" t="str">
        <f t="shared" si="1"/>
        <v>MedCarPremiumFCEV320</v>
      </c>
      <c r="B22" s="90" t="s">
        <v>82</v>
      </c>
      <c r="C22" s="45" t="s">
        <v>80</v>
      </c>
      <c r="D22" s="87" t="s">
        <v>96</v>
      </c>
      <c r="E22" s="88">
        <v>131.17099999999999</v>
      </c>
      <c r="F22" s="88">
        <v>128.63059999999999</v>
      </c>
      <c r="G22" s="88">
        <v>126.0902</v>
      </c>
      <c r="H22" s="88">
        <v>123.54979999999999</v>
      </c>
      <c r="I22" s="88">
        <v>121.0094</v>
      </c>
      <c r="J22" s="88">
        <v>118.46899999999999</v>
      </c>
      <c r="K22" s="88">
        <v>116.61699999999999</v>
      </c>
      <c r="L22" s="88">
        <v>114.765</v>
      </c>
      <c r="M22" s="88">
        <v>112.913</v>
      </c>
      <c r="N22" s="88">
        <v>111.06100000000001</v>
      </c>
      <c r="O22" s="89">
        <v>109.209</v>
      </c>
      <c r="P22" s="11"/>
    </row>
    <row r="23" spans="1:16" x14ac:dyDescent="0.3">
      <c r="A23" t="str">
        <f t="shared" si="1"/>
        <v>SmallSUVBaseFCEV320</v>
      </c>
      <c r="B23" s="90" t="s">
        <v>83</v>
      </c>
      <c r="C23" s="45" t="s">
        <v>75</v>
      </c>
      <c r="D23" s="87" t="s">
        <v>96</v>
      </c>
      <c r="E23" s="88">
        <v>122.539</v>
      </c>
      <c r="F23" s="88">
        <v>120.97320000000001</v>
      </c>
      <c r="G23" s="88">
        <v>119.4074</v>
      </c>
      <c r="H23" s="88">
        <v>117.8416</v>
      </c>
      <c r="I23" s="88">
        <v>116.27579999999999</v>
      </c>
      <c r="J23" s="88">
        <v>114.71</v>
      </c>
      <c r="K23" s="88">
        <v>113.1768</v>
      </c>
      <c r="L23" s="88">
        <v>111.64359999999999</v>
      </c>
      <c r="M23" s="88">
        <v>110.1104</v>
      </c>
      <c r="N23" s="88">
        <v>108.57719999999999</v>
      </c>
      <c r="O23" s="89">
        <v>107.044</v>
      </c>
      <c r="P23" s="11"/>
    </row>
    <row r="24" spans="1:16" x14ac:dyDescent="0.3">
      <c r="A24" t="str">
        <f t="shared" si="1"/>
        <v>SmallSUVPremiumFCEV320</v>
      </c>
      <c r="B24" s="90" t="s">
        <v>83</v>
      </c>
      <c r="C24" s="45" t="s">
        <v>80</v>
      </c>
      <c r="D24" s="87" t="s">
        <v>96</v>
      </c>
      <c r="E24" s="88">
        <v>122.539</v>
      </c>
      <c r="F24" s="88">
        <v>120.97320000000001</v>
      </c>
      <c r="G24" s="88">
        <v>119.4074</v>
      </c>
      <c r="H24" s="88">
        <v>117.8416</v>
      </c>
      <c r="I24" s="88">
        <v>116.27579999999999</v>
      </c>
      <c r="J24" s="88">
        <v>114.71</v>
      </c>
      <c r="K24" s="88">
        <v>113.1768</v>
      </c>
      <c r="L24" s="88">
        <v>111.64359999999999</v>
      </c>
      <c r="M24" s="88">
        <v>110.1104</v>
      </c>
      <c r="N24" s="88">
        <v>108.57719999999999</v>
      </c>
      <c r="O24" s="89">
        <v>107.044</v>
      </c>
      <c r="P24" s="11"/>
    </row>
    <row r="25" spans="1:16" x14ac:dyDescent="0.3">
      <c r="A25" t="str">
        <f t="shared" si="1"/>
        <v>MedSUVBaseFCEV320</v>
      </c>
      <c r="B25" s="90" t="s">
        <v>86</v>
      </c>
      <c r="C25" s="45" t="s">
        <v>75</v>
      </c>
      <c r="D25" s="87" t="s">
        <v>96</v>
      </c>
      <c r="E25" s="88">
        <v>139.38399999999999</v>
      </c>
      <c r="F25" s="88">
        <v>137.32459999999998</v>
      </c>
      <c r="G25" s="88">
        <v>135.26519999999999</v>
      </c>
      <c r="H25" s="88">
        <v>133.20579999999998</v>
      </c>
      <c r="I25" s="88">
        <v>131.1464</v>
      </c>
      <c r="J25" s="88">
        <v>129.08699999999999</v>
      </c>
      <c r="K25" s="88">
        <v>127.32959999999999</v>
      </c>
      <c r="L25" s="88">
        <v>125.5722</v>
      </c>
      <c r="M25" s="88">
        <v>123.81479999999999</v>
      </c>
      <c r="N25" s="88">
        <v>122.0574</v>
      </c>
      <c r="O25" s="89">
        <v>120.3</v>
      </c>
      <c r="P25" s="11"/>
    </row>
    <row r="26" spans="1:16" x14ac:dyDescent="0.3">
      <c r="A26" t="str">
        <f t="shared" si="1"/>
        <v>MedSUVPremiumFCEV320</v>
      </c>
      <c r="B26" s="90" t="s">
        <v>86</v>
      </c>
      <c r="C26" s="45" t="s">
        <v>80</v>
      </c>
      <c r="D26" s="87" t="s">
        <v>96</v>
      </c>
      <c r="E26" s="88">
        <v>139.38399999999999</v>
      </c>
      <c r="F26" s="88">
        <v>137.32459999999998</v>
      </c>
      <c r="G26" s="88">
        <v>135.26519999999999</v>
      </c>
      <c r="H26" s="88">
        <v>133.20579999999998</v>
      </c>
      <c r="I26" s="88">
        <v>131.1464</v>
      </c>
      <c r="J26" s="88">
        <v>129.08699999999999</v>
      </c>
      <c r="K26" s="88">
        <v>127.32959999999999</v>
      </c>
      <c r="L26" s="88">
        <v>125.5722</v>
      </c>
      <c r="M26" s="88">
        <v>123.81479999999999</v>
      </c>
      <c r="N26" s="88">
        <v>122.0574</v>
      </c>
      <c r="O26" s="89">
        <v>120.3</v>
      </c>
      <c r="P26" s="11"/>
    </row>
    <row r="27" spans="1:16" ht="15" thickBot="1" x14ac:dyDescent="0.35">
      <c r="A27" t="str">
        <f t="shared" si="1"/>
        <v>PickupBaseFCEV320</v>
      </c>
      <c r="B27" s="90" t="s">
        <v>89</v>
      </c>
      <c r="C27" s="45" t="s">
        <v>75</v>
      </c>
      <c r="D27" s="87" t="s">
        <v>96</v>
      </c>
      <c r="E27" s="99">
        <v>162.08099999999999</v>
      </c>
      <c r="F27" s="99">
        <v>159.18379999999999</v>
      </c>
      <c r="G27" s="99">
        <v>156.28659999999999</v>
      </c>
      <c r="H27" s="99">
        <v>153.38939999999999</v>
      </c>
      <c r="I27" s="99">
        <v>150.4922</v>
      </c>
      <c r="J27" s="99">
        <v>147.595</v>
      </c>
      <c r="K27" s="99">
        <v>145.72380000000001</v>
      </c>
      <c r="L27" s="99">
        <v>143.8526</v>
      </c>
      <c r="M27" s="99">
        <v>141.98140000000001</v>
      </c>
      <c r="N27" s="99">
        <v>140.11019999999999</v>
      </c>
      <c r="O27" s="100">
        <v>138.239</v>
      </c>
      <c r="P27" s="11"/>
    </row>
    <row r="28" spans="1:16" ht="15" thickBot="1" x14ac:dyDescent="0.35">
      <c r="A28" t="str">
        <f t="shared" si="1"/>
        <v>PickupHTFCEV320</v>
      </c>
      <c r="B28" s="96" t="s">
        <v>89</v>
      </c>
      <c r="C28" s="97" t="s">
        <v>113</v>
      </c>
      <c r="D28" s="98" t="s">
        <v>96</v>
      </c>
      <c r="E28" s="99">
        <v>162.08099999999999</v>
      </c>
      <c r="F28" s="99">
        <v>159.18379999999999</v>
      </c>
      <c r="G28" s="99">
        <v>156.28659999999999</v>
      </c>
      <c r="H28" s="99">
        <v>153.38939999999999</v>
      </c>
      <c r="I28" s="99">
        <v>150.4922</v>
      </c>
      <c r="J28" s="99">
        <v>147.595</v>
      </c>
      <c r="K28" s="99">
        <v>145.72380000000001</v>
      </c>
      <c r="L28" s="99">
        <v>143.8526</v>
      </c>
      <c r="M28" s="99">
        <v>141.98140000000001</v>
      </c>
      <c r="N28" s="99">
        <v>140.11019999999999</v>
      </c>
      <c r="O28" s="100">
        <v>138.239</v>
      </c>
      <c r="P28" s="11"/>
    </row>
    <row r="29" spans="1:16" ht="16.2" thickBot="1" x14ac:dyDescent="0.35">
      <c r="A29" s="29"/>
      <c r="B29" s="179" t="s">
        <v>98</v>
      </c>
      <c r="C29" s="180"/>
      <c r="D29" s="180"/>
      <c r="E29" s="180"/>
      <c r="F29" s="180"/>
      <c r="G29" s="180"/>
      <c r="H29" s="180"/>
      <c r="I29" s="180"/>
      <c r="J29" s="180"/>
      <c r="K29" s="180"/>
      <c r="L29" s="180"/>
      <c r="M29" s="180"/>
      <c r="N29" s="180"/>
      <c r="O29" s="181"/>
      <c r="P29" s="11"/>
    </row>
    <row r="30" spans="1:16" ht="15" thickBot="1" x14ac:dyDescent="0.35">
      <c r="B30" s="172" t="s">
        <v>125</v>
      </c>
      <c r="C30" s="174"/>
      <c r="D30" s="174"/>
      <c r="E30" s="174"/>
      <c r="F30" s="174"/>
      <c r="G30" s="174"/>
      <c r="H30" s="174"/>
      <c r="I30" s="174"/>
      <c r="J30" s="174"/>
      <c r="K30" s="174"/>
      <c r="L30" s="174"/>
      <c r="M30" s="174"/>
      <c r="N30" s="174"/>
      <c r="O30" s="173"/>
      <c r="P30" s="31"/>
    </row>
    <row r="31" spans="1:16" x14ac:dyDescent="0.3">
      <c r="B31" s="93" t="s">
        <v>100</v>
      </c>
      <c r="C31" s="107" t="s">
        <v>101</v>
      </c>
      <c r="D31" s="108" t="s">
        <v>67</v>
      </c>
      <c r="E31" s="92" t="s">
        <v>102</v>
      </c>
      <c r="F31" s="92" t="s">
        <v>103</v>
      </c>
      <c r="G31" s="92" t="s">
        <v>104</v>
      </c>
      <c r="H31" s="92" t="s">
        <v>105</v>
      </c>
      <c r="I31" s="92" t="s">
        <v>106</v>
      </c>
      <c r="J31" s="92" t="s">
        <v>107</v>
      </c>
      <c r="K31" s="92" t="s">
        <v>108</v>
      </c>
      <c r="L31" s="92" t="s">
        <v>109</v>
      </c>
      <c r="M31" s="92" t="s">
        <v>110</v>
      </c>
      <c r="N31" s="92" t="s">
        <v>111</v>
      </c>
      <c r="O31" s="109" t="s">
        <v>112</v>
      </c>
      <c r="P31" s="11"/>
    </row>
    <row r="32" spans="1:16" x14ac:dyDescent="0.3">
      <c r="A32" t="str">
        <f>CONCATENATE(B32,C32,D32)</f>
        <v>SmallCarBaseFCEV320</v>
      </c>
      <c r="B32" s="101" t="s">
        <v>73</v>
      </c>
      <c r="C32" s="86" t="s">
        <v>75</v>
      </c>
      <c r="D32" s="87" t="s">
        <v>96</v>
      </c>
      <c r="E32" s="115">
        <v>4.4379999999999997</v>
      </c>
      <c r="F32" s="115">
        <v>4.3779599999999999</v>
      </c>
      <c r="G32" s="115">
        <v>4.31792</v>
      </c>
      <c r="H32" s="115">
        <v>4.2578800000000001</v>
      </c>
      <c r="I32" s="115">
        <v>4.1978400000000002</v>
      </c>
      <c r="J32" s="115">
        <v>4.1378000000000004</v>
      </c>
      <c r="K32" s="115">
        <v>4.0334000000000003</v>
      </c>
      <c r="L32" s="115">
        <v>3.9290000000000003</v>
      </c>
      <c r="M32" s="115">
        <v>3.8246000000000002</v>
      </c>
      <c r="N32" s="115">
        <v>3.7202000000000002</v>
      </c>
      <c r="O32" s="116">
        <v>3.6158000000000001</v>
      </c>
      <c r="P32" s="11"/>
    </row>
    <row r="33" spans="1:16" x14ac:dyDescent="0.3">
      <c r="A33" t="str">
        <f t="shared" ref="A33:A41" si="2">CONCATENATE(B33,C33,D33)</f>
        <v>SmallCarPremiumFCEV320</v>
      </c>
      <c r="B33" s="79" t="s">
        <v>73</v>
      </c>
      <c r="C33" s="45" t="s">
        <v>80</v>
      </c>
      <c r="D33" s="87" t="s">
        <v>96</v>
      </c>
      <c r="E33" s="115">
        <v>4.4379999999999997</v>
      </c>
      <c r="F33" s="115">
        <v>4.3779599999999999</v>
      </c>
      <c r="G33" s="115">
        <v>4.31792</v>
      </c>
      <c r="H33" s="115">
        <v>4.2578800000000001</v>
      </c>
      <c r="I33" s="115">
        <v>4.1978400000000002</v>
      </c>
      <c r="J33" s="115">
        <v>4.1378000000000004</v>
      </c>
      <c r="K33" s="115">
        <v>4.0334000000000003</v>
      </c>
      <c r="L33" s="115">
        <v>3.9290000000000003</v>
      </c>
      <c r="M33" s="115">
        <v>3.8246000000000002</v>
      </c>
      <c r="N33" s="115">
        <v>3.7202000000000002</v>
      </c>
      <c r="O33" s="116">
        <v>3.6158000000000001</v>
      </c>
      <c r="P33" s="11"/>
    </row>
    <row r="34" spans="1:16" x14ac:dyDescent="0.3">
      <c r="A34" t="str">
        <f t="shared" si="2"/>
        <v>MedCarBaseFCEV320</v>
      </c>
      <c r="B34" s="79" t="s">
        <v>82</v>
      </c>
      <c r="C34" s="45" t="s">
        <v>75</v>
      </c>
      <c r="D34" s="87" t="s">
        <v>96</v>
      </c>
      <c r="E34" s="115">
        <v>5.1093999999999999</v>
      </c>
      <c r="F34" s="115">
        <v>5.0152999999999999</v>
      </c>
      <c r="G34" s="115">
        <v>4.9211999999999998</v>
      </c>
      <c r="H34" s="115">
        <v>4.8270999999999997</v>
      </c>
      <c r="I34" s="115">
        <v>4.7329999999999997</v>
      </c>
      <c r="J34" s="115">
        <v>4.6388999999999996</v>
      </c>
      <c r="K34" s="115">
        <v>4.5028999999999995</v>
      </c>
      <c r="L34" s="115">
        <v>4.3668999999999993</v>
      </c>
      <c r="M34" s="115">
        <v>4.2309000000000001</v>
      </c>
      <c r="N34" s="115">
        <v>4.0949</v>
      </c>
      <c r="O34" s="116">
        <v>3.9588999999999999</v>
      </c>
    </row>
    <row r="35" spans="1:16" x14ac:dyDescent="0.3">
      <c r="A35" t="str">
        <f t="shared" si="2"/>
        <v>MedCarPremiumFCEV320</v>
      </c>
      <c r="B35" s="79" t="s">
        <v>82</v>
      </c>
      <c r="C35" s="45" t="s">
        <v>80</v>
      </c>
      <c r="D35" s="87" t="s">
        <v>96</v>
      </c>
      <c r="E35" s="115">
        <v>5.1093999999999999</v>
      </c>
      <c r="F35" s="115">
        <v>5.0152999999999999</v>
      </c>
      <c r="G35" s="115">
        <v>4.9211999999999998</v>
      </c>
      <c r="H35" s="115">
        <v>4.8270999999999997</v>
      </c>
      <c r="I35" s="115">
        <v>4.7329999999999997</v>
      </c>
      <c r="J35" s="115">
        <v>4.6388999999999996</v>
      </c>
      <c r="K35" s="115">
        <v>4.5028999999999995</v>
      </c>
      <c r="L35" s="115">
        <v>4.3668999999999993</v>
      </c>
      <c r="M35" s="115">
        <v>4.2309000000000001</v>
      </c>
      <c r="N35" s="115">
        <v>4.0949</v>
      </c>
      <c r="O35" s="116">
        <v>3.9588999999999999</v>
      </c>
    </row>
    <row r="36" spans="1:16" x14ac:dyDescent="0.3">
      <c r="A36" t="str">
        <f t="shared" si="2"/>
        <v>SmallSUVBaseFCEV320</v>
      </c>
      <c r="B36" s="79" t="s">
        <v>83</v>
      </c>
      <c r="C36" s="45" t="s">
        <v>75</v>
      </c>
      <c r="D36" s="87" t="s">
        <v>96</v>
      </c>
      <c r="E36" s="115">
        <v>5.6304999999999996</v>
      </c>
      <c r="F36" s="115">
        <v>5.5510799999999998</v>
      </c>
      <c r="G36" s="115">
        <v>5.47166</v>
      </c>
      <c r="H36" s="115">
        <v>5.3922399999999993</v>
      </c>
      <c r="I36" s="115">
        <v>5.3128199999999994</v>
      </c>
      <c r="J36" s="115">
        <v>5.2333999999999996</v>
      </c>
      <c r="K36" s="115">
        <v>5.0880399999999995</v>
      </c>
      <c r="L36" s="115">
        <v>4.9426799999999993</v>
      </c>
      <c r="M36" s="115">
        <v>4.79732</v>
      </c>
      <c r="N36" s="115">
        <v>4.6519599999999999</v>
      </c>
      <c r="O36" s="116">
        <v>4.5065999999999997</v>
      </c>
    </row>
    <row r="37" spans="1:16" x14ac:dyDescent="0.3">
      <c r="A37" t="str">
        <f t="shared" si="2"/>
        <v>SmallSUVPremiumFCEV320</v>
      </c>
      <c r="B37" s="79" t="s">
        <v>83</v>
      </c>
      <c r="C37" s="45" t="s">
        <v>80</v>
      </c>
      <c r="D37" s="87" t="s">
        <v>96</v>
      </c>
      <c r="E37" s="115">
        <v>5.6304999999999996</v>
      </c>
      <c r="F37" s="115">
        <v>5.5510799999999998</v>
      </c>
      <c r="G37" s="115">
        <v>5.47166</v>
      </c>
      <c r="H37" s="115">
        <v>5.3922399999999993</v>
      </c>
      <c r="I37" s="115">
        <v>5.3128199999999994</v>
      </c>
      <c r="J37" s="115">
        <v>5.2333999999999996</v>
      </c>
      <c r="K37" s="115">
        <v>5.0880399999999995</v>
      </c>
      <c r="L37" s="115">
        <v>4.9426799999999993</v>
      </c>
      <c r="M37" s="115">
        <v>4.79732</v>
      </c>
      <c r="N37" s="115">
        <v>4.6519599999999999</v>
      </c>
      <c r="O37" s="116">
        <v>4.5065999999999997</v>
      </c>
    </row>
    <row r="38" spans="1:16" x14ac:dyDescent="0.3">
      <c r="A38" t="str">
        <f t="shared" si="2"/>
        <v>MedSUVBaseFCEV320</v>
      </c>
      <c r="B38" s="79" t="s">
        <v>86</v>
      </c>
      <c r="C38" s="45" t="s">
        <v>75</v>
      </c>
      <c r="D38" s="87" t="s">
        <v>96</v>
      </c>
      <c r="E38" s="115">
        <v>6.3269000000000002</v>
      </c>
      <c r="F38" s="115">
        <v>6.2323000000000004</v>
      </c>
      <c r="G38" s="115">
        <v>6.1377000000000006</v>
      </c>
      <c r="H38" s="115">
        <v>6.0430999999999999</v>
      </c>
      <c r="I38" s="115">
        <v>5.9485000000000001</v>
      </c>
      <c r="J38" s="115">
        <v>5.8539000000000003</v>
      </c>
      <c r="K38" s="115">
        <v>5.68642</v>
      </c>
      <c r="L38" s="115">
        <v>5.5189399999999997</v>
      </c>
      <c r="M38" s="115">
        <v>5.3514599999999994</v>
      </c>
      <c r="N38" s="115">
        <v>5.18398</v>
      </c>
      <c r="O38" s="116">
        <v>5.0164999999999997</v>
      </c>
    </row>
    <row r="39" spans="1:16" x14ac:dyDescent="0.3">
      <c r="A39" t="str">
        <f t="shared" si="2"/>
        <v>MedSUVPremiumFCEV320</v>
      </c>
      <c r="B39" s="79" t="s">
        <v>86</v>
      </c>
      <c r="C39" s="45" t="s">
        <v>80</v>
      </c>
      <c r="D39" s="87" t="s">
        <v>96</v>
      </c>
      <c r="E39" s="115">
        <v>6.3269000000000002</v>
      </c>
      <c r="F39" s="115">
        <v>6.2323000000000004</v>
      </c>
      <c r="G39" s="115">
        <v>6.1377000000000006</v>
      </c>
      <c r="H39" s="115">
        <v>6.0430999999999999</v>
      </c>
      <c r="I39" s="115">
        <v>5.9485000000000001</v>
      </c>
      <c r="J39" s="115">
        <v>5.8539000000000003</v>
      </c>
      <c r="K39" s="115">
        <v>5.68642</v>
      </c>
      <c r="L39" s="115">
        <v>5.5189399999999997</v>
      </c>
      <c r="M39" s="115">
        <v>5.3514599999999994</v>
      </c>
      <c r="N39" s="115">
        <v>5.18398</v>
      </c>
      <c r="O39" s="116">
        <v>5.0164999999999997</v>
      </c>
    </row>
    <row r="40" spans="1:16" x14ac:dyDescent="0.3">
      <c r="A40" t="str">
        <f t="shared" si="2"/>
        <v>PickupBaseFCEV320</v>
      </c>
      <c r="B40" s="79" t="s">
        <v>89</v>
      </c>
      <c r="C40" s="45" t="s">
        <v>75</v>
      </c>
      <c r="D40" s="87" t="s">
        <v>96</v>
      </c>
      <c r="E40" s="115">
        <v>7.4734999999999996</v>
      </c>
      <c r="F40" s="115">
        <v>7.3476599999999994</v>
      </c>
      <c r="G40" s="115">
        <v>7.2218199999999992</v>
      </c>
      <c r="H40" s="115">
        <v>7.09598</v>
      </c>
      <c r="I40" s="115">
        <v>6.9701399999999998</v>
      </c>
      <c r="J40" s="115">
        <v>6.8442999999999996</v>
      </c>
      <c r="K40" s="115">
        <v>6.6513200000000001</v>
      </c>
      <c r="L40" s="115">
        <v>6.4583399999999997</v>
      </c>
      <c r="M40" s="115">
        <v>6.2653600000000003</v>
      </c>
      <c r="N40" s="115">
        <v>6.0723799999999999</v>
      </c>
      <c r="O40" s="116">
        <v>5.8794000000000004</v>
      </c>
    </row>
    <row r="41" spans="1:16" ht="15" thickBot="1" x14ac:dyDescent="0.35">
      <c r="A41" t="str">
        <f t="shared" si="2"/>
        <v>PickupHTFCEV320</v>
      </c>
      <c r="B41" s="79" t="s">
        <v>89</v>
      </c>
      <c r="C41" s="45" t="s">
        <v>113</v>
      </c>
      <c r="D41" s="87" t="s">
        <v>96</v>
      </c>
      <c r="E41" s="115">
        <v>7.4734999999999996</v>
      </c>
      <c r="F41" s="115">
        <v>7.3476599999999994</v>
      </c>
      <c r="G41" s="115">
        <v>7.2218199999999992</v>
      </c>
      <c r="H41" s="115">
        <v>7.09598</v>
      </c>
      <c r="I41" s="115">
        <v>6.9701399999999998</v>
      </c>
      <c r="J41" s="115">
        <v>6.8442999999999996</v>
      </c>
      <c r="K41" s="115">
        <v>6.6513200000000001</v>
      </c>
      <c r="L41" s="115">
        <v>6.4583399999999997</v>
      </c>
      <c r="M41" s="115">
        <v>6.2653600000000003</v>
      </c>
      <c r="N41" s="115">
        <v>6.0723799999999999</v>
      </c>
      <c r="O41" s="116">
        <v>5.8794000000000004</v>
      </c>
    </row>
    <row r="42" spans="1:16" ht="16.2" thickBot="1" x14ac:dyDescent="0.35">
      <c r="A42" s="29"/>
      <c r="B42" s="179" t="s">
        <v>98</v>
      </c>
      <c r="C42" s="180"/>
      <c r="D42" s="180"/>
      <c r="E42" s="180"/>
      <c r="F42" s="180"/>
      <c r="G42" s="180"/>
      <c r="H42" s="180"/>
      <c r="I42" s="180"/>
      <c r="J42" s="180"/>
      <c r="K42" s="180"/>
      <c r="L42" s="180"/>
      <c r="M42" s="180"/>
      <c r="N42" s="180"/>
      <c r="O42" s="181"/>
    </row>
    <row r="43" spans="1:16" ht="15" thickBot="1" x14ac:dyDescent="0.35">
      <c r="B43" s="172" t="s">
        <v>126</v>
      </c>
      <c r="C43" s="174"/>
      <c r="D43" s="174"/>
      <c r="E43" s="174"/>
      <c r="F43" s="174"/>
      <c r="G43" s="174"/>
      <c r="H43" s="174"/>
      <c r="I43" s="174"/>
      <c r="J43" s="174"/>
      <c r="K43" s="174"/>
      <c r="L43" s="174"/>
      <c r="M43" s="174"/>
      <c r="N43" s="174"/>
      <c r="O43" s="173"/>
    </row>
    <row r="44" spans="1:16" x14ac:dyDescent="0.3">
      <c r="B44" s="93" t="s">
        <v>100</v>
      </c>
      <c r="C44" s="107" t="s">
        <v>101</v>
      </c>
      <c r="D44" s="108" t="s">
        <v>67</v>
      </c>
      <c r="E44" s="92" t="s">
        <v>102</v>
      </c>
      <c r="F44" s="92" t="s">
        <v>103</v>
      </c>
      <c r="G44" s="92" t="s">
        <v>104</v>
      </c>
      <c r="H44" s="92" t="s">
        <v>105</v>
      </c>
      <c r="I44" s="92" t="s">
        <v>106</v>
      </c>
      <c r="J44" s="92" t="s">
        <v>107</v>
      </c>
      <c r="K44" s="92" t="s">
        <v>108</v>
      </c>
      <c r="L44" s="92" t="s">
        <v>109</v>
      </c>
      <c r="M44" s="92" t="s">
        <v>110</v>
      </c>
      <c r="N44" s="92" t="s">
        <v>111</v>
      </c>
      <c r="O44" s="109" t="s">
        <v>112</v>
      </c>
    </row>
    <row r="45" spans="1:16" x14ac:dyDescent="0.3">
      <c r="A45" t="str">
        <f>CONCATENATE(B45,C45,D45)</f>
        <v>SmallCarBaseFCEV320</v>
      </c>
      <c r="B45" s="101" t="s">
        <v>73</v>
      </c>
      <c r="C45" s="86" t="s">
        <v>75</v>
      </c>
      <c r="D45" s="87" t="s">
        <v>96</v>
      </c>
      <c r="E45" s="115">
        <f>(E32*1000)/E6</f>
        <v>13.86875</v>
      </c>
      <c r="F45" s="115">
        <f t="shared" ref="F45:O45" si="3">(F32*1000)/F6</f>
        <v>13.681125</v>
      </c>
      <c r="G45" s="115">
        <f t="shared" si="3"/>
        <v>13.493500000000001</v>
      </c>
      <c r="H45" s="115">
        <f t="shared" si="3"/>
        <v>13.305875</v>
      </c>
      <c r="I45" s="115">
        <f t="shared" si="3"/>
        <v>13.11825</v>
      </c>
      <c r="J45" s="115">
        <f t="shared" si="3"/>
        <v>12.930625000000001</v>
      </c>
      <c r="K45" s="115">
        <f t="shared" si="3"/>
        <v>12.604375000000001</v>
      </c>
      <c r="L45" s="115">
        <f t="shared" si="3"/>
        <v>12.278125000000001</v>
      </c>
      <c r="M45" s="115">
        <f t="shared" si="3"/>
        <v>11.951875000000001</v>
      </c>
      <c r="N45" s="115">
        <f t="shared" si="3"/>
        <v>11.625625000000001</v>
      </c>
      <c r="O45" s="116">
        <f t="shared" si="3"/>
        <v>11.299375000000001</v>
      </c>
    </row>
    <row r="46" spans="1:16" x14ac:dyDescent="0.3">
      <c r="A46" t="str">
        <f t="shared" ref="A46:A54" si="4">CONCATENATE(B46,C46,D46)</f>
        <v>SmallCarPremiumFCEV320</v>
      </c>
      <c r="B46" s="79" t="s">
        <v>73</v>
      </c>
      <c r="C46" s="45" t="s">
        <v>80</v>
      </c>
      <c r="D46" s="87" t="s">
        <v>96</v>
      </c>
      <c r="E46" s="115">
        <f t="shared" ref="E46:O53" si="5">(E33*1000)/E7</f>
        <v>13.86875</v>
      </c>
      <c r="F46" s="115">
        <f t="shared" si="5"/>
        <v>13.681125</v>
      </c>
      <c r="G46" s="115">
        <f t="shared" si="5"/>
        <v>13.493500000000001</v>
      </c>
      <c r="H46" s="115">
        <f t="shared" si="5"/>
        <v>13.305875</v>
      </c>
      <c r="I46" s="115">
        <f t="shared" si="5"/>
        <v>13.11825</v>
      </c>
      <c r="J46" s="115">
        <f t="shared" si="5"/>
        <v>12.930625000000001</v>
      </c>
      <c r="K46" s="115">
        <f t="shared" si="5"/>
        <v>12.604375000000001</v>
      </c>
      <c r="L46" s="115">
        <f t="shared" si="5"/>
        <v>12.278125000000001</v>
      </c>
      <c r="M46" s="115">
        <f t="shared" si="5"/>
        <v>11.951875000000001</v>
      </c>
      <c r="N46" s="115">
        <f t="shared" si="5"/>
        <v>11.625625000000001</v>
      </c>
      <c r="O46" s="116">
        <f t="shared" si="5"/>
        <v>11.299375000000001</v>
      </c>
    </row>
    <row r="47" spans="1:16" x14ac:dyDescent="0.3">
      <c r="A47" t="str">
        <f t="shared" si="4"/>
        <v>MedCarBaseFCEV320</v>
      </c>
      <c r="B47" s="79" t="s">
        <v>82</v>
      </c>
      <c r="C47" s="45" t="s">
        <v>75</v>
      </c>
      <c r="D47" s="87" t="s">
        <v>96</v>
      </c>
      <c r="E47" s="115">
        <f t="shared" si="5"/>
        <v>15.966874999999998</v>
      </c>
      <c r="F47" s="115">
        <f t="shared" si="5"/>
        <v>15.672812500000001</v>
      </c>
      <c r="G47" s="115">
        <f t="shared" si="5"/>
        <v>15.37875</v>
      </c>
      <c r="H47" s="115">
        <f t="shared" si="5"/>
        <v>15.084687499999998</v>
      </c>
      <c r="I47" s="115">
        <f t="shared" si="5"/>
        <v>14.790625</v>
      </c>
      <c r="J47" s="115">
        <f t="shared" si="5"/>
        <v>14.4965625</v>
      </c>
      <c r="K47" s="115">
        <f t="shared" si="5"/>
        <v>14.071562499999999</v>
      </c>
      <c r="L47" s="115">
        <f t="shared" si="5"/>
        <v>13.646562499999998</v>
      </c>
      <c r="M47" s="115">
        <f t="shared" si="5"/>
        <v>13.221562500000001</v>
      </c>
      <c r="N47" s="115">
        <f t="shared" si="5"/>
        <v>12.7965625</v>
      </c>
      <c r="O47" s="116">
        <f t="shared" si="5"/>
        <v>12.3715625</v>
      </c>
    </row>
    <row r="48" spans="1:16" x14ac:dyDescent="0.3">
      <c r="A48" t="str">
        <f t="shared" si="4"/>
        <v>MedCarPremiumFCEV320</v>
      </c>
      <c r="B48" s="79" t="s">
        <v>82</v>
      </c>
      <c r="C48" s="45" t="s">
        <v>80</v>
      </c>
      <c r="D48" s="87" t="s">
        <v>96</v>
      </c>
      <c r="E48" s="115">
        <f t="shared" si="5"/>
        <v>15.966874999999998</v>
      </c>
      <c r="F48" s="115">
        <f t="shared" si="5"/>
        <v>15.672812500000001</v>
      </c>
      <c r="G48" s="115">
        <f t="shared" si="5"/>
        <v>15.37875</v>
      </c>
      <c r="H48" s="115">
        <f t="shared" si="5"/>
        <v>15.084687499999998</v>
      </c>
      <c r="I48" s="115">
        <f t="shared" si="5"/>
        <v>14.790625</v>
      </c>
      <c r="J48" s="115">
        <f t="shared" si="5"/>
        <v>14.4965625</v>
      </c>
      <c r="K48" s="115">
        <f t="shared" si="5"/>
        <v>14.071562499999999</v>
      </c>
      <c r="L48" s="115">
        <f t="shared" si="5"/>
        <v>13.646562499999998</v>
      </c>
      <c r="M48" s="115">
        <f t="shared" si="5"/>
        <v>13.221562500000001</v>
      </c>
      <c r="N48" s="115">
        <f t="shared" si="5"/>
        <v>12.7965625</v>
      </c>
      <c r="O48" s="116">
        <f t="shared" si="5"/>
        <v>12.3715625</v>
      </c>
    </row>
    <row r="49" spans="1:16" x14ac:dyDescent="0.3">
      <c r="A49" t="str">
        <f t="shared" si="4"/>
        <v>SmallSUVBaseFCEV320</v>
      </c>
      <c r="B49" s="79" t="s">
        <v>83</v>
      </c>
      <c r="C49" s="45" t="s">
        <v>75</v>
      </c>
      <c r="D49" s="87" t="s">
        <v>96</v>
      </c>
      <c r="E49" s="115">
        <f t="shared" si="5"/>
        <v>17.595312499999999</v>
      </c>
      <c r="F49" s="115">
        <f t="shared" si="5"/>
        <v>17.347124999999998</v>
      </c>
      <c r="G49" s="115">
        <f t="shared" si="5"/>
        <v>17.098937499999998</v>
      </c>
      <c r="H49" s="115">
        <f t="shared" si="5"/>
        <v>16.850749999999998</v>
      </c>
      <c r="I49" s="115">
        <f t="shared" si="5"/>
        <v>16.602562499999998</v>
      </c>
      <c r="J49" s="115">
        <f t="shared" si="5"/>
        <v>16.354374999999997</v>
      </c>
      <c r="K49" s="115">
        <f t="shared" si="5"/>
        <v>15.900124999999997</v>
      </c>
      <c r="L49" s="115">
        <f t="shared" si="5"/>
        <v>15.445874999999997</v>
      </c>
      <c r="M49" s="115">
        <f t="shared" si="5"/>
        <v>14.991624999999999</v>
      </c>
      <c r="N49" s="115">
        <f t="shared" si="5"/>
        <v>14.537375000000001</v>
      </c>
      <c r="O49" s="116">
        <f t="shared" si="5"/>
        <v>14.083124999999999</v>
      </c>
    </row>
    <row r="50" spans="1:16" x14ac:dyDescent="0.3">
      <c r="A50" t="str">
        <f t="shared" si="4"/>
        <v>SmallSUVPremiumFCEV320</v>
      </c>
      <c r="B50" s="79" t="s">
        <v>83</v>
      </c>
      <c r="C50" s="45" t="s">
        <v>80</v>
      </c>
      <c r="D50" s="87" t="s">
        <v>96</v>
      </c>
      <c r="E50" s="115">
        <f t="shared" si="5"/>
        <v>17.595312499999999</v>
      </c>
      <c r="F50" s="115">
        <f t="shared" si="5"/>
        <v>17.347124999999998</v>
      </c>
      <c r="G50" s="115">
        <f t="shared" si="5"/>
        <v>17.098937499999998</v>
      </c>
      <c r="H50" s="115">
        <f t="shared" si="5"/>
        <v>16.850749999999998</v>
      </c>
      <c r="I50" s="115">
        <f t="shared" si="5"/>
        <v>16.602562499999998</v>
      </c>
      <c r="J50" s="115">
        <f t="shared" si="5"/>
        <v>16.354374999999997</v>
      </c>
      <c r="K50" s="115">
        <f t="shared" si="5"/>
        <v>15.900124999999997</v>
      </c>
      <c r="L50" s="115">
        <f t="shared" si="5"/>
        <v>15.445874999999997</v>
      </c>
      <c r="M50" s="115">
        <f t="shared" si="5"/>
        <v>14.991624999999999</v>
      </c>
      <c r="N50" s="115">
        <f t="shared" si="5"/>
        <v>14.537375000000001</v>
      </c>
      <c r="O50" s="116">
        <f t="shared" si="5"/>
        <v>14.083124999999999</v>
      </c>
    </row>
    <row r="51" spans="1:16" x14ac:dyDescent="0.3">
      <c r="A51" t="str">
        <f t="shared" si="4"/>
        <v>MedSUVBaseFCEV320</v>
      </c>
      <c r="B51" s="79" t="s">
        <v>86</v>
      </c>
      <c r="C51" s="45" t="s">
        <v>75</v>
      </c>
      <c r="D51" s="87" t="s">
        <v>96</v>
      </c>
      <c r="E51" s="115">
        <f t="shared" si="5"/>
        <v>19.771562500000002</v>
      </c>
      <c r="F51" s="115">
        <f t="shared" si="5"/>
        <v>19.475937500000001</v>
      </c>
      <c r="G51" s="115">
        <f t="shared" si="5"/>
        <v>19.180312500000003</v>
      </c>
      <c r="H51" s="115">
        <f t="shared" si="5"/>
        <v>18.884687500000002</v>
      </c>
      <c r="I51" s="115">
        <f t="shared" si="5"/>
        <v>18.589062500000001</v>
      </c>
      <c r="J51" s="115">
        <f t="shared" si="5"/>
        <v>18.293437500000003</v>
      </c>
      <c r="K51" s="115">
        <f t="shared" si="5"/>
        <v>17.770062500000002</v>
      </c>
      <c r="L51" s="115">
        <f t="shared" si="5"/>
        <v>17.2466875</v>
      </c>
      <c r="M51" s="115">
        <f t="shared" si="5"/>
        <v>16.723312499999999</v>
      </c>
      <c r="N51" s="115">
        <f t="shared" si="5"/>
        <v>16.199937500000001</v>
      </c>
      <c r="O51" s="116">
        <f t="shared" si="5"/>
        <v>15.676562499999999</v>
      </c>
    </row>
    <row r="52" spans="1:16" x14ac:dyDescent="0.3">
      <c r="A52" t="str">
        <f t="shared" si="4"/>
        <v>MedSUVPremiumFCEV320</v>
      </c>
      <c r="B52" s="79" t="s">
        <v>86</v>
      </c>
      <c r="C52" s="45" t="s">
        <v>80</v>
      </c>
      <c r="D52" s="87" t="s">
        <v>96</v>
      </c>
      <c r="E52" s="115">
        <f t="shared" si="5"/>
        <v>19.771562500000002</v>
      </c>
      <c r="F52" s="115">
        <f t="shared" si="5"/>
        <v>19.475937500000001</v>
      </c>
      <c r="G52" s="115">
        <f t="shared" si="5"/>
        <v>19.180312500000003</v>
      </c>
      <c r="H52" s="115">
        <f t="shared" si="5"/>
        <v>18.884687500000002</v>
      </c>
      <c r="I52" s="115">
        <f t="shared" si="5"/>
        <v>18.589062500000001</v>
      </c>
      <c r="J52" s="115">
        <f t="shared" si="5"/>
        <v>18.293437500000003</v>
      </c>
      <c r="K52" s="115">
        <f t="shared" si="5"/>
        <v>17.770062500000002</v>
      </c>
      <c r="L52" s="115">
        <f t="shared" si="5"/>
        <v>17.2466875</v>
      </c>
      <c r="M52" s="115">
        <f t="shared" si="5"/>
        <v>16.723312499999999</v>
      </c>
      <c r="N52" s="115">
        <f t="shared" si="5"/>
        <v>16.199937500000001</v>
      </c>
      <c r="O52" s="116">
        <f t="shared" si="5"/>
        <v>15.676562499999999</v>
      </c>
    </row>
    <row r="53" spans="1:16" x14ac:dyDescent="0.3">
      <c r="A53" t="str">
        <f t="shared" si="4"/>
        <v>PickupBaseFCEV320</v>
      </c>
      <c r="B53" s="79" t="s">
        <v>89</v>
      </c>
      <c r="C53" s="45" t="s">
        <v>75</v>
      </c>
      <c r="D53" s="87" t="s">
        <v>96</v>
      </c>
      <c r="E53" s="115">
        <f t="shared" si="5"/>
        <v>23.354687500000001</v>
      </c>
      <c r="F53" s="115">
        <f t="shared" si="5"/>
        <v>22.961437499999999</v>
      </c>
      <c r="G53" s="115">
        <f t="shared" si="5"/>
        <v>22.568187499999997</v>
      </c>
      <c r="H53" s="115">
        <f t="shared" si="5"/>
        <v>22.174937499999999</v>
      </c>
      <c r="I53" s="115">
        <f t="shared" si="5"/>
        <v>21.781687499999997</v>
      </c>
      <c r="J53" s="115">
        <f t="shared" si="5"/>
        <v>21.388437499999998</v>
      </c>
      <c r="K53" s="115">
        <f t="shared" si="5"/>
        <v>20.785374999999998</v>
      </c>
      <c r="L53" s="115">
        <f t="shared" si="5"/>
        <v>20.182312500000002</v>
      </c>
      <c r="M53" s="115">
        <f t="shared" si="5"/>
        <v>19.579250000000002</v>
      </c>
      <c r="N53" s="115">
        <f t="shared" si="5"/>
        <v>18.976187500000002</v>
      </c>
      <c r="O53" s="116">
        <f t="shared" si="5"/>
        <v>18.373125000000002</v>
      </c>
    </row>
    <row r="54" spans="1:16" ht="15" thickBot="1" x14ac:dyDescent="0.35">
      <c r="A54" t="str">
        <f t="shared" si="4"/>
        <v>PickupHTFCEV320</v>
      </c>
      <c r="B54" s="79" t="s">
        <v>89</v>
      </c>
      <c r="C54" s="45" t="s">
        <v>113</v>
      </c>
      <c r="D54" s="87" t="s">
        <v>96</v>
      </c>
      <c r="E54" s="115">
        <f>(E41*1000)/E15</f>
        <v>23.354687500000001</v>
      </c>
      <c r="F54" s="115">
        <f t="shared" ref="F54:O54" si="6">(F41*1000)/F15</f>
        <v>22.961437499999999</v>
      </c>
      <c r="G54" s="115">
        <f t="shared" si="6"/>
        <v>22.568187499999997</v>
      </c>
      <c r="H54" s="115">
        <f t="shared" si="6"/>
        <v>22.174937499999999</v>
      </c>
      <c r="I54" s="115">
        <f t="shared" si="6"/>
        <v>21.781687499999997</v>
      </c>
      <c r="J54" s="115">
        <f t="shared" si="6"/>
        <v>21.388437499999998</v>
      </c>
      <c r="K54" s="115">
        <f t="shared" si="6"/>
        <v>20.785374999999998</v>
      </c>
      <c r="L54" s="115">
        <f t="shared" si="6"/>
        <v>20.182312500000002</v>
      </c>
      <c r="M54" s="115">
        <f t="shared" si="6"/>
        <v>19.579250000000002</v>
      </c>
      <c r="N54" s="115">
        <f t="shared" si="6"/>
        <v>18.976187500000002</v>
      </c>
      <c r="O54" s="116">
        <f t="shared" si="6"/>
        <v>18.373125000000002</v>
      </c>
    </row>
    <row r="55" spans="1:16" ht="16.2" thickBot="1" x14ac:dyDescent="0.35">
      <c r="B55" s="179" t="s">
        <v>98</v>
      </c>
      <c r="C55" s="180"/>
      <c r="D55" s="180"/>
      <c r="E55" s="180"/>
      <c r="F55" s="180"/>
      <c r="G55" s="180"/>
      <c r="H55" s="180"/>
      <c r="I55" s="180"/>
      <c r="J55" s="180"/>
      <c r="K55" s="180"/>
      <c r="L55" s="180"/>
      <c r="M55" s="180"/>
      <c r="N55" s="180"/>
      <c r="O55" s="181"/>
    </row>
    <row r="56" spans="1:16" ht="15" thickBot="1" x14ac:dyDescent="0.35">
      <c r="B56" s="172" t="s">
        <v>120</v>
      </c>
      <c r="C56" s="174"/>
      <c r="D56" s="174"/>
      <c r="E56" s="174"/>
      <c r="F56" s="174"/>
      <c r="G56" s="174"/>
      <c r="H56" s="174"/>
      <c r="I56" s="174"/>
      <c r="J56" s="174"/>
      <c r="K56" s="174"/>
      <c r="L56" s="174"/>
      <c r="M56" s="174"/>
      <c r="N56" s="174"/>
      <c r="O56" s="173"/>
      <c r="P56" s="12"/>
    </row>
    <row r="57" spans="1:16" x14ac:dyDescent="0.3">
      <c r="B57" s="93" t="s">
        <v>100</v>
      </c>
      <c r="C57" s="107" t="s">
        <v>101</v>
      </c>
      <c r="D57" s="108" t="s">
        <v>67</v>
      </c>
      <c r="E57" s="92" t="s">
        <v>102</v>
      </c>
      <c r="F57" s="92" t="s">
        <v>103</v>
      </c>
      <c r="G57" s="92" t="s">
        <v>104</v>
      </c>
      <c r="H57" s="92" t="s">
        <v>105</v>
      </c>
      <c r="I57" s="92" t="s">
        <v>106</v>
      </c>
      <c r="J57" s="92" t="s">
        <v>107</v>
      </c>
      <c r="K57" s="92" t="s">
        <v>108</v>
      </c>
      <c r="L57" s="92" t="s">
        <v>109</v>
      </c>
      <c r="M57" s="92" t="s">
        <v>110</v>
      </c>
      <c r="N57" s="92" t="s">
        <v>111</v>
      </c>
      <c r="O57" s="109" t="s">
        <v>112</v>
      </c>
    </row>
    <row r="58" spans="1:16" x14ac:dyDescent="0.3">
      <c r="A58" t="str">
        <f>CONCATENATE(B58,C58,D58)</f>
        <v>SmallCarBaseFCEV320</v>
      </c>
      <c r="B58" s="101" t="s">
        <v>73</v>
      </c>
      <c r="C58" s="86" t="s">
        <v>75</v>
      </c>
      <c r="D58" s="87" t="s">
        <v>96</v>
      </c>
      <c r="E58" s="115">
        <v>1.4039999999999999</v>
      </c>
      <c r="F58" s="115">
        <v>1.4039999999999999</v>
      </c>
      <c r="G58" s="115">
        <v>1.4039999999999999</v>
      </c>
      <c r="H58" s="115">
        <v>1.4039999999999999</v>
      </c>
      <c r="I58" s="115">
        <v>1.4039999999999999</v>
      </c>
      <c r="J58" s="115">
        <v>1.4039999999999999</v>
      </c>
      <c r="K58" s="115">
        <v>1.3759199999999998</v>
      </c>
      <c r="L58" s="115">
        <v>1.3478399999999999</v>
      </c>
      <c r="M58" s="115">
        <v>1.3197599999999998</v>
      </c>
      <c r="N58" s="115">
        <v>1.2916799999999999</v>
      </c>
      <c r="O58" s="116">
        <v>1.2635999999999998</v>
      </c>
    </row>
    <row r="59" spans="1:16" x14ac:dyDescent="0.3">
      <c r="A59" t="str">
        <f t="shared" ref="A59:A67" si="7">CONCATENATE(B59,C59,D59)</f>
        <v>SmallCarPremiumFCEV320</v>
      </c>
      <c r="B59" s="79" t="s">
        <v>73</v>
      </c>
      <c r="C59" s="45" t="s">
        <v>80</v>
      </c>
      <c r="D59" s="87" t="s">
        <v>96</v>
      </c>
      <c r="E59" s="115">
        <v>1.4039999999999999</v>
      </c>
      <c r="F59" s="115">
        <v>1.4039999999999999</v>
      </c>
      <c r="G59" s="115">
        <v>1.4039999999999999</v>
      </c>
      <c r="H59" s="115">
        <v>1.4039999999999999</v>
      </c>
      <c r="I59" s="115">
        <v>1.4039999999999999</v>
      </c>
      <c r="J59" s="115">
        <v>1.4039999999999999</v>
      </c>
      <c r="K59" s="115">
        <v>1.3759199999999998</v>
      </c>
      <c r="L59" s="115">
        <v>1.3478399999999999</v>
      </c>
      <c r="M59" s="115">
        <v>1.3197599999999998</v>
      </c>
      <c r="N59" s="115">
        <v>1.2916799999999999</v>
      </c>
      <c r="O59" s="116">
        <v>1.2635999999999998</v>
      </c>
    </row>
    <row r="60" spans="1:16" x14ac:dyDescent="0.3">
      <c r="A60" t="str">
        <f t="shared" si="7"/>
        <v>MedCarBaseFCEV320</v>
      </c>
      <c r="B60" s="79" t="s">
        <v>82</v>
      </c>
      <c r="C60" s="45" t="s">
        <v>75</v>
      </c>
      <c r="D60" s="87" t="s">
        <v>96</v>
      </c>
      <c r="E60" s="115">
        <v>1.6847999999999999</v>
      </c>
      <c r="F60" s="115">
        <v>1.65672</v>
      </c>
      <c r="G60" s="115">
        <v>1.6286399999999999</v>
      </c>
      <c r="H60" s="115">
        <v>1.60056</v>
      </c>
      <c r="I60" s="115">
        <v>1.5724799999999999</v>
      </c>
      <c r="J60" s="115">
        <v>1.5444</v>
      </c>
      <c r="K60" s="115">
        <v>1.5163199999999999</v>
      </c>
      <c r="L60" s="115">
        <v>1.48824</v>
      </c>
      <c r="M60" s="115">
        <v>1.4601599999999999</v>
      </c>
      <c r="N60" s="115">
        <v>1.43208</v>
      </c>
      <c r="O60" s="116">
        <v>1.4039999999999999</v>
      </c>
    </row>
    <row r="61" spans="1:16" x14ac:dyDescent="0.3">
      <c r="A61" t="str">
        <f t="shared" si="7"/>
        <v>MedCarPremiumFCEV320</v>
      </c>
      <c r="B61" s="79" t="s">
        <v>82</v>
      </c>
      <c r="C61" s="45" t="s">
        <v>80</v>
      </c>
      <c r="D61" s="87" t="s">
        <v>96</v>
      </c>
      <c r="E61" s="115">
        <v>1.6847999999999999</v>
      </c>
      <c r="F61" s="115">
        <v>1.65672</v>
      </c>
      <c r="G61" s="115">
        <v>1.6286399999999999</v>
      </c>
      <c r="H61" s="115">
        <v>1.60056</v>
      </c>
      <c r="I61" s="115">
        <v>1.5724799999999999</v>
      </c>
      <c r="J61" s="115">
        <v>1.5444</v>
      </c>
      <c r="K61" s="115">
        <v>1.5163199999999999</v>
      </c>
      <c r="L61" s="115">
        <v>1.48824</v>
      </c>
      <c r="M61" s="115">
        <v>1.4601599999999999</v>
      </c>
      <c r="N61" s="115">
        <v>1.43208</v>
      </c>
      <c r="O61" s="116">
        <v>1.4039999999999999</v>
      </c>
    </row>
    <row r="62" spans="1:16" x14ac:dyDescent="0.3">
      <c r="A62" t="str">
        <f t="shared" si="7"/>
        <v>SmallSUVBaseFCEV320</v>
      </c>
      <c r="B62" s="79" t="s">
        <v>83</v>
      </c>
      <c r="C62" s="45" t="s">
        <v>75</v>
      </c>
      <c r="D62" s="87" t="s">
        <v>96</v>
      </c>
      <c r="E62" s="115">
        <v>1.6847999999999999</v>
      </c>
      <c r="F62" s="115">
        <v>1.65672</v>
      </c>
      <c r="G62" s="115">
        <v>1.6286399999999999</v>
      </c>
      <c r="H62" s="115">
        <v>1.60056</v>
      </c>
      <c r="I62" s="115">
        <v>1.5724799999999999</v>
      </c>
      <c r="J62" s="115">
        <v>1.5444</v>
      </c>
      <c r="K62" s="115">
        <v>1.5444</v>
      </c>
      <c r="L62" s="115">
        <v>1.5444</v>
      </c>
      <c r="M62" s="115">
        <v>1.5444</v>
      </c>
      <c r="N62" s="115">
        <v>1.5444</v>
      </c>
      <c r="O62" s="116">
        <v>1.5444</v>
      </c>
    </row>
    <row r="63" spans="1:16" x14ac:dyDescent="0.3">
      <c r="A63" t="str">
        <f t="shared" si="7"/>
        <v>SmallSUVPremiumFCEV320</v>
      </c>
      <c r="B63" s="79" t="s">
        <v>83</v>
      </c>
      <c r="C63" s="45" t="s">
        <v>80</v>
      </c>
      <c r="D63" s="87" t="s">
        <v>96</v>
      </c>
      <c r="E63" s="115">
        <v>1.6847999999999999</v>
      </c>
      <c r="F63" s="115">
        <v>1.65672</v>
      </c>
      <c r="G63" s="115">
        <v>1.6286399999999999</v>
      </c>
      <c r="H63" s="115">
        <v>1.60056</v>
      </c>
      <c r="I63" s="115">
        <v>1.5724799999999999</v>
      </c>
      <c r="J63" s="115">
        <v>1.5444</v>
      </c>
      <c r="K63" s="115">
        <v>1.5444</v>
      </c>
      <c r="L63" s="115">
        <v>1.5444</v>
      </c>
      <c r="M63" s="115">
        <v>1.5444</v>
      </c>
      <c r="N63" s="115">
        <v>1.5444</v>
      </c>
      <c r="O63" s="116">
        <v>1.5444</v>
      </c>
    </row>
    <row r="64" spans="1:16" x14ac:dyDescent="0.3">
      <c r="A64" t="str">
        <f t="shared" si="7"/>
        <v>MedSUVBaseFCEV320</v>
      </c>
      <c r="B64" s="79" t="s">
        <v>86</v>
      </c>
      <c r="C64" s="45" t="s">
        <v>75</v>
      </c>
      <c r="D64" s="87" t="s">
        <v>96</v>
      </c>
      <c r="E64" s="115">
        <v>1.9656</v>
      </c>
      <c r="F64" s="115">
        <v>1.9375200000000001</v>
      </c>
      <c r="G64" s="115">
        <v>1.90944</v>
      </c>
      <c r="H64" s="115">
        <v>1.8813600000000001</v>
      </c>
      <c r="I64" s="115">
        <v>1.85328</v>
      </c>
      <c r="J64" s="115">
        <v>1.8252000000000002</v>
      </c>
      <c r="K64" s="115">
        <v>1.7971200000000001</v>
      </c>
      <c r="L64" s="115">
        <v>1.7690399999999999</v>
      </c>
      <c r="M64" s="115">
        <v>1.7409600000000001</v>
      </c>
      <c r="N64" s="115">
        <v>1.71288</v>
      </c>
      <c r="O64" s="116">
        <v>1.6847999999999999</v>
      </c>
    </row>
    <row r="65" spans="1:16" x14ac:dyDescent="0.3">
      <c r="A65" t="str">
        <f t="shared" si="7"/>
        <v>MedSUVPremiumFCEV320</v>
      </c>
      <c r="B65" s="79" t="s">
        <v>86</v>
      </c>
      <c r="C65" s="45" t="s">
        <v>80</v>
      </c>
      <c r="D65" s="87" t="s">
        <v>96</v>
      </c>
      <c r="E65" s="115">
        <v>1.9656</v>
      </c>
      <c r="F65" s="115">
        <v>1.9375200000000001</v>
      </c>
      <c r="G65" s="115">
        <v>1.90944</v>
      </c>
      <c r="H65" s="115">
        <v>1.8813600000000001</v>
      </c>
      <c r="I65" s="115">
        <v>1.85328</v>
      </c>
      <c r="J65" s="115">
        <v>1.8252000000000002</v>
      </c>
      <c r="K65" s="115">
        <v>1.7971200000000001</v>
      </c>
      <c r="L65" s="115">
        <v>1.7690399999999999</v>
      </c>
      <c r="M65" s="115">
        <v>1.7409600000000001</v>
      </c>
      <c r="N65" s="115">
        <v>1.71288</v>
      </c>
      <c r="O65" s="116">
        <v>1.6847999999999999</v>
      </c>
    </row>
    <row r="66" spans="1:16" x14ac:dyDescent="0.3">
      <c r="A66" t="str">
        <f t="shared" si="7"/>
        <v>PickupBaseFCEV320</v>
      </c>
      <c r="B66" s="79" t="s">
        <v>89</v>
      </c>
      <c r="C66" s="45" t="s">
        <v>75</v>
      </c>
      <c r="D66" s="87" t="s">
        <v>96</v>
      </c>
      <c r="E66" s="115">
        <v>2.2464</v>
      </c>
      <c r="F66" s="115">
        <v>2.1902400000000002</v>
      </c>
      <c r="G66" s="115">
        <v>2.13408</v>
      </c>
      <c r="H66" s="115">
        <v>2.0779199999999998</v>
      </c>
      <c r="I66" s="115">
        <v>2.02176</v>
      </c>
      <c r="J66" s="115">
        <v>1.9656</v>
      </c>
      <c r="K66" s="115">
        <v>1.9656</v>
      </c>
      <c r="L66" s="115">
        <v>1.9656</v>
      </c>
      <c r="M66" s="115">
        <v>1.9656</v>
      </c>
      <c r="N66" s="115">
        <v>1.9656</v>
      </c>
      <c r="O66" s="116">
        <v>1.9656</v>
      </c>
    </row>
    <row r="67" spans="1:16" ht="15" thickBot="1" x14ac:dyDescent="0.35">
      <c r="A67" t="str">
        <f t="shared" si="7"/>
        <v>PickupHTFCEV320</v>
      </c>
      <c r="B67" s="79" t="s">
        <v>89</v>
      </c>
      <c r="C67" s="45" t="s">
        <v>113</v>
      </c>
      <c r="D67" s="87" t="s">
        <v>96</v>
      </c>
      <c r="E67" s="115">
        <v>2.2464</v>
      </c>
      <c r="F67" s="115">
        <v>2.1902400000000002</v>
      </c>
      <c r="G67" s="115">
        <v>2.13408</v>
      </c>
      <c r="H67" s="115">
        <v>2.0779199999999998</v>
      </c>
      <c r="I67" s="115">
        <v>2.02176</v>
      </c>
      <c r="J67" s="115">
        <v>1.9656</v>
      </c>
      <c r="K67" s="115">
        <v>1.9656</v>
      </c>
      <c r="L67" s="115">
        <v>1.9656</v>
      </c>
      <c r="M67" s="115">
        <v>1.9656</v>
      </c>
      <c r="N67" s="115">
        <v>1.9656</v>
      </c>
      <c r="O67" s="116">
        <v>1.9656</v>
      </c>
    </row>
    <row r="68" spans="1:16" ht="16.2" thickBot="1" x14ac:dyDescent="0.35">
      <c r="B68" s="179" t="s">
        <v>98</v>
      </c>
      <c r="C68" s="180"/>
      <c r="D68" s="180"/>
      <c r="E68" s="180"/>
      <c r="F68" s="180"/>
      <c r="G68" s="180"/>
      <c r="H68" s="180"/>
      <c r="I68" s="180"/>
      <c r="J68" s="180"/>
      <c r="K68" s="180"/>
      <c r="L68" s="180"/>
      <c r="M68" s="180"/>
      <c r="N68" s="180"/>
      <c r="O68" s="181"/>
    </row>
    <row r="69" spans="1:16" ht="15" thickBot="1" x14ac:dyDescent="0.35">
      <c r="B69" s="172" t="s">
        <v>116</v>
      </c>
      <c r="C69" s="174"/>
      <c r="D69" s="174"/>
      <c r="E69" s="174"/>
      <c r="F69" s="174"/>
      <c r="G69" s="174"/>
      <c r="H69" s="174"/>
      <c r="I69" s="174"/>
      <c r="J69" s="174"/>
      <c r="K69" s="174"/>
      <c r="L69" s="174"/>
      <c r="M69" s="174"/>
      <c r="N69" s="174"/>
      <c r="O69" s="173"/>
      <c r="P69" s="12"/>
    </row>
    <row r="70" spans="1:16" x14ac:dyDescent="0.3">
      <c r="B70" s="93" t="s">
        <v>100</v>
      </c>
      <c r="C70" s="107" t="s">
        <v>101</v>
      </c>
      <c r="D70" s="108" t="s">
        <v>67</v>
      </c>
      <c r="E70" s="92" t="s">
        <v>102</v>
      </c>
      <c r="F70" s="92" t="s">
        <v>103</v>
      </c>
      <c r="G70" s="92" t="s">
        <v>104</v>
      </c>
      <c r="H70" s="92" t="s">
        <v>105</v>
      </c>
      <c r="I70" s="92" t="s">
        <v>106</v>
      </c>
      <c r="J70" s="92" t="s">
        <v>107</v>
      </c>
      <c r="K70" s="92" t="s">
        <v>108</v>
      </c>
      <c r="L70" s="92" t="s">
        <v>109</v>
      </c>
      <c r="M70" s="92" t="s">
        <v>110</v>
      </c>
      <c r="N70" s="92" t="s">
        <v>111</v>
      </c>
      <c r="O70" s="109" t="s">
        <v>112</v>
      </c>
    </row>
    <row r="71" spans="1:16" x14ac:dyDescent="0.3">
      <c r="A71" t="str">
        <f>CONCATENATE(B71,C71,D71)</f>
        <v>SmallCarBaseFCEV320</v>
      </c>
      <c r="B71" s="101" t="s">
        <v>73</v>
      </c>
      <c r="C71" s="86" t="s">
        <v>75</v>
      </c>
      <c r="D71" s="87" t="s">
        <v>96</v>
      </c>
      <c r="E71" s="115">
        <v>1.4039999999999999</v>
      </c>
      <c r="F71" s="115">
        <v>1.4039999999999999</v>
      </c>
      <c r="G71" s="115">
        <v>1.4039999999999999</v>
      </c>
      <c r="H71" s="115">
        <v>1.4039999999999999</v>
      </c>
      <c r="I71" s="115">
        <v>1.4039999999999999</v>
      </c>
      <c r="J71" s="115">
        <v>1.4039999999999999</v>
      </c>
      <c r="K71" s="115">
        <v>1.3759199999999998</v>
      </c>
      <c r="L71" s="115">
        <v>1.3478399999999999</v>
      </c>
      <c r="M71" s="115">
        <v>1.3197599999999998</v>
      </c>
      <c r="N71" s="115">
        <v>1.2916799999999999</v>
      </c>
      <c r="O71" s="116">
        <v>1.2635999999999998</v>
      </c>
    </row>
    <row r="72" spans="1:16" x14ac:dyDescent="0.3">
      <c r="A72" t="str">
        <f t="shared" ref="A72:A80" si="8">CONCATENATE(B72,C72,D72)</f>
        <v>SmallCarPremiumFCEV320</v>
      </c>
      <c r="B72" s="79" t="s">
        <v>73</v>
      </c>
      <c r="C72" s="45" t="s">
        <v>80</v>
      </c>
      <c r="D72" s="87" t="s">
        <v>96</v>
      </c>
      <c r="E72" s="115">
        <v>1.4039999999999999</v>
      </c>
      <c r="F72" s="115">
        <v>1.4039999999999999</v>
      </c>
      <c r="G72" s="115">
        <v>1.4039999999999999</v>
      </c>
      <c r="H72" s="115">
        <v>1.4039999999999999</v>
      </c>
      <c r="I72" s="115">
        <v>1.4039999999999999</v>
      </c>
      <c r="J72" s="115">
        <v>1.4039999999999999</v>
      </c>
      <c r="K72" s="115">
        <v>1.3759199999999998</v>
      </c>
      <c r="L72" s="115">
        <v>1.3478399999999999</v>
      </c>
      <c r="M72" s="115">
        <v>1.3197599999999998</v>
      </c>
      <c r="N72" s="115">
        <v>1.2916799999999999</v>
      </c>
      <c r="O72" s="116">
        <v>1.2635999999999998</v>
      </c>
    </row>
    <row r="73" spans="1:16" x14ac:dyDescent="0.3">
      <c r="A73" t="str">
        <f t="shared" si="8"/>
        <v>MedCarBaseFCEV320</v>
      </c>
      <c r="B73" s="79" t="s">
        <v>82</v>
      </c>
      <c r="C73" s="45" t="s">
        <v>75</v>
      </c>
      <c r="D73" s="87" t="s">
        <v>96</v>
      </c>
      <c r="E73" s="115">
        <v>1.6847999999999999</v>
      </c>
      <c r="F73" s="115">
        <v>1.65672</v>
      </c>
      <c r="G73" s="115">
        <v>1.6286399999999999</v>
      </c>
      <c r="H73" s="115">
        <v>1.60056</v>
      </c>
      <c r="I73" s="115">
        <v>1.5724799999999999</v>
      </c>
      <c r="J73" s="115">
        <v>1.5444</v>
      </c>
      <c r="K73" s="115">
        <v>1.5163199999999999</v>
      </c>
      <c r="L73" s="115">
        <v>1.48824</v>
      </c>
      <c r="M73" s="115">
        <v>1.4601599999999999</v>
      </c>
      <c r="N73" s="115">
        <v>1.43208</v>
      </c>
      <c r="O73" s="116">
        <v>1.4039999999999999</v>
      </c>
    </row>
    <row r="74" spans="1:16" x14ac:dyDescent="0.3">
      <c r="A74" t="str">
        <f t="shared" si="8"/>
        <v>MedCarPremiumFCEV320</v>
      </c>
      <c r="B74" s="79" t="s">
        <v>82</v>
      </c>
      <c r="C74" s="45" t="s">
        <v>80</v>
      </c>
      <c r="D74" s="87" t="s">
        <v>96</v>
      </c>
      <c r="E74" s="115">
        <v>1.6847999999999999</v>
      </c>
      <c r="F74" s="115">
        <v>1.65672</v>
      </c>
      <c r="G74" s="115">
        <v>1.6286399999999999</v>
      </c>
      <c r="H74" s="115">
        <v>1.60056</v>
      </c>
      <c r="I74" s="115">
        <v>1.5724799999999999</v>
      </c>
      <c r="J74" s="115">
        <v>1.5444</v>
      </c>
      <c r="K74" s="115">
        <v>1.5163199999999999</v>
      </c>
      <c r="L74" s="115">
        <v>1.48824</v>
      </c>
      <c r="M74" s="115">
        <v>1.4601599999999999</v>
      </c>
      <c r="N74" s="115">
        <v>1.43208</v>
      </c>
      <c r="O74" s="116">
        <v>1.4039999999999999</v>
      </c>
    </row>
    <row r="75" spans="1:16" x14ac:dyDescent="0.3">
      <c r="A75" t="str">
        <f t="shared" si="8"/>
        <v>SmallSUVBaseFCEV320</v>
      </c>
      <c r="B75" s="79" t="s">
        <v>83</v>
      </c>
      <c r="C75" s="45" t="s">
        <v>75</v>
      </c>
      <c r="D75" s="87" t="s">
        <v>96</v>
      </c>
      <c r="E75" s="115">
        <v>1.6847999999999999</v>
      </c>
      <c r="F75" s="115">
        <v>1.65672</v>
      </c>
      <c r="G75" s="115">
        <v>1.6286399999999999</v>
      </c>
      <c r="H75" s="115">
        <v>1.60056</v>
      </c>
      <c r="I75" s="115">
        <v>1.5724799999999999</v>
      </c>
      <c r="J75" s="115">
        <v>1.5444</v>
      </c>
      <c r="K75" s="115">
        <v>1.5444</v>
      </c>
      <c r="L75" s="115">
        <v>1.5444</v>
      </c>
      <c r="M75" s="115">
        <v>1.5444</v>
      </c>
      <c r="N75" s="115">
        <v>1.5444</v>
      </c>
      <c r="O75" s="116">
        <v>1.5444</v>
      </c>
    </row>
    <row r="76" spans="1:16" x14ac:dyDescent="0.3">
      <c r="A76" t="str">
        <f t="shared" si="8"/>
        <v>SmallSUVPremiumFCEV320</v>
      </c>
      <c r="B76" s="79" t="s">
        <v>83</v>
      </c>
      <c r="C76" s="45" t="s">
        <v>80</v>
      </c>
      <c r="D76" s="87" t="s">
        <v>96</v>
      </c>
      <c r="E76" s="115">
        <v>1.6847999999999999</v>
      </c>
      <c r="F76" s="115">
        <v>1.65672</v>
      </c>
      <c r="G76" s="115">
        <v>1.6286399999999999</v>
      </c>
      <c r="H76" s="115">
        <v>1.60056</v>
      </c>
      <c r="I76" s="115">
        <v>1.5724799999999999</v>
      </c>
      <c r="J76" s="115">
        <v>1.5444</v>
      </c>
      <c r="K76" s="115">
        <v>1.5444</v>
      </c>
      <c r="L76" s="115">
        <v>1.5444</v>
      </c>
      <c r="M76" s="115">
        <v>1.5444</v>
      </c>
      <c r="N76" s="115">
        <v>1.5444</v>
      </c>
      <c r="O76" s="116">
        <v>1.5444</v>
      </c>
    </row>
    <row r="77" spans="1:16" x14ac:dyDescent="0.3">
      <c r="A77" t="str">
        <f t="shared" si="8"/>
        <v>MedSUVBaseFCEV320</v>
      </c>
      <c r="B77" s="79" t="s">
        <v>86</v>
      </c>
      <c r="C77" s="45" t="s">
        <v>75</v>
      </c>
      <c r="D77" s="87" t="s">
        <v>96</v>
      </c>
      <c r="E77" s="115">
        <v>1.9656</v>
      </c>
      <c r="F77" s="115">
        <v>1.9375200000000001</v>
      </c>
      <c r="G77" s="115">
        <v>1.90944</v>
      </c>
      <c r="H77" s="115">
        <v>1.8813600000000001</v>
      </c>
      <c r="I77" s="115">
        <v>1.85328</v>
      </c>
      <c r="J77" s="115">
        <v>1.8252000000000002</v>
      </c>
      <c r="K77" s="115">
        <v>1.7971200000000001</v>
      </c>
      <c r="L77" s="115">
        <v>1.7690399999999999</v>
      </c>
      <c r="M77" s="115">
        <v>1.7409600000000001</v>
      </c>
      <c r="N77" s="115">
        <v>1.71288</v>
      </c>
      <c r="O77" s="116">
        <v>1.6847999999999999</v>
      </c>
    </row>
    <row r="78" spans="1:16" x14ac:dyDescent="0.3">
      <c r="A78" t="str">
        <f t="shared" si="8"/>
        <v>MedSUVPremiumFCEV320</v>
      </c>
      <c r="B78" s="79" t="s">
        <v>86</v>
      </c>
      <c r="C78" s="45" t="s">
        <v>80</v>
      </c>
      <c r="D78" s="87" t="s">
        <v>96</v>
      </c>
      <c r="E78" s="115">
        <v>1.9656</v>
      </c>
      <c r="F78" s="115">
        <v>1.9375200000000001</v>
      </c>
      <c r="G78" s="115">
        <v>1.90944</v>
      </c>
      <c r="H78" s="115">
        <v>1.8813600000000001</v>
      </c>
      <c r="I78" s="115">
        <v>1.85328</v>
      </c>
      <c r="J78" s="115">
        <v>1.8252000000000002</v>
      </c>
      <c r="K78" s="115">
        <v>1.7971200000000001</v>
      </c>
      <c r="L78" s="115">
        <v>1.7690399999999999</v>
      </c>
      <c r="M78" s="115">
        <v>1.7409600000000001</v>
      </c>
      <c r="N78" s="115">
        <v>1.71288</v>
      </c>
      <c r="O78" s="116">
        <v>1.6847999999999999</v>
      </c>
    </row>
    <row r="79" spans="1:16" x14ac:dyDescent="0.3">
      <c r="A79" t="str">
        <f t="shared" si="8"/>
        <v>PickupBaseFCEV320</v>
      </c>
      <c r="B79" s="79" t="s">
        <v>89</v>
      </c>
      <c r="C79" s="45" t="s">
        <v>75</v>
      </c>
      <c r="D79" s="87" t="s">
        <v>96</v>
      </c>
      <c r="E79" s="115">
        <v>2.2464</v>
      </c>
      <c r="F79" s="115">
        <v>2.1902400000000002</v>
      </c>
      <c r="G79" s="115">
        <v>2.13408</v>
      </c>
      <c r="H79" s="115">
        <v>2.0779199999999998</v>
      </c>
      <c r="I79" s="115">
        <v>2.02176</v>
      </c>
      <c r="J79" s="115">
        <v>1.9656</v>
      </c>
      <c r="K79" s="115">
        <v>1.9656</v>
      </c>
      <c r="L79" s="115">
        <v>1.9656</v>
      </c>
      <c r="M79" s="115">
        <v>1.9656</v>
      </c>
      <c r="N79" s="115">
        <v>1.9656</v>
      </c>
      <c r="O79" s="116">
        <v>1.9656</v>
      </c>
    </row>
    <row r="80" spans="1:16" ht="15" thickBot="1" x14ac:dyDescent="0.35">
      <c r="A80" t="str">
        <f t="shared" si="8"/>
        <v>PickupHTFCEV320</v>
      </c>
      <c r="B80" s="79" t="s">
        <v>89</v>
      </c>
      <c r="C80" s="45" t="s">
        <v>113</v>
      </c>
      <c r="D80" s="87" t="s">
        <v>96</v>
      </c>
      <c r="E80" s="115">
        <v>2.2464</v>
      </c>
      <c r="F80" s="115">
        <v>2.1902400000000002</v>
      </c>
      <c r="G80" s="115">
        <v>2.13408</v>
      </c>
      <c r="H80" s="115">
        <v>2.0779199999999998</v>
      </c>
      <c r="I80" s="115">
        <v>2.02176</v>
      </c>
      <c r="J80" s="115">
        <v>1.9656</v>
      </c>
      <c r="K80" s="115">
        <v>1.9656</v>
      </c>
      <c r="L80" s="115">
        <v>1.9656</v>
      </c>
      <c r="M80" s="115">
        <v>1.9656</v>
      </c>
      <c r="N80" s="115">
        <v>1.9656</v>
      </c>
      <c r="O80" s="116">
        <v>1.9656</v>
      </c>
    </row>
    <row r="81" spans="1:16" ht="16.2" thickBot="1" x14ac:dyDescent="0.35">
      <c r="A81" s="29"/>
      <c r="B81" s="179" t="s">
        <v>98</v>
      </c>
      <c r="C81" s="180"/>
      <c r="D81" s="180"/>
      <c r="E81" s="180"/>
      <c r="F81" s="180"/>
      <c r="G81" s="180"/>
      <c r="H81" s="180"/>
      <c r="I81" s="180"/>
      <c r="J81" s="180"/>
      <c r="K81" s="180"/>
      <c r="L81" s="180"/>
      <c r="M81" s="180"/>
      <c r="N81" s="180"/>
      <c r="O81" s="181"/>
    </row>
    <row r="82" spans="1:16" ht="15" thickBot="1" x14ac:dyDescent="0.35">
      <c r="B82" s="172" t="s">
        <v>117</v>
      </c>
      <c r="C82" s="174"/>
      <c r="D82" s="174"/>
      <c r="E82" s="174"/>
      <c r="F82" s="174"/>
      <c r="G82" s="174"/>
      <c r="H82" s="174"/>
      <c r="I82" s="174"/>
      <c r="J82" s="174"/>
      <c r="K82" s="174"/>
      <c r="L82" s="174"/>
      <c r="M82" s="174"/>
      <c r="N82" s="174"/>
      <c r="O82" s="173"/>
      <c r="P82" s="12"/>
    </row>
    <row r="83" spans="1:16" x14ac:dyDescent="0.3">
      <c r="B83" s="93" t="s">
        <v>100</v>
      </c>
      <c r="C83" s="107" t="s">
        <v>101</v>
      </c>
      <c r="D83" s="108" t="s">
        <v>67</v>
      </c>
      <c r="E83" s="92" t="s">
        <v>102</v>
      </c>
      <c r="F83" s="92" t="s">
        <v>103</v>
      </c>
      <c r="G83" s="92" t="s">
        <v>104</v>
      </c>
      <c r="H83" s="92" t="s">
        <v>105</v>
      </c>
      <c r="I83" s="92" t="s">
        <v>106</v>
      </c>
      <c r="J83" s="92" t="s">
        <v>107</v>
      </c>
      <c r="K83" s="92" t="s">
        <v>108</v>
      </c>
      <c r="L83" s="92" t="s">
        <v>109</v>
      </c>
      <c r="M83" s="92" t="s">
        <v>110</v>
      </c>
      <c r="N83" s="92" t="s">
        <v>111</v>
      </c>
      <c r="O83" s="109" t="s">
        <v>112</v>
      </c>
    </row>
    <row r="84" spans="1:16" x14ac:dyDescent="0.3">
      <c r="A84" t="str">
        <f>CONCATENATE(B84,C84,D84)</f>
        <v>SmallCarBaseFCEV320</v>
      </c>
      <c r="B84" s="101" t="s">
        <v>73</v>
      </c>
      <c r="C84" s="86" t="s">
        <v>75</v>
      </c>
      <c r="D84" s="87" t="s">
        <v>96</v>
      </c>
      <c r="E84" s="88">
        <v>96.299000000000007</v>
      </c>
      <c r="F84" s="88">
        <v>94.997200000000007</v>
      </c>
      <c r="G84" s="88">
        <v>93.695400000000006</v>
      </c>
      <c r="H84" s="88">
        <v>92.393600000000006</v>
      </c>
      <c r="I84" s="88">
        <v>91.091800000000006</v>
      </c>
      <c r="J84" s="88">
        <v>89.79</v>
      </c>
      <c r="K84" s="88">
        <v>89.143000000000001</v>
      </c>
      <c r="L84" s="88">
        <v>88.496000000000009</v>
      </c>
      <c r="M84" s="88">
        <v>87.849000000000004</v>
      </c>
      <c r="N84" s="88">
        <v>87.202000000000012</v>
      </c>
      <c r="O84" s="102">
        <v>86.555000000000007</v>
      </c>
    </row>
    <row r="85" spans="1:16" x14ac:dyDescent="0.3">
      <c r="A85" t="str">
        <f t="shared" ref="A85:A93" si="9">CONCATENATE(B85,C85,D85)</f>
        <v>SmallCarPremiumFCEV320</v>
      </c>
      <c r="B85" s="79" t="s">
        <v>73</v>
      </c>
      <c r="C85" s="45" t="s">
        <v>80</v>
      </c>
      <c r="D85" s="87" t="s">
        <v>96</v>
      </c>
      <c r="E85" s="88">
        <v>96.299000000000007</v>
      </c>
      <c r="F85" s="88">
        <v>94.997200000000007</v>
      </c>
      <c r="G85" s="88">
        <v>93.695400000000006</v>
      </c>
      <c r="H85" s="88">
        <v>92.393600000000006</v>
      </c>
      <c r="I85" s="88">
        <v>91.091800000000006</v>
      </c>
      <c r="J85" s="88">
        <v>89.79</v>
      </c>
      <c r="K85" s="88">
        <v>89.143000000000001</v>
      </c>
      <c r="L85" s="88">
        <v>88.496000000000009</v>
      </c>
      <c r="M85" s="88">
        <v>87.849000000000004</v>
      </c>
      <c r="N85" s="88">
        <v>87.202000000000012</v>
      </c>
      <c r="O85" s="102">
        <v>86.555000000000007</v>
      </c>
    </row>
    <row r="86" spans="1:16" x14ac:dyDescent="0.3">
      <c r="A86" t="str">
        <f t="shared" si="9"/>
        <v>MedCarBaseFCEV320</v>
      </c>
      <c r="B86" s="79" t="s">
        <v>82</v>
      </c>
      <c r="C86" s="45" t="s">
        <v>75</v>
      </c>
      <c r="D86" s="87" t="s">
        <v>96</v>
      </c>
      <c r="E86" s="88">
        <v>144.613</v>
      </c>
      <c r="F86" s="88">
        <v>141.39080000000001</v>
      </c>
      <c r="G86" s="88">
        <v>138.1686</v>
      </c>
      <c r="H86" s="88">
        <v>134.94640000000001</v>
      </c>
      <c r="I86" s="88">
        <v>131.7242</v>
      </c>
      <c r="J86" s="88">
        <v>128.50200000000001</v>
      </c>
      <c r="K86" s="88">
        <v>126.70400000000001</v>
      </c>
      <c r="L86" s="88">
        <v>124.90600000000001</v>
      </c>
      <c r="M86" s="88">
        <v>123.108</v>
      </c>
      <c r="N86" s="88">
        <v>121.31</v>
      </c>
      <c r="O86" s="102">
        <v>119.512</v>
      </c>
    </row>
    <row r="87" spans="1:16" x14ac:dyDescent="0.3">
      <c r="A87" t="str">
        <f t="shared" si="9"/>
        <v>MedCarPremiumFCEV320</v>
      </c>
      <c r="B87" s="79" t="s">
        <v>82</v>
      </c>
      <c r="C87" s="45" t="s">
        <v>80</v>
      </c>
      <c r="D87" s="87" t="s">
        <v>96</v>
      </c>
      <c r="E87" s="88">
        <v>144.613</v>
      </c>
      <c r="F87" s="88">
        <v>141.39080000000001</v>
      </c>
      <c r="G87" s="88">
        <v>138.1686</v>
      </c>
      <c r="H87" s="88">
        <v>134.94640000000001</v>
      </c>
      <c r="I87" s="88">
        <v>131.7242</v>
      </c>
      <c r="J87" s="88">
        <v>128.50200000000001</v>
      </c>
      <c r="K87" s="88">
        <v>126.70400000000001</v>
      </c>
      <c r="L87" s="88">
        <v>124.90600000000001</v>
      </c>
      <c r="M87" s="88">
        <v>123.108</v>
      </c>
      <c r="N87" s="88">
        <v>121.31</v>
      </c>
      <c r="O87" s="102">
        <v>119.512</v>
      </c>
    </row>
    <row r="88" spans="1:16" x14ac:dyDescent="0.3">
      <c r="A88" t="str">
        <f t="shared" si="9"/>
        <v>SmallSUVBaseFCEV320</v>
      </c>
      <c r="B88" s="79" t="s">
        <v>83</v>
      </c>
      <c r="C88" s="45" t="s">
        <v>75</v>
      </c>
      <c r="D88" s="87" t="s">
        <v>96</v>
      </c>
      <c r="E88" s="88">
        <v>139.22399999999999</v>
      </c>
      <c r="F88" s="88">
        <v>137.1172</v>
      </c>
      <c r="G88" s="88">
        <v>135.0104</v>
      </c>
      <c r="H88" s="88">
        <v>132.90359999999998</v>
      </c>
      <c r="I88" s="88">
        <v>130.79679999999999</v>
      </c>
      <c r="J88" s="88">
        <v>128.69</v>
      </c>
      <c r="K88" s="88">
        <v>127.0986</v>
      </c>
      <c r="L88" s="88">
        <v>125.5072</v>
      </c>
      <c r="M88" s="88">
        <v>123.9158</v>
      </c>
      <c r="N88" s="88">
        <v>122.3244</v>
      </c>
      <c r="O88" s="102">
        <v>120.733</v>
      </c>
    </row>
    <row r="89" spans="1:16" x14ac:dyDescent="0.3">
      <c r="A89" t="str">
        <f t="shared" si="9"/>
        <v>SmallSUVPremiumFCEV320</v>
      </c>
      <c r="B89" s="79" t="s">
        <v>83</v>
      </c>
      <c r="C89" s="45" t="s">
        <v>80</v>
      </c>
      <c r="D89" s="87" t="s">
        <v>96</v>
      </c>
      <c r="E89" s="88">
        <v>139.22399999999999</v>
      </c>
      <c r="F89" s="88">
        <v>137.1172</v>
      </c>
      <c r="G89" s="88">
        <v>135.0104</v>
      </c>
      <c r="H89" s="88">
        <v>132.90359999999998</v>
      </c>
      <c r="I89" s="88">
        <v>130.79679999999999</v>
      </c>
      <c r="J89" s="88">
        <v>128.69</v>
      </c>
      <c r="K89" s="88">
        <v>127.0986</v>
      </c>
      <c r="L89" s="88">
        <v>125.5072</v>
      </c>
      <c r="M89" s="88">
        <v>123.9158</v>
      </c>
      <c r="N89" s="88">
        <v>122.3244</v>
      </c>
      <c r="O89" s="102">
        <v>120.733</v>
      </c>
    </row>
    <row r="90" spans="1:16" x14ac:dyDescent="0.3">
      <c r="A90" t="str">
        <f t="shared" si="9"/>
        <v>MedSUVBaseFCEV320</v>
      </c>
      <c r="B90" s="79" t="s">
        <v>86</v>
      </c>
      <c r="C90" s="45" t="s">
        <v>75</v>
      </c>
      <c r="D90" s="87" t="s">
        <v>96</v>
      </c>
      <c r="E90" s="88">
        <v>157.345</v>
      </c>
      <c r="F90" s="88">
        <v>155.02199999999999</v>
      </c>
      <c r="G90" s="88">
        <v>152.69899999999998</v>
      </c>
      <c r="H90" s="88">
        <v>150.376</v>
      </c>
      <c r="I90" s="88">
        <v>148.053</v>
      </c>
      <c r="J90" s="88">
        <v>145.72999999999999</v>
      </c>
      <c r="K90" s="88">
        <v>143.99419999999998</v>
      </c>
      <c r="L90" s="88">
        <v>142.25839999999999</v>
      </c>
      <c r="M90" s="88">
        <v>140.52259999999998</v>
      </c>
      <c r="N90" s="88">
        <v>138.7868</v>
      </c>
      <c r="O90" s="102">
        <v>137.05099999999999</v>
      </c>
    </row>
    <row r="91" spans="1:16" x14ac:dyDescent="0.3">
      <c r="A91" t="str">
        <f t="shared" si="9"/>
        <v>MedSUVPremiumFCEV320</v>
      </c>
      <c r="B91" s="79" t="s">
        <v>86</v>
      </c>
      <c r="C91" s="45" t="s">
        <v>80</v>
      </c>
      <c r="D91" s="87" t="s">
        <v>96</v>
      </c>
      <c r="E91" s="88">
        <v>157.345</v>
      </c>
      <c r="F91" s="88">
        <v>155.02199999999999</v>
      </c>
      <c r="G91" s="88">
        <v>152.69899999999998</v>
      </c>
      <c r="H91" s="88">
        <v>150.376</v>
      </c>
      <c r="I91" s="88">
        <v>148.053</v>
      </c>
      <c r="J91" s="88">
        <v>145.72999999999999</v>
      </c>
      <c r="K91" s="88">
        <v>143.99419999999998</v>
      </c>
      <c r="L91" s="88">
        <v>142.25839999999999</v>
      </c>
      <c r="M91" s="88">
        <v>140.52259999999998</v>
      </c>
      <c r="N91" s="88">
        <v>138.7868</v>
      </c>
      <c r="O91" s="102">
        <v>137.05099999999999</v>
      </c>
    </row>
    <row r="92" spans="1:16" x14ac:dyDescent="0.3">
      <c r="A92" t="str">
        <f t="shared" si="9"/>
        <v>PickupBaseFCEV320</v>
      </c>
      <c r="B92" s="79" t="s">
        <v>89</v>
      </c>
      <c r="C92" s="45" t="s">
        <v>75</v>
      </c>
      <c r="D92" s="87" t="s">
        <v>96</v>
      </c>
      <c r="E92" s="88">
        <v>185.68100000000001</v>
      </c>
      <c r="F92" s="88">
        <v>182.0112</v>
      </c>
      <c r="G92" s="88">
        <v>178.34139999999999</v>
      </c>
      <c r="H92" s="88">
        <v>174.67160000000001</v>
      </c>
      <c r="I92" s="88">
        <v>171.0018</v>
      </c>
      <c r="J92" s="88">
        <v>167.33199999999999</v>
      </c>
      <c r="K92" s="88">
        <v>165.52179999999998</v>
      </c>
      <c r="L92" s="88">
        <v>163.7116</v>
      </c>
      <c r="M92" s="88">
        <v>161.9014</v>
      </c>
      <c r="N92" s="88">
        <v>160.09120000000001</v>
      </c>
      <c r="O92" s="102">
        <v>158.28100000000001</v>
      </c>
    </row>
    <row r="93" spans="1:16" x14ac:dyDescent="0.3">
      <c r="A93" t="str">
        <f t="shared" si="9"/>
        <v>PickupHTFCEV320</v>
      </c>
      <c r="B93" s="79" t="s">
        <v>89</v>
      </c>
      <c r="C93" s="45" t="s">
        <v>113</v>
      </c>
      <c r="D93" s="87" t="s">
        <v>96</v>
      </c>
      <c r="E93" s="88">
        <v>185.68100000000001</v>
      </c>
      <c r="F93" s="88">
        <v>182.0112</v>
      </c>
      <c r="G93" s="88">
        <v>178.34139999999999</v>
      </c>
      <c r="H93" s="88">
        <v>174.67160000000001</v>
      </c>
      <c r="I93" s="88">
        <v>171.0018</v>
      </c>
      <c r="J93" s="88">
        <v>167.33199999999999</v>
      </c>
      <c r="K93" s="88">
        <v>165.52179999999998</v>
      </c>
      <c r="L93" s="88">
        <v>163.7116</v>
      </c>
      <c r="M93" s="88">
        <v>161.9014</v>
      </c>
      <c r="N93" s="88">
        <v>160.09120000000001</v>
      </c>
      <c r="O93" s="102">
        <v>158.28100000000001</v>
      </c>
    </row>
  </sheetData>
  <mergeCells count="16">
    <mergeCell ref="B1:O1"/>
    <mergeCell ref="B30:O30"/>
    <mergeCell ref="B56:O56"/>
    <mergeCell ref="B69:O69"/>
    <mergeCell ref="B82:O82"/>
    <mergeCell ref="B2:O2"/>
    <mergeCell ref="B43:O43"/>
    <mergeCell ref="B4:O4"/>
    <mergeCell ref="B17:O17"/>
    <mergeCell ref="B3:O3"/>
    <mergeCell ref="B16:O16"/>
    <mergeCell ref="B29:O29"/>
    <mergeCell ref="B42:O42"/>
    <mergeCell ref="B55:O55"/>
    <mergeCell ref="B68:O68"/>
    <mergeCell ref="B81:O81"/>
  </mergeCells>
  <pageMargins left="0.7" right="0.7" top="0.75" bottom="0.75" header="0.3" footer="0.3"/>
  <pageSetup orientation="portrait" r:id="rId1"/>
  <tableParts count="7">
    <tablePart r:id="rId2"/>
    <tablePart r:id="rId3"/>
    <tablePart r:id="rId4"/>
    <tablePart r:id="rId5"/>
    <tablePart r:id="rId6"/>
    <tablePart r:id="rId7"/>
    <tablePart r:id="rId8"/>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10597B"/>
  </sheetPr>
  <dimension ref="A1:AE34"/>
  <sheetViews>
    <sheetView topLeftCell="B1" workbookViewId="0">
      <selection activeCell="D2" sqref="D2"/>
    </sheetView>
  </sheetViews>
  <sheetFormatPr defaultRowHeight="14.4" x14ac:dyDescent="0.3"/>
  <cols>
    <col min="1" max="1" width="24.88671875" hidden="1" customWidth="1"/>
    <col min="2" max="2" width="14.88671875" customWidth="1"/>
    <col min="3" max="3" width="14.5546875" customWidth="1"/>
    <col min="4" max="4" width="12" customWidth="1"/>
    <col min="5" max="5" width="11.88671875" customWidth="1"/>
    <col min="7" max="10" width="15.88671875" customWidth="1"/>
    <col min="11" max="13" width="15.109375" customWidth="1"/>
    <col min="14" max="14" width="13" customWidth="1"/>
    <col min="15" max="15" width="15" customWidth="1"/>
    <col min="16" max="16" width="14.5546875" customWidth="1"/>
    <col min="17" max="17" width="18.109375" customWidth="1"/>
    <col min="18" max="18" width="11.109375" customWidth="1"/>
    <col min="19" max="19" width="12" customWidth="1"/>
    <col min="20" max="20" width="22.109375" customWidth="1"/>
    <col min="21" max="21" width="19.44140625" customWidth="1"/>
    <col min="22" max="22" width="29.88671875" customWidth="1"/>
    <col min="23" max="23" width="17" customWidth="1"/>
    <col min="24" max="24" width="22" customWidth="1"/>
    <col min="25" max="25" width="23.109375" customWidth="1"/>
    <col min="26" max="26" width="19.109375" customWidth="1"/>
    <col min="27" max="27" width="21.109375" customWidth="1"/>
    <col min="28" max="28" width="20.88671875" customWidth="1"/>
    <col min="29" max="29" width="23.109375" customWidth="1"/>
    <col min="30" max="30" width="16" customWidth="1"/>
    <col min="31" max="31" width="23.44140625" customWidth="1"/>
  </cols>
  <sheetData>
    <row r="1" spans="1:31" ht="30" customHeight="1" thickBot="1" x14ac:dyDescent="0.35">
      <c r="A1" s="15" t="s">
        <v>127</v>
      </c>
      <c r="B1" s="69" t="s">
        <v>100</v>
      </c>
      <c r="C1" s="70" t="s">
        <v>101</v>
      </c>
      <c r="D1" s="70" t="s">
        <v>67</v>
      </c>
      <c r="E1" s="70" t="s">
        <v>128</v>
      </c>
      <c r="F1" s="70" t="s">
        <v>129</v>
      </c>
      <c r="G1" s="71" t="s">
        <v>130</v>
      </c>
      <c r="H1" s="71" t="s">
        <v>131</v>
      </c>
      <c r="I1" s="71" t="s">
        <v>132</v>
      </c>
      <c r="J1" s="71" t="s">
        <v>133</v>
      </c>
      <c r="K1" s="71" t="s">
        <v>117</v>
      </c>
      <c r="L1" s="71" t="s">
        <v>134</v>
      </c>
      <c r="M1" s="71" t="s">
        <v>135</v>
      </c>
      <c r="N1" s="71" t="s">
        <v>136</v>
      </c>
      <c r="O1" s="71" t="s">
        <v>137</v>
      </c>
      <c r="P1" s="71" t="s">
        <v>138</v>
      </c>
      <c r="Q1" s="71" t="s">
        <v>139</v>
      </c>
      <c r="R1" s="71" t="s">
        <v>140</v>
      </c>
      <c r="S1" s="71" t="s">
        <v>141</v>
      </c>
      <c r="T1" s="71" t="s">
        <v>142</v>
      </c>
      <c r="U1" s="71" t="s">
        <v>143</v>
      </c>
      <c r="V1" s="71" t="s">
        <v>144</v>
      </c>
      <c r="W1" s="71" t="s">
        <v>145</v>
      </c>
      <c r="X1" s="71" t="s">
        <v>146</v>
      </c>
      <c r="Y1" s="71" t="s">
        <v>147</v>
      </c>
      <c r="Z1" s="71" t="s">
        <v>148</v>
      </c>
      <c r="AA1" s="71" t="s">
        <v>149</v>
      </c>
      <c r="AB1" s="71" t="s">
        <v>150</v>
      </c>
      <c r="AC1" s="71" t="s">
        <v>151</v>
      </c>
      <c r="AD1" s="71" t="s">
        <v>152</v>
      </c>
      <c r="AE1" s="72" t="s">
        <v>153</v>
      </c>
    </row>
    <row r="2" spans="1:31" x14ac:dyDescent="0.3">
      <c r="A2" s="18" t="str">
        <f>CONCATENATE(B2,C2,D2)</f>
        <v>SmallCarBaseBEV300</v>
      </c>
      <c r="B2" s="62" t="s">
        <v>73</v>
      </c>
      <c r="C2" s="63" t="s">
        <v>75</v>
      </c>
      <c r="D2" s="63" t="s">
        <v>74</v>
      </c>
      <c r="E2" s="63">
        <v>2025</v>
      </c>
      <c r="F2" s="62" t="str">
        <f>RIGHT(D2,LEN(D2)-MIN(FIND({0,1,2,3,4,5,6,7,8,9},D2&amp;"0123456789"))+1)</f>
        <v>300</v>
      </c>
      <c r="G2" s="64" cm="1">
        <f t="array" ref="G2">IF(LEFT(D2,MIN(FIND({0,1,2,3,4,5,6,7,8,9},D2&amp;"0123456789"))-1)="BEV",INDEX(BEV_Efficiency,MATCH(A2,BEV_Efficiency_VehClass,0),MATCH(E2,Lookup_Year,0)),IF(LEFT(D2,MIN(FIND({0,1,2,3,4,5,6,7,8,9},D2&amp;"0123456789"))-1)="PHEV",INDEX(PHEV_Efficiency,MATCH(A2,PHEV_Efficiency_VehClass,0),MATCH(E2,Lookup_Year,0)),IF(LEFT(D2,MIN(FIND({0,1,2,3,4,5,6,7,8,9},D2&amp;"0123456789"))-1)="FCEV",0,"Error")))</f>
        <v>230</v>
      </c>
      <c r="H2" s="65" cm="1">
        <f t="array" ref="H2">IF(LEFT(D2,MIN(FIND({0,1,2,3,4,5,6,7,8,9},D2&amp;"0123456789"))-1)="BEV",0,IF(LEFT(D2,MIN(FIND({0,1,2,3,4,5,6,7,8,9},D2&amp;"0123456789"))-1)="PHEV",0,IF(LEFT(D2,MIN(FIND({0,1,2,3,4,5,6,7,8,9},D2&amp;"0123456789"))-1)="FCEV",INDEX(FCEV_H2_Efficiency,MATCH(A2,FCEV_H2_Efficiency_VehClass,0),MATCH(E2,Lookup_Year,0)),"Error")))</f>
        <v>0</v>
      </c>
      <c r="I2" s="65" cm="1">
        <f t="array" ref="I2">IF(LEFT(D2,MIN(FIND({0,1,2,3,4,5,6,7,8,9},D2&amp;"0123456789"))-1)="BEV",INDEX(BEV_UBE,MATCH(A2,BEV_UBE_VehClass,0),MATCH(E2,Lookup_Year,0)),IF(LEFT(D2,MIN(FIND({0,1,2,3,4,5,6,7,8,9},D2&amp;"0123456789"))-1)="PHEV",INDEX(PHEV_UBE,MATCH(A2,PHEV_UBE_VehClass,0),MATCH(E2,Lookup_Year,0)),IF(LEFT(D2,MIN(FIND({0,1,2,3,4,5,6,7,8,9},D2&amp;"0123456789"))-1)="FCEV",INDEX(FCEV_UBE,MATCH(A2,FCEV_UBE_VehClass,0),MATCH(E2,Lookup_Year,0)))))</f>
        <v>69</v>
      </c>
      <c r="J2" s="65" cm="1">
        <f t="array" ref="J2">IF(LEFT(D2,MIN(FIND({0,1,2,3,4,5,6,7,8,9},D2&amp;"0123456789"))-1)="BEV",INDEX(BEV_TBE,MATCH(A2,BEV_TBE_VehClass,0),MATCH(E2,Lookup_Year,0)),IF(LEFT(D2,MIN(FIND({0,1,2,3,4,5,6,7,8,9},D2&amp;"0123456789"))-1)="PHEV",INDEX(PHEV_TBE,MATCH(A2,PHEV_TBE_VehClass,0),MATCH(E2,Lookup_Year,0)),IF(LEFT(D2,MIN(FIND({0,1,2,3,4,5,6,7,8,9},D2&amp;"0123456789"))-1)="FCEV",INDEX(FCEV_TBE,MATCH(A2,FCEV_TBE_VehClass,0),MATCH(E2,Lookup_Year,0)))))</f>
        <v>72.631578947368425</v>
      </c>
      <c r="K2" s="64" cm="1">
        <f t="array" ref="K2">IF(LEFT(D2,MIN(FIND({0,1,2,3,4,5,6,7,8,9},D2&amp;"0123456789"))-1)="BEV",INDEX(BEV_eMotor_Power,MATCH(A2,BEV_eMotor_Power_VehClass,0),MATCH(E2,Lookup_Year,0)),IF(LEFT(D2,MIN(FIND({0,1,2,3,4,5,6,7,8,9},D2&amp;"0123456789"))-1)="PHEV",INDEX(PHEV_eMotor_Power,MATCH(A2,PHEV_eMotor_Power_VehClass,0),MATCH(E2,Lookup_Year,0)),IF(LEFT(D2,MIN(FIND({0,1,2,3,4,5,6,7,8,9},D2&amp;"0123456789"))-1)="FCEV",INDEX(FCEV_eMotor_Power,MATCH(A2,FCEV_eMotor_Power_VehClass,0),MATCH(E2,Lookup_Year,0)))))</f>
        <v>108</v>
      </c>
      <c r="L2" s="66" cm="1">
        <f t="array" ref="L2">IF(LEFT(D2,MIN(FIND({0,1,2,3,4,5,6,7,8,9},D2&amp;"0123456789"))-1)="BEV",0,IF(LEFT(D2,MIN(FIND({0,1,2,3,4,5,6,7,8,9},D2&amp;"0123456789"))-1)="PHEV",0,IF(LEFT(D2,MIN(FIND({0,1,2,3,4,5,6,7,8,9},D2&amp;"0123456789"))-1)="FCEV",INDEX(FCEV_TankSize,MATCH(A2,FCEV_TankSize_VehClass,0),MATCH(E2,Lookup_Year,0)))))</f>
        <v>0</v>
      </c>
      <c r="M2" s="64" cm="1">
        <f t="array" ref="M2">IF(LEFT(D2,MIN(FIND({0,1,2,3,4,5,6,7,8,9},D2&amp;"0123456789"))-1)="BEV",0,IF(LEFT(D2,MIN(FIND({0,1,2,3,4,5,6,7,8,9},D2&amp;"0123456789"))-1)="PHEV",0,IF(LEFT(D2,MIN(FIND({0,1,2,3,4,5,6,7,8,9},D2&amp;"0123456789"))-1)="FCEV",INDEX(FCEV_StackSize,MATCH(A2,FCEV_StackSize_VehClass,0),MATCH(E2,Lookup_Year,0)))))</f>
        <v>0</v>
      </c>
      <c r="N2" s="64">
        <f>K2*'Non-Battery Cost Input'!$G$5*'Non-Battery Cost Input'!$H$7</f>
        <v>427.68000000000006</v>
      </c>
      <c r="O2" s="63">
        <f>'Non-Battery Cost Input'!$H$9</f>
        <v>400</v>
      </c>
      <c r="P2" s="64">
        <f>K2*'Non-Battery Cost Input'!$G$11</f>
        <v>410.4</v>
      </c>
      <c r="Q2" s="63">
        <f>'Non-Battery Cost Input'!$H$12</f>
        <v>200</v>
      </c>
      <c r="R2" s="64">
        <f>((I2/8)*'Non-Battery Cost Input'!$G$13)+'Non-Battery Cost Input'!$H$13</f>
        <v>1299.75</v>
      </c>
      <c r="S2" s="63">
        <f>'Non-Battery Cost Input'!$H$14</f>
        <v>150</v>
      </c>
      <c r="T2" s="63">
        <f>'Non-Battery Cost Input'!$H$15</f>
        <v>405</v>
      </c>
      <c r="U2" s="63">
        <f>'Non-Battery Cost Input'!$H$17</f>
        <v>185</v>
      </c>
      <c r="V2" s="63">
        <f>'Non-Battery Cost Input'!$H$16</f>
        <v>65</v>
      </c>
      <c r="W2" s="63">
        <f>'Non-Battery Cost Input'!$H$18</f>
        <v>180</v>
      </c>
      <c r="X2" s="63">
        <f>'Non-Battery Cost Input'!$H$19</f>
        <v>300</v>
      </c>
      <c r="Y2" s="64">
        <f>SUM(N2:X2)</f>
        <v>4022.83</v>
      </c>
      <c r="Z2" s="64">
        <f>K2*'Vehicle Attributes Overview'!$A$3*'Non-Battery Cost Input'!$G$6*'Non-Battery Cost Input'!$H$8</f>
        <v>147.42000000000002</v>
      </c>
      <c r="AA2" s="63">
        <f>'Non-Battery Cost Input'!$H$9</f>
        <v>400</v>
      </c>
      <c r="AB2" s="64">
        <f>K2*'Vehicle Attributes Overview'!$A$3*'Non-Battery Cost Input'!$G$10</f>
        <v>135</v>
      </c>
      <c r="AC2" s="63">
        <f>'Non-Battery Cost Input'!$H$20</f>
        <v>25</v>
      </c>
      <c r="AD2" s="63">
        <f>'Non-Battery Cost Input'!$H$19</f>
        <v>300</v>
      </c>
      <c r="AE2" s="67">
        <f>SUM(Z2:AD2)</f>
        <v>1007.4200000000001</v>
      </c>
    </row>
    <row r="3" spans="1:31" x14ac:dyDescent="0.3">
      <c r="A3" s="19" t="str">
        <f t="shared" ref="A3:A31" si="0">CONCATENATE(B3,C3,D3)</f>
        <v>SmallCarPremiumBEV400</v>
      </c>
      <c r="B3" s="68" t="s">
        <v>73</v>
      </c>
      <c r="C3" s="45" t="s">
        <v>80</v>
      </c>
      <c r="D3" s="45" t="s">
        <v>79</v>
      </c>
      <c r="E3" s="45">
        <v>2025</v>
      </c>
      <c r="F3" s="68" t="str">
        <f>RIGHT(D3,LEN(D3)-MIN(FIND({0,1,2,3,4,5,6,7,8,9},D3&amp;"0123456789"))+1)</f>
        <v>400</v>
      </c>
      <c r="G3" s="23" cm="1">
        <f t="array" ref="G3">IF(LEFT(D3,MIN(FIND({0,1,2,3,4,5,6,7,8,9},D3&amp;"0123456789"))-1)="BEV",INDEX(BEV_Efficiency,MATCH(A3,BEV_Efficiency_VehClass,0),MATCH(E3,Lookup_Year,0)),IF(LEFT(D3,MIN(FIND({0,1,2,3,4,5,6,7,8,9},D3&amp;"0123456789"))-1)="PHEV",INDEX(PHEV_Efficiency,MATCH(A3,PHEV_Efficiency_VehClass,0),MATCH(E3,Lookup_Year,0)),IF(LEFT(D3,MIN(FIND({0,1,2,3,4,5,6,7,8,9},D3&amp;"0123456789"))-1)="FCEV",0,"Error")))</f>
        <v>235</v>
      </c>
      <c r="H3" s="22" cm="1">
        <f t="array" ref="H3">IF(LEFT(D3,MIN(FIND({0,1,2,3,4,5,6,7,8,9},D3&amp;"0123456789"))-1)="BEV",0,IF(LEFT(D3,MIN(FIND({0,1,2,3,4,5,6,7,8,9},D3&amp;"0123456789"))-1)="PHEV",0,IF(LEFT(D3,MIN(FIND({0,1,2,3,4,5,6,7,8,9},D3&amp;"0123456789"))-1)="FCEV",INDEX(FCEV_H2_Efficiency,MATCH(A3,FCEV_H2_Efficiency_VehClass,0),MATCH(E3,Lookup_Year,0)),"Error")))</f>
        <v>0</v>
      </c>
      <c r="I3" s="22" cm="1">
        <f t="array" ref="I3">IF(LEFT(D3,MIN(FIND({0,1,2,3,4,5,6,7,8,9},D3&amp;"0123456789"))-1)="BEV",INDEX(BEV_UBE,MATCH(A3,BEV_UBE_VehClass,0),MATCH(E3,Lookup_Year,0)),IF(LEFT(D3,MIN(FIND({0,1,2,3,4,5,6,7,8,9},D3&amp;"0123456789"))-1)="PHEV",INDEX(PHEV_UBE,MATCH(A3,PHEV_UBE_VehClass,0),MATCH(E3,Lookup_Year,0)),IF(LEFT(D3,MIN(FIND({0,1,2,3,4,5,6,7,8,9},D3&amp;"0123456789"))-1)="FCEV",INDEX(FCEV_UBE,MATCH(A3,FCEV_UBE_VehClass,0),MATCH(E3,Lookup_Year,0)))))</f>
        <v>94</v>
      </c>
      <c r="J3" s="22" cm="1">
        <f t="array" ref="J3">IF(LEFT(D3,MIN(FIND({0,1,2,3,4,5,6,7,8,9},D3&amp;"0123456789"))-1)="BEV",INDEX(BEV_TBE,MATCH(A3,BEV_TBE_VehClass,0),MATCH(E3,Lookup_Year,0)),IF(LEFT(D3,MIN(FIND({0,1,2,3,4,5,6,7,8,9},D3&amp;"0123456789"))-1)="PHEV",INDEX(PHEV_TBE,MATCH(A3,PHEV_TBE_VehClass,0),MATCH(E3,Lookup_Year,0)),IF(LEFT(D3,MIN(FIND({0,1,2,3,4,5,6,7,8,9},D3&amp;"0123456789"))-1)="FCEV",INDEX(FCEV_TBE,MATCH(A3,FCEV_TBE_VehClass,0),MATCH(E3,Lookup_Year,0)))))</f>
        <v>98.94736842105263</v>
      </c>
      <c r="K3" s="23" cm="1">
        <f t="array" ref="K3">IF(LEFT(D3,MIN(FIND({0,1,2,3,4,5,6,7,8,9},D3&amp;"0123456789"))-1)="BEV",INDEX(BEV_eMotor_Power,MATCH(A3,BEV_eMotor_Power_VehClass,0),MATCH(E3,Lookup_Year,0)),IF(LEFT(D3,MIN(FIND({0,1,2,3,4,5,6,7,8,9},D3&amp;"0123456789"))-1)="PHEV",INDEX(PHEV_eMotor_Power,MATCH(A3,PHEV_eMotor_Power_VehClass,0),MATCH(E3,Lookup_Year,0)),IF(LEFT(D3,MIN(FIND({0,1,2,3,4,5,6,7,8,9},D3&amp;"0123456789"))-1)="FCEV",INDEX(FCEV_eMotor_Power,MATCH(A3,FCEV_eMotor_Power_VehClass,0),MATCH(E3,Lookup_Year,0)))))</f>
        <v>130</v>
      </c>
      <c r="L3" s="27" cm="1">
        <f t="array" ref="L3">IF(LEFT(D3,MIN(FIND({0,1,2,3,4,5,6,7,8,9},D3&amp;"0123456789"))-1)="BEV",0,IF(LEFT(D3,MIN(FIND({0,1,2,3,4,5,6,7,8,9},D3&amp;"0123456789"))-1)="PHEV",0,IF(LEFT(D3,MIN(FIND({0,1,2,3,4,5,6,7,8,9},D3&amp;"0123456789"))-1)="FCEV",INDEX(FCEV_TankSize,MATCH(A3,FCEV_TankSize_VehClass,0),MATCH(E3,Lookup_Year,0)))))</f>
        <v>0</v>
      </c>
      <c r="M3" s="23" cm="1">
        <f t="array" ref="M3">IF(LEFT(D3,MIN(FIND({0,1,2,3,4,5,6,7,8,9},D3&amp;"0123456789"))-1)="BEV",0,IF(LEFT(D3,MIN(FIND({0,1,2,3,4,5,6,7,8,9},D3&amp;"0123456789"))-1)="PHEV",0,IF(LEFT(D3,MIN(FIND({0,1,2,3,4,5,6,7,8,9},D3&amp;"0123456789"))-1)="FCEV",INDEX(FCEV_StackSize,MATCH(A3,FCEV_StackSize_VehClass,0),MATCH(E3,Lookup_Year,0)))))</f>
        <v>0</v>
      </c>
      <c r="N3" s="23">
        <f>K3*'Non-Battery Cost Input'!$G$5*'Non-Battery Cost Input'!$H$7</f>
        <v>514.80000000000007</v>
      </c>
      <c r="O3" s="45">
        <f>'Non-Battery Cost Input'!$H$9</f>
        <v>400</v>
      </c>
      <c r="P3" s="23">
        <f>K3*'Non-Battery Cost Input'!$G$11</f>
        <v>494</v>
      </c>
      <c r="Q3" s="45">
        <f>'Non-Battery Cost Input'!$H$12</f>
        <v>200</v>
      </c>
      <c r="R3" s="23">
        <f>((I3/8)*'Non-Battery Cost Input'!$G$13)+'Non-Battery Cost Input'!$H$13</f>
        <v>1493.5</v>
      </c>
      <c r="S3" s="45">
        <f>'Non-Battery Cost Input'!$H$14</f>
        <v>150</v>
      </c>
      <c r="T3" s="45">
        <f>'Non-Battery Cost Input'!$H$15</f>
        <v>405</v>
      </c>
      <c r="U3" s="45">
        <f>'Non-Battery Cost Input'!$H$17</f>
        <v>185</v>
      </c>
      <c r="V3" s="45">
        <f>'Non-Battery Cost Input'!$H$16</f>
        <v>65</v>
      </c>
      <c r="W3" s="45">
        <f>'Non-Battery Cost Input'!$H$18</f>
        <v>180</v>
      </c>
      <c r="X3" s="45">
        <f>'Non-Battery Cost Input'!$H$19</f>
        <v>300</v>
      </c>
      <c r="Y3" s="23">
        <f t="shared" ref="Y3:Y31" si="1">SUM(N3:X3)</f>
        <v>4387.3</v>
      </c>
      <c r="Z3" s="23">
        <f>K3*'Vehicle Attributes Overview'!$A$3*'Non-Battery Cost Input'!$G$6*'Non-Battery Cost Input'!$H$8</f>
        <v>177.45000000000002</v>
      </c>
      <c r="AA3" s="45">
        <f>'Non-Battery Cost Input'!$H$9</f>
        <v>400</v>
      </c>
      <c r="AB3" s="23">
        <f>K3*'Vehicle Attributes Overview'!$A$3*'Non-Battery Cost Input'!$G$10</f>
        <v>162.5</v>
      </c>
      <c r="AC3" s="45">
        <f>'Non-Battery Cost Input'!$H$20</f>
        <v>25</v>
      </c>
      <c r="AD3" s="45">
        <f>'Non-Battery Cost Input'!$H$19</f>
        <v>300</v>
      </c>
      <c r="AE3" s="43">
        <f t="shared" ref="AE3:AE31" si="2">SUM(Z3:AD3)</f>
        <v>1064.95</v>
      </c>
    </row>
    <row r="4" spans="1:31" x14ac:dyDescent="0.3">
      <c r="A4" s="20" t="str">
        <f t="shared" si="0"/>
        <v>MedCarBaseBEV300</v>
      </c>
      <c r="B4" s="68" t="s">
        <v>82</v>
      </c>
      <c r="C4" s="45" t="s">
        <v>75</v>
      </c>
      <c r="D4" s="45" t="s">
        <v>74</v>
      </c>
      <c r="E4" s="45">
        <v>2025</v>
      </c>
      <c r="F4" s="68" t="str">
        <f>RIGHT(D4,LEN(D4)-MIN(FIND({0,1,2,3,4,5,6,7,8,9},D4&amp;"0123456789"))+1)</f>
        <v>300</v>
      </c>
      <c r="G4" s="23" cm="1">
        <f t="array" ref="G4">IF(LEFT(D4,MIN(FIND({0,1,2,3,4,5,6,7,8,9},D4&amp;"0123456789"))-1)="BEV",INDEX(BEV_Efficiency,MATCH(A4,BEV_Efficiency_VehClass,0),MATCH(E4,Lookup_Year,0)),IF(LEFT(D4,MIN(FIND({0,1,2,3,4,5,6,7,8,9},D4&amp;"0123456789"))-1)="PHEV",INDEX(PHEV_Efficiency,MATCH(A4,PHEV_Efficiency_VehClass,0),MATCH(E4,Lookup_Year,0)),IF(LEFT(D4,MIN(FIND({0,1,2,3,4,5,6,7,8,9},D4&amp;"0123456789"))-1)="FCEV",0,"Error")))</f>
        <v>240</v>
      </c>
      <c r="H4" s="22" cm="1">
        <f t="array" ref="H4">IF(LEFT(D4,MIN(FIND({0,1,2,3,4,5,6,7,8,9},D4&amp;"0123456789"))-1)="BEV",0,IF(LEFT(D4,MIN(FIND({0,1,2,3,4,5,6,7,8,9},D4&amp;"0123456789"))-1)="PHEV",0,IF(LEFT(D4,MIN(FIND({0,1,2,3,4,5,6,7,8,9},D4&amp;"0123456789"))-1)="FCEV",INDEX(FCEV_H2_Efficiency,MATCH(A4,FCEV_H2_Efficiency_VehClass,0),MATCH(E4,Lookup_Year,0)),"Error")))</f>
        <v>0</v>
      </c>
      <c r="I4" s="22" cm="1">
        <f t="array" ref="I4">IF(LEFT(D4,MIN(FIND({0,1,2,3,4,5,6,7,8,9},D4&amp;"0123456789"))-1)="BEV",INDEX(BEV_UBE,MATCH(A4,BEV_UBE_VehClass,0),MATCH(E4,Lookup_Year,0)),IF(LEFT(D4,MIN(FIND({0,1,2,3,4,5,6,7,8,9},D4&amp;"0123456789"))-1)="PHEV",INDEX(PHEV_UBE,MATCH(A4,PHEV_UBE_VehClass,0),MATCH(E4,Lookup_Year,0)),IF(LEFT(D4,MIN(FIND({0,1,2,3,4,5,6,7,8,9},D4&amp;"0123456789"))-1)="FCEV",INDEX(FCEV_UBE,MATCH(A4,FCEV_UBE_VehClass,0),MATCH(E4,Lookup_Year,0)))))</f>
        <v>72</v>
      </c>
      <c r="J4" s="22" cm="1">
        <f t="array" ref="J4">IF(LEFT(D4,MIN(FIND({0,1,2,3,4,5,6,7,8,9},D4&amp;"0123456789"))-1)="BEV",INDEX(BEV_TBE,MATCH(A4,BEV_TBE_VehClass,0),MATCH(E4,Lookup_Year,0)),IF(LEFT(D4,MIN(FIND({0,1,2,3,4,5,6,7,8,9},D4&amp;"0123456789"))-1)="PHEV",INDEX(PHEV_TBE,MATCH(A4,PHEV_TBE_VehClass,0),MATCH(E4,Lookup_Year,0)),IF(LEFT(D4,MIN(FIND({0,1,2,3,4,5,6,7,8,9},D4&amp;"0123456789"))-1)="FCEV",INDEX(FCEV_TBE,MATCH(A4,FCEV_TBE_VehClass,0),MATCH(E4,Lookup_Year,0)))))</f>
        <v>75.789473684210535</v>
      </c>
      <c r="K4" s="23" cm="1">
        <f t="array" ref="K4">IF(LEFT(D4,MIN(FIND({0,1,2,3,4,5,6,7,8,9},D4&amp;"0123456789"))-1)="BEV",INDEX(BEV_eMotor_Power,MATCH(A4,BEV_eMotor_Power_VehClass,0),MATCH(E4,Lookup_Year,0)),IF(LEFT(D4,MIN(FIND({0,1,2,3,4,5,6,7,8,9},D4&amp;"0123456789"))-1)="PHEV",INDEX(PHEV_eMotor_Power,MATCH(A4,PHEV_eMotor_Power_VehClass,0),MATCH(E4,Lookup_Year,0)),IF(LEFT(D4,MIN(FIND({0,1,2,3,4,5,6,7,8,9},D4&amp;"0123456789"))-1)="FCEV",INDEX(FCEV_eMotor_Power,MATCH(A4,FCEV_eMotor_Power_VehClass,0),MATCH(E4,Lookup_Year,0)))))</f>
        <v>144</v>
      </c>
      <c r="L4" s="27" cm="1">
        <f t="array" ref="L4">IF(LEFT(D4,MIN(FIND({0,1,2,3,4,5,6,7,8,9},D4&amp;"0123456789"))-1)="BEV",0,IF(LEFT(D4,MIN(FIND({0,1,2,3,4,5,6,7,8,9},D4&amp;"0123456789"))-1)="PHEV",0,IF(LEFT(D4,MIN(FIND({0,1,2,3,4,5,6,7,8,9},D4&amp;"0123456789"))-1)="FCEV",INDEX(FCEV_TankSize,MATCH(A4,FCEV_TankSize_VehClass,0),MATCH(E4,Lookup_Year,0)))))</f>
        <v>0</v>
      </c>
      <c r="M4" s="23" cm="1">
        <f t="array" ref="M4">IF(LEFT(D4,MIN(FIND({0,1,2,3,4,5,6,7,8,9},D4&amp;"0123456789"))-1)="BEV",0,IF(LEFT(D4,MIN(FIND({0,1,2,3,4,5,6,7,8,9},D4&amp;"0123456789"))-1)="PHEV",0,IF(LEFT(D4,MIN(FIND({0,1,2,3,4,5,6,7,8,9},D4&amp;"0123456789"))-1)="FCEV",INDEX(FCEV_StackSize,MATCH(A4,FCEV_StackSize_VehClass,0),MATCH(E4,Lookup_Year,0)))))</f>
        <v>0</v>
      </c>
      <c r="N4" s="23">
        <f>K4*'Non-Battery Cost Input'!$G$5*'Non-Battery Cost Input'!$H$7</f>
        <v>570.24</v>
      </c>
      <c r="O4" s="45">
        <f>'Non-Battery Cost Input'!$H$9</f>
        <v>400</v>
      </c>
      <c r="P4" s="23">
        <f>K4*'Non-Battery Cost Input'!$G$11</f>
        <v>547.19999999999993</v>
      </c>
      <c r="Q4" s="45">
        <f>'Non-Battery Cost Input'!$H$12</f>
        <v>200</v>
      </c>
      <c r="R4" s="23">
        <f>((I4/8)*'Non-Battery Cost Input'!$G$13)+'Non-Battery Cost Input'!$H$13</f>
        <v>1323</v>
      </c>
      <c r="S4" s="45">
        <f>'Non-Battery Cost Input'!$H$14</f>
        <v>150</v>
      </c>
      <c r="T4" s="45">
        <f>'Non-Battery Cost Input'!$H$15</f>
        <v>405</v>
      </c>
      <c r="U4" s="45">
        <f>'Non-Battery Cost Input'!$H$17</f>
        <v>185</v>
      </c>
      <c r="V4" s="45">
        <f>'Non-Battery Cost Input'!$H$16</f>
        <v>65</v>
      </c>
      <c r="W4" s="45">
        <f>'Non-Battery Cost Input'!$H$18</f>
        <v>180</v>
      </c>
      <c r="X4" s="45">
        <f>'Non-Battery Cost Input'!$H$19</f>
        <v>300</v>
      </c>
      <c r="Y4" s="23">
        <f t="shared" si="1"/>
        <v>4325.4400000000005</v>
      </c>
      <c r="Z4" s="23">
        <f>K4*'Vehicle Attributes Overview'!$A$3*'Non-Battery Cost Input'!$G$6*'Non-Battery Cost Input'!$H$8</f>
        <v>196.56000000000003</v>
      </c>
      <c r="AA4" s="45">
        <f>'Non-Battery Cost Input'!$H$9</f>
        <v>400</v>
      </c>
      <c r="AB4" s="23">
        <f>K4*'Vehicle Attributes Overview'!$A$3*'Non-Battery Cost Input'!$G$10</f>
        <v>180</v>
      </c>
      <c r="AC4" s="45">
        <f>'Non-Battery Cost Input'!$H$20</f>
        <v>25</v>
      </c>
      <c r="AD4" s="45">
        <f>'Non-Battery Cost Input'!$H$19</f>
        <v>300</v>
      </c>
      <c r="AE4" s="43">
        <f t="shared" si="2"/>
        <v>1101.56</v>
      </c>
    </row>
    <row r="5" spans="1:31" x14ac:dyDescent="0.3">
      <c r="A5" s="19" t="str">
        <f t="shared" si="0"/>
        <v>MedCarPremiumBEV400</v>
      </c>
      <c r="B5" s="68" t="s">
        <v>82</v>
      </c>
      <c r="C5" s="45" t="s">
        <v>80</v>
      </c>
      <c r="D5" s="45" t="s">
        <v>79</v>
      </c>
      <c r="E5" s="45">
        <v>2025</v>
      </c>
      <c r="F5" s="68" t="str">
        <f>RIGHT(D5,LEN(D5)-MIN(FIND({0,1,2,3,4,5,6,7,8,9},D5&amp;"0123456789"))+1)</f>
        <v>400</v>
      </c>
      <c r="G5" s="23" cm="1">
        <f t="array" ref="G5">IF(LEFT(D5,MIN(FIND({0,1,2,3,4,5,6,7,8,9},D5&amp;"0123456789"))-1)="BEV",INDEX(BEV_Efficiency,MATCH(A5,BEV_Efficiency_VehClass,0),MATCH(E5,Lookup_Year,0)),IF(LEFT(D5,MIN(FIND({0,1,2,3,4,5,6,7,8,9},D5&amp;"0123456789"))-1)="PHEV",INDEX(PHEV_Efficiency,MATCH(A5,PHEV_Efficiency_VehClass,0),MATCH(E5,Lookup_Year,0)),IF(LEFT(D5,MIN(FIND({0,1,2,3,4,5,6,7,8,9},D5&amp;"0123456789"))-1)="FCEV",0,"Error")))</f>
        <v>252</v>
      </c>
      <c r="H5" s="22" cm="1">
        <f t="array" ref="H5">IF(LEFT(D5,MIN(FIND({0,1,2,3,4,5,6,7,8,9},D5&amp;"0123456789"))-1)="BEV",0,IF(LEFT(D5,MIN(FIND({0,1,2,3,4,5,6,7,8,9},D5&amp;"0123456789"))-1)="PHEV",0,IF(LEFT(D5,MIN(FIND({0,1,2,3,4,5,6,7,8,9},D5&amp;"0123456789"))-1)="FCEV",INDEX(FCEV_H2_Efficiency,MATCH(A5,FCEV_H2_Efficiency_VehClass,0),MATCH(E5,Lookup_Year,0)),"Error")))</f>
        <v>0</v>
      </c>
      <c r="I5" s="22" cm="1">
        <f t="array" ref="I5">IF(LEFT(D5,MIN(FIND({0,1,2,3,4,5,6,7,8,9},D5&amp;"0123456789"))-1)="BEV",INDEX(BEV_UBE,MATCH(A5,BEV_UBE_VehClass,0),MATCH(E5,Lookup_Year,0)),IF(LEFT(D5,MIN(FIND({0,1,2,3,4,5,6,7,8,9},D5&amp;"0123456789"))-1)="PHEV",INDEX(PHEV_UBE,MATCH(A5,PHEV_UBE_VehClass,0),MATCH(E5,Lookup_Year,0)),IF(LEFT(D5,MIN(FIND({0,1,2,3,4,5,6,7,8,9},D5&amp;"0123456789"))-1)="FCEV",INDEX(FCEV_UBE,MATCH(A5,FCEV_UBE_VehClass,0),MATCH(E5,Lookup_Year,0)))))</f>
        <v>100.8</v>
      </c>
      <c r="J5" s="22" cm="1">
        <f t="array" ref="J5">IF(LEFT(D5,MIN(FIND({0,1,2,3,4,5,6,7,8,9},D5&amp;"0123456789"))-1)="BEV",INDEX(BEV_TBE,MATCH(A5,BEV_TBE_VehClass,0),MATCH(E5,Lookup_Year,0)),IF(LEFT(D5,MIN(FIND({0,1,2,3,4,5,6,7,8,9},D5&amp;"0123456789"))-1)="PHEV",INDEX(PHEV_TBE,MATCH(A5,PHEV_TBE_VehClass,0),MATCH(E5,Lookup_Year,0)),IF(LEFT(D5,MIN(FIND({0,1,2,3,4,5,6,7,8,9},D5&amp;"0123456789"))-1)="FCEV",INDEX(FCEV_TBE,MATCH(A5,FCEV_TBE_VehClass,0),MATCH(E5,Lookup_Year,0)))))</f>
        <v>106.10526315789474</v>
      </c>
      <c r="K5" s="23" cm="1">
        <f t="array" ref="K5">IF(LEFT(D5,MIN(FIND({0,1,2,3,4,5,6,7,8,9},D5&amp;"0123456789"))-1)="BEV",INDEX(BEV_eMotor_Power,MATCH(A5,BEV_eMotor_Power_VehClass,0),MATCH(E5,Lookup_Year,0)),IF(LEFT(D5,MIN(FIND({0,1,2,3,4,5,6,7,8,9},D5&amp;"0123456789"))-1)="PHEV",INDEX(PHEV_eMotor_Power,MATCH(A5,PHEV_eMotor_Power_VehClass,0),MATCH(E5,Lookup_Year,0)),IF(LEFT(D5,MIN(FIND({0,1,2,3,4,5,6,7,8,9},D5&amp;"0123456789"))-1)="FCEV",INDEX(FCEV_eMotor_Power,MATCH(A5,FCEV_eMotor_Power_VehClass,0),MATCH(E5,Lookup_Year,0)))))</f>
        <v>180</v>
      </c>
      <c r="L5" s="27" cm="1">
        <f t="array" ref="L5">IF(LEFT(D5,MIN(FIND({0,1,2,3,4,5,6,7,8,9},D5&amp;"0123456789"))-1)="BEV",0,IF(LEFT(D5,MIN(FIND({0,1,2,3,4,5,6,7,8,9},D5&amp;"0123456789"))-1)="PHEV",0,IF(LEFT(D5,MIN(FIND({0,1,2,3,4,5,6,7,8,9},D5&amp;"0123456789"))-1)="FCEV",INDEX(FCEV_TankSize,MATCH(A5,FCEV_TankSize_VehClass,0),MATCH(E5,Lookup_Year,0)))))</f>
        <v>0</v>
      </c>
      <c r="M5" s="23" cm="1">
        <f t="array" ref="M5">IF(LEFT(D5,MIN(FIND({0,1,2,3,4,5,6,7,8,9},D5&amp;"0123456789"))-1)="BEV",0,IF(LEFT(D5,MIN(FIND({0,1,2,3,4,5,6,7,8,9},D5&amp;"0123456789"))-1)="PHEV",0,IF(LEFT(D5,MIN(FIND({0,1,2,3,4,5,6,7,8,9},D5&amp;"0123456789"))-1)="FCEV",INDEX(FCEV_StackSize,MATCH(A5,FCEV_StackSize_VehClass,0),MATCH(E5,Lookup_Year,0)))))</f>
        <v>0</v>
      </c>
      <c r="N5" s="23">
        <f>K5*'Non-Battery Cost Input'!$G$5*'Non-Battery Cost Input'!$H$7</f>
        <v>712.80000000000007</v>
      </c>
      <c r="O5" s="45">
        <f>'Non-Battery Cost Input'!$H$9</f>
        <v>400</v>
      </c>
      <c r="P5" s="23">
        <f>K5*'Non-Battery Cost Input'!$G$11</f>
        <v>684</v>
      </c>
      <c r="Q5" s="45">
        <f>'Non-Battery Cost Input'!$H$12</f>
        <v>200</v>
      </c>
      <c r="R5" s="23">
        <f>((I5/8)*'Non-Battery Cost Input'!$G$13)+'Non-Battery Cost Input'!$H$13</f>
        <v>1546.1999999999998</v>
      </c>
      <c r="S5" s="45">
        <f>'Non-Battery Cost Input'!$H$14</f>
        <v>150</v>
      </c>
      <c r="T5" s="45">
        <f>'Non-Battery Cost Input'!$H$15</f>
        <v>405</v>
      </c>
      <c r="U5" s="45">
        <f>'Non-Battery Cost Input'!$H$17</f>
        <v>185</v>
      </c>
      <c r="V5" s="45">
        <f>'Non-Battery Cost Input'!$H$16</f>
        <v>65</v>
      </c>
      <c r="W5" s="45">
        <f>'Non-Battery Cost Input'!$H$18</f>
        <v>180</v>
      </c>
      <c r="X5" s="45">
        <f>'Non-Battery Cost Input'!$H$19</f>
        <v>300</v>
      </c>
      <c r="Y5" s="23">
        <f t="shared" si="1"/>
        <v>4828</v>
      </c>
      <c r="Z5" s="23">
        <f>K5*'Vehicle Attributes Overview'!$A$3*'Non-Battery Cost Input'!$G$6*'Non-Battery Cost Input'!$H$8</f>
        <v>245.70000000000002</v>
      </c>
      <c r="AA5" s="45">
        <f>'Non-Battery Cost Input'!$H$9</f>
        <v>400</v>
      </c>
      <c r="AB5" s="23">
        <f>K5*'Vehicle Attributes Overview'!$A$3*'Non-Battery Cost Input'!$G$10</f>
        <v>225</v>
      </c>
      <c r="AC5" s="45">
        <f>'Non-Battery Cost Input'!$H$20</f>
        <v>25</v>
      </c>
      <c r="AD5" s="45">
        <f>'Non-Battery Cost Input'!$H$19</f>
        <v>300</v>
      </c>
      <c r="AE5" s="43">
        <f t="shared" si="2"/>
        <v>1195.7</v>
      </c>
    </row>
    <row r="6" spans="1:31" x14ac:dyDescent="0.3">
      <c r="A6" s="20" t="str">
        <f t="shared" si="0"/>
        <v>SmallSUVBaseBEV300</v>
      </c>
      <c r="B6" s="68" t="s">
        <v>83</v>
      </c>
      <c r="C6" s="45" t="s">
        <v>75</v>
      </c>
      <c r="D6" s="45" t="s">
        <v>74</v>
      </c>
      <c r="E6" s="45">
        <v>2025</v>
      </c>
      <c r="F6" s="68" t="str">
        <f>RIGHT(D6,LEN(D6)-MIN(FIND({0,1,2,3,4,5,6,7,8,9},D6&amp;"0123456789"))+1)</f>
        <v>300</v>
      </c>
      <c r="G6" s="23" cm="1">
        <f t="array" ref="G6">IF(LEFT(D6,MIN(FIND({0,1,2,3,4,5,6,7,8,9},D6&amp;"0123456789"))-1)="BEV",INDEX(BEV_Efficiency,MATCH(A6,BEV_Efficiency_VehClass,0),MATCH(E6,Lookup_Year,0)),IF(LEFT(D6,MIN(FIND({0,1,2,3,4,5,6,7,8,9},D6&amp;"0123456789"))-1)="PHEV",INDEX(PHEV_Efficiency,MATCH(A6,PHEV_Efficiency_VehClass,0),MATCH(E6,Lookup_Year,0)),IF(LEFT(D6,MIN(FIND({0,1,2,3,4,5,6,7,8,9},D6&amp;"0123456789"))-1)="FCEV",0,"Error")))</f>
        <v>245</v>
      </c>
      <c r="H6" s="22" cm="1">
        <f t="array" ref="H6">IF(LEFT(D6,MIN(FIND({0,1,2,3,4,5,6,7,8,9},D6&amp;"0123456789"))-1)="BEV",0,IF(LEFT(D6,MIN(FIND({0,1,2,3,4,5,6,7,8,9},D6&amp;"0123456789"))-1)="PHEV",0,IF(LEFT(D6,MIN(FIND({0,1,2,3,4,5,6,7,8,9},D6&amp;"0123456789"))-1)="FCEV",INDEX(FCEV_H2_Efficiency,MATCH(A6,FCEV_H2_Efficiency_VehClass,0),MATCH(E6,Lookup_Year,0)),"Error")))</f>
        <v>0</v>
      </c>
      <c r="I6" s="22" cm="1">
        <f t="array" ref="I6">IF(LEFT(D6,MIN(FIND({0,1,2,3,4,5,6,7,8,9},D6&amp;"0123456789"))-1)="BEV",INDEX(BEV_UBE,MATCH(A6,BEV_UBE_VehClass,0),MATCH(E6,Lookup_Year,0)),IF(LEFT(D6,MIN(FIND({0,1,2,3,4,5,6,7,8,9},D6&amp;"0123456789"))-1)="PHEV",INDEX(PHEV_UBE,MATCH(A6,PHEV_UBE_VehClass,0),MATCH(E6,Lookup_Year,0)),IF(LEFT(D6,MIN(FIND({0,1,2,3,4,5,6,7,8,9},D6&amp;"0123456789"))-1)="FCEV",INDEX(FCEV_UBE,MATCH(A6,FCEV_UBE_VehClass,0),MATCH(E6,Lookup_Year,0)))))</f>
        <v>73.5</v>
      </c>
      <c r="J6" s="22" cm="1">
        <f t="array" ref="J6">IF(LEFT(D6,MIN(FIND({0,1,2,3,4,5,6,7,8,9},D6&amp;"0123456789"))-1)="BEV",INDEX(BEV_TBE,MATCH(A6,BEV_TBE_VehClass,0),MATCH(E6,Lookup_Year,0)),IF(LEFT(D6,MIN(FIND({0,1,2,3,4,5,6,7,8,9},D6&amp;"0123456789"))-1)="PHEV",INDEX(PHEV_TBE,MATCH(A6,PHEV_TBE_VehClass,0),MATCH(E6,Lookup_Year,0)),IF(LEFT(D6,MIN(FIND({0,1,2,3,4,5,6,7,8,9},D6&amp;"0123456789"))-1)="FCEV",INDEX(FCEV_TBE,MATCH(A6,FCEV_TBE_VehClass,0),MATCH(E6,Lookup_Year,0)))))</f>
        <v>77.368421052631589</v>
      </c>
      <c r="K6" s="23" cm="1">
        <f t="array" ref="K6">IF(LEFT(D6,MIN(FIND({0,1,2,3,4,5,6,7,8,9},D6&amp;"0123456789"))-1)="BEV",INDEX(BEV_eMotor_Power,MATCH(A6,BEV_eMotor_Power_VehClass,0),MATCH(E6,Lookup_Year,0)),IF(LEFT(D6,MIN(FIND({0,1,2,3,4,5,6,7,8,9},D6&amp;"0123456789"))-1)="PHEV",INDEX(PHEV_eMotor_Power,MATCH(A6,PHEV_eMotor_Power_VehClass,0),MATCH(E6,Lookup_Year,0)),IF(LEFT(D6,MIN(FIND({0,1,2,3,4,5,6,7,8,9},D6&amp;"0123456789"))-1)="FCEV",INDEX(FCEV_eMotor_Power,MATCH(A6,FCEV_eMotor_Power_VehClass,0),MATCH(E6,Lookup_Year,0)))))</f>
        <v>117</v>
      </c>
      <c r="L6" s="27" cm="1">
        <f t="array" ref="L6">IF(LEFT(D6,MIN(FIND({0,1,2,3,4,5,6,7,8,9},D6&amp;"0123456789"))-1)="BEV",0,IF(LEFT(D6,MIN(FIND({0,1,2,3,4,5,6,7,8,9},D6&amp;"0123456789"))-1)="PHEV",0,IF(LEFT(D6,MIN(FIND({0,1,2,3,4,5,6,7,8,9},D6&amp;"0123456789"))-1)="FCEV",INDEX(FCEV_TankSize,MATCH(A6,FCEV_TankSize_VehClass,0),MATCH(E6,Lookup_Year,0)))))</f>
        <v>0</v>
      </c>
      <c r="M6" s="23" cm="1">
        <f t="array" ref="M6">IF(LEFT(D6,MIN(FIND({0,1,2,3,4,5,6,7,8,9},D6&amp;"0123456789"))-1)="BEV",0,IF(LEFT(D6,MIN(FIND({0,1,2,3,4,5,6,7,8,9},D6&amp;"0123456789"))-1)="PHEV",0,IF(LEFT(D6,MIN(FIND({0,1,2,3,4,5,6,7,8,9},D6&amp;"0123456789"))-1)="FCEV",INDEX(FCEV_StackSize,MATCH(A6,FCEV_StackSize_VehClass,0),MATCH(E6,Lookup_Year,0)))))</f>
        <v>0</v>
      </c>
      <c r="N6" s="23">
        <f>K6*'Non-Battery Cost Input'!$G$5*'Non-Battery Cost Input'!$H$7</f>
        <v>463.32000000000005</v>
      </c>
      <c r="O6" s="45">
        <f>'Non-Battery Cost Input'!$H$9</f>
        <v>400</v>
      </c>
      <c r="P6" s="23">
        <f>K6*'Non-Battery Cost Input'!$G$11</f>
        <v>444.59999999999997</v>
      </c>
      <c r="Q6" s="45">
        <f>'Non-Battery Cost Input'!$H$12</f>
        <v>200</v>
      </c>
      <c r="R6" s="23">
        <f>((I6/8)*'Non-Battery Cost Input'!$G$13)+'Non-Battery Cost Input'!$H$13</f>
        <v>1334.625</v>
      </c>
      <c r="S6" s="45">
        <f>'Non-Battery Cost Input'!$H$14</f>
        <v>150</v>
      </c>
      <c r="T6" s="45">
        <f>'Non-Battery Cost Input'!$H$15</f>
        <v>405</v>
      </c>
      <c r="U6" s="45">
        <f>'Non-Battery Cost Input'!$H$17</f>
        <v>185</v>
      </c>
      <c r="V6" s="45">
        <f>'Non-Battery Cost Input'!$H$16</f>
        <v>65</v>
      </c>
      <c r="W6" s="45">
        <f>'Non-Battery Cost Input'!$H$18</f>
        <v>180</v>
      </c>
      <c r="X6" s="45">
        <f>'Non-Battery Cost Input'!$H$19</f>
        <v>300</v>
      </c>
      <c r="Y6" s="23">
        <f t="shared" si="1"/>
        <v>4127.5450000000001</v>
      </c>
      <c r="Z6" s="23">
        <f>K6*'Vehicle Attributes Overview'!$A$3*'Non-Battery Cost Input'!$G$6*'Non-Battery Cost Input'!$H$8</f>
        <v>159.70500000000001</v>
      </c>
      <c r="AA6" s="45">
        <f>'Non-Battery Cost Input'!$H$9</f>
        <v>400</v>
      </c>
      <c r="AB6" s="23">
        <f>K6*'Vehicle Attributes Overview'!$A$3*'Non-Battery Cost Input'!$G$10</f>
        <v>146.25</v>
      </c>
      <c r="AC6" s="45">
        <f>'Non-Battery Cost Input'!$H$20</f>
        <v>25</v>
      </c>
      <c r="AD6" s="45">
        <f>'Non-Battery Cost Input'!$H$19</f>
        <v>300</v>
      </c>
      <c r="AE6" s="43">
        <f t="shared" si="2"/>
        <v>1030.9549999999999</v>
      </c>
    </row>
    <row r="7" spans="1:31" x14ac:dyDescent="0.3">
      <c r="A7" s="19" t="str">
        <f t="shared" si="0"/>
        <v>SmallSUVPremiumBEV400</v>
      </c>
      <c r="B7" s="68" t="s">
        <v>83</v>
      </c>
      <c r="C7" s="45" t="s">
        <v>80</v>
      </c>
      <c r="D7" s="45" t="s">
        <v>79</v>
      </c>
      <c r="E7" s="45">
        <v>2025</v>
      </c>
      <c r="F7" s="68" t="str">
        <f>RIGHT(D7,LEN(D7)-MIN(FIND({0,1,2,3,4,5,6,7,8,9},D7&amp;"0123456789"))+1)</f>
        <v>400</v>
      </c>
      <c r="G7" s="23" cm="1">
        <f t="array" ref="G7">IF(LEFT(D7,MIN(FIND({0,1,2,3,4,5,6,7,8,9},D7&amp;"0123456789"))-1)="BEV",INDEX(BEV_Efficiency,MATCH(A7,BEV_Efficiency_VehClass,0),MATCH(E7,Lookup_Year,0)),IF(LEFT(D7,MIN(FIND({0,1,2,3,4,5,6,7,8,9},D7&amp;"0123456789"))-1)="PHEV",INDEX(PHEV_Efficiency,MATCH(A7,PHEV_Efficiency_VehClass,0),MATCH(E7,Lookup_Year,0)),IF(LEFT(D7,MIN(FIND({0,1,2,3,4,5,6,7,8,9},D7&amp;"0123456789"))-1)="FCEV",0,"Error")))</f>
        <v>257</v>
      </c>
      <c r="H7" s="22" cm="1">
        <f t="array" ref="H7">IF(LEFT(D7,MIN(FIND({0,1,2,3,4,5,6,7,8,9},D7&amp;"0123456789"))-1)="BEV",0,IF(LEFT(D7,MIN(FIND({0,1,2,3,4,5,6,7,8,9},D7&amp;"0123456789"))-1)="PHEV",0,IF(LEFT(D7,MIN(FIND({0,1,2,3,4,5,6,7,8,9},D7&amp;"0123456789"))-1)="FCEV",INDEX(FCEV_H2_Efficiency,MATCH(A7,FCEV_H2_Efficiency_VehClass,0),MATCH(E7,Lookup_Year,0)),"Error")))</f>
        <v>0</v>
      </c>
      <c r="I7" s="22" cm="1">
        <f t="array" ref="I7">IF(LEFT(D7,MIN(FIND({0,1,2,3,4,5,6,7,8,9},D7&amp;"0123456789"))-1)="BEV",INDEX(BEV_UBE,MATCH(A7,BEV_UBE_VehClass,0),MATCH(E7,Lookup_Year,0)),IF(LEFT(D7,MIN(FIND({0,1,2,3,4,5,6,7,8,9},D7&amp;"0123456789"))-1)="PHEV",INDEX(PHEV_UBE,MATCH(A7,PHEV_UBE_VehClass,0),MATCH(E7,Lookup_Year,0)),IF(LEFT(D7,MIN(FIND({0,1,2,3,4,5,6,7,8,9},D7&amp;"0123456789"))-1)="FCEV",INDEX(FCEV_UBE,MATCH(A7,FCEV_UBE_VehClass,0),MATCH(E7,Lookup_Year,0)))))</f>
        <v>102.8</v>
      </c>
      <c r="J7" s="22" cm="1">
        <f t="array" ref="J7">IF(LEFT(D7,MIN(FIND({0,1,2,3,4,5,6,7,8,9},D7&amp;"0123456789"))-1)="BEV",INDEX(BEV_TBE,MATCH(A7,BEV_TBE_VehClass,0),MATCH(E7,Lookup_Year,0)),IF(LEFT(D7,MIN(FIND({0,1,2,3,4,5,6,7,8,9},D7&amp;"0123456789"))-1)="PHEV",INDEX(PHEV_TBE,MATCH(A7,PHEV_TBE_VehClass,0),MATCH(E7,Lookup_Year,0)),IF(LEFT(D7,MIN(FIND({0,1,2,3,4,5,6,7,8,9},D7&amp;"0123456789"))-1)="FCEV",INDEX(FCEV_TBE,MATCH(A7,FCEV_TBE_VehClass,0),MATCH(E7,Lookup_Year,0)))))</f>
        <v>108.21052631578948</v>
      </c>
      <c r="K7" s="23" cm="1">
        <f t="array" ref="K7">IF(LEFT(D7,MIN(FIND({0,1,2,3,4,5,6,7,8,9},D7&amp;"0123456789"))-1)="BEV",INDEX(BEV_eMotor_Power,MATCH(A7,BEV_eMotor_Power_VehClass,0),MATCH(E7,Lookup_Year,0)),IF(LEFT(D7,MIN(FIND({0,1,2,3,4,5,6,7,8,9},D7&amp;"0123456789"))-1)="PHEV",INDEX(PHEV_eMotor_Power,MATCH(A7,PHEV_eMotor_Power_VehClass,0),MATCH(E7,Lookup_Year,0)),IF(LEFT(D7,MIN(FIND({0,1,2,3,4,5,6,7,8,9},D7&amp;"0123456789"))-1)="FCEV",INDEX(FCEV_eMotor_Power,MATCH(A7,FCEV_eMotor_Power_VehClass,0),MATCH(E7,Lookup_Year,0)))))</f>
        <v>144</v>
      </c>
      <c r="L7" s="27" cm="1">
        <f t="array" ref="L7">IF(LEFT(D7,MIN(FIND({0,1,2,3,4,5,6,7,8,9},D7&amp;"0123456789"))-1)="BEV",0,IF(LEFT(D7,MIN(FIND({0,1,2,3,4,5,6,7,8,9},D7&amp;"0123456789"))-1)="PHEV",0,IF(LEFT(D7,MIN(FIND({0,1,2,3,4,5,6,7,8,9},D7&amp;"0123456789"))-1)="FCEV",INDEX(FCEV_TankSize,MATCH(A7,FCEV_TankSize_VehClass,0),MATCH(E7,Lookup_Year,0)))))</f>
        <v>0</v>
      </c>
      <c r="M7" s="23" cm="1">
        <f t="array" ref="M7">IF(LEFT(D7,MIN(FIND({0,1,2,3,4,5,6,7,8,9},D7&amp;"0123456789"))-1)="BEV",0,IF(LEFT(D7,MIN(FIND({0,1,2,3,4,5,6,7,8,9},D7&amp;"0123456789"))-1)="PHEV",0,IF(LEFT(D7,MIN(FIND({0,1,2,3,4,5,6,7,8,9},D7&amp;"0123456789"))-1)="FCEV",INDEX(FCEV_StackSize,MATCH(A7,FCEV_StackSize_VehClass,0),MATCH(E7,Lookup_Year,0)))))</f>
        <v>0</v>
      </c>
      <c r="N7" s="23">
        <f>K7*'Non-Battery Cost Input'!$G$5*'Non-Battery Cost Input'!$H$7</f>
        <v>570.24</v>
      </c>
      <c r="O7" s="45">
        <f>'Non-Battery Cost Input'!$H$9</f>
        <v>400</v>
      </c>
      <c r="P7" s="23">
        <f>K7*'Non-Battery Cost Input'!$G$11</f>
        <v>547.19999999999993</v>
      </c>
      <c r="Q7" s="45">
        <f>'Non-Battery Cost Input'!$H$12</f>
        <v>200</v>
      </c>
      <c r="R7" s="23">
        <f>((I7/8)*'Non-Battery Cost Input'!$G$13)+'Non-Battery Cost Input'!$H$13</f>
        <v>1561.6999999999998</v>
      </c>
      <c r="S7" s="45">
        <f>'Non-Battery Cost Input'!$H$14</f>
        <v>150</v>
      </c>
      <c r="T7" s="45">
        <f>'Non-Battery Cost Input'!$H$15</f>
        <v>405</v>
      </c>
      <c r="U7" s="45">
        <f>'Non-Battery Cost Input'!$H$17</f>
        <v>185</v>
      </c>
      <c r="V7" s="45">
        <f>'Non-Battery Cost Input'!$H$16</f>
        <v>65</v>
      </c>
      <c r="W7" s="45">
        <f>'Non-Battery Cost Input'!$H$18</f>
        <v>180</v>
      </c>
      <c r="X7" s="45">
        <f>'Non-Battery Cost Input'!$H$19</f>
        <v>300</v>
      </c>
      <c r="Y7" s="23">
        <f t="shared" si="1"/>
        <v>4564.1399999999994</v>
      </c>
      <c r="Z7" s="23">
        <f>K7*'Vehicle Attributes Overview'!$A$3*'Non-Battery Cost Input'!$G$6*'Non-Battery Cost Input'!$H$8</f>
        <v>196.56000000000003</v>
      </c>
      <c r="AA7" s="45">
        <f>'Non-Battery Cost Input'!$H$9</f>
        <v>400</v>
      </c>
      <c r="AB7" s="23">
        <f>K7*'Vehicle Attributes Overview'!$A$3*'Non-Battery Cost Input'!$G$10</f>
        <v>180</v>
      </c>
      <c r="AC7" s="45">
        <f>'Non-Battery Cost Input'!$H$20</f>
        <v>25</v>
      </c>
      <c r="AD7" s="45">
        <f>'Non-Battery Cost Input'!$H$19</f>
        <v>300</v>
      </c>
      <c r="AE7" s="43">
        <f t="shared" si="2"/>
        <v>1101.56</v>
      </c>
    </row>
    <row r="8" spans="1:31" x14ac:dyDescent="0.3">
      <c r="A8" s="20" t="str">
        <f t="shared" si="0"/>
        <v>MedSUVBaseBEV300</v>
      </c>
      <c r="B8" s="68" t="s">
        <v>86</v>
      </c>
      <c r="C8" s="45" t="s">
        <v>75</v>
      </c>
      <c r="D8" s="45" t="s">
        <v>74</v>
      </c>
      <c r="E8" s="45">
        <v>2025</v>
      </c>
      <c r="F8" s="68" t="str">
        <f>RIGHT(D8,LEN(D8)-MIN(FIND({0,1,2,3,4,5,6,7,8,9},D8&amp;"0123456789"))+1)</f>
        <v>300</v>
      </c>
      <c r="G8" s="23" cm="1">
        <f t="array" ref="G8">IF(LEFT(D8,MIN(FIND({0,1,2,3,4,5,6,7,8,9},D8&amp;"0123456789"))-1)="BEV",INDEX(BEV_Efficiency,MATCH(A8,BEV_Efficiency_VehClass,0),MATCH(E8,Lookup_Year,0)),IF(LEFT(D8,MIN(FIND({0,1,2,3,4,5,6,7,8,9},D8&amp;"0123456789"))-1)="PHEV",INDEX(PHEV_Efficiency,MATCH(A8,PHEV_Efficiency_VehClass,0),MATCH(E8,Lookup_Year,0)),IF(LEFT(D8,MIN(FIND({0,1,2,3,4,5,6,7,8,9},D8&amp;"0123456789"))-1)="FCEV",0,"Error")))</f>
        <v>297</v>
      </c>
      <c r="H8" s="22" cm="1">
        <f t="array" ref="H8">IF(LEFT(D8,MIN(FIND({0,1,2,3,4,5,6,7,8,9},D8&amp;"0123456789"))-1)="BEV",0,IF(LEFT(D8,MIN(FIND({0,1,2,3,4,5,6,7,8,9},D8&amp;"0123456789"))-1)="PHEV",0,IF(LEFT(D8,MIN(FIND({0,1,2,3,4,5,6,7,8,9},D8&amp;"0123456789"))-1)="FCEV",INDEX(FCEV_H2_Efficiency,MATCH(A8,FCEV_H2_Efficiency_VehClass,0),MATCH(E8,Lookup_Year,0)),"Error")))</f>
        <v>0</v>
      </c>
      <c r="I8" s="22" cm="1">
        <f t="array" ref="I8">IF(LEFT(D8,MIN(FIND({0,1,2,3,4,5,6,7,8,9},D8&amp;"0123456789"))-1)="BEV",INDEX(BEV_UBE,MATCH(A8,BEV_UBE_VehClass,0),MATCH(E8,Lookup_Year,0)),IF(LEFT(D8,MIN(FIND({0,1,2,3,4,5,6,7,8,9},D8&amp;"0123456789"))-1)="PHEV",INDEX(PHEV_UBE,MATCH(A8,PHEV_UBE_VehClass,0),MATCH(E8,Lookup_Year,0)),IF(LEFT(D8,MIN(FIND({0,1,2,3,4,5,6,7,8,9},D8&amp;"0123456789"))-1)="FCEV",INDEX(FCEV_UBE,MATCH(A8,FCEV_UBE_VehClass,0),MATCH(E8,Lookup_Year,0)))))</f>
        <v>89.1</v>
      </c>
      <c r="J8" s="22" cm="1">
        <f t="array" ref="J8">IF(LEFT(D8,MIN(FIND({0,1,2,3,4,5,6,7,8,9},D8&amp;"0123456789"))-1)="BEV",INDEX(BEV_TBE,MATCH(A8,BEV_TBE_VehClass,0),MATCH(E8,Lookup_Year,0)),IF(LEFT(D8,MIN(FIND({0,1,2,3,4,5,6,7,8,9},D8&amp;"0123456789"))-1)="PHEV",INDEX(PHEV_TBE,MATCH(A8,PHEV_TBE_VehClass,0),MATCH(E8,Lookup_Year,0)),IF(LEFT(D8,MIN(FIND({0,1,2,3,4,5,6,7,8,9},D8&amp;"0123456789"))-1)="FCEV",INDEX(FCEV_TBE,MATCH(A8,FCEV_TBE_VehClass,0),MATCH(E8,Lookup_Year,0)))))</f>
        <v>93.78947368421052</v>
      </c>
      <c r="K8" s="23" cm="1">
        <f t="array" ref="K8">IF(LEFT(D8,MIN(FIND({0,1,2,3,4,5,6,7,8,9},D8&amp;"0123456789"))-1)="BEV",INDEX(BEV_eMotor_Power,MATCH(A8,BEV_eMotor_Power_VehClass,0),MATCH(E8,Lookup_Year,0)),IF(LEFT(D8,MIN(FIND({0,1,2,3,4,5,6,7,8,9},D8&amp;"0123456789"))-1)="PHEV",INDEX(PHEV_eMotor_Power,MATCH(A8,PHEV_eMotor_Power_VehClass,0),MATCH(E8,Lookup_Year,0)),IF(LEFT(D8,MIN(FIND({0,1,2,3,4,5,6,7,8,9},D8&amp;"0123456789"))-1)="FCEV",INDEX(FCEV_eMotor_Power,MATCH(A8,FCEV_eMotor_Power_VehClass,0),MATCH(E8,Lookup_Year,0)))))</f>
        <v>190</v>
      </c>
      <c r="L8" s="27" cm="1">
        <f t="array" ref="L8">IF(LEFT(D8,MIN(FIND({0,1,2,3,4,5,6,7,8,9},D8&amp;"0123456789"))-1)="BEV",0,IF(LEFT(D8,MIN(FIND({0,1,2,3,4,5,6,7,8,9},D8&amp;"0123456789"))-1)="PHEV",0,IF(LEFT(D8,MIN(FIND({0,1,2,3,4,5,6,7,8,9},D8&amp;"0123456789"))-1)="FCEV",INDEX(FCEV_TankSize,MATCH(A8,FCEV_TankSize_VehClass,0),MATCH(E8,Lookup_Year,0)))))</f>
        <v>0</v>
      </c>
      <c r="M8" s="23" cm="1">
        <f t="array" ref="M8">IF(LEFT(D8,MIN(FIND({0,1,2,3,4,5,6,7,8,9},D8&amp;"0123456789"))-1)="BEV",0,IF(LEFT(D8,MIN(FIND({0,1,2,3,4,5,6,7,8,9},D8&amp;"0123456789"))-1)="PHEV",0,IF(LEFT(D8,MIN(FIND({0,1,2,3,4,5,6,7,8,9},D8&amp;"0123456789"))-1)="FCEV",INDEX(FCEV_StackSize,MATCH(A8,FCEV_StackSize_VehClass,0),MATCH(E8,Lookup_Year,0)))))</f>
        <v>0</v>
      </c>
      <c r="N8" s="23">
        <f>K8*'Non-Battery Cost Input'!$G$5*'Non-Battery Cost Input'!$H$7</f>
        <v>752.40000000000009</v>
      </c>
      <c r="O8" s="45">
        <f>'Non-Battery Cost Input'!$H$9</f>
        <v>400</v>
      </c>
      <c r="P8" s="23">
        <f>K8*'Non-Battery Cost Input'!$G$11</f>
        <v>722</v>
      </c>
      <c r="Q8" s="45">
        <f>'Non-Battery Cost Input'!$H$12</f>
        <v>200</v>
      </c>
      <c r="R8" s="23">
        <f>((I8/8)*'Non-Battery Cost Input'!$G$13)+'Non-Battery Cost Input'!$H$13</f>
        <v>1455.5250000000001</v>
      </c>
      <c r="S8" s="45">
        <f>'Non-Battery Cost Input'!$H$14</f>
        <v>150</v>
      </c>
      <c r="T8" s="45">
        <f>'Non-Battery Cost Input'!$H$15</f>
        <v>405</v>
      </c>
      <c r="U8" s="45">
        <f>'Non-Battery Cost Input'!$H$17</f>
        <v>185</v>
      </c>
      <c r="V8" s="45">
        <f>'Non-Battery Cost Input'!$H$16</f>
        <v>65</v>
      </c>
      <c r="W8" s="45">
        <f>'Non-Battery Cost Input'!$H$18</f>
        <v>180</v>
      </c>
      <c r="X8" s="45">
        <f>'Non-Battery Cost Input'!$H$19</f>
        <v>300</v>
      </c>
      <c r="Y8" s="23">
        <f t="shared" si="1"/>
        <v>4814.9250000000002</v>
      </c>
      <c r="Z8" s="23">
        <f>K8*'Vehicle Attributes Overview'!$A$3*'Non-Battery Cost Input'!$G$6*'Non-Battery Cost Input'!$H$8</f>
        <v>259.35000000000002</v>
      </c>
      <c r="AA8" s="45">
        <f>'Non-Battery Cost Input'!$H$9</f>
        <v>400</v>
      </c>
      <c r="AB8" s="23">
        <f>K8*'Vehicle Attributes Overview'!$A$3*'Non-Battery Cost Input'!$G$10</f>
        <v>237.5</v>
      </c>
      <c r="AC8" s="45">
        <f>'Non-Battery Cost Input'!$H$20</f>
        <v>25</v>
      </c>
      <c r="AD8" s="45">
        <f>'Non-Battery Cost Input'!$H$19</f>
        <v>300</v>
      </c>
      <c r="AE8" s="43">
        <f t="shared" si="2"/>
        <v>1221.8499999999999</v>
      </c>
    </row>
    <row r="9" spans="1:31" x14ac:dyDescent="0.3">
      <c r="A9" s="19" t="str">
        <f t="shared" si="0"/>
        <v>MedSUVPremiumBEV400</v>
      </c>
      <c r="B9" s="68" t="s">
        <v>86</v>
      </c>
      <c r="C9" s="45" t="s">
        <v>80</v>
      </c>
      <c r="D9" s="45" t="s">
        <v>79</v>
      </c>
      <c r="E9" s="45">
        <v>2025</v>
      </c>
      <c r="F9" s="68" t="str">
        <f>RIGHT(D9,LEN(D9)-MIN(FIND({0,1,2,3,4,5,6,7,8,9},D9&amp;"0123456789"))+1)</f>
        <v>400</v>
      </c>
      <c r="G9" s="23" cm="1">
        <f t="array" ref="G9">IF(LEFT(D9,MIN(FIND({0,1,2,3,4,5,6,7,8,9},D9&amp;"0123456789"))-1)="BEV",INDEX(BEV_Efficiency,MATCH(A9,BEV_Efficiency_VehClass,0),MATCH(E9,Lookup_Year,0)),IF(LEFT(D9,MIN(FIND({0,1,2,3,4,5,6,7,8,9},D9&amp;"0123456789"))-1)="PHEV",INDEX(PHEV_Efficiency,MATCH(A9,PHEV_Efficiency_VehClass,0),MATCH(E9,Lookup_Year,0)),IF(LEFT(D9,MIN(FIND({0,1,2,3,4,5,6,7,8,9},D9&amp;"0123456789"))-1)="FCEV",0,"Error")))</f>
        <v>312</v>
      </c>
      <c r="H9" s="22" cm="1">
        <f t="array" ref="H9">IF(LEFT(D9,MIN(FIND({0,1,2,3,4,5,6,7,8,9},D9&amp;"0123456789"))-1)="BEV",0,IF(LEFT(D9,MIN(FIND({0,1,2,3,4,5,6,7,8,9},D9&amp;"0123456789"))-1)="PHEV",0,IF(LEFT(D9,MIN(FIND({0,1,2,3,4,5,6,7,8,9},D9&amp;"0123456789"))-1)="FCEV",INDEX(FCEV_H2_Efficiency,MATCH(A9,FCEV_H2_Efficiency_VehClass,0),MATCH(E9,Lookup_Year,0)),"Error")))</f>
        <v>0</v>
      </c>
      <c r="I9" s="22" cm="1">
        <f t="array" ref="I9">IF(LEFT(D9,MIN(FIND({0,1,2,3,4,5,6,7,8,9},D9&amp;"0123456789"))-1)="BEV",INDEX(BEV_UBE,MATCH(A9,BEV_UBE_VehClass,0),MATCH(E9,Lookup_Year,0)),IF(LEFT(D9,MIN(FIND({0,1,2,3,4,5,6,7,8,9},D9&amp;"0123456789"))-1)="PHEV",INDEX(PHEV_UBE,MATCH(A9,PHEV_UBE_VehClass,0),MATCH(E9,Lookup_Year,0)),IF(LEFT(D9,MIN(FIND({0,1,2,3,4,5,6,7,8,9},D9&amp;"0123456789"))-1)="FCEV",INDEX(FCEV_UBE,MATCH(A9,FCEV_UBE_VehClass,0),MATCH(E9,Lookup_Year,0)))))</f>
        <v>124.8</v>
      </c>
      <c r="J9" s="22" cm="1">
        <f t="array" ref="J9">IF(LEFT(D9,MIN(FIND({0,1,2,3,4,5,6,7,8,9},D9&amp;"0123456789"))-1)="BEV",INDEX(BEV_TBE,MATCH(A9,BEV_TBE_VehClass,0),MATCH(E9,Lookup_Year,0)),IF(LEFT(D9,MIN(FIND({0,1,2,3,4,5,6,7,8,9},D9&amp;"0123456789"))-1)="PHEV",INDEX(PHEV_TBE,MATCH(A9,PHEV_TBE_VehClass,0),MATCH(E9,Lookup_Year,0)),IF(LEFT(D9,MIN(FIND({0,1,2,3,4,5,6,7,8,9},D9&amp;"0123456789"))-1)="FCEV",INDEX(FCEV_TBE,MATCH(A9,FCEV_TBE_VehClass,0),MATCH(E9,Lookup_Year,0)))))</f>
        <v>131.36842105263159</v>
      </c>
      <c r="K9" s="23" cm="1">
        <f t="array" ref="K9">IF(LEFT(D9,MIN(FIND({0,1,2,3,4,5,6,7,8,9},D9&amp;"0123456789"))-1)="BEV",INDEX(BEV_eMotor_Power,MATCH(A9,BEV_eMotor_Power_VehClass,0),MATCH(E9,Lookup_Year,0)),IF(LEFT(D9,MIN(FIND({0,1,2,3,4,5,6,7,8,9},D9&amp;"0123456789"))-1)="PHEV",INDEX(PHEV_eMotor_Power,MATCH(A9,PHEV_eMotor_Power_VehClass,0),MATCH(E9,Lookup_Year,0)),IF(LEFT(D9,MIN(FIND({0,1,2,3,4,5,6,7,8,9},D9&amp;"0123456789"))-1)="FCEV",INDEX(FCEV_eMotor_Power,MATCH(A9,FCEV_eMotor_Power_VehClass,0),MATCH(E9,Lookup_Year,0)))))</f>
        <v>225</v>
      </c>
      <c r="L9" s="27" cm="1">
        <f t="array" ref="L9">IF(LEFT(D9,MIN(FIND({0,1,2,3,4,5,6,7,8,9},D9&amp;"0123456789"))-1)="BEV",0,IF(LEFT(D9,MIN(FIND({0,1,2,3,4,5,6,7,8,9},D9&amp;"0123456789"))-1)="PHEV",0,IF(LEFT(D9,MIN(FIND({0,1,2,3,4,5,6,7,8,9},D9&amp;"0123456789"))-1)="FCEV",INDEX(FCEV_TankSize,MATCH(A9,FCEV_TankSize_VehClass,0),MATCH(E9,Lookup_Year,0)))))</f>
        <v>0</v>
      </c>
      <c r="M9" s="23" cm="1">
        <f t="array" ref="M9">IF(LEFT(D9,MIN(FIND({0,1,2,3,4,5,6,7,8,9},D9&amp;"0123456789"))-1)="BEV",0,IF(LEFT(D9,MIN(FIND({0,1,2,3,4,5,6,7,8,9},D9&amp;"0123456789"))-1)="PHEV",0,IF(LEFT(D9,MIN(FIND({0,1,2,3,4,5,6,7,8,9},D9&amp;"0123456789"))-1)="FCEV",INDEX(FCEV_StackSize,MATCH(A9,FCEV_StackSize_VehClass,0),MATCH(E9,Lookup_Year,0)))))</f>
        <v>0</v>
      </c>
      <c r="N9" s="23">
        <f>K9*'Non-Battery Cost Input'!$G$5*'Non-Battery Cost Input'!$H$7</f>
        <v>891.00000000000011</v>
      </c>
      <c r="O9" s="45">
        <f>'Non-Battery Cost Input'!$H$9</f>
        <v>400</v>
      </c>
      <c r="P9" s="23">
        <f>K9*'Non-Battery Cost Input'!$G$11</f>
        <v>855</v>
      </c>
      <c r="Q9" s="45">
        <f>'Non-Battery Cost Input'!$H$12</f>
        <v>200</v>
      </c>
      <c r="R9" s="23">
        <f>((I9/8)*'Non-Battery Cost Input'!$G$13)+'Non-Battery Cost Input'!$H$13</f>
        <v>1732.1999999999998</v>
      </c>
      <c r="S9" s="45">
        <f>'Non-Battery Cost Input'!$H$14</f>
        <v>150</v>
      </c>
      <c r="T9" s="45">
        <f>'Non-Battery Cost Input'!$H$15</f>
        <v>405</v>
      </c>
      <c r="U9" s="45">
        <f>'Non-Battery Cost Input'!$H$17</f>
        <v>185</v>
      </c>
      <c r="V9" s="45">
        <f>'Non-Battery Cost Input'!$H$16</f>
        <v>65</v>
      </c>
      <c r="W9" s="45">
        <f>'Non-Battery Cost Input'!$H$18</f>
        <v>180</v>
      </c>
      <c r="X9" s="45">
        <f>'Non-Battery Cost Input'!$H$19</f>
        <v>300</v>
      </c>
      <c r="Y9" s="23">
        <f t="shared" si="1"/>
        <v>5363.2</v>
      </c>
      <c r="Z9" s="23">
        <f>K9*'Vehicle Attributes Overview'!$A$3*'Non-Battery Cost Input'!$G$6*'Non-Battery Cost Input'!$H$8</f>
        <v>307.125</v>
      </c>
      <c r="AA9" s="45">
        <f>'Non-Battery Cost Input'!$H$9</f>
        <v>400</v>
      </c>
      <c r="AB9" s="23">
        <f>K9*'Vehicle Attributes Overview'!$A$3*'Non-Battery Cost Input'!$G$10</f>
        <v>281.25</v>
      </c>
      <c r="AC9" s="45">
        <f>'Non-Battery Cost Input'!$H$20</f>
        <v>25</v>
      </c>
      <c r="AD9" s="45">
        <f>'Non-Battery Cost Input'!$H$19</f>
        <v>300</v>
      </c>
      <c r="AE9" s="43">
        <f t="shared" si="2"/>
        <v>1313.375</v>
      </c>
    </row>
    <row r="10" spans="1:31" x14ac:dyDescent="0.3">
      <c r="A10" s="20" t="str">
        <f t="shared" si="0"/>
        <v>PickupBaseBEV300</v>
      </c>
      <c r="B10" s="68" t="s">
        <v>89</v>
      </c>
      <c r="C10" s="45" t="s">
        <v>75</v>
      </c>
      <c r="D10" s="45" t="s">
        <v>74</v>
      </c>
      <c r="E10" s="45">
        <v>2025</v>
      </c>
      <c r="F10" s="68" t="str">
        <f>RIGHT(D10,LEN(D10)-MIN(FIND({0,1,2,3,4,5,6,7,8,9},D10&amp;"0123456789"))+1)</f>
        <v>300</v>
      </c>
      <c r="G10" s="23" cm="1">
        <f t="array" ref="G10">IF(LEFT(D10,MIN(FIND({0,1,2,3,4,5,6,7,8,9},D10&amp;"0123456789"))-1)="BEV",INDEX(BEV_Efficiency,MATCH(A10,BEV_Efficiency_VehClass,0),MATCH(E10,Lookup_Year,0)),IF(LEFT(D10,MIN(FIND({0,1,2,3,4,5,6,7,8,9},D10&amp;"0123456789"))-1)="PHEV",INDEX(PHEV_Efficiency,MATCH(A10,PHEV_Efficiency_VehClass,0),MATCH(E10,Lookup_Year,0)),IF(LEFT(D10,MIN(FIND({0,1,2,3,4,5,6,7,8,9},D10&amp;"0123456789"))-1)="FCEV",0,"Error")))</f>
        <v>356</v>
      </c>
      <c r="H10" s="22" cm="1">
        <f t="array" ref="H10">IF(LEFT(D10,MIN(FIND({0,1,2,3,4,5,6,7,8,9},D10&amp;"0123456789"))-1)="BEV",0,IF(LEFT(D10,MIN(FIND({0,1,2,3,4,5,6,7,8,9},D10&amp;"0123456789"))-1)="PHEV",0,IF(LEFT(D10,MIN(FIND({0,1,2,3,4,5,6,7,8,9},D10&amp;"0123456789"))-1)="FCEV",INDEX(FCEV_H2_Efficiency,MATCH(A10,FCEV_H2_Efficiency_VehClass,0),MATCH(E10,Lookup_Year,0)),"Error")))</f>
        <v>0</v>
      </c>
      <c r="I10" s="22" cm="1">
        <f t="array" ref="I10">IF(LEFT(D10,MIN(FIND({0,1,2,3,4,5,6,7,8,9},D10&amp;"0123456789"))-1)="BEV",INDEX(BEV_UBE,MATCH(A10,BEV_UBE_VehClass,0),MATCH(E10,Lookup_Year,0)),IF(LEFT(D10,MIN(FIND({0,1,2,3,4,5,6,7,8,9},D10&amp;"0123456789"))-1)="PHEV",INDEX(PHEV_UBE,MATCH(A10,PHEV_UBE_VehClass,0),MATCH(E10,Lookup_Year,0)),IF(LEFT(D10,MIN(FIND({0,1,2,3,4,5,6,7,8,9},D10&amp;"0123456789"))-1)="FCEV",INDEX(FCEV_UBE,MATCH(A10,FCEV_UBE_VehClass,0),MATCH(E10,Lookup_Year,0)))))</f>
        <v>106.8</v>
      </c>
      <c r="J10" s="22" cm="1">
        <f t="array" ref="J10">IF(LEFT(D10,MIN(FIND({0,1,2,3,4,5,6,7,8,9},D10&amp;"0123456789"))-1)="BEV",INDEX(BEV_TBE,MATCH(A10,BEV_TBE_VehClass,0),MATCH(E10,Lookup_Year,0)),IF(LEFT(D10,MIN(FIND({0,1,2,3,4,5,6,7,8,9},D10&amp;"0123456789"))-1)="PHEV",INDEX(PHEV_TBE,MATCH(A10,PHEV_TBE_VehClass,0),MATCH(E10,Lookup_Year,0)),IF(LEFT(D10,MIN(FIND({0,1,2,3,4,5,6,7,8,9},D10&amp;"0123456789"))-1)="FCEV",INDEX(FCEV_TBE,MATCH(A10,FCEV_TBE_VehClass,0),MATCH(E10,Lookup_Year,0)))))</f>
        <v>112.42105263157895</v>
      </c>
      <c r="K10" s="23" cm="1">
        <f t="array" ref="K10">IF(LEFT(D10,MIN(FIND({0,1,2,3,4,5,6,7,8,9},D10&amp;"0123456789"))-1)="BEV",INDEX(BEV_eMotor_Power,MATCH(A10,BEV_eMotor_Power_VehClass,0),MATCH(E10,Lookup_Year,0)),IF(LEFT(D10,MIN(FIND({0,1,2,3,4,5,6,7,8,9},D10&amp;"0123456789"))-1)="PHEV",INDEX(PHEV_eMotor_Power,MATCH(A10,PHEV_eMotor_Power_VehClass,0),MATCH(E10,Lookup_Year,0)),IF(LEFT(D10,MIN(FIND({0,1,2,3,4,5,6,7,8,9},D10&amp;"0123456789"))-1)="FCEV",INDEX(FCEV_eMotor_Power,MATCH(A10,FCEV_eMotor_Power_VehClass,0),MATCH(E10,Lookup_Year,0)))))</f>
        <v>220.61111111111111</v>
      </c>
      <c r="L10" s="27" cm="1">
        <f t="array" ref="L10">IF(LEFT(D10,MIN(FIND({0,1,2,3,4,5,6,7,8,9},D10&amp;"0123456789"))-1)="BEV",0,IF(LEFT(D10,MIN(FIND({0,1,2,3,4,5,6,7,8,9},D10&amp;"0123456789"))-1)="PHEV",0,IF(LEFT(D10,MIN(FIND({0,1,2,3,4,5,6,7,8,9},D10&amp;"0123456789"))-1)="FCEV",INDEX(FCEV_TankSize,MATCH(A10,FCEV_TankSize_VehClass,0),MATCH(E10,Lookup_Year,0)))))</f>
        <v>0</v>
      </c>
      <c r="M10" s="23" cm="1">
        <f t="array" ref="M10">IF(LEFT(D10,MIN(FIND({0,1,2,3,4,5,6,7,8,9},D10&amp;"0123456789"))-1)="BEV",0,IF(LEFT(D10,MIN(FIND({0,1,2,3,4,5,6,7,8,9},D10&amp;"0123456789"))-1)="PHEV",0,IF(LEFT(D10,MIN(FIND({0,1,2,3,4,5,6,7,8,9},D10&amp;"0123456789"))-1)="FCEV",INDEX(FCEV_StackSize,MATCH(A10,FCEV_StackSize_VehClass,0),MATCH(E10,Lookup_Year,0)))))</f>
        <v>0</v>
      </c>
      <c r="N10" s="23">
        <f>K10*'Non-Battery Cost Input'!$G$5*'Non-Battery Cost Input'!$H$7</f>
        <v>873.62000000000012</v>
      </c>
      <c r="O10" s="45">
        <f>'Non-Battery Cost Input'!$H$9</f>
        <v>400</v>
      </c>
      <c r="P10" s="23">
        <f>K10*'Non-Battery Cost Input'!$G$11</f>
        <v>838.32222222222219</v>
      </c>
      <c r="Q10" s="45">
        <f>'Non-Battery Cost Input'!$H$12</f>
        <v>200</v>
      </c>
      <c r="R10" s="23">
        <f>((I10/8)*'Non-Battery Cost Input'!$G$13)+'Non-Battery Cost Input'!$H$13</f>
        <v>1592.6999999999998</v>
      </c>
      <c r="S10" s="45">
        <f>'Non-Battery Cost Input'!$H$14</f>
        <v>150</v>
      </c>
      <c r="T10" s="45">
        <f>'Non-Battery Cost Input'!$H$15</f>
        <v>405</v>
      </c>
      <c r="U10" s="45">
        <f>'Non-Battery Cost Input'!$H$17</f>
        <v>185</v>
      </c>
      <c r="V10" s="45">
        <f>'Non-Battery Cost Input'!$H$16</f>
        <v>65</v>
      </c>
      <c r="W10" s="45">
        <f>'Non-Battery Cost Input'!$H$18</f>
        <v>180</v>
      </c>
      <c r="X10" s="45">
        <f>'Non-Battery Cost Input'!$H$19</f>
        <v>300</v>
      </c>
      <c r="Y10" s="23">
        <f t="shared" si="1"/>
        <v>5189.6422222222227</v>
      </c>
      <c r="Z10" s="23">
        <f>K10*'Vehicle Attributes Overview'!$A$3*'Non-Battery Cost Input'!$G$6*'Non-Battery Cost Input'!$H$8</f>
        <v>301.13416666666672</v>
      </c>
      <c r="AA10" s="45">
        <f>'Non-Battery Cost Input'!$H$9</f>
        <v>400</v>
      </c>
      <c r="AB10" s="23">
        <f>K10*'Vehicle Attributes Overview'!$A$3*'Non-Battery Cost Input'!$G$10</f>
        <v>275.76388888888891</v>
      </c>
      <c r="AC10" s="45">
        <f>'Non-Battery Cost Input'!$H$20</f>
        <v>25</v>
      </c>
      <c r="AD10" s="45">
        <f>'Non-Battery Cost Input'!$H$19</f>
        <v>300</v>
      </c>
      <c r="AE10" s="43">
        <f t="shared" si="2"/>
        <v>1301.8980555555556</v>
      </c>
    </row>
    <row r="11" spans="1:31" x14ac:dyDescent="0.3">
      <c r="A11" s="19" t="str">
        <f t="shared" si="0"/>
        <v>PickupHTBEV400</v>
      </c>
      <c r="B11" s="68" t="s">
        <v>89</v>
      </c>
      <c r="C11" s="45" t="s">
        <v>113</v>
      </c>
      <c r="D11" s="45" t="s">
        <v>79</v>
      </c>
      <c r="E11" s="45">
        <v>2025</v>
      </c>
      <c r="F11" s="68" t="str">
        <f>RIGHT(D11,LEN(D11)-MIN(FIND({0,1,2,3,4,5,6,7,8,9},D11&amp;"0123456789"))+1)</f>
        <v>400</v>
      </c>
      <c r="G11" s="23" cm="1">
        <f t="array" ref="G11">IF(LEFT(D11,MIN(FIND({0,1,2,3,4,5,6,7,8,9},D11&amp;"0123456789"))-1)="BEV",INDEX(BEV_Efficiency,MATCH(A11,BEV_Efficiency_VehClass,0),MATCH(E11,Lookup_Year,0)),IF(LEFT(D11,MIN(FIND({0,1,2,3,4,5,6,7,8,9},D11&amp;"0123456789"))-1)="PHEV",INDEX(PHEV_Efficiency,MATCH(A11,PHEV_Efficiency_VehClass,0),MATCH(E11,Lookup_Year,0)),IF(LEFT(D11,MIN(FIND({0,1,2,3,4,5,6,7,8,9},D11&amp;"0123456789"))-1)="FCEV",0,"Error")))</f>
        <v>374</v>
      </c>
      <c r="H11" s="22" cm="1">
        <f t="array" ref="H11">IF(LEFT(D11,MIN(FIND({0,1,2,3,4,5,6,7,8,9},D11&amp;"0123456789"))-1)="BEV",0,IF(LEFT(D11,MIN(FIND({0,1,2,3,4,5,6,7,8,9},D11&amp;"0123456789"))-1)="PHEV",0,IF(LEFT(D11,MIN(FIND({0,1,2,3,4,5,6,7,8,9},D11&amp;"0123456789"))-1)="FCEV",INDEX(FCEV_H2_Efficiency,MATCH(A11,FCEV_H2_Efficiency_VehClass,0),MATCH(E11,Lookup_Year,0)),"Error")))</f>
        <v>0</v>
      </c>
      <c r="I11" s="22" cm="1">
        <f t="array" ref="I11">IF(LEFT(D11,MIN(FIND({0,1,2,3,4,5,6,7,8,9},D11&amp;"0123456789"))-1)="BEV",INDEX(BEV_UBE,MATCH(A11,BEV_UBE_VehClass,0),MATCH(E11,Lookup_Year,0)),IF(LEFT(D11,MIN(FIND({0,1,2,3,4,5,6,7,8,9},D11&amp;"0123456789"))-1)="PHEV",INDEX(PHEV_UBE,MATCH(A11,PHEV_UBE_VehClass,0),MATCH(E11,Lookup_Year,0)),IF(LEFT(D11,MIN(FIND({0,1,2,3,4,5,6,7,8,9},D11&amp;"0123456789"))-1)="FCEV",INDEX(FCEV_UBE,MATCH(A11,FCEV_UBE_VehClass,0),MATCH(E11,Lookup_Year,0)))))</f>
        <v>149.6</v>
      </c>
      <c r="J11" s="22" cm="1">
        <f t="array" ref="J11">IF(LEFT(D11,MIN(FIND({0,1,2,3,4,5,6,7,8,9},D11&amp;"0123456789"))-1)="BEV",INDEX(BEV_TBE,MATCH(A11,BEV_TBE_VehClass,0),MATCH(E11,Lookup_Year,0)),IF(LEFT(D11,MIN(FIND({0,1,2,3,4,5,6,7,8,9},D11&amp;"0123456789"))-1)="PHEV",INDEX(PHEV_TBE,MATCH(A11,PHEV_TBE_VehClass,0),MATCH(E11,Lookup_Year,0)),IF(LEFT(D11,MIN(FIND({0,1,2,3,4,5,6,7,8,9},D11&amp;"0123456789"))-1)="FCEV",INDEX(FCEV_TBE,MATCH(A11,FCEV_TBE_VehClass,0),MATCH(E11,Lookup_Year,0)))))</f>
        <v>157.47368421052633</v>
      </c>
      <c r="K11" s="23" cm="1">
        <f t="array" ref="K11">IF(LEFT(D11,MIN(FIND({0,1,2,3,4,5,6,7,8,9},D11&amp;"0123456789"))-1)="BEV",INDEX(BEV_eMotor_Power,MATCH(A11,BEV_eMotor_Power_VehClass,0),MATCH(E11,Lookup_Year,0)),IF(LEFT(D11,MIN(FIND({0,1,2,3,4,5,6,7,8,9},D11&amp;"0123456789"))-1)="PHEV",INDEX(PHEV_eMotor_Power,MATCH(A11,PHEV_eMotor_Power_VehClass,0),MATCH(E11,Lookup_Year,0)),IF(LEFT(D11,MIN(FIND({0,1,2,3,4,5,6,7,8,9},D11&amp;"0123456789"))-1)="FCEV",INDEX(FCEV_eMotor_Power,MATCH(A11,FCEV_eMotor_Power_VehClass,0),MATCH(E11,Lookup_Year,0)))))</f>
        <v>241</v>
      </c>
      <c r="L11" s="27" cm="1">
        <f t="array" ref="L11">IF(LEFT(D11,MIN(FIND({0,1,2,3,4,5,6,7,8,9},D11&amp;"0123456789"))-1)="BEV",0,IF(LEFT(D11,MIN(FIND({0,1,2,3,4,5,6,7,8,9},D11&amp;"0123456789"))-1)="PHEV",0,IF(LEFT(D11,MIN(FIND({0,1,2,3,4,5,6,7,8,9},D11&amp;"0123456789"))-1)="FCEV",INDEX(FCEV_TankSize,MATCH(A11,FCEV_TankSize_VehClass,0),MATCH(E11,Lookup_Year,0)))))</f>
        <v>0</v>
      </c>
      <c r="M11" s="23" cm="1">
        <f t="array" ref="M11">IF(LEFT(D11,MIN(FIND({0,1,2,3,4,5,6,7,8,9},D11&amp;"0123456789"))-1)="BEV",0,IF(LEFT(D11,MIN(FIND({0,1,2,3,4,5,6,7,8,9},D11&amp;"0123456789"))-1)="PHEV",0,IF(LEFT(D11,MIN(FIND({0,1,2,3,4,5,6,7,8,9},D11&amp;"0123456789"))-1)="FCEV",INDEX(FCEV_StackSize,MATCH(A11,FCEV_StackSize_VehClass,0),MATCH(E11,Lookup_Year,0)))))</f>
        <v>0</v>
      </c>
      <c r="N11" s="23">
        <f>K11*'Non-Battery Cost Input'!$G$5*'Non-Battery Cost Input'!$H$7</f>
        <v>954.36000000000013</v>
      </c>
      <c r="O11" s="45">
        <f>'Non-Battery Cost Input'!$H$9</f>
        <v>400</v>
      </c>
      <c r="P11" s="23">
        <f>K11*'Non-Battery Cost Input'!$G$11</f>
        <v>915.8</v>
      </c>
      <c r="Q11" s="45">
        <f>'Non-Battery Cost Input'!$H$12</f>
        <v>200</v>
      </c>
      <c r="R11" s="23">
        <f>((I11/8)*'Non-Battery Cost Input'!$G$13)+'Non-Battery Cost Input'!$H$13</f>
        <v>1924.3999999999999</v>
      </c>
      <c r="S11" s="45">
        <f>'Non-Battery Cost Input'!$H$14</f>
        <v>150</v>
      </c>
      <c r="T11" s="45">
        <f>'Non-Battery Cost Input'!$H$15</f>
        <v>405</v>
      </c>
      <c r="U11" s="45">
        <f>'Non-Battery Cost Input'!$H$17</f>
        <v>185</v>
      </c>
      <c r="V11" s="45">
        <f>'Non-Battery Cost Input'!$H$16</f>
        <v>65</v>
      </c>
      <c r="W11" s="45">
        <f>'Non-Battery Cost Input'!$H$18</f>
        <v>180</v>
      </c>
      <c r="X11" s="45">
        <f>'Non-Battery Cost Input'!$H$19</f>
        <v>300</v>
      </c>
      <c r="Y11" s="23">
        <f t="shared" si="1"/>
        <v>5679.5599999999995</v>
      </c>
      <c r="Z11" s="23">
        <f>K11*'Vehicle Attributes Overview'!$A$3*'Non-Battery Cost Input'!$G$6*'Non-Battery Cost Input'!$H$8</f>
        <v>328.96500000000003</v>
      </c>
      <c r="AA11" s="45">
        <f>'Non-Battery Cost Input'!$H$9</f>
        <v>400</v>
      </c>
      <c r="AB11" s="23">
        <f>K11*'Vehicle Attributes Overview'!$A$3*'Non-Battery Cost Input'!$G$10</f>
        <v>301.25</v>
      </c>
      <c r="AC11" s="45">
        <f>'Non-Battery Cost Input'!$H$20</f>
        <v>25</v>
      </c>
      <c r="AD11" s="45">
        <f>'Non-Battery Cost Input'!$H$19</f>
        <v>300</v>
      </c>
      <c r="AE11" s="43">
        <f t="shared" si="2"/>
        <v>1355.2150000000001</v>
      </c>
    </row>
    <row r="12" spans="1:31" x14ac:dyDescent="0.3">
      <c r="A12" s="20" t="str">
        <f t="shared" si="0"/>
        <v>SmallCarBasePHEV50</v>
      </c>
      <c r="B12" s="68" t="s">
        <v>73</v>
      </c>
      <c r="C12" s="45" t="s">
        <v>75</v>
      </c>
      <c r="D12" s="45" t="s">
        <v>91</v>
      </c>
      <c r="E12" s="45">
        <v>2025</v>
      </c>
      <c r="F12" s="68" t="str">
        <f>RIGHT(D12,LEN(D12)-MIN(FIND({0,1,2,3,4,5,6,7,8,9},D12&amp;"0123456789"))+1)</f>
        <v>50</v>
      </c>
      <c r="G12" s="23" cm="1">
        <f t="array" ref="G12">IF(LEFT(D12,MIN(FIND({0,1,2,3,4,5,6,7,8,9},D12&amp;"0123456789"))-1)="BEV",INDEX(BEV_Efficiency,MATCH(A12,BEV_Efficiency_VehClass,0),MATCH(E12,Lookup_Year,0)),IF(LEFT(D12,MIN(FIND({0,1,2,3,4,5,6,7,8,9},D12&amp;"0123456789"))-1)="PHEV",INDEX(PHEV_Efficiency,MATCH(A12,PHEV_Efficiency_VehClass,0),MATCH(E12,Lookup_Year,0)),IF(LEFT(D12,MIN(FIND({0,1,2,3,4,5,6,7,8,9},D12&amp;"0123456789"))-1)="FCEV",0,"Error")))</f>
        <v>291</v>
      </c>
      <c r="H12" s="22" cm="1">
        <f t="array" ref="H12">IF(LEFT(D12,MIN(FIND({0,1,2,3,4,5,6,7,8,9},D12&amp;"0123456789"))-1)="BEV",0,IF(LEFT(D12,MIN(FIND({0,1,2,3,4,5,6,7,8,9},D12&amp;"0123456789"))-1)="PHEV",0,IF(LEFT(D12,MIN(FIND({0,1,2,3,4,5,6,7,8,9},D12&amp;"0123456789"))-1)="FCEV",INDEX(FCEV_H2_Efficiency,MATCH(A12,FCEV_H2_Efficiency_VehClass,0),MATCH(E12,Lookup_Year,0)),"Error")))</f>
        <v>0</v>
      </c>
      <c r="I12" s="22" cm="1">
        <f t="array" ref="I12">IF(LEFT(D12,MIN(FIND({0,1,2,3,4,5,6,7,8,9},D12&amp;"0123456789"))-1)="BEV",INDEX(BEV_UBE,MATCH(A12,BEV_UBE_VehClass,0),MATCH(E12,Lookup_Year,0)),IF(LEFT(D12,MIN(FIND({0,1,2,3,4,5,6,7,8,9},D12&amp;"0123456789"))-1)="PHEV",INDEX(PHEV_UBE,MATCH(A12,PHEV_UBE_VehClass,0),MATCH(E12,Lookup_Year,0)),IF(LEFT(D12,MIN(FIND({0,1,2,3,4,5,6,7,8,9},D12&amp;"0123456789"))-1)="FCEV",INDEX(FCEV_UBE,MATCH(A12,FCEV_UBE_VehClass,0),MATCH(E12,Lookup_Year,0)))))</f>
        <v>14.55</v>
      </c>
      <c r="J12" s="22" cm="1">
        <f t="array" ref="J12">IF(LEFT(D12,MIN(FIND({0,1,2,3,4,5,6,7,8,9},D12&amp;"0123456789"))-1)="BEV",INDEX(BEV_TBE,MATCH(A12,BEV_TBE_VehClass,0),MATCH(E12,Lookup_Year,0)),IF(LEFT(D12,MIN(FIND({0,1,2,3,4,5,6,7,8,9},D12&amp;"0123456789"))-1)="PHEV",INDEX(PHEV_TBE,MATCH(A12,PHEV_TBE_VehClass,0),MATCH(E12,Lookup_Year,0)),IF(LEFT(D12,MIN(FIND({0,1,2,3,4,5,6,7,8,9},D12&amp;"0123456789"))-1)="FCEV",INDEX(FCEV_TBE,MATCH(A12,FCEV_TBE_VehClass,0),MATCH(E12,Lookup_Year,0)))))</f>
        <v>17.117647058823529</v>
      </c>
      <c r="K12" s="23" cm="1">
        <f t="array" ref="K12">IF(LEFT(D12,MIN(FIND({0,1,2,3,4,5,6,7,8,9},D12&amp;"0123456789"))-1)="BEV",INDEX(BEV_eMotor_Power,MATCH(A12,BEV_eMotor_Power_VehClass,0),MATCH(E12,Lookup_Year,0)),IF(LEFT(D12,MIN(FIND({0,1,2,3,4,5,6,7,8,9},D12&amp;"0123456789"))-1)="PHEV",INDEX(PHEV_eMotor_Power,MATCH(A12,PHEV_eMotor_Power_VehClass,0),MATCH(E12,Lookup_Year,0)),IF(LEFT(D12,MIN(FIND({0,1,2,3,4,5,6,7,8,9},D12&amp;"0123456789"))-1)="FCEV",INDEX(FCEV_eMotor_Power,MATCH(A12,FCEV_eMotor_Power_VehClass,0),MATCH(E12,Lookup_Year,0)))))</f>
        <v>96</v>
      </c>
      <c r="L12" s="27" cm="1">
        <f t="array" ref="L12">IF(LEFT(D12,MIN(FIND({0,1,2,3,4,5,6,7,8,9},D12&amp;"0123456789"))-1)="BEV",0,IF(LEFT(D12,MIN(FIND({0,1,2,3,4,5,6,7,8,9},D12&amp;"0123456789"))-1)="PHEV",0,IF(LEFT(D12,MIN(FIND({0,1,2,3,4,5,6,7,8,9},D12&amp;"0123456789"))-1)="FCEV",INDEX(FCEV_TankSize,MATCH(A12,FCEV_TankSize_VehClass,0),MATCH(E12,Lookup_Year,0)))))</f>
        <v>0</v>
      </c>
      <c r="M12" s="23" cm="1">
        <f t="array" ref="M12">IF(LEFT(D12,MIN(FIND({0,1,2,3,4,5,6,7,8,9},D12&amp;"0123456789"))-1)="BEV",0,IF(LEFT(D12,MIN(FIND({0,1,2,3,4,5,6,7,8,9},D12&amp;"0123456789"))-1)="PHEV",0,IF(LEFT(D12,MIN(FIND({0,1,2,3,4,5,6,7,8,9},D12&amp;"0123456789"))-1)="FCEV",INDEX(FCEV_StackSize,MATCH(A12,FCEV_StackSize_VehClass,0),MATCH(E12,Lookup_Year,0)))))</f>
        <v>0</v>
      </c>
      <c r="N12" s="23">
        <f>K12*'Non-Battery Cost Input'!$G$6</f>
        <v>201.60000000000002</v>
      </c>
      <c r="O12" s="45">
        <v>0</v>
      </c>
      <c r="P12" s="23">
        <f>K12*'Non-Battery Cost Input'!$G$10</f>
        <v>240</v>
      </c>
      <c r="Q12" s="45">
        <f>'Non-Battery Cost Input'!$H$12</f>
        <v>200</v>
      </c>
      <c r="R12" s="23">
        <f>((I12/8)*'Non-Battery Cost Input'!$G$13)+'Non-Battery Cost Input'!$H$13</f>
        <v>877.76250000000005</v>
      </c>
      <c r="S12" s="45">
        <v>0</v>
      </c>
      <c r="T12" s="45">
        <f>'Non-Battery Cost Input'!$H$15</f>
        <v>405</v>
      </c>
      <c r="U12" s="45">
        <f>'Non-Battery Cost Input'!$H$17</f>
        <v>185</v>
      </c>
      <c r="V12" s="45">
        <f>'Non-Battery Cost Input'!$H$16</f>
        <v>65</v>
      </c>
      <c r="W12" s="45">
        <f>'Non-Battery Cost Input'!$H$18</f>
        <v>180</v>
      </c>
      <c r="X12" s="45">
        <v>0</v>
      </c>
      <c r="Y12" s="23">
        <f t="shared" si="1"/>
        <v>2354.3625000000002</v>
      </c>
      <c r="Z12" s="23">
        <f>K12*'Vehicle Attributes Overview'!$A$3*'Non-Battery Cost Input'!$G$6*'Non-Battery Cost Input'!$H$8</f>
        <v>131.04000000000002</v>
      </c>
      <c r="AA12" s="45">
        <f>'Non-Battery Cost Input'!$H$9</f>
        <v>400</v>
      </c>
      <c r="AB12" s="23">
        <f>K12*'Vehicle Attributes Overview'!$A$3*'Non-Battery Cost Input'!$G$10</f>
        <v>120</v>
      </c>
      <c r="AC12" s="45">
        <f>'Non-Battery Cost Input'!$H$20</f>
        <v>25</v>
      </c>
      <c r="AD12" s="45">
        <f>'Non-Battery Cost Input'!$H$19</f>
        <v>300</v>
      </c>
      <c r="AE12" s="43">
        <f t="shared" si="2"/>
        <v>976.04</v>
      </c>
    </row>
    <row r="13" spans="1:31" x14ac:dyDescent="0.3">
      <c r="A13" s="19" t="str">
        <f t="shared" si="0"/>
        <v>SmallCarPremiumPHEV50</v>
      </c>
      <c r="B13" s="68" t="s">
        <v>73</v>
      </c>
      <c r="C13" s="45" t="s">
        <v>80</v>
      </c>
      <c r="D13" s="45" t="s">
        <v>91</v>
      </c>
      <c r="E13" s="45">
        <v>2025</v>
      </c>
      <c r="F13" s="68" t="str">
        <f>RIGHT(D13,LEN(D13)-MIN(FIND({0,1,2,3,4,5,6,7,8,9},D13&amp;"0123456789"))+1)</f>
        <v>50</v>
      </c>
      <c r="G13" s="23" cm="1">
        <f t="array" ref="G13">IF(LEFT(D13,MIN(FIND({0,1,2,3,4,5,6,7,8,9},D13&amp;"0123456789"))-1)="BEV",INDEX(BEV_Efficiency,MATCH(A13,BEV_Efficiency_VehClass,0),MATCH(E13,Lookup_Year,0)),IF(LEFT(D13,MIN(FIND({0,1,2,3,4,5,6,7,8,9},D13&amp;"0123456789"))-1)="PHEV",INDEX(PHEV_Efficiency,MATCH(A13,PHEV_Efficiency_VehClass,0),MATCH(E13,Lookup_Year,0)),IF(LEFT(D13,MIN(FIND({0,1,2,3,4,5,6,7,8,9},D13&amp;"0123456789"))-1)="FCEV",0,"Error")))</f>
        <v>291</v>
      </c>
      <c r="H13" s="22" cm="1">
        <f t="array" ref="H13">IF(LEFT(D13,MIN(FIND({0,1,2,3,4,5,6,7,8,9},D13&amp;"0123456789"))-1)="BEV",0,IF(LEFT(D13,MIN(FIND({0,1,2,3,4,5,6,7,8,9},D13&amp;"0123456789"))-1)="PHEV",0,IF(LEFT(D13,MIN(FIND({0,1,2,3,4,5,6,7,8,9},D13&amp;"0123456789"))-1)="FCEV",INDEX(FCEV_H2_Efficiency,MATCH(A13,FCEV_H2_Efficiency_VehClass,0),MATCH(E13,Lookup_Year,0)),"Error")))</f>
        <v>0</v>
      </c>
      <c r="I13" s="22" cm="1">
        <f t="array" ref="I13">IF(LEFT(D13,MIN(FIND({0,1,2,3,4,5,6,7,8,9},D13&amp;"0123456789"))-1)="BEV",INDEX(BEV_UBE,MATCH(A13,BEV_UBE_VehClass,0),MATCH(E13,Lookup_Year,0)),IF(LEFT(D13,MIN(FIND({0,1,2,3,4,5,6,7,8,9},D13&amp;"0123456789"))-1)="PHEV",INDEX(PHEV_UBE,MATCH(A13,PHEV_UBE_VehClass,0),MATCH(E13,Lookup_Year,0)),IF(LEFT(D13,MIN(FIND({0,1,2,3,4,5,6,7,8,9},D13&amp;"0123456789"))-1)="FCEV",INDEX(FCEV_UBE,MATCH(A13,FCEV_UBE_VehClass,0),MATCH(E13,Lookup_Year,0)))))</f>
        <v>14.55</v>
      </c>
      <c r="J13" s="22" cm="1">
        <f t="array" ref="J13">IF(LEFT(D13,MIN(FIND({0,1,2,3,4,5,6,7,8,9},D13&amp;"0123456789"))-1)="BEV",INDEX(BEV_TBE,MATCH(A13,BEV_TBE_VehClass,0),MATCH(E13,Lookup_Year,0)),IF(LEFT(D13,MIN(FIND({0,1,2,3,4,5,6,7,8,9},D13&amp;"0123456789"))-1)="PHEV",INDEX(PHEV_TBE,MATCH(A13,PHEV_TBE_VehClass,0),MATCH(E13,Lookup_Year,0)),IF(LEFT(D13,MIN(FIND({0,1,2,3,4,5,6,7,8,9},D13&amp;"0123456789"))-1)="FCEV",INDEX(FCEV_TBE,MATCH(A13,FCEV_TBE_VehClass,0),MATCH(E13,Lookup_Year,0)))))</f>
        <v>17.117647058823529</v>
      </c>
      <c r="K13" s="23" cm="1">
        <f t="array" ref="K13">IF(LEFT(D13,MIN(FIND({0,1,2,3,4,5,6,7,8,9},D13&amp;"0123456789"))-1)="BEV",INDEX(BEV_eMotor_Power,MATCH(A13,BEV_eMotor_Power_VehClass,0),MATCH(E13,Lookup_Year,0)),IF(LEFT(D13,MIN(FIND({0,1,2,3,4,5,6,7,8,9},D13&amp;"0123456789"))-1)="PHEV",INDEX(PHEV_eMotor_Power,MATCH(A13,PHEV_eMotor_Power_VehClass,0),MATCH(E13,Lookup_Year,0)),IF(LEFT(D13,MIN(FIND({0,1,2,3,4,5,6,7,8,9},D13&amp;"0123456789"))-1)="FCEV",INDEX(FCEV_eMotor_Power,MATCH(A13,FCEV_eMotor_Power_VehClass,0),MATCH(E13,Lookup_Year,0)))))</f>
        <v>96</v>
      </c>
      <c r="L13" s="27" cm="1">
        <f t="array" ref="L13">IF(LEFT(D13,MIN(FIND({0,1,2,3,4,5,6,7,8,9},D13&amp;"0123456789"))-1)="BEV",0,IF(LEFT(D13,MIN(FIND({0,1,2,3,4,5,6,7,8,9},D13&amp;"0123456789"))-1)="PHEV",0,IF(LEFT(D13,MIN(FIND({0,1,2,3,4,5,6,7,8,9},D13&amp;"0123456789"))-1)="FCEV",INDEX(FCEV_TankSize,MATCH(A13,FCEV_TankSize_VehClass,0),MATCH(E13,Lookup_Year,0)))))</f>
        <v>0</v>
      </c>
      <c r="M13" s="23" cm="1">
        <f t="array" ref="M13">IF(LEFT(D13,MIN(FIND({0,1,2,3,4,5,6,7,8,9},D13&amp;"0123456789"))-1)="BEV",0,IF(LEFT(D13,MIN(FIND({0,1,2,3,4,5,6,7,8,9},D13&amp;"0123456789"))-1)="PHEV",0,IF(LEFT(D13,MIN(FIND({0,1,2,3,4,5,6,7,8,9},D13&amp;"0123456789"))-1)="FCEV",INDEX(FCEV_StackSize,MATCH(A13,FCEV_StackSize_VehClass,0),MATCH(E13,Lookup_Year,0)))))</f>
        <v>0</v>
      </c>
      <c r="N13" s="23">
        <f>K13*'Non-Battery Cost Input'!$G$6</f>
        <v>201.60000000000002</v>
      </c>
      <c r="O13" s="45">
        <v>0</v>
      </c>
      <c r="P13" s="23">
        <f>K13*'Non-Battery Cost Input'!$G$10</f>
        <v>240</v>
      </c>
      <c r="Q13" s="45">
        <f>'Non-Battery Cost Input'!$H$12</f>
        <v>200</v>
      </c>
      <c r="R13" s="23">
        <f>((I13/8)*'Non-Battery Cost Input'!$G$13)+'Non-Battery Cost Input'!$H$13</f>
        <v>877.76250000000005</v>
      </c>
      <c r="S13" s="45">
        <v>0</v>
      </c>
      <c r="T13" s="45">
        <f>'Non-Battery Cost Input'!$H$15</f>
        <v>405</v>
      </c>
      <c r="U13" s="45">
        <f>'Non-Battery Cost Input'!$H$17</f>
        <v>185</v>
      </c>
      <c r="V13" s="45">
        <f>'Non-Battery Cost Input'!$H$16</f>
        <v>65</v>
      </c>
      <c r="W13" s="45">
        <f>'Non-Battery Cost Input'!$H$18</f>
        <v>180</v>
      </c>
      <c r="X13" s="45">
        <v>0</v>
      </c>
      <c r="Y13" s="23">
        <f t="shared" si="1"/>
        <v>2354.3625000000002</v>
      </c>
      <c r="Z13" s="23">
        <f>K13*'Vehicle Attributes Overview'!$A$3*'Non-Battery Cost Input'!$G$6*'Non-Battery Cost Input'!$H$8</f>
        <v>131.04000000000002</v>
      </c>
      <c r="AA13" s="45">
        <f>'Non-Battery Cost Input'!$H$9</f>
        <v>400</v>
      </c>
      <c r="AB13" s="23">
        <f>K13*'Vehicle Attributes Overview'!$A$3*'Non-Battery Cost Input'!$G$10</f>
        <v>120</v>
      </c>
      <c r="AC13" s="45">
        <f>'Non-Battery Cost Input'!$H$20</f>
        <v>25</v>
      </c>
      <c r="AD13" s="45">
        <f>'Non-Battery Cost Input'!$H$19</f>
        <v>300</v>
      </c>
      <c r="AE13" s="43">
        <f t="shared" si="2"/>
        <v>976.04</v>
      </c>
    </row>
    <row r="14" spans="1:31" x14ac:dyDescent="0.3">
      <c r="A14" s="20" t="str">
        <f t="shared" si="0"/>
        <v>MedCarBasePHEV50</v>
      </c>
      <c r="B14" s="68" t="s">
        <v>82</v>
      </c>
      <c r="C14" s="45" t="s">
        <v>75</v>
      </c>
      <c r="D14" s="45" t="s">
        <v>91</v>
      </c>
      <c r="E14" s="45">
        <v>2025</v>
      </c>
      <c r="F14" s="68" t="str">
        <f>RIGHT(D14,LEN(D14)-MIN(FIND({0,1,2,3,4,5,6,7,8,9},D14&amp;"0123456789"))+1)</f>
        <v>50</v>
      </c>
      <c r="G14" s="23" cm="1">
        <f t="array" ref="G14">IF(LEFT(D14,MIN(FIND({0,1,2,3,4,5,6,7,8,9},D14&amp;"0123456789"))-1)="BEV",INDEX(BEV_Efficiency,MATCH(A14,BEV_Efficiency_VehClass,0),MATCH(E14,Lookup_Year,0)),IF(LEFT(D14,MIN(FIND({0,1,2,3,4,5,6,7,8,9},D14&amp;"0123456789"))-1)="PHEV",INDEX(PHEV_Efficiency,MATCH(A14,PHEV_Efficiency_VehClass,0),MATCH(E14,Lookup_Year,0)),IF(LEFT(D14,MIN(FIND({0,1,2,3,4,5,6,7,8,9},D14&amp;"0123456789"))-1)="FCEV",0,"Error")))</f>
        <v>312</v>
      </c>
      <c r="H14" s="22" cm="1">
        <f t="array" ref="H14">IF(LEFT(D14,MIN(FIND({0,1,2,3,4,5,6,7,8,9},D14&amp;"0123456789"))-1)="BEV",0,IF(LEFT(D14,MIN(FIND({0,1,2,3,4,5,6,7,8,9},D14&amp;"0123456789"))-1)="PHEV",0,IF(LEFT(D14,MIN(FIND({0,1,2,3,4,5,6,7,8,9},D14&amp;"0123456789"))-1)="FCEV",INDEX(FCEV_H2_Efficiency,MATCH(A14,FCEV_H2_Efficiency_VehClass,0),MATCH(E14,Lookup_Year,0)),"Error")))</f>
        <v>0</v>
      </c>
      <c r="I14" s="22" cm="1">
        <f t="array" ref="I14">IF(LEFT(D14,MIN(FIND({0,1,2,3,4,5,6,7,8,9},D14&amp;"0123456789"))-1)="BEV",INDEX(BEV_UBE,MATCH(A14,BEV_UBE_VehClass,0),MATCH(E14,Lookup_Year,0)),IF(LEFT(D14,MIN(FIND({0,1,2,3,4,5,6,7,8,9},D14&amp;"0123456789"))-1)="PHEV",INDEX(PHEV_UBE,MATCH(A14,PHEV_UBE_VehClass,0),MATCH(E14,Lookup_Year,0)),IF(LEFT(D14,MIN(FIND({0,1,2,3,4,5,6,7,8,9},D14&amp;"0123456789"))-1)="FCEV",INDEX(FCEV_UBE,MATCH(A14,FCEV_UBE_VehClass,0),MATCH(E14,Lookup_Year,0)))))</f>
        <v>15.6</v>
      </c>
      <c r="J14" s="22" cm="1">
        <f t="array" ref="J14">IF(LEFT(D14,MIN(FIND({0,1,2,3,4,5,6,7,8,9},D14&amp;"0123456789"))-1)="BEV",INDEX(BEV_TBE,MATCH(A14,BEV_TBE_VehClass,0),MATCH(E14,Lookup_Year,0)),IF(LEFT(D14,MIN(FIND({0,1,2,3,4,5,6,7,8,9},D14&amp;"0123456789"))-1)="PHEV",INDEX(PHEV_TBE,MATCH(A14,PHEV_TBE_VehClass,0),MATCH(E14,Lookup_Year,0)),IF(LEFT(D14,MIN(FIND({0,1,2,3,4,5,6,7,8,9},D14&amp;"0123456789"))-1)="FCEV",INDEX(FCEV_TBE,MATCH(A14,FCEV_TBE_VehClass,0),MATCH(E14,Lookup_Year,0)))))</f>
        <v>18.352941176470587</v>
      </c>
      <c r="K14" s="23" cm="1">
        <f t="array" ref="K14">IF(LEFT(D14,MIN(FIND({0,1,2,3,4,5,6,7,8,9},D14&amp;"0123456789"))-1)="BEV",INDEX(BEV_eMotor_Power,MATCH(A14,BEV_eMotor_Power_VehClass,0),MATCH(E14,Lookup_Year,0)),IF(LEFT(D14,MIN(FIND({0,1,2,3,4,5,6,7,8,9},D14&amp;"0123456789"))-1)="PHEV",INDEX(PHEV_eMotor_Power,MATCH(A14,PHEV_eMotor_Power_VehClass,0),MATCH(E14,Lookup_Year,0)),IF(LEFT(D14,MIN(FIND({0,1,2,3,4,5,6,7,8,9},D14&amp;"0123456789"))-1)="FCEV",INDEX(FCEV_eMotor_Power,MATCH(A14,FCEV_eMotor_Power_VehClass,0),MATCH(E14,Lookup_Year,0)))))</f>
        <v>128.9082479638009</v>
      </c>
      <c r="L14" s="27" cm="1">
        <f t="array" ref="L14">IF(LEFT(D14,MIN(FIND({0,1,2,3,4,5,6,7,8,9},D14&amp;"0123456789"))-1)="BEV",0,IF(LEFT(D14,MIN(FIND({0,1,2,3,4,5,6,7,8,9},D14&amp;"0123456789"))-1)="PHEV",0,IF(LEFT(D14,MIN(FIND({0,1,2,3,4,5,6,7,8,9},D14&amp;"0123456789"))-1)="FCEV",INDEX(FCEV_TankSize,MATCH(A14,FCEV_TankSize_VehClass,0),MATCH(E14,Lookup_Year,0)))))</f>
        <v>0</v>
      </c>
      <c r="M14" s="23" cm="1">
        <f t="array" ref="M14">IF(LEFT(D14,MIN(FIND({0,1,2,3,4,5,6,7,8,9},D14&amp;"0123456789"))-1)="BEV",0,IF(LEFT(D14,MIN(FIND({0,1,2,3,4,5,6,7,8,9},D14&amp;"0123456789"))-1)="PHEV",0,IF(LEFT(D14,MIN(FIND({0,1,2,3,4,5,6,7,8,9},D14&amp;"0123456789"))-1)="FCEV",INDEX(FCEV_StackSize,MATCH(A14,FCEV_StackSize_VehClass,0),MATCH(E14,Lookup_Year,0)))))</f>
        <v>0</v>
      </c>
      <c r="N14" s="23">
        <f>K14*'Non-Battery Cost Input'!$G$6</f>
        <v>270.70732072398192</v>
      </c>
      <c r="O14" s="45">
        <v>0</v>
      </c>
      <c r="P14" s="23">
        <f>K14*'Non-Battery Cost Input'!$G$10</f>
        <v>322.27061990950227</v>
      </c>
      <c r="Q14" s="45">
        <f>'Non-Battery Cost Input'!$H$12</f>
        <v>200</v>
      </c>
      <c r="R14" s="23">
        <f>((I14/8)*'Non-Battery Cost Input'!$G$13)+'Non-Battery Cost Input'!$H$13</f>
        <v>885.9</v>
      </c>
      <c r="S14" s="45">
        <v>0</v>
      </c>
      <c r="T14" s="45">
        <f>'Non-Battery Cost Input'!$H$15</f>
        <v>405</v>
      </c>
      <c r="U14" s="45">
        <f>'Non-Battery Cost Input'!$H$17</f>
        <v>185</v>
      </c>
      <c r="V14" s="45">
        <f>'Non-Battery Cost Input'!$H$16</f>
        <v>65</v>
      </c>
      <c r="W14" s="45">
        <f>'Non-Battery Cost Input'!$H$18</f>
        <v>180</v>
      </c>
      <c r="X14" s="45">
        <v>0</v>
      </c>
      <c r="Y14" s="23">
        <f t="shared" si="1"/>
        <v>2513.8779406334843</v>
      </c>
      <c r="Z14" s="23">
        <f>K14*'Vehicle Attributes Overview'!$A$3*'Non-Battery Cost Input'!$G$6*'Non-Battery Cost Input'!$H$8</f>
        <v>175.95975847058827</v>
      </c>
      <c r="AA14" s="45">
        <f>'Non-Battery Cost Input'!$H$9</f>
        <v>400</v>
      </c>
      <c r="AB14" s="23">
        <f>K14*'Vehicle Attributes Overview'!$A$3*'Non-Battery Cost Input'!$G$10</f>
        <v>161.13530995475114</v>
      </c>
      <c r="AC14" s="45">
        <f>'Non-Battery Cost Input'!$H$20</f>
        <v>25</v>
      </c>
      <c r="AD14" s="45">
        <f>'Non-Battery Cost Input'!$H$19</f>
        <v>300</v>
      </c>
      <c r="AE14" s="43">
        <f t="shared" si="2"/>
        <v>1062.0950684253394</v>
      </c>
    </row>
    <row r="15" spans="1:31" x14ac:dyDescent="0.3">
      <c r="A15" s="19" t="str">
        <f t="shared" si="0"/>
        <v>MedCarPremiumPHEV50</v>
      </c>
      <c r="B15" s="68" t="s">
        <v>82</v>
      </c>
      <c r="C15" s="45" t="s">
        <v>80</v>
      </c>
      <c r="D15" s="45" t="s">
        <v>91</v>
      </c>
      <c r="E15" s="45">
        <v>2025</v>
      </c>
      <c r="F15" s="68" t="str">
        <f>RIGHT(D15,LEN(D15)-MIN(FIND({0,1,2,3,4,5,6,7,8,9},D15&amp;"0123456789"))+1)</f>
        <v>50</v>
      </c>
      <c r="G15" s="23" cm="1">
        <f t="array" ref="G15">IF(LEFT(D15,MIN(FIND({0,1,2,3,4,5,6,7,8,9},D15&amp;"0123456789"))-1)="BEV",INDEX(BEV_Efficiency,MATCH(A15,BEV_Efficiency_VehClass,0),MATCH(E15,Lookup_Year,0)),IF(LEFT(D15,MIN(FIND({0,1,2,3,4,5,6,7,8,9},D15&amp;"0123456789"))-1)="PHEV",INDEX(PHEV_Efficiency,MATCH(A15,PHEV_Efficiency_VehClass,0),MATCH(E15,Lookup_Year,0)),IF(LEFT(D15,MIN(FIND({0,1,2,3,4,5,6,7,8,9},D15&amp;"0123456789"))-1)="FCEV",0,"Error")))</f>
        <v>312</v>
      </c>
      <c r="H15" s="22" cm="1">
        <f t="array" ref="H15">IF(LEFT(D15,MIN(FIND({0,1,2,3,4,5,6,7,8,9},D15&amp;"0123456789"))-1)="BEV",0,IF(LEFT(D15,MIN(FIND({0,1,2,3,4,5,6,7,8,9},D15&amp;"0123456789"))-1)="PHEV",0,IF(LEFT(D15,MIN(FIND({0,1,2,3,4,5,6,7,8,9},D15&amp;"0123456789"))-1)="FCEV",INDEX(FCEV_H2_Efficiency,MATCH(A15,FCEV_H2_Efficiency_VehClass,0),MATCH(E15,Lookup_Year,0)),"Error")))</f>
        <v>0</v>
      </c>
      <c r="I15" s="22" cm="1">
        <f t="array" ref="I15">IF(LEFT(D15,MIN(FIND({0,1,2,3,4,5,6,7,8,9},D15&amp;"0123456789"))-1)="BEV",INDEX(BEV_UBE,MATCH(A15,BEV_UBE_VehClass,0),MATCH(E15,Lookup_Year,0)),IF(LEFT(D15,MIN(FIND({0,1,2,3,4,5,6,7,8,9},D15&amp;"0123456789"))-1)="PHEV",INDEX(PHEV_UBE,MATCH(A15,PHEV_UBE_VehClass,0),MATCH(E15,Lookup_Year,0)),IF(LEFT(D15,MIN(FIND({0,1,2,3,4,5,6,7,8,9},D15&amp;"0123456789"))-1)="FCEV",INDEX(FCEV_UBE,MATCH(A15,FCEV_UBE_VehClass,0),MATCH(E15,Lookup_Year,0)))))</f>
        <v>15.6</v>
      </c>
      <c r="J15" s="22" cm="1">
        <f t="array" ref="J15">IF(LEFT(D15,MIN(FIND({0,1,2,3,4,5,6,7,8,9},D15&amp;"0123456789"))-1)="BEV",INDEX(BEV_TBE,MATCH(A15,BEV_TBE_VehClass,0),MATCH(E15,Lookup_Year,0)),IF(LEFT(D15,MIN(FIND({0,1,2,3,4,5,6,7,8,9},D15&amp;"0123456789"))-1)="PHEV",INDEX(PHEV_TBE,MATCH(A15,PHEV_TBE_VehClass,0),MATCH(E15,Lookup_Year,0)),IF(LEFT(D15,MIN(FIND({0,1,2,3,4,5,6,7,8,9},D15&amp;"0123456789"))-1)="FCEV",INDEX(FCEV_TBE,MATCH(A15,FCEV_TBE_VehClass,0),MATCH(E15,Lookup_Year,0)))))</f>
        <v>18.352941176470587</v>
      </c>
      <c r="K15" s="23" cm="1">
        <f t="array" ref="K15">IF(LEFT(D15,MIN(FIND({0,1,2,3,4,5,6,7,8,9},D15&amp;"0123456789"))-1)="BEV",INDEX(BEV_eMotor_Power,MATCH(A15,BEV_eMotor_Power_VehClass,0),MATCH(E15,Lookup_Year,0)),IF(LEFT(D15,MIN(FIND({0,1,2,3,4,5,6,7,8,9},D15&amp;"0123456789"))-1)="PHEV",INDEX(PHEV_eMotor_Power,MATCH(A15,PHEV_eMotor_Power_VehClass,0),MATCH(E15,Lookup_Year,0)),IF(LEFT(D15,MIN(FIND({0,1,2,3,4,5,6,7,8,9},D15&amp;"0123456789"))-1)="FCEV",INDEX(FCEV_eMotor_Power,MATCH(A15,FCEV_eMotor_Power_VehClass,0),MATCH(E15,Lookup_Year,0)))))</f>
        <v>128.9082479638009</v>
      </c>
      <c r="L15" s="27" cm="1">
        <f t="array" ref="L15">IF(LEFT(D15,MIN(FIND({0,1,2,3,4,5,6,7,8,9},D15&amp;"0123456789"))-1)="BEV",0,IF(LEFT(D15,MIN(FIND({0,1,2,3,4,5,6,7,8,9},D15&amp;"0123456789"))-1)="PHEV",0,IF(LEFT(D15,MIN(FIND({0,1,2,3,4,5,6,7,8,9},D15&amp;"0123456789"))-1)="FCEV",INDEX(FCEV_TankSize,MATCH(A15,FCEV_TankSize_VehClass,0),MATCH(E15,Lookup_Year,0)))))</f>
        <v>0</v>
      </c>
      <c r="M15" s="23" cm="1">
        <f t="array" ref="M15">IF(LEFT(D15,MIN(FIND({0,1,2,3,4,5,6,7,8,9},D15&amp;"0123456789"))-1)="BEV",0,IF(LEFT(D15,MIN(FIND({0,1,2,3,4,5,6,7,8,9},D15&amp;"0123456789"))-1)="PHEV",0,IF(LEFT(D15,MIN(FIND({0,1,2,3,4,5,6,7,8,9},D15&amp;"0123456789"))-1)="FCEV",INDEX(FCEV_StackSize,MATCH(A15,FCEV_StackSize_VehClass,0),MATCH(E15,Lookup_Year,0)))))</f>
        <v>0</v>
      </c>
      <c r="N15" s="23">
        <f>K15*'Non-Battery Cost Input'!$G$6</f>
        <v>270.70732072398192</v>
      </c>
      <c r="O15" s="45">
        <v>0</v>
      </c>
      <c r="P15" s="23">
        <f>K15*'Non-Battery Cost Input'!$G$10</f>
        <v>322.27061990950227</v>
      </c>
      <c r="Q15" s="45">
        <f>'Non-Battery Cost Input'!$H$12</f>
        <v>200</v>
      </c>
      <c r="R15" s="23">
        <f>((I15/8)*'Non-Battery Cost Input'!$G$13)+'Non-Battery Cost Input'!$H$13</f>
        <v>885.9</v>
      </c>
      <c r="S15" s="45">
        <v>0</v>
      </c>
      <c r="T15" s="45">
        <f>'Non-Battery Cost Input'!$H$15</f>
        <v>405</v>
      </c>
      <c r="U15" s="45">
        <f>'Non-Battery Cost Input'!$H$17</f>
        <v>185</v>
      </c>
      <c r="V15" s="45">
        <f>'Non-Battery Cost Input'!$H$16</f>
        <v>65</v>
      </c>
      <c r="W15" s="45">
        <f>'Non-Battery Cost Input'!$H$18</f>
        <v>180</v>
      </c>
      <c r="X15" s="45">
        <v>0</v>
      </c>
      <c r="Y15" s="23">
        <f t="shared" si="1"/>
        <v>2513.8779406334843</v>
      </c>
      <c r="Z15" s="23">
        <f>K15*'Vehicle Attributes Overview'!$A$3*'Non-Battery Cost Input'!$G$6*'Non-Battery Cost Input'!$H$8</f>
        <v>175.95975847058827</v>
      </c>
      <c r="AA15" s="45">
        <f>'Non-Battery Cost Input'!$H$9</f>
        <v>400</v>
      </c>
      <c r="AB15" s="23">
        <f>K15*'Vehicle Attributes Overview'!$A$3*'Non-Battery Cost Input'!$G$10</f>
        <v>161.13530995475114</v>
      </c>
      <c r="AC15" s="45">
        <f>'Non-Battery Cost Input'!$H$20</f>
        <v>25</v>
      </c>
      <c r="AD15" s="45">
        <f>'Non-Battery Cost Input'!$H$19</f>
        <v>300</v>
      </c>
      <c r="AE15" s="43">
        <f t="shared" si="2"/>
        <v>1062.0950684253394</v>
      </c>
    </row>
    <row r="16" spans="1:31" x14ac:dyDescent="0.3">
      <c r="A16" s="20" t="str">
        <f t="shared" si="0"/>
        <v>SmallSUVBasePHEV50</v>
      </c>
      <c r="B16" s="68" t="s">
        <v>83</v>
      </c>
      <c r="C16" s="45" t="s">
        <v>75</v>
      </c>
      <c r="D16" s="45" t="s">
        <v>91</v>
      </c>
      <c r="E16" s="45">
        <v>2025</v>
      </c>
      <c r="F16" s="68" t="str">
        <f>RIGHT(D16,LEN(D16)-MIN(FIND({0,1,2,3,4,5,6,7,8,9},D16&amp;"0123456789"))+1)</f>
        <v>50</v>
      </c>
      <c r="G16" s="23" cm="1">
        <f t="array" ref="G16">IF(LEFT(D16,MIN(FIND({0,1,2,3,4,5,6,7,8,9},D16&amp;"0123456789"))-1)="BEV",INDEX(BEV_Efficiency,MATCH(A16,BEV_Efficiency_VehClass,0),MATCH(E16,Lookup_Year,0)),IF(LEFT(D16,MIN(FIND({0,1,2,3,4,5,6,7,8,9},D16&amp;"0123456789"))-1)="PHEV",INDEX(PHEV_Efficiency,MATCH(A16,PHEV_Efficiency_VehClass,0),MATCH(E16,Lookup_Year,0)),IF(LEFT(D16,MIN(FIND({0,1,2,3,4,5,6,7,8,9},D16&amp;"0123456789"))-1)="FCEV",0,"Error")))</f>
        <v>358</v>
      </c>
      <c r="H16" s="22" cm="1">
        <f t="array" ref="H16">IF(LEFT(D16,MIN(FIND({0,1,2,3,4,5,6,7,8,9},D16&amp;"0123456789"))-1)="BEV",0,IF(LEFT(D16,MIN(FIND({0,1,2,3,4,5,6,7,8,9},D16&amp;"0123456789"))-1)="PHEV",0,IF(LEFT(D16,MIN(FIND({0,1,2,3,4,5,6,7,8,9},D16&amp;"0123456789"))-1)="FCEV",INDEX(FCEV_H2_Efficiency,MATCH(A16,FCEV_H2_Efficiency_VehClass,0),MATCH(E16,Lookup_Year,0)),"Error")))</f>
        <v>0</v>
      </c>
      <c r="I16" s="22" cm="1">
        <f t="array" ref="I16">IF(LEFT(D16,MIN(FIND({0,1,2,3,4,5,6,7,8,9},D16&amp;"0123456789"))-1)="BEV",INDEX(BEV_UBE,MATCH(A16,BEV_UBE_VehClass,0),MATCH(E16,Lookup_Year,0)),IF(LEFT(D16,MIN(FIND({0,1,2,3,4,5,6,7,8,9},D16&amp;"0123456789"))-1)="PHEV",INDEX(PHEV_UBE,MATCH(A16,PHEV_UBE_VehClass,0),MATCH(E16,Lookup_Year,0)),IF(LEFT(D16,MIN(FIND({0,1,2,3,4,5,6,7,8,9},D16&amp;"0123456789"))-1)="FCEV",INDEX(FCEV_UBE,MATCH(A16,FCEV_UBE_VehClass,0),MATCH(E16,Lookup_Year,0)))))</f>
        <v>17.899999999999999</v>
      </c>
      <c r="J16" s="22" cm="1">
        <f t="array" ref="J16">IF(LEFT(D16,MIN(FIND({0,1,2,3,4,5,6,7,8,9},D16&amp;"0123456789"))-1)="BEV",INDEX(BEV_TBE,MATCH(A16,BEV_TBE_VehClass,0),MATCH(E16,Lookup_Year,0)),IF(LEFT(D16,MIN(FIND({0,1,2,3,4,5,6,7,8,9},D16&amp;"0123456789"))-1)="PHEV",INDEX(PHEV_TBE,MATCH(A16,PHEV_TBE_VehClass,0),MATCH(E16,Lookup_Year,0)),IF(LEFT(D16,MIN(FIND({0,1,2,3,4,5,6,7,8,9},D16&amp;"0123456789"))-1)="FCEV",INDEX(FCEV_TBE,MATCH(A16,FCEV_TBE_VehClass,0),MATCH(E16,Lookup_Year,0)))))</f>
        <v>21.058823529411764</v>
      </c>
      <c r="K16" s="23" cm="1">
        <f t="array" ref="K16">IF(LEFT(D16,MIN(FIND({0,1,2,3,4,5,6,7,8,9},D16&amp;"0123456789"))-1)="BEV",INDEX(BEV_eMotor_Power,MATCH(A16,BEV_eMotor_Power_VehClass,0),MATCH(E16,Lookup_Year,0)),IF(LEFT(D16,MIN(FIND({0,1,2,3,4,5,6,7,8,9},D16&amp;"0123456789"))-1)="PHEV",INDEX(PHEV_eMotor_Power,MATCH(A16,PHEV_eMotor_Power_VehClass,0),MATCH(E16,Lookup_Year,0)),IF(LEFT(D16,MIN(FIND({0,1,2,3,4,5,6,7,8,9},D16&amp;"0123456789"))-1)="FCEV",INDEX(FCEV_eMotor_Power,MATCH(A16,FCEV_eMotor_Power_VehClass,0),MATCH(E16,Lookup_Year,0)))))</f>
        <v>132.83308867924529</v>
      </c>
      <c r="L16" s="27" cm="1">
        <f t="array" ref="L16">IF(LEFT(D16,MIN(FIND({0,1,2,3,4,5,6,7,8,9},D16&amp;"0123456789"))-1)="BEV",0,IF(LEFT(D16,MIN(FIND({0,1,2,3,4,5,6,7,8,9},D16&amp;"0123456789"))-1)="PHEV",0,IF(LEFT(D16,MIN(FIND({0,1,2,3,4,5,6,7,8,9},D16&amp;"0123456789"))-1)="FCEV",INDEX(FCEV_TankSize,MATCH(A16,FCEV_TankSize_VehClass,0),MATCH(E16,Lookup_Year,0)))))</f>
        <v>0</v>
      </c>
      <c r="M16" s="23" cm="1">
        <f t="array" ref="M16">IF(LEFT(D16,MIN(FIND({0,1,2,3,4,5,6,7,8,9},D16&amp;"0123456789"))-1)="BEV",0,IF(LEFT(D16,MIN(FIND({0,1,2,3,4,5,6,7,8,9},D16&amp;"0123456789"))-1)="PHEV",0,IF(LEFT(D16,MIN(FIND({0,1,2,3,4,5,6,7,8,9},D16&amp;"0123456789"))-1)="FCEV",INDEX(FCEV_StackSize,MATCH(A16,FCEV_StackSize_VehClass,0),MATCH(E16,Lookup_Year,0)))))</f>
        <v>0</v>
      </c>
      <c r="N16" s="23">
        <f>K16*'Non-Battery Cost Input'!$G$6</f>
        <v>278.9494862264151</v>
      </c>
      <c r="O16" s="45">
        <v>0</v>
      </c>
      <c r="P16" s="23">
        <f>K16*'Non-Battery Cost Input'!$G$10</f>
        <v>332.08272169811323</v>
      </c>
      <c r="Q16" s="45">
        <f>'Non-Battery Cost Input'!$H$12</f>
        <v>200</v>
      </c>
      <c r="R16" s="23">
        <f>((I16/8)*'Non-Battery Cost Input'!$G$13)+'Non-Battery Cost Input'!$H$13</f>
        <v>903.72500000000002</v>
      </c>
      <c r="S16" s="45">
        <v>0</v>
      </c>
      <c r="T16" s="45">
        <f>'Non-Battery Cost Input'!$H$15</f>
        <v>405</v>
      </c>
      <c r="U16" s="45">
        <f>'Non-Battery Cost Input'!$H$17</f>
        <v>185</v>
      </c>
      <c r="V16" s="45">
        <f>'Non-Battery Cost Input'!$H$16</f>
        <v>65</v>
      </c>
      <c r="W16" s="45">
        <f>'Non-Battery Cost Input'!$H$18</f>
        <v>180</v>
      </c>
      <c r="X16" s="45">
        <v>0</v>
      </c>
      <c r="Y16" s="23">
        <f t="shared" si="1"/>
        <v>2549.7572079245283</v>
      </c>
      <c r="Z16" s="23">
        <f>K16*'Vehicle Attributes Overview'!$A$3*'Non-Battery Cost Input'!$G$6*'Non-Battery Cost Input'!$H$8</f>
        <v>181.31716604716982</v>
      </c>
      <c r="AA16" s="45">
        <f>'Non-Battery Cost Input'!$H$9</f>
        <v>400</v>
      </c>
      <c r="AB16" s="23">
        <f>K16*'Vehicle Attributes Overview'!$A$3*'Non-Battery Cost Input'!$G$10</f>
        <v>166.04136084905662</v>
      </c>
      <c r="AC16" s="45">
        <f>'Non-Battery Cost Input'!$H$20</f>
        <v>25</v>
      </c>
      <c r="AD16" s="45">
        <f>'Non-Battery Cost Input'!$H$19</f>
        <v>300</v>
      </c>
      <c r="AE16" s="43">
        <f t="shared" si="2"/>
        <v>1072.3585268962265</v>
      </c>
    </row>
    <row r="17" spans="1:31" x14ac:dyDescent="0.3">
      <c r="A17" s="19" t="str">
        <f t="shared" si="0"/>
        <v>SmallSUVPremiumPHEV50</v>
      </c>
      <c r="B17" s="68" t="s">
        <v>83</v>
      </c>
      <c r="C17" s="45" t="s">
        <v>80</v>
      </c>
      <c r="D17" s="45" t="s">
        <v>91</v>
      </c>
      <c r="E17" s="45">
        <v>2025</v>
      </c>
      <c r="F17" s="68" t="str">
        <f>RIGHT(D17,LEN(D17)-MIN(FIND({0,1,2,3,4,5,6,7,8,9},D17&amp;"0123456789"))+1)</f>
        <v>50</v>
      </c>
      <c r="G17" s="23" cm="1">
        <f t="array" ref="G17">IF(LEFT(D17,MIN(FIND({0,1,2,3,4,5,6,7,8,9},D17&amp;"0123456789"))-1)="BEV",INDEX(BEV_Efficiency,MATCH(A17,BEV_Efficiency_VehClass,0),MATCH(E17,Lookup_Year,0)),IF(LEFT(D17,MIN(FIND({0,1,2,3,4,5,6,7,8,9},D17&amp;"0123456789"))-1)="PHEV",INDEX(PHEV_Efficiency,MATCH(A17,PHEV_Efficiency_VehClass,0),MATCH(E17,Lookup_Year,0)),IF(LEFT(D17,MIN(FIND({0,1,2,3,4,5,6,7,8,9},D17&amp;"0123456789"))-1)="FCEV",0,"Error")))</f>
        <v>358</v>
      </c>
      <c r="H17" s="22" cm="1">
        <f t="array" ref="H17">IF(LEFT(D17,MIN(FIND({0,1,2,3,4,5,6,7,8,9},D17&amp;"0123456789"))-1)="BEV",0,IF(LEFT(D17,MIN(FIND({0,1,2,3,4,5,6,7,8,9},D17&amp;"0123456789"))-1)="PHEV",0,IF(LEFT(D17,MIN(FIND({0,1,2,3,4,5,6,7,8,9},D17&amp;"0123456789"))-1)="FCEV",INDEX(FCEV_H2_Efficiency,MATCH(A17,FCEV_H2_Efficiency_VehClass,0),MATCH(E17,Lookup_Year,0)),"Error")))</f>
        <v>0</v>
      </c>
      <c r="I17" s="22" cm="1">
        <f t="array" ref="I17">IF(LEFT(D17,MIN(FIND({0,1,2,3,4,5,6,7,8,9},D17&amp;"0123456789"))-1)="BEV",INDEX(BEV_UBE,MATCH(A17,BEV_UBE_VehClass,0),MATCH(E17,Lookup_Year,0)),IF(LEFT(D17,MIN(FIND({0,1,2,3,4,5,6,7,8,9},D17&amp;"0123456789"))-1)="PHEV",INDEX(PHEV_UBE,MATCH(A17,PHEV_UBE_VehClass,0),MATCH(E17,Lookup_Year,0)),IF(LEFT(D17,MIN(FIND({0,1,2,3,4,5,6,7,8,9},D17&amp;"0123456789"))-1)="FCEV",INDEX(FCEV_UBE,MATCH(A17,FCEV_UBE_VehClass,0),MATCH(E17,Lookup_Year,0)))))</f>
        <v>17.899999999999999</v>
      </c>
      <c r="J17" s="22" cm="1">
        <f t="array" ref="J17">IF(LEFT(D17,MIN(FIND({0,1,2,3,4,5,6,7,8,9},D17&amp;"0123456789"))-1)="BEV",INDEX(BEV_TBE,MATCH(A17,BEV_TBE_VehClass,0),MATCH(E17,Lookup_Year,0)),IF(LEFT(D17,MIN(FIND({0,1,2,3,4,5,6,7,8,9},D17&amp;"0123456789"))-1)="PHEV",INDEX(PHEV_TBE,MATCH(A17,PHEV_TBE_VehClass,0),MATCH(E17,Lookup_Year,0)),IF(LEFT(D17,MIN(FIND({0,1,2,3,4,5,6,7,8,9},D17&amp;"0123456789"))-1)="FCEV",INDEX(FCEV_TBE,MATCH(A17,FCEV_TBE_VehClass,0),MATCH(E17,Lookup_Year,0)))))</f>
        <v>21.058823529411764</v>
      </c>
      <c r="K17" s="23" cm="1">
        <f t="array" ref="K17">IF(LEFT(D17,MIN(FIND({0,1,2,3,4,5,6,7,8,9},D17&amp;"0123456789"))-1)="BEV",INDEX(BEV_eMotor_Power,MATCH(A17,BEV_eMotor_Power_VehClass,0),MATCH(E17,Lookup_Year,0)),IF(LEFT(D17,MIN(FIND({0,1,2,3,4,5,6,7,8,9},D17&amp;"0123456789"))-1)="PHEV",INDEX(PHEV_eMotor_Power,MATCH(A17,PHEV_eMotor_Power_VehClass,0),MATCH(E17,Lookup_Year,0)),IF(LEFT(D17,MIN(FIND({0,1,2,3,4,5,6,7,8,9},D17&amp;"0123456789"))-1)="FCEV",INDEX(FCEV_eMotor_Power,MATCH(A17,FCEV_eMotor_Power_VehClass,0),MATCH(E17,Lookup_Year,0)))))</f>
        <v>132.83308867924529</v>
      </c>
      <c r="L17" s="27" cm="1">
        <f t="array" ref="L17">IF(LEFT(D17,MIN(FIND({0,1,2,3,4,5,6,7,8,9},D17&amp;"0123456789"))-1)="BEV",0,IF(LEFT(D17,MIN(FIND({0,1,2,3,4,5,6,7,8,9},D17&amp;"0123456789"))-1)="PHEV",0,IF(LEFT(D17,MIN(FIND({0,1,2,3,4,5,6,7,8,9},D17&amp;"0123456789"))-1)="FCEV",INDEX(FCEV_TankSize,MATCH(A17,FCEV_TankSize_VehClass,0),MATCH(E17,Lookup_Year,0)))))</f>
        <v>0</v>
      </c>
      <c r="M17" s="23" cm="1">
        <f t="array" ref="M17">IF(LEFT(D17,MIN(FIND({0,1,2,3,4,5,6,7,8,9},D17&amp;"0123456789"))-1)="BEV",0,IF(LEFT(D17,MIN(FIND({0,1,2,3,4,5,6,7,8,9},D17&amp;"0123456789"))-1)="PHEV",0,IF(LEFT(D17,MIN(FIND({0,1,2,3,4,5,6,7,8,9},D17&amp;"0123456789"))-1)="FCEV",INDEX(FCEV_StackSize,MATCH(A17,FCEV_StackSize_VehClass,0),MATCH(E17,Lookup_Year,0)))))</f>
        <v>0</v>
      </c>
      <c r="N17" s="23">
        <f>K17*'Non-Battery Cost Input'!$G$6</f>
        <v>278.9494862264151</v>
      </c>
      <c r="O17" s="45">
        <v>0</v>
      </c>
      <c r="P17" s="23">
        <f>K17*'Non-Battery Cost Input'!$G$10</f>
        <v>332.08272169811323</v>
      </c>
      <c r="Q17" s="45">
        <f>'Non-Battery Cost Input'!$H$12</f>
        <v>200</v>
      </c>
      <c r="R17" s="23">
        <f>((I17/8)*'Non-Battery Cost Input'!$G$13)+'Non-Battery Cost Input'!$H$13</f>
        <v>903.72500000000002</v>
      </c>
      <c r="S17" s="45">
        <v>0</v>
      </c>
      <c r="T17" s="45">
        <f>'Non-Battery Cost Input'!$H$15</f>
        <v>405</v>
      </c>
      <c r="U17" s="45">
        <f>'Non-Battery Cost Input'!$H$17</f>
        <v>185</v>
      </c>
      <c r="V17" s="45">
        <f>'Non-Battery Cost Input'!$H$16</f>
        <v>65</v>
      </c>
      <c r="W17" s="45">
        <f>'Non-Battery Cost Input'!$H$18</f>
        <v>180</v>
      </c>
      <c r="X17" s="45">
        <v>0</v>
      </c>
      <c r="Y17" s="23">
        <f t="shared" si="1"/>
        <v>2549.7572079245283</v>
      </c>
      <c r="Z17" s="23">
        <f>K17*'Vehicle Attributes Overview'!$A$3*'Non-Battery Cost Input'!$G$6*'Non-Battery Cost Input'!$H$8</f>
        <v>181.31716604716982</v>
      </c>
      <c r="AA17" s="45">
        <f>'Non-Battery Cost Input'!$H$9</f>
        <v>400</v>
      </c>
      <c r="AB17" s="23">
        <f>K17*'Vehicle Attributes Overview'!$A$3*'Non-Battery Cost Input'!$G$10</f>
        <v>166.04136084905662</v>
      </c>
      <c r="AC17" s="45">
        <f>'Non-Battery Cost Input'!$H$20</f>
        <v>25</v>
      </c>
      <c r="AD17" s="45">
        <f>'Non-Battery Cost Input'!$H$19</f>
        <v>300</v>
      </c>
      <c r="AE17" s="43">
        <f t="shared" si="2"/>
        <v>1072.3585268962265</v>
      </c>
    </row>
    <row r="18" spans="1:31" x14ac:dyDescent="0.3">
      <c r="A18" s="20" t="str">
        <f t="shared" si="0"/>
        <v>MedSUVBasePHEV50</v>
      </c>
      <c r="B18" s="68" t="s">
        <v>86</v>
      </c>
      <c r="C18" s="45" t="s">
        <v>75</v>
      </c>
      <c r="D18" s="45" t="s">
        <v>91</v>
      </c>
      <c r="E18" s="45">
        <v>2025</v>
      </c>
      <c r="F18" s="68" t="str">
        <f>RIGHT(D18,LEN(D18)-MIN(FIND({0,1,2,3,4,5,6,7,8,9},D18&amp;"0123456789"))+1)</f>
        <v>50</v>
      </c>
      <c r="G18" s="23" cm="1">
        <f t="array" ref="G18">IF(LEFT(D18,MIN(FIND({0,1,2,3,4,5,6,7,8,9},D18&amp;"0123456789"))-1)="BEV",INDEX(BEV_Efficiency,MATCH(A18,BEV_Efficiency_VehClass,0),MATCH(E18,Lookup_Year,0)),IF(LEFT(D18,MIN(FIND({0,1,2,3,4,5,6,7,8,9},D18&amp;"0123456789"))-1)="PHEV",INDEX(PHEV_Efficiency,MATCH(A18,PHEV_Efficiency_VehClass,0),MATCH(E18,Lookup_Year,0)),IF(LEFT(D18,MIN(FIND({0,1,2,3,4,5,6,7,8,9},D18&amp;"0123456789"))-1)="FCEV",0,"Error")))</f>
        <v>386</v>
      </c>
      <c r="H18" s="22" cm="1">
        <f t="array" ref="H18">IF(LEFT(D18,MIN(FIND({0,1,2,3,4,5,6,7,8,9},D18&amp;"0123456789"))-1)="BEV",0,IF(LEFT(D18,MIN(FIND({0,1,2,3,4,5,6,7,8,9},D18&amp;"0123456789"))-1)="PHEV",0,IF(LEFT(D18,MIN(FIND({0,1,2,3,4,5,6,7,8,9},D18&amp;"0123456789"))-1)="FCEV",INDEX(FCEV_H2_Efficiency,MATCH(A18,FCEV_H2_Efficiency_VehClass,0),MATCH(E18,Lookup_Year,0)),"Error")))</f>
        <v>0</v>
      </c>
      <c r="I18" s="22" cm="1">
        <f t="array" ref="I18">IF(LEFT(D18,MIN(FIND({0,1,2,3,4,5,6,7,8,9},D18&amp;"0123456789"))-1)="BEV",INDEX(BEV_UBE,MATCH(A18,BEV_UBE_VehClass,0),MATCH(E18,Lookup_Year,0)),IF(LEFT(D18,MIN(FIND({0,1,2,3,4,5,6,7,8,9},D18&amp;"0123456789"))-1)="PHEV",INDEX(PHEV_UBE,MATCH(A18,PHEV_UBE_VehClass,0),MATCH(E18,Lookup_Year,0)),IF(LEFT(D18,MIN(FIND({0,1,2,3,4,5,6,7,8,9},D18&amp;"0123456789"))-1)="FCEV",INDEX(FCEV_UBE,MATCH(A18,FCEV_UBE_VehClass,0),MATCH(E18,Lookup_Year,0)))))</f>
        <v>19.3</v>
      </c>
      <c r="J18" s="22" cm="1">
        <f t="array" ref="J18">IF(LEFT(D18,MIN(FIND({0,1,2,3,4,5,6,7,8,9},D18&amp;"0123456789"))-1)="BEV",INDEX(BEV_TBE,MATCH(A18,BEV_TBE_VehClass,0),MATCH(E18,Lookup_Year,0)),IF(LEFT(D18,MIN(FIND({0,1,2,3,4,5,6,7,8,9},D18&amp;"0123456789"))-1)="PHEV",INDEX(PHEV_TBE,MATCH(A18,PHEV_TBE_VehClass,0),MATCH(E18,Lookup_Year,0)),IF(LEFT(D18,MIN(FIND({0,1,2,3,4,5,6,7,8,9},D18&amp;"0123456789"))-1)="FCEV",INDEX(FCEV_TBE,MATCH(A18,FCEV_TBE_VehClass,0),MATCH(E18,Lookup_Year,0)))))</f>
        <v>22.705882352941178</v>
      </c>
      <c r="K18" s="23" cm="1">
        <f t="array" ref="K18">IF(LEFT(D18,MIN(FIND({0,1,2,3,4,5,6,7,8,9},D18&amp;"0123456789"))-1)="BEV",INDEX(BEV_eMotor_Power,MATCH(A18,BEV_eMotor_Power_VehClass,0),MATCH(E18,Lookup_Year,0)),IF(LEFT(D18,MIN(FIND({0,1,2,3,4,5,6,7,8,9},D18&amp;"0123456789"))-1)="PHEV",INDEX(PHEV_eMotor_Power,MATCH(A18,PHEV_eMotor_Power_VehClass,0),MATCH(E18,Lookup_Year,0)),IF(LEFT(D18,MIN(FIND({0,1,2,3,4,5,6,7,8,9},D18&amp;"0123456789"))-1)="FCEV",INDEX(FCEV_eMotor_Power,MATCH(A18,FCEV_eMotor_Power_VehClass,0),MATCH(E18,Lookup_Year,0)))))</f>
        <v>159.39828092105262</v>
      </c>
      <c r="L18" s="27" cm="1">
        <f t="array" ref="L18">IF(LEFT(D18,MIN(FIND({0,1,2,3,4,5,6,7,8,9},D18&amp;"0123456789"))-1)="BEV",0,IF(LEFT(D18,MIN(FIND({0,1,2,3,4,5,6,7,8,9},D18&amp;"0123456789"))-1)="PHEV",0,IF(LEFT(D18,MIN(FIND({0,1,2,3,4,5,6,7,8,9},D18&amp;"0123456789"))-1)="FCEV",INDEX(FCEV_TankSize,MATCH(A18,FCEV_TankSize_VehClass,0),MATCH(E18,Lookup_Year,0)))))</f>
        <v>0</v>
      </c>
      <c r="M18" s="23" cm="1">
        <f t="array" ref="M18">IF(LEFT(D18,MIN(FIND({0,1,2,3,4,5,6,7,8,9},D18&amp;"0123456789"))-1)="BEV",0,IF(LEFT(D18,MIN(FIND({0,1,2,3,4,5,6,7,8,9},D18&amp;"0123456789"))-1)="PHEV",0,IF(LEFT(D18,MIN(FIND({0,1,2,3,4,5,6,7,8,9},D18&amp;"0123456789"))-1)="FCEV",INDEX(FCEV_StackSize,MATCH(A18,FCEV_StackSize_VehClass,0),MATCH(E18,Lookup_Year,0)))))</f>
        <v>0</v>
      </c>
      <c r="N18" s="23">
        <f>K18*'Non-Battery Cost Input'!$G$6</f>
        <v>334.73638993421054</v>
      </c>
      <c r="O18" s="45">
        <v>0</v>
      </c>
      <c r="P18" s="23">
        <f>K18*'Non-Battery Cost Input'!$G$10</f>
        <v>398.49570230263157</v>
      </c>
      <c r="Q18" s="45">
        <f>'Non-Battery Cost Input'!$H$12</f>
        <v>200</v>
      </c>
      <c r="R18" s="23">
        <f>((I18/8)*'Non-Battery Cost Input'!$G$13)+'Non-Battery Cost Input'!$H$13</f>
        <v>914.57500000000005</v>
      </c>
      <c r="S18" s="45">
        <v>0</v>
      </c>
      <c r="T18" s="45">
        <f>'Non-Battery Cost Input'!$H$15</f>
        <v>405</v>
      </c>
      <c r="U18" s="45">
        <f>'Non-Battery Cost Input'!$H$17</f>
        <v>185</v>
      </c>
      <c r="V18" s="45">
        <f>'Non-Battery Cost Input'!$H$16</f>
        <v>65</v>
      </c>
      <c r="W18" s="45">
        <f>'Non-Battery Cost Input'!$H$18</f>
        <v>180</v>
      </c>
      <c r="X18" s="45">
        <v>0</v>
      </c>
      <c r="Y18" s="23">
        <f t="shared" si="1"/>
        <v>2682.8070922368424</v>
      </c>
      <c r="Z18" s="23">
        <f>K18*'Vehicle Attributes Overview'!$A$3*'Non-Battery Cost Input'!$G$6*'Non-Battery Cost Input'!$H$8</f>
        <v>217.57865345723687</v>
      </c>
      <c r="AA18" s="45">
        <f>'Non-Battery Cost Input'!$H$9</f>
        <v>400</v>
      </c>
      <c r="AB18" s="23">
        <f>K18*'Vehicle Attributes Overview'!$A$3*'Non-Battery Cost Input'!$G$10</f>
        <v>199.24785115131579</v>
      </c>
      <c r="AC18" s="45">
        <f>'Non-Battery Cost Input'!$H$20</f>
        <v>25</v>
      </c>
      <c r="AD18" s="45">
        <f>'Non-Battery Cost Input'!$H$19</f>
        <v>300</v>
      </c>
      <c r="AE18" s="43">
        <f t="shared" si="2"/>
        <v>1141.8265046085526</v>
      </c>
    </row>
    <row r="19" spans="1:31" x14ac:dyDescent="0.3">
      <c r="A19" s="19" t="str">
        <f t="shared" si="0"/>
        <v>MedSUVPremiumPHEV50</v>
      </c>
      <c r="B19" s="68" t="s">
        <v>86</v>
      </c>
      <c r="C19" s="45" t="s">
        <v>80</v>
      </c>
      <c r="D19" s="45" t="s">
        <v>91</v>
      </c>
      <c r="E19" s="45">
        <v>2025</v>
      </c>
      <c r="F19" s="68" t="str">
        <f>RIGHT(D19,LEN(D19)-MIN(FIND({0,1,2,3,4,5,6,7,8,9},D19&amp;"0123456789"))+1)</f>
        <v>50</v>
      </c>
      <c r="G19" s="23" cm="1">
        <f t="array" ref="G19">IF(LEFT(D19,MIN(FIND({0,1,2,3,4,5,6,7,8,9},D19&amp;"0123456789"))-1)="BEV",INDEX(BEV_Efficiency,MATCH(A19,BEV_Efficiency_VehClass,0),MATCH(E19,Lookup_Year,0)),IF(LEFT(D19,MIN(FIND({0,1,2,3,4,5,6,7,8,9},D19&amp;"0123456789"))-1)="PHEV",INDEX(PHEV_Efficiency,MATCH(A19,PHEV_Efficiency_VehClass,0),MATCH(E19,Lookup_Year,0)),IF(LEFT(D19,MIN(FIND({0,1,2,3,4,5,6,7,8,9},D19&amp;"0123456789"))-1)="FCEV",0,"Error")))</f>
        <v>386</v>
      </c>
      <c r="H19" s="22" cm="1">
        <f t="array" ref="H19">IF(LEFT(D19,MIN(FIND({0,1,2,3,4,5,6,7,8,9},D19&amp;"0123456789"))-1)="BEV",0,IF(LEFT(D19,MIN(FIND({0,1,2,3,4,5,6,7,8,9},D19&amp;"0123456789"))-1)="PHEV",0,IF(LEFT(D19,MIN(FIND({0,1,2,3,4,5,6,7,8,9},D19&amp;"0123456789"))-1)="FCEV",INDEX(FCEV_H2_Efficiency,MATCH(A19,FCEV_H2_Efficiency_VehClass,0),MATCH(E19,Lookup_Year,0)),"Error")))</f>
        <v>0</v>
      </c>
      <c r="I19" s="22" cm="1">
        <f t="array" ref="I19">IF(LEFT(D19,MIN(FIND({0,1,2,3,4,5,6,7,8,9},D19&amp;"0123456789"))-1)="BEV",INDEX(BEV_UBE,MATCH(A19,BEV_UBE_VehClass,0),MATCH(E19,Lookup_Year,0)),IF(LEFT(D19,MIN(FIND({0,1,2,3,4,5,6,7,8,9},D19&amp;"0123456789"))-1)="PHEV",INDEX(PHEV_UBE,MATCH(A19,PHEV_UBE_VehClass,0),MATCH(E19,Lookup_Year,0)),IF(LEFT(D19,MIN(FIND({0,1,2,3,4,5,6,7,8,9},D19&amp;"0123456789"))-1)="FCEV",INDEX(FCEV_UBE,MATCH(A19,FCEV_UBE_VehClass,0),MATCH(E19,Lookup_Year,0)))))</f>
        <v>19.3</v>
      </c>
      <c r="J19" s="22" cm="1">
        <f t="array" ref="J19">IF(LEFT(D19,MIN(FIND({0,1,2,3,4,5,6,7,8,9},D19&amp;"0123456789"))-1)="BEV",INDEX(BEV_TBE,MATCH(A19,BEV_TBE_VehClass,0),MATCH(E19,Lookup_Year,0)),IF(LEFT(D19,MIN(FIND({0,1,2,3,4,5,6,7,8,9},D19&amp;"0123456789"))-1)="PHEV",INDEX(PHEV_TBE,MATCH(A19,PHEV_TBE_VehClass,0),MATCH(E19,Lookup_Year,0)),IF(LEFT(D19,MIN(FIND({0,1,2,3,4,5,6,7,8,9},D19&amp;"0123456789"))-1)="FCEV",INDEX(FCEV_TBE,MATCH(A19,FCEV_TBE_VehClass,0),MATCH(E19,Lookup_Year,0)))))</f>
        <v>22.705882352941178</v>
      </c>
      <c r="K19" s="23" cm="1">
        <f t="array" ref="K19">IF(LEFT(D19,MIN(FIND({0,1,2,3,4,5,6,7,8,9},D19&amp;"0123456789"))-1)="BEV",INDEX(BEV_eMotor_Power,MATCH(A19,BEV_eMotor_Power_VehClass,0),MATCH(E19,Lookup_Year,0)),IF(LEFT(D19,MIN(FIND({0,1,2,3,4,5,6,7,8,9},D19&amp;"0123456789"))-1)="PHEV",INDEX(PHEV_eMotor_Power,MATCH(A19,PHEV_eMotor_Power_VehClass,0),MATCH(E19,Lookup_Year,0)),IF(LEFT(D19,MIN(FIND({0,1,2,3,4,5,6,7,8,9},D19&amp;"0123456789"))-1)="FCEV",INDEX(FCEV_eMotor_Power,MATCH(A19,FCEV_eMotor_Power_VehClass,0),MATCH(E19,Lookup_Year,0)))))</f>
        <v>159.39828092105262</v>
      </c>
      <c r="L19" s="27" cm="1">
        <f t="array" ref="L19">IF(LEFT(D19,MIN(FIND({0,1,2,3,4,5,6,7,8,9},D19&amp;"0123456789"))-1)="BEV",0,IF(LEFT(D19,MIN(FIND({0,1,2,3,4,5,6,7,8,9},D19&amp;"0123456789"))-1)="PHEV",0,IF(LEFT(D19,MIN(FIND({0,1,2,3,4,5,6,7,8,9},D19&amp;"0123456789"))-1)="FCEV",INDEX(FCEV_TankSize,MATCH(A19,FCEV_TankSize_VehClass,0),MATCH(E19,Lookup_Year,0)))))</f>
        <v>0</v>
      </c>
      <c r="M19" s="23" cm="1">
        <f t="array" ref="M19">IF(LEFT(D19,MIN(FIND({0,1,2,3,4,5,6,7,8,9},D19&amp;"0123456789"))-1)="BEV",0,IF(LEFT(D19,MIN(FIND({0,1,2,3,4,5,6,7,8,9},D19&amp;"0123456789"))-1)="PHEV",0,IF(LEFT(D19,MIN(FIND({0,1,2,3,4,5,6,7,8,9},D19&amp;"0123456789"))-1)="FCEV",INDEX(FCEV_StackSize,MATCH(A19,FCEV_StackSize_VehClass,0),MATCH(E19,Lookup_Year,0)))))</f>
        <v>0</v>
      </c>
      <c r="N19" s="23">
        <f>K19*'Non-Battery Cost Input'!$G$6</f>
        <v>334.73638993421054</v>
      </c>
      <c r="O19" s="45">
        <v>0</v>
      </c>
      <c r="P19" s="23">
        <f>K19*'Non-Battery Cost Input'!$G$10</f>
        <v>398.49570230263157</v>
      </c>
      <c r="Q19" s="45">
        <f>'Non-Battery Cost Input'!$H$12</f>
        <v>200</v>
      </c>
      <c r="R19" s="23">
        <f>((I19/8)*'Non-Battery Cost Input'!$G$13)+'Non-Battery Cost Input'!$H$13</f>
        <v>914.57500000000005</v>
      </c>
      <c r="S19" s="45">
        <v>0</v>
      </c>
      <c r="T19" s="45">
        <f>'Non-Battery Cost Input'!$H$15</f>
        <v>405</v>
      </c>
      <c r="U19" s="45">
        <f>'Non-Battery Cost Input'!$H$17</f>
        <v>185</v>
      </c>
      <c r="V19" s="45">
        <f>'Non-Battery Cost Input'!$H$16</f>
        <v>65</v>
      </c>
      <c r="W19" s="45">
        <f>'Non-Battery Cost Input'!$H$18</f>
        <v>180</v>
      </c>
      <c r="X19" s="45">
        <v>0</v>
      </c>
      <c r="Y19" s="23">
        <f t="shared" si="1"/>
        <v>2682.8070922368424</v>
      </c>
      <c r="Z19" s="23">
        <v>0</v>
      </c>
      <c r="AA19" s="45">
        <v>0</v>
      </c>
      <c r="AB19" s="23">
        <v>0</v>
      </c>
      <c r="AC19" s="45">
        <v>0</v>
      </c>
      <c r="AD19" s="45">
        <v>0</v>
      </c>
      <c r="AE19" s="43">
        <f t="shared" si="2"/>
        <v>0</v>
      </c>
    </row>
    <row r="20" spans="1:31" x14ac:dyDescent="0.3">
      <c r="A20" s="20" t="str">
        <f t="shared" si="0"/>
        <v>PickupBasePHEV50</v>
      </c>
      <c r="B20" s="68" t="s">
        <v>89</v>
      </c>
      <c r="C20" s="45" t="s">
        <v>75</v>
      </c>
      <c r="D20" s="45" t="s">
        <v>91</v>
      </c>
      <c r="E20" s="45">
        <v>2025</v>
      </c>
      <c r="F20" s="68" t="str">
        <f>RIGHT(D20,LEN(D20)-MIN(FIND({0,1,2,3,4,5,6,7,8,9},D20&amp;"0123456789"))+1)</f>
        <v>50</v>
      </c>
      <c r="G20" s="23" cm="1">
        <f t="array" ref="G20">IF(LEFT(D20,MIN(FIND({0,1,2,3,4,5,6,7,8,9},D20&amp;"0123456789"))-1)="BEV",INDEX(BEV_Efficiency,MATCH(A20,BEV_Efficiency_VehClass,0),MATCH(E20,Lookup_Year,0)),IF(LEFT(D20,MIN(FIND({0,1,2,3,4,5,6,7,8,9},D20&amp;"0123456789"))-1)="PHEV",INDEX(PHEV_Efficiency,MATCH(A20,PHEV_Efficiency_VehClass,0),MATCH(E20,Lookup_Year,0)),IF(LEFT(D20,MIN(FIND({0,1,2,3,4,5,6,7,8,9},D20&amp;"0123456789"))-1)="FCEV",0,"Error")))</f>
        <v>463</v>
      </c>
      <c r="H20" s="22" cm="1">
        <f t="array" ref="H20">IF(LEFT(D20,MIN(FIND({0,1,2,3,4,5,6,7,8,9},D20&amp;"0123456789"))-1)="BEV",0,IF(LEFT(D20,MIN(FIND({0,1,2,3,4,5,6,7,8,9},D20&amp;"0123456789"))-1)="PHEV",0,IF(LEFT(D20,MIN(FIND({0,1,2,3,4,5,6,7,8,9},D20&amp;"0123456789"))-1)="FCEV",INDEX(FCEV_H2_Efficiency,MATCH(A20,FCEV_H2_Efficiency_VehClass,0),MATCH(E20,Lookup_Year,0)),"Error")))</f>
        <v>0</v>
      </c>
      <c r="I20" s="22" cm="1">
        <f t="array" ref="I20">IF(LEFT(D20,MIN(FIND({0,1,2,3,4,5,6,7,8,9},D20&amp;"0123456789"))-1)="BEV",INDEX(BEV_UBE,MATCH(A20,BEV_UBE_VehClass,0),MATCH(E20,Lookup_Year,0)),IF(LEFT(D20,MIN(FIND({0,1,2,3,4,5,6,7,8,9},D20&amp;"0123456789"))-1)="PHEV",INDEX(PHEV_UBE,MATCH(A20,PHEV_UBE_VehClass,0),MATCH(E20,Lookup_Year,0)),IF(LEFT(D20,MIN(FIND({0,1,2,3,4,5,6,7,8,9},D20&amp;"0123456789"))-1)="FCEV",INDEX(FCEV_UBE,MATCH(A20,FCEV_UBE_VehClass,0),MATCH(E20,Lookup_Year,0)))))</f>
        <v>23.15</v>
      </c>
      <c r="J20" s="22" cm="1">
        <f t="array" ref="J20">IF(LEFT(D20,MIN(FIND({0,1,2,3,4,5,6,7,8,9},D20&amp;"0123456789"))-1)="BEV",INDEX(BEV_TBE,MATCH(A20,BEV_TBE_VehClass,0),MATCH(E20,Lookup_Year,0)),IF(LEFT(D20,MIN(FIND({0,1,2,3,4,5,6,7,8,9},D20&amp;"0123456789"))-1)="PHEV",INDEX(PHEV_TBE,MATCH(A20,PHEV_TBE_VehClass,0),MATCH(E20,Lookup_Year,0)),IF(LEFT(D20,MIN(FIND({0,1,2,3,4,5,6,7,8,9},D20&amp;"0123456789"))-1)="FCEV",INDEX(FCEV_TBE,MATCH(A20,FCEV_TBE_VehClass,0),MATCH(E20,Lookup_Year,0)))))</f>
        <v>27.235294117647058</v>
      </c>
      <c r="K20" s="23" cm="1">
        <f t="array" ref="K20">IF(LEFT(D20,MIN(FIND({0,1,2,3,4,5,6,7,8,9},D20&amp;"0123456789"))-1)="BEV",INDEX(BEV_eMotor_Power,MATCH(A20,BEV_eMotor_Power_VehClass,0),MATCH(E20,Lookup_Year,0)),IF(LEFT(D20,MIN(FIND({0,1,2,3,4,5,6,7,8,9},D20&amp;"0123456789"))-1)="PHEV",INDEX(PHEV_eMotor_Power,MATCH(A20,PHEV_eMotor_Power_VehClass,0),MATCH(E20,Lookup_Year,0)),IF(LEFT(D20,MIN(FIND({0,1,2,3,4,5,6,7,8,9},D20&amp;"0123456789"))-1)="FCEV",INDEX(FCEV_eMotor_Power,MATCH(A20,FCEV_eMotor_Power_VehClass,0),MATCH(E20,Lookup_Year,0)))))</f>
        <v>207.35573371428572</v>
      </c>
      <c r="L20" s="27" cm="1">
        <f t="array" ref="L20">IF(LEFT(D20,MIN(FIND({0,1,2,3,4,5,6,7,8,9},D20&amp;"0123456789"))-1)="BEV",0,IF(LEFT(D20,MIN(FIND({0,1,2,3,4,5,6,7,8,9},D20&amp;"0123456789"))-1)="PHEV",0,IF(LEFT(D20,MIN(FIND({0,1,2,3,4,5,6,7,8,9},D20&amp;"0123456789"))-1)="FCEV",INDEX(FCEV_TankSize,MATCH(A20,FCEV_TankSize_VehClass,0),MATCH(E20,Lookup_Year,0)))))</f>
        <v>0</v>
      </c>
      <c r="M20" s="23" cm="1">
        <f t="array" ref="M20">IF(LEFT(D20,MIN(FIND({0,1,2,3,4,5,6,7,8,9},D20&amp;"0123456789"))-1)="BEV",0,IF(LEFT(D20,MIN(FIND({0,1,2,3,4,5,6,7,8,9},D20&amp;"0123456789"))-1)="PHEV",0,IF(LEFT(D20,MIN(FIND({0,1,2,3,4,5,6,7,8,9},D20&amp;"0123456789"))-1)="FCEV",INDEX(FCEV_StackSize,MATCH(A20,FCEV_StackSize_VehClass,0),MATCH(E20,Lookup_Year,0)))))</f>
        <v>0</v>
      </c>
      <c r="N20" s="23">
        <f>K20*'Non-Battery Cost Input'!$G$6</f>
        <v>435.44704080000002</v>
      </c>
      <c r="O20" s="45">
        <v>0</v>
      </c>
      <c r="P20" s="23">
        <f>K20*'Non-Battery Cost Input'!$G$10</f>
        <v>518.38933428571431</v>
      </c>
      <c r="Q20" s="45">
        <f>'Non-Battery Cost Input'!$H$12</f>
        <v>200</v>
      </c>
      <c r="R20" s="23">
        <f>((I20/8)*'Non-Battery Cost Input'!$G$13)+'Non-Battery Cost Input'!$H$13</f>
        <v>944.41250000000002</v>
      </c>
      <c r="S20" s="45">
        <v>0</v>
      </c>
      <c r="T20" s="45">
        <f>'Non-Battery Cost Input'!$H$15</f>
        <v>405</v>
      </c>
      <c r="U20" s="45">
        <f>'Non-Battery Cost Input'!$H$17</f>
        <v>185</v>
      </c>
      <c r="V20" s="45">
        <f>'Non-Battery Cost Input'!$H$16</f>
        <v>65</v>
      </c>
      <c r="W20" s="45">
        <f>'Non-Battery Cost Input'!$H$18</f>
        <v>180</v>
      </c>
      <c r="X20" s="45">
        <v>0</v>
      </c>
      <c r="Y20" s="23">
        <f t="shared" si="1"/>
        <v>2933.2488750857142</v>
      </c>
      <c r="Z20" s="23">
        <v>0</v>
      </c>
      <c r="AA20" s="45">
        <v>0</v>
      </c>
      <c r="AB20" s="23">
        <v>0</v>
      </c>
      <c r="AC20" s="45">
        <v>0</v>
      </c>
      <c r="AD20" s="45">
        <v>0</v>
      </c>
      <c r="AE20" s="43">
        <f t="shared" si="2"/>
        <v>0</v>
      </c>
    </row>
    <row r="21" spans="1:31" x14ac:dyDescent="0.3">
      <c r="A21" s="19" t="str">
        <f t="shared" si="0"/>
        <v>PickupHTPHEV50</v>
      </c>
      <c r="B21" s="68" t="s">
        <v>89</v>
      </c>
      <c r="C21" s="45" t="s">
        <v>113</v>
      </c>
      <c r="D21" s="45" t="s">
        <v>91</v>
      </c>
      <c r="E21" s="45">
        <v>2025</v>
      </c>
      <c r="F21" s="68" t="str">
        <f>RIGHT(D21,LEN(D21)-MIN(FIND({0,1,2,3,4,5,6,7,8,9},D21&amp;"0123456789"))+1)</f>
        <v>50</v>
      </c>
      <c r="G21" s="23" cm="1">
        <f t="array" ref="G21">IF(LEFT(D21,MIN(FIND({0,1,2,3,4,5,6,7,8,9},D21&amp;"0123456789"))-1)="BEV",INDEX(BEV_Efficiency,MATCH(A21,BEV_Efficiency_VehClass,0),MATCH(E21,Lookup_Year,0)),IF(LEFT(D21,MIN(FIND({0,1,2,3,4,5,6,7,8,9},D21&amp;"0123456789"))-1)="PHEV",INDEX(PHEV_Efficiency,MATCH(A21,PHEV_Efficiency_VehClass,0),MATCH(E21,Lookup_Year,0)),IF(LEFT(D21,MIN(FIND({0,1,2,3,4,5,6,7,8,9},D21&amp;"0123456789"))-1)="FCEV",0,"Error")))</f>
        <v>463</v>
      </c>
      <c r="H21" s="22" cm="1">
        <f t="array" ref="H21">IF(LEFT(D21,MIN(FIND({0,1,2,3,4,5,6,7,8,9},D21&amp;"0123456789"))-1)="BEV",0,IF(LEFT(D21,MIN(FIND({0,1,2,3,4,5,6,7,8,9},D21&amp;"0123456789"))-1)="PHEV",0,IF(LEFT(D21,MIN(FIND({0,1,2,3,4,5,6,7,8,9},D21&amp;"0123456789"))-1)="FCEV",INDEX(FCEV_H2_Efficiency,MATCH(A21,FCEV_H2_Efficiency_VehClass,0),MATCH(E21,Lookup_Year,0)),"Error")))</f>
        <v>0</v>
      </c>
      <c r="I21" s="22" cm="1">
        <f t="array" ref="I21">IF(LEFT(D21,MIN(FIND({0,1,2,3,4,5,6,7,8,9},D21&amp;"0123456789"))-1)="BEV",INDEX(BEV_UBE,MATCH(A21,BEV_UBE_VehClass,0),MATCH(E21,Lookup_Year,0)),IF(LEFT(D21,MIN(FIND({0,1,2,3,4,5,6,7,8,9},D21&amp;"0123456789"))-1)="PHEV",INDEX(PHEV_UBE,MATCH(A21,PHEV_UBE_VehClass,0),MATCH(E21,Lookup_Year,0)),IF(LEFT(D21,MIN(FIND({0,1,2,3,4,5,6,7,8,9},D21&amp;"0123456789"))-1)="FCEV",INDEX(FCEV_UBE,MATCH(A21,FCEV_UBE_VehClass,0),MATCH(E21,Lookup_Year,0)))))</f>
        <v>23.15</v>
      </c>
      <c r="J21" s="22" cm="1">
        <f t="array" ref="J21">IF(LEFT(D21,MIN(FIND({0,1,2,3,4,5,6,7,8,9},D21&amp;"0123456789"))-1)="BEV",INDEX(BEV_TBE,MATCH(A21,BEV_TBE_VehClass,0),MATCH(E21,Lookup_Year,0)),IF(LEFT(D21,MIN(FIND({0,1,2,3,4,5,6,7,8,9},D21&amp;"0123456789"))-1)="PHEV",INDEX(PHEV_TBE,MATCH(A21,PHEV_TBE_VehClass,0),MATCH(E21,Lookup_Year,0)),IF(LEFT(D21,MIN(FIND({0,1,2,3,4,5,6,7,8,9},D21&amp;"0123456789"))-1)="FCEV",INDEX(FCEV_TBE,MATCH(A21,FCEV_TBE_VehClass,0),MATCH(E21,Lookup_Year,0)))))</f>
        <v>27.235294117647058</v>
      </c>
      <c r="K21" s="23" cm="1">
        <f t="array" ref="K21">IF(LEFT(D21,MIN(FIND({0,1,2,3,4,5,6,7,8,9},D21&amp;"0123456789"))-1)="BEV",INDEX(BEV_eMotor_Power,MATCH(A21,BEV_eMotor_Power_VehClass,0),MATCH(E21,Lookup_Year,0)),IF(LEFT(D21,MIN(FIND({0,1,2,3,4,5,6,7,8,9},D21&amp;"0123456789"))-1)="PHEV",INDEX(PHEV_eMotor_Power,MATCH(A21,PHEV_eMotor_Power_VehClass,0),MATCH(E21,Lookup_Year,0)),IF(LEFT(D21,MIN(FIND({0,1,2,3,4,5,6,7,8,9},D21&amp;"0123456789"))-1)="FCEV",INDEX(FCEV_eMotor_Power,MATCH(A21,FCEV_eMotor_Power_VehClass,0),MATCH(E21,Lookup_Year,0)))))</f>
        <v>207.35573371428572</v>
      </c>
      <c r="L21" s="27" cm="1">
        <f t="array" ref="L21">IF(LEFT(D21,MIN(FIND({0,1,2,3,4,5,6,7,8,9},D21&amp;"0123456789"))-1)="BEV",0,IF(LEFT(D21,MIN(FIND({0,1,2,3,4,5,6,7,8,9},D21&amp;"0123456789"))-1)="PHEV",0,IF(LEFT(D21,MIN(FIND({0,1,2,3,4,5,6,7,8,9},D21&amp;"0123456789"))-1)="FCEV",INDEX(FCEV_TankSize,MATCH(A21,FCEV_TankSize_VehClass,0),MATCH(E21,Lookup_Year,0)))))</f>
        <v>0</v>
      </c>
      <c r="M21" s="23" cm="1">
        <f t="array" ref="M21">IF(LEFT(D21,MIN(FIND({0,1,2,3,4,5,6,7,8,9},D21&amp;"0123456789"))-1)="BEV",0,IF(LEFT(D21,MIN(FIND({0,1,2,3,4,5,6,7,8,9},D21&amp;"0123456789"))-1)="PHEV",0,IF(LEFT(D21,MIN(FIND({0,1,2,3,4,5,6,7,8,9},D21&amp;"0123456789"))-1)="FCEV",INDEX(FCEV_StackSize,MATCH(A21,FCEV_StackSize_VehClass,0),MATCH(E21,Lookup_Year,0)))))</f>
        <v>0</v>
      </c>
      <c r="N21" s="23">
        <f>K21*'Non-Battery Cost Input'!$G$6</f>
        <v>435.44704080000002</v>
      </c>
      <c r="O21" s="45">
        <v>0</v>
      </c>
      <c r="P21" s="23">
        <f>K21*'Non-Battery Cost Input'!$G$10</f>
        <v>518.38933428571431</v>
      </c>
      <c r="Q21" s="45">
        <f>'Non-Battery Cost Input'!$H$12</f>
        <v>200</v>
      </c>
      <c r="R21" s="23">
        <f>((I21/8)*'Non-Battery Cost Input'!$G$13)+'Non-Battery Cost Input'!$H$13</f>
        <v>944.41250000000002</v>
      </c>
      <c r="S21" s="45">
        <v>0</v>
      </c>
      <c r="T21" s="45">
        <f>'Non-Battery Cost Input'!$H$15</f>
        <v>405</v>
      </c>
      <c r="U21" s="45">
        <f>'Non-Battery Cost Input'!$H$17</f>
        <v>185</v>
      </c>
      <c r="V21" s="45">
        <f>'Non-Battery Cost Input'!$H$16</f>
        <v>65</v>
      </c>
      <c r="W21" s="45">
        <f>'Non-Battery Cost Input'!$H$18</f>
        <v>180</v>
      </c>
      <c r="X21" s="45">
        <v>0</v>
      </c>
      <c r="Y21" s="23">
        <f t="shared" si="1"/>
        <v>2933.2488750857142</v>
      </c>
      <c r="Z21" s="23">
        <v>0</v>
      </c>
      <c r="AA21" s="45">
        <v>0</v>
      </c>
      <c r="AB21" s="23">
        <v>0</v>
      </c>
      <c r="AC21" s="45">
        <v>0</v>
      </c>
      <c r="AD21" s="45">
        <v>0</v>
      </c>
      <c r="AE21" s="43">
        <f t="shared" si="2"/>
        <v>0</v>
      </c>
    </row>
    <row r="22" spans="1:31" x14ac:dyDescent="0.3">
      <c r="A22" s="20" t="str">
        <f t="shared" si="0"/>
        <v>SmallCarBaseFCEV320</v>
      </c>
      <c r="B22" s="68" t="s">
        <v>73</v>
      </c>
      <c r="C22" s="45" t="s">
        <v>75</v>
      </c>
      <c r="D22" s="45" t="s">
        <v>96</v>
      </c>
      <c r="E22" s="45">
        <v>2025</v>
      </c>
      <c r="F22" s="68" t="str">
        <f>RIGHT(D22,LEN(D22)-MIN(FIND({0,1,2,3,4,5,6,7,8,9},D22&amp;"0123456789"))+1)</f>
        <v>320</v>
      </c>
      <c r="G22" s="23" cm="1">
        <f t="array" ref="G22">IF(LEFT(D22,MIN(FIND({0,1,2,3,4,5,6,7,8,9},D22&amp;"0123456789"))-1)="BEV",INDEX(BEV_Efficiency,MATCH(A22,BEV_Efficiency_VehClass,0),MATCH(E22,Lookup_Year,0)),IF(LEFT(D22,MIN(FIND({0,1,2,3,4,5,6,7,8,9},D22&amp;"0123456789"))-1)="PHEV",INDEX(PHEV_Efficiency,MATCH(A22,PHEV_Efficiency_VehClass,0),MATCH(E22,Lookup_Year,0)),IF(LEFT(D22,MIN(FIND({0,1,2,3,4,5,6,7,8,9},D22&amp;"0123456789"))-1)="FCEV",0,"Error")))</f>
        <v>0</v>
      </c>
      <c r="H22" s="22" cm="1">
        <f t="array" ref="H22">IF(LEFT(D22,MIN(FIND({0,1,2,3,4,5,6,7,8,9},D22&amp;"0123456789"))-1)="BEV",0,IF(LEFT(D22,MIN(FIND({0,1,2,3,4,5,6,7,8,9},D22&amp;"0123456789"))-1)="PHEV",0,IF(LEFT(D22,MIN(FIND({0,1,2,3,4,5,6,7,8,9},D22&amp;"0123456789"))-1)="FCEV",INDEX(FCEV_H2_Efficiency,MATCH(A22,FCEV_H2_Efficiency_VehClass,0),MATCH(E22,Lookup_Year,0)),"Error")))</f>
        <v>13.86875</v>
      </c>
      <c r="I22" s="22" cm="1">
        <f t="array" ref="I22">IF(LEFT(D22,MIN(FIND({0,1,2,3,4,5,6,7,8,9},D22&amp;"0123456789"))-1)="BEV",INDEX(BEV_UBE,MATCH(A22,BEV_UBE_VehClass,0),MATCH(E22,Lookup_Year,0)),IF(LEFT(D22,MIN(FIND({0,1,2,3,4,5,6,7,8,9},D22&amp;"0123456789"))-1)="PHEV",INDEX(PHEV_UBE,MATCH(A22,PHEV_UBE_VehClass,0),MATCH(E22,Lookup_Year,0)),IF(LEFT(D22,MIN(FIND({0,1,2,3,4,5,6,7,8,9},D22&amp;"0123456789"))-1)="FCEV",INDEX(FCEV_UBE,MATCH(A22,FCEV_UBE_VehClass,0),MATCH(E22,Lookup_Year,0)))))</f>
        <v>1.4039999999999999</v>
      </c>
      <c r="J22" s="22" cm="1">
        <f t="array" ref="J22">IF(LEFT(D22,MIN(FIND({0,1,2,3,4,5,6,7,8,9},D22&amp;"0123456789"))-1)="BEV",INDEX(BEV_TBE,MATCH(A22,BEV_TBE_VehClass,0),MATCH(E22,Lookup_Year,0)),IF(LEFT(D22,MIN(FIND({0,1,2,3,4,5,6,7,8,9},D22&amp;"0123456789"))-1)="PHEV",INDEX(PHEV_TBE,MATCH(A22,PHEV_TBE_VehClass,0),MATCH(E22,Lookup_Year,0)),IF(LEFT(D22,MIN(FIND({0,1,2,3,4,5,6,7,8,9},D22&amp;"0123456789"))-1)="FCEV",INDEX(FCEV_TBE,MATCH(A22,FCEV_TBE_VehClass,0),MATCH(E22,Lookup_Year,0)))))</f>
        <v>1.4039999999999999</v>
      </c>
      <c r="K22" s="23" cm="1">
        <f t="array" ref="K22">IF(LEFT(D22,MIN(FIND({0,1,2,3,4,5,6,7,8,9},D22&amp;"0123456789"))-1)="BEV",INDEX(BEV_eMotor_Power,MATCH(A22,BEV_eMotor_Power_VehClass,0),MATCH(E22,Lookup_Year,0)),IF(LEFT(D22,MIN(FIND({0,1,2,3,4,5,6,7,8,9},D22&amp;"0123456789"))-1)="PHEV",INDEX(PHEV_eMotor_Power,MATCH(A22,PHEV_eMotor_Power_VehClass,0),MATCH(E22,Lookup_Year,0)),IF(LEFT(D22,MIN(FIND({0,1,2,3,4,5,6,7,8,9},D22&amp;"0123456789"))-1)="FCEV",INDEX(FCEV_eMotor_Power,MATCH(A22,FCEV_eMotor_Power_VehClass,0),MATCH(E22,Lookup_Year,0)))))</f>
        <v>96.299000000000007</v>
      </c>
      <c r="L22" s="27" cm="1">
        <f t="array" ref="L22">IF(LEFT(D22,MIN(FIND({0,1,2,3,4,5,6,7,8,9},D22&amp;"0123456789"))-1)="BEV",0,IF(LEFT(D22,MIN(FIND({0,1,2,3,4,5,6,7,8,9},D22&amp;"0123456789"))-1)="PHEV",0,IF(LEFT(D22,MIN(FIND({0,1,2,3,4,5,6,7,8,9},D22&amp;"0123456789"))-1)="FCEV",INDEX(FCEV_TankSize,MATCH(A22,FCEV_TankSize_VehClass,0),MATCH(E22,Lookup_Year,0)))))</f>
        <v>4.4379999999999997</v>
      </c>
      <c r="M22" s="23" cm="1">
        <f t="array" ref="M22">IF(LEFT(D22,MIN(FIND({0,1,2,3,4,5,6,7,8,9},D22&amp;"0123456789"))-1)="BEV",0,IF(LEFT(D22,MIN(FIND({0,1,2,3,4,5,6,7,8,9},D22&amp;"0123456789"))-1)="PHEV",0,IF(LEFT(D22,MIN(FIND({0,1,2,3,4,5,6,7,8,9},D22&amp;"0123456789"))-1)="FCEV",INDEX(FCEV_StackSize,MATCH(A22,FCEV_StackSize_VehClass,0),MATCH(E22,Lookup_Year,0)))))</f>
        <v>87.918000000000006</v>
      </c>
      <c r="N22" s="23">
        <f>K22*'Non-Battery Cost Input'!$G$5*'Non-Battery Cost Input'!$H$7</f>
        <v>381.34404000000012</v>
      </c>
      <c r="O22" s="45">
        <f>'Non-Battery Cost Input'!$H$9</f>
        <v>400</v>
      </c>
      <c r="P22" s="23">
        <f>K22*'Non-Battery Cost Input'!$G$11</f>
        <v>365.93619999999999</v>
      </c>
      <c r="Q22" s="45">
        <v>0</v>
      </c>
      <c r="R22" s="23">
        <v>0</v>
      </c>
      <c r="S22" s="45">
        <v>0</v>
      </c>
      <c r="T22" s="45">
        <f>'Non-Battery Cost Input'!$H$15</f>
        <v>405</v>
      </c>
      <c r="U22" s="45">
        <f>'Non-Battery Cost Input'!$H$17</f>
        <v>185</v>
      </c>
      <c r="V22" s="45">
        <f>'Non-Battery Cost Input'!$H$16</f>
        <v>65</v>
      </c>
      <c r="W22" s="45">
        <f>'Non-Battery Cost Input'!$H$18</f>
        <v>180</v>
      </c>
      <c r="X22" s="45">
        <f>'Non-Battery Cost Input'!$H$19</f>
        <v>300</v>
      </c>
      <c r="Y22" s="23">
        <f t="shared" si="1"/>
        <v>2282.28024</v>
      </c>
      <c r="Z22" s="23">
        <f>K22*'Vehicle Attributes Overview'!$A$3*'Non-Battery Cost Input'!$G$6*'Non-Battery Cost Input'!$H$8</f>
        <v>131.44813500000004</v>
      </c>
      <c r="AA22" s="45">
        <f>'Non-Battery Cost Input'!$H$9</f>
        <v>400</v>
      </c>
      <c r="AB22" s="23">
        <f>K22*'Vehicle Attributes Overview'!$A$3*'Non-Battery Cost Input'!$G$10</f>
        <v>120.37375</v>
      </c>
      <c r="AC22" s="45">
        <f>'Non-Battery Cost Input'!$H$20</f>
        <v>25</v>
      </c>
      <c r="AD22" s="45">
        <f>'Non-Battery Cost Input'!$H$19</f>
        <v>300</v>
      </c>
      <c r="AE22" s="43">
        <f t="shared" si="2"/>
        <v>976.82188500000007</v>
      </c>
    </row>
    <row r="23" spans="1:31" x14ac:dyDescent="0.3">
      <c r="A23" s="19" t="str">
        <f t="shared" si="0"/>
        <v>SmallCarPremiumFCEV320</v>
      </c>
      <c r="B23" s="68" t="s">
        <v>73</v>
      </c>
      <c r="C23" s="45" t="s">
        <v>80</v>
      </c>
      <c r="D23" s="45" t="s">
        <v>96</v>
      </c>
      <c r="E23" s="45">
        <v>2025</v>
      </c>
      <c r="F23" s="68" t="str">
        <f>RIGHT(D23,LEN(D23)-MIN(FIND({0,1,2,3,4,5,6,7,8,9},D23&amp;"0123456789"))+1)</f>
        <v>320</v>
      </c>
      <c r="G23" s="23" cm="1">
        <f t="array" ref="G23">IF(LEFT(D23,MIN(FIND({0,1,2,3,4,5,6,7,8,9},D23&amp;"0123456789"))-1)="BEV",INDEX(BEV_Efficiency,MATCH(A23,BEV_Efficiency_VehClass,0),MATCH(E23,Lookup_Year,0)),IF(LEFT(D23,MIN(FIND({0,1,2,3,4,5,6,7,8,9},D23&amp;"0123456789"))-1)="PHEV",INDEX(PHEV_Efficiency,MATCH(A23,PHEV_Efficiency_VehClass,0),MATCH(E23,Lookup_Year,0)),IF(LEFT(D23,MIN(FIND({0,1,2,3,4,5,6,7,8,9},D23&amp;"0123456789"))-1)="FCEV",0,"Error")))</f>
        <v>0</v>
      </c>
      <c r="H23" s="22" cm="1">
        <f t="array" ref="H23">IF(LEFT(D23,MIN(FIND({0,1,2,3,4,5,6,7,8,9},D23&amp;"0123456789"))-1)="BEV",0,IF(LEFT(D23,MIN(FIND({0,1,2,3,4,5,6,7,8,9},D23&amp;"0123456789"))-1)="PHEV",0,IF(LEFT(D23,MIN(FIND({0,1,2,3,4,5,6,7,8,9},D23&amp;"0123456789"))-1)="FCEV",INDEX(FCEV_H2_Efficiency,MATCH(A23,FCEV_H2_Efficiency_VehClass,0),MATCH(E23,Lookup_Year,0)),"Error")))</f>
        <v>13.86875</v>
      </c>
      <c r="I23" s="22" cm="1">
        <f t="array" ref="I23">IF(LEFT(D23,MIN(FIND({0,1,2,3,4,5,6,7,8,9},D23&amp;"0123456789"))-1)="BEV",INDEX(BEV_UBE,MATCH(A23,BEV_UBE_VehClass,0),MATCH(E23,Lookup_Year,0)),IF(LEFT(D23,MIN(FIND({0,1,2,3,4,5,6,7,8,9},D23&amp;"0123456789"))-1)="PHEV",INDEX(PHEV_UBE,MATCH(A23,PHEV_UBE_VehClass,0),MATCH(E23,Lookup_Year,0)),IF(LEFT(D23,MIN(FIND({0,1,2,3,4,5,6,7,8,9},D23&amp;"0123456789"))-1)="FCEV",INDEX(FCEV_UBE,MATCH(A23,FCEV_UBE_VehClass,0),MATCH(E23,Lookup_Year,0)))))</f>
        <v>1.4039999999999999</v>
      </c>
      <c r="J23" s="22" cm="1">
        <f t="array" ref="J23">IF(LEFT(D23,MIN(FIND({0,1,2,3,4,5,6,7,8,9},D23&amp;"0123456789"))-1)="BEV",INDEX(BEV_TBE,MATCH(A23,BEV_TBE_VehClass,0),MATCH(E23,Lookup_Year,0)),IF(LEFT(D23,MIN(FIND({0,1,2,3,4,5,6,7,8,9},D23&amp;"0123456789"))-1)="PHEV",INDEX(PHEV_TBE,MATCH(A23,PHEV_TBE_VehClass,0),MATCH(E23,Lookup_Year,0)),IF(LEFT(D23,MIN(FIND({0,1,2,3,4,5,6,7,8,9},D23&amp;"0123456789"))-1)="FCEV",INDEX(FCEV_TBE,MATCH(A23,FCEV_TBE_VehClass,0),MATCH(E23,Lookup_Year,0)))))</f>
        <v>1.4039999999999999</v>
      </c>
      <c r="K23" s="23" cm="1">
        <f t="array" ref="K23">IF(LEFT(D23,MIN(FIND({0,1,2,3,4,5,6,7,8,9},D23&amp;"0123456789"))-1)="BEV",INDEX(BEV_eMotor_Power,MATCH(A23,BEV_eMotor_Power_VehClass,0),MATCH(E23,Lookup_Year,0)),IF(LEFT(D23,MIN(FIND({0,1,2,3,4,5,6,7,8,9},D23&amp;"0123456789"))-1)="PHEV",INDEX(PHEV_eMotor_Power,MATCH(A23,PHEV_eMotor_Power_VehClass,0),MATCH(E23,Lookup_Year,0)),IF(LEFT(D23,MIN(FIND({0,1,2,3,4,5,6,7,8,9},D23&amp;"0123456789"))-1)="FCEV",INDEX(FCEV_eMotor_Power,MATCH(A23,FCEV_eMotor_Power_VehClass,0),MATCH(E23,Lookup_Year,0)))))</f>
        <v>96.299000000000007</v>
      </c>
      <c r="L23" s="27" cm="1">
        <f t="array" ref="L23">IF(LEFT(D23,MIN(FIND({0,1,2,3,4,5,6,7,8,9},D23&amp;"0123456789"))-1)="BEV",0,IF(LEFT(D23,MIN(FIND({0,1,2,3,4,5,6,7,8,9},D23&amp;"0123456789"))-1)="PHEV",0,IF(LEFT(D23,MIN(FIND({0,1,2,3,4,5,6,7,8,9},D23&amp;"0123456789"))-1)="FCEV",INDEX(FCEV_TankSize,MATCH(A23,FCEV_TankSize_VehClass,0),MATCH(E23,Lookup_Year,0)))))</f>
        <v>4.4379999999999997</v>
      </c>
      <c r="M23" s="23" cm="1">
        <f t="array" ref="M23">IF(LEFT(D23,MIN(FIND({0,1,2,3,4,5,6,7,8,9},D23&amp;"0123456789"))-1)="BEV",0,IF(LEFT(D23,MIN(FIND({0,1,2,3,4,5,6,7,8,9},D23&amp;"0123456789"))-1)="PHEV",0,IF(LEFT(D23,MIN(FIND({0,1,2,3,4,5,6,7,8,9},D23&amp;"0123456789"))-1)="FCEV",INDEX(FCEV_StackSize,MATCH(A23,FCEV_StackSize_VehClass,0),MATCH(E23,Lookup_Year,0)))))</f>
        <v>87.918000000000006</v>
      </c>
      <c r="N23" s="23">
        <f>K23*'Non-Battery Cost Input'!$G$5*'Non-Battery Cost Input'!$H$7</f>
        <v>381.34404000000012</v>
      </c>
      <c r="O23" s="45">
        <f>'Non-Battery Cost Input'!$H$9</f>
        <v>400</v>
      </c>
      <c r="P23" s="23">
        <f>K23*'Non-Battery Cost Input'!$G$11</f>
        <v>365.93619999999999</v>
      </c>
      <c r="Q23" s="45">
        <v>0</v>
      </c>
      <c r="R23" s="23">
        <v>0</v>
      </c>
      <c r="S23" s="45">
        <v>0</v>
      </c>
      <c r="T23" s="45">
        <f>'Non-Battery Cost Input'!$H$15</f>
        <v>405</v>
      </c>
      <c r="U23" s="45">
        <f>'Non-Battery Cost Input'!$H$17</f>
        <v>185</v>
      </c>
      <c r="V23" s="45">
        <f>'Non-Battery Cost Input'!$H$16</f>
        <v>65</v>
      </c>
      <c r="W23" s="45">
        <f>'Non-Battery Cost Input'!$H$18</f>
        <v>180</v>
      </c>
      <c r="X23" s="45">
        <f>'Non-Battery Cost Input'!$H$19</f>
        <v>300</v>
      </c>
      <c r="Y23" s="23">
        <f t="shared" si="1"/>
        <v>2282.28024</v>
      </c>
      <c r="Z23" s="23">
        <f>K23*'Vehicle Attributes Overview'!$A$3*'Non-Battery Cost Input'!$G$6*'Non-Battery Cost Input'!$H$8</f>
        <v>131.44813500000004</v>
      </c>
      <c r="AA23" s="45">
        <f>'Non-Battery Cost Input'!$H$9</f>
        <v>400</v>
      </c>
      <c r="AB23" s="23">
        <f>K23*'Vehicle Attributes Overview'!$A$3*'Non-Battery Cost Input'!$G$10</f>
        <v>120.37375</v>
      </c>
      <c r="AC23" s="45">
        <f>'Non-Battery Cost Input'!$H$20</f>
        <v>25</v>
      </c>
      <c r="AD23" s="45">
        <f>'Non-Battery Cost Input'!$H$19</f>
        <v>300</v>
      </c>
      <c r="AE23" s="43">
        <f t="shared" si="2"/>
        <v>976.82188500000007</v>
      </c>
    </row>
    <row r="24" spans="1:31" x14ac:dyDescent="0.3">
      <c r="A24" s="20" t="str">
        <f t="shared" si="0"/>
        <v>MedCarBaseFCEV320</v>
      </c>
      <c r="B24" s="68" t="s">
        <v>82</v>
      </c>
      <c r="C24" s="45" t="s">
        <v>75</v>
      </c>
      <c r="D24" s="45" t="s">
        <v>96</v>
      </c>
      <c r="E24" s="45">
        <v>2025</v>
      </c>
      <c r="F24" s="68" t="str">
        <f>RIGHT(D24,LEN(D24)-MIN(FIND({0,1,2,3,4,5,6,7,8,9},D24&amp;"0123456789"))+1)</f>
        <v>320</v>
      </c>
      <c r="G24" s="23" cm="1">
        <f t="array" ref="G24">IF(LEFT(D24,MIN(FIND({0,1,2,3,4,5,6,7,8,9},D24&amp;"0123456789"))-1)="BEV",INDEX(BEV_Efficiency,MATCH(A24,BEV_Efficiency_VehClass,0),MATCH(E24,Lookup_Year,0)),IF(LEFT(D24,MIN(FIND({0,1,2,3,4,5,6,7,8,9},D24&amp;"0123456789"))-1)="PHEV",INDEX(PHEV_Efficiency,MATCH(A24,PHEV_Efficiency_VehClass,0),MATCH(E24,Lookup_Year,0)),IF(LEFT(D24,MIN(FIND({0,1,2,3,4,5,6,7,8,9},D24&amp;"0123456789"))-1)="FCEV",0,"Error")))</f>
        <v>0</v>
      </c>
      <c r="H24" s="22" cm="1">
        <f t="array" ref="H24">IF(LEFT(D24,MIN(FIND({0,1,2,3,4,5,6,7,8,9},D24&amp;"0123456789"))-1)="BEV",0,IF(LEFT(D24,MIN(FIND({0,1,2,3,4,5,6,7,8,9},D24&amp;"0123456789"))-1)="PHEV",0,IF(LEFT(D24,MIN(FIND({0,1,2,3,4,5,6,7,8,9},D24&amp;"0123456789"))-1)="FCEV",INDEX(FCEV_H2_Efficiency,MATCH(A24,FCEV_H2_Efficiency_VehClass,0),MATCH(E24,Lookup_Year,0)),"Error")))</f>
        <v>15.966874999999998</v>
      </c>
      <c r="I24" s="22" cm="1">
        <f t="array" ref="I24">IF(LEFT(D24,MIN(FIND({0,1,2,3,4,5,6,7,8,9},D24&amp;"0123456789"))-1)="BEV",INDEX(BEV_UBE,MATCH(A24,BEV_UBE_VehClass,0),MATCH(E24,Lookup_Year,0)),IF(LEFT(D24,MIN(FIND({0,1,2,3,4,5,6,7,8,9},D24&amp;"0123456789"))-1)="PHEV",INDEX(PHEV_UBE,MATCH(A24,PHEV_UBE_VehClass,0),MATCH(E24,Lookup_Year,0)),IF(LEFT(D24,MIN(FIND({0,1,2,3,4,5,6,7,8,9},D24&amp;"0123456789"))-1)="FCEV",INDEX(FCEV_UBE,MATCH(A24,FCEV_UBE_VehClass,0),MATCH(E24,Lookup_Year,0)))))</f>
        <v>1.6847999999999999</v>
      </c>
      <c r="J24" s="22" cm="1">
        <f t="array" ref="J24">IF(LEFT(D24,MIN(FIND({0,1,2,3,4,5,6,7,8,9},D24&amp;"0123456789"))-1)="BEV",INDEX(BEV_TBE,MATCH(A24,BEV_TBE_VehClass,0),MATCH(E24,Lookup_Year,0)),IF(LEFT(D24,MIN(FIND({0,1,2,3,4,5,6,7,8,9},D24&amp;"0123456789"))-1)="PHEV",INDEX(PHEV_TBE,MATCH(A24,PHEV_TBE_VehClass,0),MATCH(E24,Lookup_Year,0)),IF(LEFT(D24,MIN(FIND({0,1,2,3,4,5,6,7,8,9},D24&amp;"0123456789"))-1)="FCEV",INDEX(FCEV_TBE,MATCH(A24,FCEV_TBE_VehClass,0),MATCH(E24,Lookup_Year,0)))))</f>
        <v>1.6847999999999999</v>
      </c>
      <c r="K24" s="23" cm="1">
        <f t="array" ref="K24">IF(LEFT(D24,MIN(FIND({0,1,2,3,4,5,6,7,8,9},D24&amp;"0123456789"))-1)="BEV",INDEX(BEV_eMotor_Power,MATCH(A24,BEV_eMotor_Power_VehClass,0),MATCH(E24,Lookup_Year,0)),IF(LEFT(D24,MIN(FIND({0,1,2,3,4,5,6,7,8,9},D24&amp;"0123456789"))-1)="PHEV",INDEX(PHEV_eMotor_Power,MATCH(A24,PHEV_eMotor_Power_VehClass,0),MATCH(E24,Lookup_Year,0)),IF(LEFT(D24,MIN(FIND({0,1,2,3,4,5,6,7,8,9},D24&amp;"0123456789"))-1)="FCEV",INDEX(FCEV_eMotor_Power,MATCH(A24,FCEV_eMotor_Power_VehClass,0),MATCH(E24,Lookup_Year,0)))))</f>
        <v>144.613</v>
      </c>
      <c r="L24" s="27" cm="1">
        <f t="array" ref="L24">IF(LEFT(D24,MIN(FIND({0,1,2,3,4,5,6,7,8,9},D24&amp;"0123456789"))-1)="BEV",0,IF(LEFT(D24,MIN(FIND({0,1,2,3,4,5,6,7,8,9},D24&amp;"0123456789"))-1)="PHEV",0,IF(LEFT(D24,MIN(FIND({0,1,2,3,4,5,6,7,8,9},D24&amp;"0123456789"))-1)="FCEV",INDEX(FCEV_TankSize,MATCH(A24,FCEV_TankSize_VehClass,0),MATCH(E24,Lookup_Year,0)))))</f>
        <v>5.1093999999999999</v>
      </c>
      <c r="M24" s="23" cm="1">
        <f t="array" ref="M24">IF(LEFT(D24,MIN(FIND({0,1,2,3,4,5,6,7,8,9},D24&amp;"0123456789"))-1)="BEV",0,IF(LEFT(D24,MIN(FIND({0,1,2,3,4,5,6,7,8,9},D24&amp;"0123456789"))-1)="PHEV",0,IF(LEFT(D24,MIN(FIND({0,1,2,3,4,5,6,7,8,9},D24&amp;"0123456789"))-1)="FCEV",INDEX(FCEV_StackSize,MATCH(A24,FCEV_StackSize_VehClass,0),MATCH(E24,Lookup_Year,0)))))</f>
        <v>131.17099999999999</v>
      </c>
      <c r="N24" s="23">
        <f>K24*'Non-Battery Cost Input'!$G$5*'Non-Battery Cost Input'!$H$7</f>
        <v>572.66748000000007</v>
      </c>
      <c r="O24" s="45">
        <f>'Non-Battery Cost Input'!$H$9</f>
        <v>400</v>
      </c>
      <c r="P24" s="23">
        <f>K24*'Non-Battery Cost Input'!$G$11</f>
        <v>549.52940000000001</v>
      </c>
      <c r="Q24" s="45">
        <v>0</v>
      </c>
      <c r="R24" s="23">
        <v>0</v>
      </c>
      <c r="S24" s="45">
        <v>0</v>
      </c>
      <c r="T24" s="45">
        <f>'Non-Battery Cost Input'!$H$15</f>
        <v>405</v>
      </c>
      <c r="U24" s="45">
        <f>'Non-Battery Cost Input'!$H$17</f>
        <v>185</v>
      </c>
      <c r="V24" s="45">
        <f>'Non-Battery Cost Input'!$H$16</f>
        <v>65</v>
      </c>
      <c r="W24" s="45">
        <f>'Non-Battery Cost Input'!$H$18</f>
        <v>180</v>
      </c>
      <c r="X24" s="45">
        <f>'Non-Battery Cost Input'!$H$19</f>
        <v>300</v>
      </c>
      <c r="Y24" s="23">
        <f t="shared" si="1"/>
        <v>2657.19688</v>
      </c>
      <c r="Z24" s="23">
        <f>K24*'Vehicle Attributes Overview'!$A$3*'Non-Battery Cost Input'!$G$6*'Non-Battery Cost Input'!$H$8</f>
        <v>197.39674500000001</v>
      </c>
      <c r="AA24" s="45">
        <f>'Non-Battery Cost Input'!$H$9</f>
        <v>400</v>
      </c>
      <c r="AB24" s="23">
        <f>K24*'Vehicle Attributes Overview'!$A$3*'Non-Battery Cost Input'!$G$10</f>
        <v>180.76625000000001</v>
      </c>
      <c r="AC24" s="45">
        <f>'Non-Battery Cost Input'!$H$20</f>
        <v>25</v>
      </c>
      <c r="AD24" s="45">
        <f>'Non-Battery Cost Input'!$H$19</f>
        <v>300</v>
      </c>
      <c r="AE24" s="43">
        <f t="shared" si="2"/>
        <v>1103.1629950000001</v>
      </c>
    </row>
    <row r="25" spans="1:31" x14ac:dyDescent="0.3">
      <c r="A25" s="19" t="str">
        <f t="shared" si="0"/>
        <v>MedCarPremiumFCEV320</v>
      </c>
      <c r="B25" s="68" t="s">
        <v>82</v>
      </c>
      <c r="C25" s="45" t="s">
        <v>80</v>
      </c>
      <c r="D25" s="45" t="s">
        <v>96</v>
      </c>
      <c r="E25" s="45">
        <v>2025</v>
      </c>
      <c r="F25" s="68" t="str">
        <f>RIGHT(D25,LEN(D25)-MIN(FIND({0,1,2,3,4,5,6,7,8,9},D25&amp;"0123456789"))+1)</f>
        <v>320</v>
      </c>
      <c r="G25" s="23" cm="1">
        <f t="array" ref="G25">IF(LEFT(D25,MIN(FIND({0,1,2,3,4,5,6,7,8,9},D25&amp;"0123456789"))-1)="BEV",INDEX(BEV_Efficiency,MATCH(A25,BEV_Efficiency_VehClass,0),MATCH(E25,Lookup_Year,0)),IF(LEFT(D25,MIN(FIND({0,1,2,3,4,5,6,7,8,9},D25&amp;"0123456789"))-1)="PHEV",INDEX(PHEV_Efficiency,MATCH(A25,PHEV_Efficiency_VehClass,0),MATCH(E25,Lookup_Year,0)),IF(LEFT(D25,MIN(FIND({0,1,2,3,4,5,6,7,8,9},D25&amp;"0123456789"))-1)="FCEV",0,"Error")))</f>
        <v>0</v>
      </c>
      <c r="H25" s="22" cm="1">
        <f t="array" ref="H25">IF(LEFT(D25,MIN(FIND({0,1,2,3,4,5,6,7,8,9},D25&amp;"0123456789"))-1)="BEV",0,IF(LEFT(D25,MIN(FIND({0,1,2,3,4,5,6,7,8,9},D25&amp;"0123456789"))-1)="PHEV",0,IF(LEFT(D25,MIN(FIND({0,1,2,3,4,5,6,7,8,9},D25&amp;"0123456789"))-1)="FCEV",INDEX(FCEV_H2_Efficiency,MATCH(A25,FCEV_H2_Efficiency_VehClass,0),MATCH(E25,Lookup_Year,0)),"Error")))</f>
        <v>15.966874999999998</v>
      </c>
      <c r="I25" s="22" cm="1">
        <f t="array" ref="I25">IF(LEFT(D25,MIN(FIND({0,1,2,3,4,5,6,7,8,9},D25&amp;"0123456789"))-1)="BEV",INDEX(BEV_UBE,MATCH(A25,BEV_UBE_VehClass,0),MATCH(E25,Lookup_Year,0)),IF(LEFT(D25,MIN(FIND({0,1,2,3,4,5,6,7,8,9},D25&amp;"0123456789"))-1)="PHEV",INDEX(PHEV_UBE,MATCH(A25,PHEV_UBE_VehClass,0),MATCH(E25,Lookup_Year,0)),IF(LEFT(D25,MIN(FIND({0,1,2,3,4,5,6,7,8,9},D25&amp;"0123456789"))-1)="FCEV",INDEX(FCEV_UBE,MATCH(A25,FCEV_UBE_VehClass,0),MATCH(E25,Lookup_Year,0)))))</f>
        <v>1.6847999999999999</v>
      </c>
      <c r="J25" s="22" cm="1">
        <f t="array" ref="J25">IF(LEFT(D25,MIN(FIND({0,1,2,3,4,5,6,7,8,9},D25&amp;"0123456789"))-1)="BEV",INDEX(BEV_TBE,MATCH(A25,BEV_TBE_VehClass,0),MATCH(E25,Lookup_Year,0)),IF(LEFT(D25,MIN(FIND({0,1,2,3,4,5,6,7,8,9},D25&amp;"0123456789"))-1)="PHEV",INDEX(PHEV_TBE,MATCH(A25,PHEV_TBE_VehClass,0),MATCH(E25,Lookup_Year,0)),IF(LEFT(D25,MIN(FIND({0,1,2,3,4,5,6,7,8,9},D25&amp;"0123456789"))-1)="FCEV",INDEX(FCEV_TBE,MATCH(A25,FCEV_TBE_VehClass,0),MATCH(E25,Lookup_Year,0)))))</f>
        <v>1.6847999999999999</v>
      </c>
      <c r="K25" s="23" cm="1">
        <f t="array" ref="K25">IF(LEFT(D25,MIN(FIND({0,1,2,3,4,5,6,7,8,9},D25&amp;"0123456789"))-1)="BEV",INDEX(BEV_eMotor_Power,MATCH(A25,BEV_eMotor_Power_VehClass,0),MATCH(E25,Lookup_Year,0)),IF(LEFT(D25,MIN(FIND({0,1,2,3,4,5,6,7,8,9},D25&amp;"0123456789"))-1)="PHEV",INDEX(PHEV_eMotor_Power,MATCH(A25,PHEV_eMotor_Power_VehClass,0),MATCH(E25,Lookup_Year,0)),IF(LEFT(D25,MIN(FIND({0,1,2,3,4,5,6,7,8,9},D25&amp;"0123456789"))-1)="FCEV",INDEX(FCEV_eMotor_Power,MATCH(A25,FCEV_eMotor_Power_VehClass,0),MATCH(E25,Lookup_Year,0)))))</f>
        <v>144.613</v>
      </c>
      <c r="L25" s="27" cm="1">
        <f t="array" ref="L25">IF(LEFT(D25,MIN(FIND({0,1,2,3,4,5,6,7,8,9},D25&amp;"0123456789"))-1)="BEV",0,IF(LEFT(D25,MIN(FIND({0,1,2,3,4,5,6,7,8,9},D25&amp;"0123456789"))-1)="PHEV",0,IF(LEFT(D25,MIN(FIND({0,1,2,3,4,5,6,7,8,9},D25&amp;"0123456789"))-1)="FCEV",INDEX(FCEV_TankSize,MATCH(A25,FCEV_TankSize_VehClass,0),MATCH(E25,Lookup_Year,0)))))</f>
        <v>5.1093999999999999</v>
      </c>
      <c r="M25" s="23" cm="1">
        <f t="array" ref="M25">IF(LEFT(D25,MIN(FIND({0,1,2,3,4,5,6,7,8,9},D25&amp;"0123456789"))-1)="BEV",0,IF(LEFT(D25,MIN(FIND({0,1,2,3,4,5,6,7,8,9},D25&amp;"0123456789"))-1)="PHEV",0,IF(LEFT(D25,MIN(FIND({0,1,2,3,4,5,6,7,8,9},D25&amp;"0123456789"))-1)="FCEV",INDEX(FCEV_StackSize,MATCH(A25,FCEV_StackSize_VehClass,0),MATCH(E25,Lookup_Year,0)))))</f>
        <v>131.17099999999999</v>
      </c>
      <c r="N25" s="23">
        <f>K25*'Non-Battery Cost Input'!$G$5*'Non-Battery Cost Input'!$H$7</f>
        <v>572.66748000000007</v>
      </c>
      <c r="O25" s="45">
        <f>'Non-Battery Cost Input'!$H$9</f>
        <v>400</v>
      </c>
      <c r="P25" s="23">
        <f>K25*'Non-Battery Cost Input'!$G$11</f>
        <v>549.52940000000001</v>
      </c>
      <c r="Q25" s="45">
        <v>0</v>
      </c>
      <c r="R25" s="23">
        <v>0</v>
      </c>
      <c r="S25" s="45">
        <v>0</v>
      </c>
      <c r="T25" s="45">
        <f>'Non-Battery Cost Input'!$H$15</f>
        <v>405</v>
      </c>
      <c r="U25" s="45">
        <f>'Non-Battery Cost Input'!$H$17</f>
        <v>185</v>
      </c>
      <c r="V25" s="45">
        <f>'Non-Battery Cost Input'!$H$16</f>
        <v>65</v>
      </c>
      <c r="W25" s="45">
        <f>'Non-Battery Cost Input'!$H$18</f>
        <v>180</v>
      </c>
      <c r="X25" s="45">
        <f>'Non-Battery Cost Input'!$H$19</f>
        <v>300</v>
      </c>
      <c r="Y25" s="23">
        <f t="shared" si="1"/>
        <v>2657.19688</v>
      </c>
      <c r="Z25" s="23">
        <f>K25*'Vehicle Attributes Overview'!$A$3*'Non-Battery Cost Input'!$G$6*'Non-Battery Cost Input'!$H$8</f>
        <v>197.39674500000001</v>
      </c>
      <c r="AA25" s="45">
        <f>'Non-Battery Cost Input'!$H$9</f>
        <v>400</v>
      </c>
      <c r="AB25" s="23">
        <f>K25*'Vehicle Attributes Overview'!$A$3*'Non-Battery Cost Input'!$G$10</f>
        <v>180.76625000000001</v>
      </c>
      <c r="AC25" s="45">
        <f>'Non-Battery Cost Input'!$H$20</f>
        <v>25</v>
      </c>
      <c r="AD25" s="45">
        <f>'Non-Battery Cost Input'!$H$19</f>
        <v>300</v>
      </c>
      <c r="AE25" s="43">
        <f t="shared" si="2"/>
        <v>1103.1629950000001</v>
      </c>
    </row>
    <row r="26" spans="1:31" x14ac:dyDescent="0.3">
      <c r="A26" s="20" t="str">
        <f t="shared" si="0"/>
        <v>SmallSUVBaseFCEV320</v>
      </c>
      <c r="B26" s="68" t="s">
        <v>83</v>
      </c>
      <c r="C26" s="45" t="s">
        <v>75</v>
      </c>
      <c r="D26" s="45" t="s">
        <v>96</v>
      </c>
      <c r="E26" s="45">
        <v>2025</v>
      </c>
      <c r="F26" s="68" t="str">
        <f>RIGHT(D26,LEN(D26)-MIN(FIND({0,1,2,3,4,5,6,7,8,9},D26&amp;"0123456789"))+1)</f>
        <v>320</v>
      </c>
      <c r="G26" s="23" cm="1">
        <f t="array" ref="G26">IF(LEFT(D26,MIN(FIND({0,1,2,3,4,5,6,7,8,9},D26&amp;"0123456789"))-1)="BEV",INDEX(BEV_Efficiency,MATCH(A26,BEV_Efficiency_VehClass,0),MATCH(E26,Lookup_Year,0)),IF(LEFT(D26,MIN(FIND({0,1,2,3,4,5,6,7,8,9},D26&amp;"0123456789"))-1)="PHEV",INDEX(PHEV_Efficiency,MATCH(A26,PHEV_Efficiency_VehClass,0),MATCH(E26,Lookup_Year,0)),IF(LEFT(D26,MIN(FIND({0,1,2,3,4,5,6,7,8,9},D26&amp;"0123456789"))-1)="FCEV",0,"Error")))</f>
        <v>0</v>
      </c>
      <c r="H26" s="22" cm="1">
        <f t="array" ref="H26">IF(LEFT(D26,MIN(FIND({0,1,2,3,4,5,6,7,8,9},D26&amp;"0123456789"))-1)="BEV",0,IF(LEFT(D26,MIN(FIND({0,1,2,3,4,5,6,7,8,9},D26&amp;"0123456789"))-1)="PHEV",0,IF(LEFT(D26,MIN(FIND({0,1,2,3,4,5,6,7,8,9},D26&amp;"0123456789"))-1)="FCEV",INDEX(FCEV_H2_Efficiency,MATCH(A26,FCEV_H2_Efficiency_VehClass,0),MATCH(E26,Lookup_Year,0)),"Error")))</f>
        <v>17.595312499999999</v>
      </c>
      <c r="I26" s="22" cm="1">
        <f t="array" ref="I26">IF(LEFT(D26,MIN(FIND({0,1,2,3,4,5,6,7,8,9},D26&amp;"0123456789"))-1)="BEV",INDEX(BEV_UBE,MATCH(A26,BEV_UBE_VehClass,0),MATCH(E26,Lookup_Year,0)),IF(LEFT(D26,MIN(FIND({0,1,2,3,4,5,6,7,8,9},D26&amp;"0123456789"))-1)="PHEV",INDEX(PHEV_UBE,MATCH(A26,PHEV_UBE_VehClass,0),MATCH(E26,Lookup_Year,0)),IF(LEFT(D26,MIN(FIND({0,1,2,3,4,5,6,7,8,9},D26&amp;"0123456789"))-1)="FCEV",INDEX(FCEV_UBE,MATCH(A26,FCEV_UBE_VehClass,0),MATCH(E26,Lookup_Year,0)))))</f>
        <v>1.6847999999999999</v>
      </c>
      <c r="J26" s="22" cm="1">
        <f t="array" ref="J26">IF(LEFT(D26,MIN(FIND({0,1,2,3,4,5,6,7,8,9},D26&amp;"0123456789"))-1)="BEV",INDEX(BEV_TBE,MATCH(A26,BEV_TBE_VehClass,0),MATCH(E26,Lookup_Year,0)),IF(LEFT(D26,MIN(FIND({0,1,2,3,4,5,6,7,8,9},D26&amp;"0123456789"))-1)="PHEV",INDEX(PHEV_TBE,MATCH(A26,PHEV_TBE_VehClass,0),MATCH(E26,Lookup_Year,0)),IF(LEFT(D26,MIN(FIND({0,1,2,3,4,5,6,7,8,9},D26&amp;"0123456789"))-1)="FCEV",INDEX(FCEV_TBE,MATCH(A26,FCEV_TBE_VehClass,0),MATCH(E26,Lookup_Year,0)))))</f>
        <v>1.6847999999999999</v>
      </c>
      <c r="K26" s="23" cm="1">
        <f t="array" ref="K26">IF(LEFT(D26,MIN(FIND({0,1,2,3,4,5,6,7,8,9},D26&amp;"0123456789"))-1)="BEV",INDEX(BEV_eMotor_Power,MATCH(A26,BEV_eMotor_Power_VehClass,0),MATCH(E26,Lookup_Year,0)),IF(LEFT(D26,MIN(FIND({0,1,2,3,4,5,6,7,8,9},D26&amp;"0123456789"))-1)="PHEV",INDEX(PHEV_eMotor_Power,MATCH(A26,PHEV_eMotor_Power_VehClass,0),MATCH(E26,Lookup_Year,0)),IF(LEFT(D26,MIN(FIND({0,1,2,3,4,5,6,7,8,9},D26&amp;"0123456789"))-1)="FCEV",INDEX(FCEV_eMotor_Power,MATCH(A26,FCEV_eMotor_Power_VehClass,0),MATCH(E26,Lookup_Year,0)))))</f>
        <v>139.22399999999999</v>
      </c>
      <c r="L26" s="27" cm="1">
        <f t="array" ref="L26">IF(LEFT(D26,MIN(FIND({0,1,2,3,4,5,6,7,8,9},D26&amp;"0123456789"))-1)="BEV",0,IF(LEFT(D26,MIN(FIND({0,1,2,3,4,5,6,7,8,9},D26&amp;"0123456789"))-1)="PHEV",0,IF(LEFT(D26,MIN(FIND({0,1,2,3,4,5,6,7,8,9},D26&amp;"0123456789"))-1)="FCEV",INDEX(FCEV_TankSize,MATCH(A26,FCEV_TankSize_VehClass,0),MATCH(E26,Lookup_Year,0)))))</f>
        <v>5.6304999999999996</v>
      </c>
      <c r="M26" s="23" cm="1">
        <f t="array" ref="M26">IF(LEFT(D26,MIN(FIND({0,1,2,3,4,5,6,7,8,9},D26&amp;"0123456789"))-1)="BEV",0,IF(LEFT(D26,MIN(FIND({0,1,2,3,4,5,6,7,8,9},D26&amp;"0123456789"))-1)="PHEV",0,IF(LEFT(D26,MIN(FIND({0,1,2,3,4,5,6,7,8,9},D26&amp;"0123456789"))-1)="FCEV",INDEX(FCEV_StackSize,MATCH(A26,FCEV_StackSize_VehClass,0),MATCH(E26,Lookup_Year,0)))))</f>
        <v>122.539</v>
      </c>
      <c r="N26" s="23">
        <f>K26*'Non-Battery Cost Input'!$G$5*'Non-Battery Cost Input'!$H$7</f>
        <v>551.32704000000001</v>
      </c>
      <c r="O26" s="45">
        <f>'Non-Battery Cost Input'!$H$9</f>
        <v>400</v>
      </c>
      <c r="P26" s="23">
        <f>K26*'Non-Battery Cost Input'!$G$11</f>
        <v>529.05119999999988</v>
      </c>
      <c r="Q26" s="45">
        <v>0</v>
      </c>
      <c r="R26" s="23">
        <v>0</v>
      </c>
      <c r="S26" s="45">
        <v>0</v>
      </c>
      <c r="T26" s="45">
        <f>'Non-Battery Cost Input'!$H$15</f>
        <v>405</v>
      </c>
      <c r="U26" s="45">
        <f>'Non-Battery Cost Input'!$H$17</f>
        <v>185</v>
      </c>
      <c r="V26" s="45">
        <f>'Non-Battery Cost Input'!$H$16</f>
        <v>65</v>
      </c>
      <c r="W26" s="45">
        <f>'Non-Battery Cost Input'!$H$18</f>
        <v>180</v>
      </c>
      <c r="X26" s="45">
        <f>'Non-Battery Cost Input'!$H$19</f>
        <v>300</v>
      </c>
      <c r="Y26" s="23">
        <f t="shared" si="1"/>
        <v>2615.37824</v>
      </c>
      <c r="Z26" s="23">
        <f>K26*'Vehicle Attributes Overview'!$A$3*'Non-Battery Cost Input'!$G$6*'Non-Battery Cost Input'!$H$8</f>
        <v>190.04076000000001</v>
      </c>
      <c r="AA26" s="45">
        <f>'Non-Battery Cost Input'!$H$9</f>
        <v>400</v>
      </c>
      <c r="AB26" s="23">
        <f>K26*'Vehicle Attributes Overview'!$A$3*'Non-Battery Cost Input'!$G$10</f>
        <v>174.02999999999997</v>
      </c>
      <c r="AC26" s="45">
        <f>'Non-Battery Cost Input'!$H$20</f>
        <v>25</v>
      </c>
      <c r="AD26" s="45">
        <f>'Non-Battery Cost Input'!$H$19</f>
        <v>300</v>
      </c>
      <c r="AE26" s="43">
        <f t="shared" si="2"/>
        <v>1089.0707600000001</v>
      </c>
    </row>
    <row r="27" spans="1:31" x14ac:dyDescent="0.3">
      <c r="A27" s="19" t="str">
        <f t="shared" si="0"/>
        <v>SmallSUVPremiumFCEV320</v>
      </c>
      <c r="B27" s="68" t="s">
        <v>83</v>
      </c>
      <c r="C27" s="45" t="s">
        <v>80</v>
      </c>
      <c r="D27" s="45" t="s">
        <v>96</v>
      </c>
      <c r="E27" s="45">
        <v>2025</v>
      </c>
      <c r="F27" s="68" t="str">
        <f>RIGHT(D27,LEN(D27)-MIN(FIND({0,1,2,3,4,5,6,7,8,9},D27&amp;"0123456789"))+1)</f>
        <v>320</v>
      </c>
      <c r="G27" s="23" cm="1">
        <f t="array" ref="G27">IF(LEFT(D27,MIN(FIND({0,1,2,3,4,5,6,7,8,9},D27&amp;"0123456789"))-1)="BEV",INDEX(BEV_Efficiency,MATCH(A27,BEV_Efficiency_VehClass,0),MATCH(E27,Lookup_Year,0)),IF(LEFT(D27,MIN(FIND({0,1,2,3,4,5,6,7,8,9},D27&amp;"0123456789"))-1)="PHEV",INDEX(PHEV_Efficiency,MATCH(A27,PHEV_Efficiency_VehClass,0),MATCH(E27,Lookup_Year,0)),IF(LEFT(D27,MIN(FIND({0,1,2,3,4,5,6,7,8,9},D27&amp;"0123456789"))-1)="FCEV",0,"Error")))</f>
        <v>0</v>
      </c>
      <c r="H27" s="22" cm="1">
        <f t="array" ref="H27">IF(LEFT(D27,MIN(FIND({0,1,2,3,4,5,6,7,8,9},D27&amp;"0123456789"))-1)="BEV",0,IF(LEFT(D27,MIN(FIND({0,1,2,3,4,5,6,7,8,9},D27&amp;"0123456789"))-1)="PHEV",0,IF(LEFT(D27,MIN(FIND({0,1,2,3,4,5,6,7,8,9},D27&amp;"0123456789"))-1)="FCEV",INDEX(FCEV_H2_Efficiency,MATCH(A27,FCEV_H2_Efficiency_VehClass,0),MATCH(E27,Lookup_Year,0)),"Error")))</f>
        <v>17.595312499999999</v>
      </c>
      <c r="I27" s="22" cm="1">
        <f t="array" ref="I27">IF(LEFT(D27,MIN(FIND({0,1,2,3,4,5,6,7,8,9},D27&amp;"0123456789"))-1)="BEV",INDEX(BEV_UBE,MATCH(A27,BEV_UBE_VehClass,0),MATCH(E27,Lookup_Year,0)),IF(LEFT(D27,MIN(FIND({0,1,2,3,4,5,6,7,8,9},D27&amp;"0123456789"))-1)="PHEV",INDEX(PHEV_UBE,MATCH(A27,PHEV_UBE_VehClass,0),MATCH(E27,Lookup_Year,0)),IF(LEFT(D27,MIN(FIND({0,1,2,3,4,5,6,7,8,9},D27&amp;"0123456789"))-1)="FCEV",INDEX(FCEV_UBE,MATCH(A27,FCEV_UBE_VehClass,0),MATCH(E27,Lookup_Year,0)))))</f>
        <v>1.6847999999999999</v>
      </c>
      <c r="J27" s="22" cm="1">
        <f t="array" ref="J27">IF(LEFT(D27,MIN(FIND({0,1,2,3,4,5,6,7,8,9},D27&amp;"0123456789"))-1)="BEV",INDEX(BEV_TBE,MATCH(A27,BEV_TBE_VehClass,0),MATCH(E27,Lookup_Year,0)),IF(LEFT(D27,MIN(FIND({0,1,2,3,4,5,6,7,8,9},D27&amp;"0123456789"))-1)="PHEV",INDEX(PHEV_TBE,MATCH(A27,PHEV_TBE_VehClass,0),MATCH(E27,Lookup_Year,0)),IF(LEFT(D27,MIN(FIND({0,1,2,3,4,5,6,7,8,9},D27&amp;"0123456789"))-1)="FCEV",INDEX(FCEV_TBE,MATCH(A27,FCEV_TBE_VehClass,0),MATCH(E27,Lookup_Year,0)))))</f>
        <v>1.6847999999999999</v>
      </c>
      <c r="K27" s="23" cm="1">
        <f t="array" ref="K27">IF(LEFT(D27,MIN(FIND({0,1,2,3,4,5,6,7,8,9},D27&amp;"0123456789"))-1)="BEV",INDEX(BEV_eMotor_Power,MATCH(A27,BEV_eMotor_Power_VehClass,0),MATCH(E27,Lookup_Year,0)),IF(LEFT(D27,MIN(FIND({0,1,2,3,4,5,6,7,8,9},D27&amp;"0123456789"))-1)="PHEV",INDEX(PHEV_eMotor_Power,MATCH(A27,PHEV_eMotor_Power_VehClass,0),MATCH(E27,Lookup_Year,0)),IF(LEFT(D27,MIN(FIND({0,1,2,3,4,5,6,7,8,9},D27&amp;"0123456789"))-1)="FCEV",INDEX(FCEV_eMotor_Power,MATCH(A27,FCEV_eMotor_Power_VehClass,0),MATCH(E27,Lookup_Year,0)))))</f>
        <v>139.22399999999999</v>
      </c>
      <c r="L27" s="27" cm="1">
        <f t="array" ref="L27">IF(LEFT(D27,MIN(FIND({0,1,2,3,4,5,6,7,8,9},D27&amp;"0123456789"))-1)="BEV",0,IF(LEFT(D27,MIN(FIND({0,1,2,3,4,5,6,7,8,9},D27&amp;"0123456789"))-1)="PHEV",0,IF(LEFT(D27,MIN(FIND({0,1,2,3,4,5,6,7,8,9},D27&amp;"0123456789"))-1)="FCEV",INDEX(FCEV_TankSize,MATCH(A27,FCEV_TankSize_VehClass,0),MATCH(E27,Lookup_Year,0)))))</f>
        <v>5.6304999999999996</v>
      </c>
      <c r="M27" s="23" cm="1">
        <f t="array" ref="M27">IF(LEFT(D27,MIN(FIND({0,1,2,3,4,5,6,7,8,9},D27&amp;"0123456789"))-1)="BEV",0,IF(LEFT(D27,MIN(FIND({0,1,2,3,4,5,6,7,8,9},D27&amp;"0123456789"))-1)="PHEV",0,IF(LEFT(D27,MIN(FIND({0,1,2,3,4,5,6,7,8,9},D27&amp;"0123456789"))-1)="FCEV",INDEX(FCEV_StackSize,MATCH(A27,FCEV_StackSize_VehClass,0),MATCH(E27,Lookup_Year,0)))))</f>
        <v>122.539</v>
      </c>
      <c r="N27" s="23">
        <f>K27*'Non-Battery Cost Input'!$G$5*'Non-Battery Cost Input'!$H$7</f>
        <v>551.32704000000001</v>
      </c>
      <c r="O27" s="45">
        <f>'Non-Battery Cost Input'!$H$9</f>
        <v>400</v>
      </c>
      <c r="P27" s="23">
        <f>K27*'Non-Battery Cost Input'!$G$11</f>
        <v>529.05119999999988</v>
      </c>
      <c r="Q27" s="45">
        <v>0</v>
      </c>
      <c r="R27" s="23">
        <v>0</v>
      </c>
      <c r="S27" s="45">
        <v>0</v>
      </c>
      <c r="T27" s="45">
        <f>'Non-Battery Cost Input'!$H$15</f>
        <v>405</v>
      </c>
      <c r="U27" s="45">
        <f>'Non-Battery Cost Input'!$H$17</f>
        <v>185</v>
      </c>
      <c r="V27" s="45">
        <f>'Non-Battery Cost Input'!$H$16</f>
        <v>65</v>
      </c>
      <c r="W27" s="45">
        <f>'Non-Battery Cost Input'!$H$18</f>
        <v>180</v>
      </c>
      <c r="X27" s="45">
        <f>'Non-Battery Cost Input'!$H$19</f>
        <v>300</v>
      </c>
      <c r="Y27" s="23">
        <f t="shared" si="1"/>
        <v>2615.37824</v>
      </c>
      <c r="Z27" s="23">
        <f>K27*'Vehicle Attributes Overview'!$A$3*'Non-Battery Cost Input'!$G$6*'Non-Battery Cost Input'!$H$8</f>
        <v>190.04076000000001</v>
      </c>
      <c r="AA27" s="45">
        <f>'Non-Battery Cost Input'!$H$9</f>
        <v>400</v>
      </c>
      <c r="AB27" s="23">
        <f>K27*'Vehicle Attributes Overview'!$A$3*'Non-Battery Cost Input'!$G$10</f>
        <v>174.02999999999997</v>
      </c>
      <c r="AC27" s="45">
        <f>'Non-Battery Cost Input'!$H$20</f>
        <v>25</v>
      </c>
      <c r="AD27" s="45">
        <f>'Non-Battery Cost Input'!$H$19</f>
        <v>300</v>
      </c>
      <c r="AE27" s="43">
        <f t="shared" si="2"/>
        <v>1089.0707600000001</v>
      </c>
    </row>
    <row r="28" spans="1:31" x14ac:dyDescent="0.3">
      <c r="A28" s="20" t="str">
        <f t="shared" si="0"/>
        <v>MedSUVBaseFCEV320</v>
      </c>
      <c r="B28" s="68" t="s">
        <v>86</v>
      </c>
      <c r="C28" s="45" t="s">
        <v>75</v>
      </c>
      <c r="D28" s="45" t="s">
        <v>96</v>
      </c>
      <c r="E28" s="45">
        <v>2025</v>
      </c>
      <c r="F28" s="68" t="str">
        <f>RIGHT(D28,LEN(D28)-MIN(FIND({0,1,2,3,4,5,6,7,8,9},D28&amp;"0123456789"))+1)</f>
        <v>320</v>
      </c>
      <c r="G28" s="23" cm="1">
        <f t="array" ref="G28">IF(LEFT(D28,MIN(FIND({0,1,2,3,4,5,6,7,8,9},D28&amp;"0123456789"))-1)="BEV",INDEX(BEV_Efficiency,MATCH(A28,BEV_Efficiency_VehClass,0),MATCH(E28,Lookup_Year,0)),IF(LEFT(D28,MIN(FIND({0,1,2,3,4,5,6,7,8,9},D28&amp;"0123456789"))-1)="PHEV",INDEX(PHEV_Efficiency,MATCH(A28,PHEV_Efficiency_VehClass,0),MATCH(E28,Lookup_Year,0)),IF(LEFT(D28,MIN(FIND({0,1,2,3,4,5,6,7,8,9},D28&amp;"0123456789"))-1)="FCEV",0,"Error")))</f>
        <v>0</v>
      </c>
      <c r="H28" s="22" cm="1">
        <f t="array" ref="H28">IF(LEFT(D28,MIN(FIND({0,1,2,3,4,5,6,7,8,9},D28&amp;"0123456789"))-1)="BEV",0,IF(LEFT(D28,MIN(FIND({0,1,2,3,4,5,6,7,8,9},D28&amp;"0123456789"))-1)="PHEV",0,IF(LEFT(D28,MIN(FIND({0,1,2,3,4,5,6,7,8,9},D28&amp;"0123456789"))-1)="FCEV",INDEX(FCEV_H2_Efficiency,MATCH(A28,FCEV_H2_Efficiency_VehClass,0),MATCH(E28,Lookup_Year,0)),"Error")))</f>
        <v>19.771562500000002</v>
      </c>
      <c r="I28" s="22" cm="1">
        <f t="array" ref="I28">IF(LEFT(D28,MIN(FIND({0,1,2,3,4,5,6,7,8,9},D28&amp;"0123456789"))-1)="BEV",INDEX(BEV_UBE,MATCH(A28,BEV_UBE_VehClass,0),MATCH(E28,Lookup_Year,0)),IF(LEFT(D28,MIN(FIND({0,1,2,3,4,5,6,7,8,9},D28&amp;"0123456789"))-1)="PHEV",INDEX(PHEV_UBE,MATCH(A28,PHEV_UBE_VehClass,0),MATCH(E28,Lookup_Year,0)),IF(LEFT(D28,MIN(FIND({0,1,2,3,4,5,6,7,8,9},D28&amp;"0123456789"))-1)="FCEV",INDEX(FCEV_UBE,MATCH(A28,FCEV_UBE_VehClass,0),MATCH(E28,Lookup_Year,0)))))</f>
        <v>1.9656</v>
      </c>
      <c r="J28" s="22" cm="1">
        <f t="array" ref="J28">IF(LEFT(D28,MIN(FIND({0,1,2,3,4,5,6,7,8,9},D28&amp;"0123456789"))-1)="BEV",INDEX(BEV_TBE,MATCH(A28,BEV_TBE_VehClass,0),MATCH(E28,Lookup_Year,0)),IF(LEFT(D28,MIN(FIND({0,1,2,3,4,5,6,7,8,9},D28&amp;"0123456789"))-1)="PHEV",INDEX(PHEV_TBE,MATCH(A28,PHEV_TBE_VehClass,0),MATCH(E28,Lookup_Year,0)),IF(LEFT(D28,MIN(FIND({0,1,2,3,4,5,6,7,8,9},D28&amp;"0123456789"))-1)="FCEV",INDEX(FCEV_TBE,MATCH(A28,FCEV_TBE_VehClass,0),MATCH(E28,Lookup_Year,0)))))</f>
        <v>1.9656</v>
      </c>
      <c r="K28" s="23" cm="1">
        <f t="array" ref="K28">IF(LEFT(D28,MIN(FIND({0,1,2,3,4,5,6,7,8,9},D28&amp;"0123456789"))-1)="BEV",INDEX(BEV_eMotor_Power,MATCH(A28,BEV_eMotor_Power_VehClass,0),MATCH(E28,Lookup_Year,0)),IF(LEFT(D28,MIN(FIND({0,1,2,3,4,5,6,7,8,9},D28&amp;"0123456789"))-1)="PHEV",INDEX(PHEV_eMotor_Power,MATCH(A28,PHEV_eMotor_Power_VehClass,0),MATCH(E28,Lookup_Year,0)),IF(LEFT(D28,MIN(FIND({0,1,2,3,4,5,6,7,8,9},D28&amp;"0123456789"))-1)="FCEV",INDEX(FCEV_eMotor_Power,MATCH(A28,FCEV_eMotor_Power_VehClass,0),MATCH(E28,Lookup_Year,0)))))</f>
        <v>157.345</v>
      </c>
      <c r="L28" s="27" cm="1">
        <f t="array" ref="L28">IF(LEFT(D28,MIN(FIND({0,1,2,3,4,5,6,7,8,9},D28&amp;"0123456789"))-1)="BEV",0,IF(LEFT(D28,MIN(FIND({0,1,2,3,4,5,6,7,8,9},D28&amp;"0123456789"))-1)="PHEV",0,IF(LEFT(D28,MIN(FIND({0,1,2,3,4,5,6,7,8,9},D28&amp;"0123456789"))-1)="FCEV",INDEX(FCEV_TankSize,MATCH(A28,FCEV_TankSize_VehClass,0),MATCH(E28,Lookup_Year,0)))))</f>
        <v>6.3269000000000002</v>
      </c>
      <c r="M28" s="23" cm="1">
        <f t="array" ref="M28">IF(LEFT(D28,MIN(FIND({0,1,2,3,4,5,6,7,8,9},D28&amp;"0123456789"))-1)="BEV",0,IF(LEFT(D28,MIN(FIND({0,1,2,3,4,5,6,7,8,9},D28&amp;"0123456789"))-1)="PHEV",0,IF(LEFT(D28,MIN(FIND({0,1,2,3,4,5,6,7,8,9},D28&amp;"0123456789"))-1)="FCEV",INDEX(FCEV_StackSize,MATCH(A28,FCEV_StackSize_VehClass,0),MATCH(E28,Lookup_Year,0)))))</f>
        <v>139.38399999999999</v>
      </c>
      <c r="N28" s="23">
        <f>K28*'Non-Battery Cost Input'!$G$5*'Non-Battery Cost Input'!$H$7</f>
        <v>623.08620000000008</v>
      </c>
      <c r="O28" s="45">
        <f>'Non-Battery Cost Input'!$H$9</f>
        <v>400</v>
      </c>
      <c r="P28" s="23">
        <f>K28*'Non-Battery Cost Input'!$G$11</f>
        <v>597.91099999999994</v>
      </c>
      <c r="Q28" s="45">
        <v>0</v>
      </c>
      <c r="R28" s="23">
        <v>0</v>
      </c>
      <c r="S28" s="45">
        <v>0</v>
      </c>
      <c r="T28" s="45">
        <f>'Non-Battery Cost Input'!$H$15</f>
        <v>405</v>
      </c>
      <c r="U28" s="45">
        <f>'Non-Battery Cost Input'!$H$17</f>
        <v>185</v>
      </c>
      <c r="V28" s="45">
        <f>'Non-Battery Cost Input'!$H$16</f>
        <v>65</v>
      </c>
      <c r="W28" s="45">
        <f>'Non-Battery Cost Input'!$H$18</f>
        <v>180</v>
      </c>
      <c r="X28" s="45">
        <f>'Non-Battery Cost Input'!$H$19</f>
        <v>300</v>
      </c>
      <c r="Y28" s="23">
        <f t="shared" si="1"/>
        <v>2755.9971999999998</v>
      </c>
      <c r="Z28" s="23">
        <f>K28*'Vehicle Attributes Overview'!$A$3*'Non-Battery Cost Input'!$G$6*'Non-Battery Cost Input'!$H$8</f>
        <v>214.77592500000003</v>
      </c>
      <c r="AA28" s="45">
        <f>'Non-Battery Cost Input'!$H$9</f>
        <v>400</v>
      </c>
      <c r="AB28" s="23">
        <f>K28*'Vehicle Attributes Overview'!$A$3*'Non-Battery Cost Input'!$G$10</f>
        <v>196.68125000000001</v>
      </c>
      <c r="AC28" s="45">
        <f>'Non-Battery Cost Input'!$H$20</f>
        <v>25</v>
      </c>
      <c r="AD28" s="45">
        <f>'Non-Battery Cost Input'!$H$19</f>
        <v>300</v>
      </c>
      <c r="AE28" s="43">
        <f t="shared" si="2"/>
        <v>1136.457175</v>
      </c>
    </row>
    <row r="29" spans="1:31" x14ac:dyDescent="0.3">
      <c r="A29" s="19" t="str">
        <f t="shared" si="0"/>
        <v>MedSUVPremiumFCEV320</v>
      </c>
      <c r="B29" s="68" t="s">
        <v>86</v>
      </c>
      <c r="C29" s="45" t="s">
        <v>80</v>
      </c>
      <c r="D29" s="45" t="s">
        <v>96</v>
      </c>
      <c r="E29" s="45">
        <v>2025</v>
      </c>
      <c r="F29" s="68" t="str">
        <f>RIGHT(D29,LEN(D29)-MIN(FIND({0,1,2,3,4,5,6,7,8,9},D29&amp;"0123456789"))+1)</f>
        <v>320</v>
      </c>
      <c r="G29" s="23" cm="1">
        <f t="array" ref="G29">IF(LEFT(D29,MIN(FIND({0,1,2,3,4,5,6,7,8,9},D29&amp;"0123456789"))-1)="BEV",INDEX(BEV_Efficiency,MATCH(A29,BEV_Efficiency_VehClass,0),MATCH(E29,Lookup_Year,0)),IF(LEFT(D29,MIN(FIND({0,1,2,3,4,5,6,7,8,9},D29&amp;"0123456789"))-1)="PHEV",INDEX(PHEV_Efficiency,MATCH(A29,PHEV_Efficiency_VehClass,0),MATCH(E29,Lookup_Year,0)),IF(LEFT(D29,MIN(FIND({0,1,2,3,4,5,6,7,8,9},D29&amp;"0123456789"))-1)="FCEV",0,"Error")))</f>
        <v>0</v>
      </c>
      <c r="H29" s="22" cm="1">
        <f t="array" ref="H29">IF(LEFT(D29,MIN(FIND({0,1,2,3,4,5,6,7,8,9},D29&amp;"0123456789"))-1)="BEV",0,IF(LEFT(D29,MIN(FIND({0,1,2,3,4,5,6,7,8,9},D29&amp;"0123456789"))-1)="PHEV",0,IF(LEFT(D29,MIN(FIND({0,1,2,3,4,5,6,7,8,9},D29&amp;"0123456789"))-1)="FCEV",INDEX(FCEV_H2_Efficiency,MATCH(A29,FCEV_H2_Efficiency_VehClass,0),MATCH(E29,Lookup_Year,0)),"Error")))</f>
        <v>19.771562500000002</v>
      </c>
      <c r="I29" s="22" cm="1">
        <f t="array" ref="I29">IF(LEFT(D29,MIN(FIND({0,1,2,3,4,5,6,7,8,9},D29&amp;"0123456789"))-1)="BEV",INDEX(BEV_UBE,MATCH(A29,BEV_UBE_VehClass,0),MATCH(E29,Lookup_Year,0)),IF(LEFT(D29,MIN(FIND({0,1,2,3,4,5,6,7,8,9},D29&amp;"0123456789"))-1)="PHEV",INDEX(PHEV_UBE,MATCH(A29,PHEV_UBE_VehClass,0),MATCH(E29,Lookup_Year,0)),IF(LEFT(D29,MIN(FIND({0,1,2,3,4,5,6,7,8,9},D29&amp;"0123456789"))-1)="FCEV",INDEX(FCEV_UBE,MATCH(A29,FCEV_UBE_VehClass,0),MATCH(E29,Lookup_Year,0)))))</f>
        <v>1.9656</v>
      </c>
      <c r="J29" s="22" cm="1">
        <f t="array" ref="J29">IF(LEFT(D29,MIN(FIND({0,1,2,3,4,5,6,7,8,9},D29&amp;"0123456789"))-1)="BEV",INDEX(BEV_TBE,MATCH(A29,BEV_TBE_VehClass,0),MATCH(E29,Lookup_Year,0)),IF(LEFT(D29,MIN(FIND({0,1,2,3,4,5,6,7,8,9},D29&amp;"0123456789"))-1)="PHEV",INDEX(PHEV_TBE,MATCH(A29,PHEV_TBE_VehClass,0),MATCH(E29,Lookup_Year,0)),IF(LEFT(D29,MIN(FIND({0,1,2,3,4,5,6,7,8,9},D29&amp;"0123456789"))-1)="FCEV",INDEX(FCEV_TBE,MATCH(A29,FCEV_TBE_VehClass,0),MATCH(E29,Lookup_Year,0)))))</f>
        <v>1.9656</v>
      </c>
      <c r="K29" s="23" cm="1">
        <f t="array" ref="K29">IF(LEFT(D29,MIN(FIND({0,1,2,3,4,5,6,7,8,9},D29&amp;"0123456789"))-1)="BEV",INDEX(BEV_eMotor_Power,MATCH(A29,BEV_eMotor_Power_VehClass,0),MATCH(E29,Lookup_Year,0)),IF(LEFT(D29,MIN(FIND({0,1,2,3,4,5,6,7,8,9},D29&amp;"0123456789"))-1)="PHEV",INDEX(PHEV_eMotor_Power,MATCH(A29,PHEV_eMotor_Power_VehClass,0),MATCH(E29,Lookup_Year,0)),IF(LEFT(D29,MIN(FIND({0,1,2,3,4,5,6,7,8,9},D29&amp;"0123456789"))-1)="FCEV",INDEX(FCEV_eMotor_Power,MATCH(A29,FCEV_eMotor_Power_VehClass,0),MATCH(E29,Lookup_Year,0)))))</f>
        <v>157.345</v>
      </c>
      <c r="L29" s="27" cm="1">
        <f t="array" ref="L29">IF(LEFT(D29,MIN(FIND({0,1,2,3,4,5,6,7,8,9},D29&amp;"0123456789"))-1)="BEV",0,IF(LEFT(D29,MIN(FIND({0,1,2,3,4,5,6,7,8,9},D29&amp;"0123456789"))-1)="PHEV",0,IF(LEFT(D29,MIN(FIND({0,1,2,3,4,5,6,7,8,9},D29&amp;"0123456789"))-1)="FCEV",INDEX(FCEV_TankSize,MATCH(A29,FCEV_TankSize_VehClass,0),MATCH(E29,Lookup_Year,0)))))</f>
        <v>6.3269000000000002</v>
      </c>
      <c r="M29" s="23" cm="1">
        <f t="array" ref="M29">IF(LEFT(D29,MIN(FIND({0,1,2,3,4,5,6,7,8,9},D29&amp;"0123456789"))-1)="BEV",0,IF(LEFT(D29,MIN(FIND({0,1,2,3,4,5,6,7,8,9},D29&amp;"0123456789"))-1)="PHEV",0,IF(LEFT(D29,MIN(FIND({0,1,2,3,4,5,6,7,8,9},D29&amp;"0123456789"))-1)="FCEV",INDEX(FCEV_StackSize,MATCH(A29,FCEV_StackSize_VehClass,0),MATCH(E29,Lookup_Year,0)))))</f>
        <v>139.38399999999999</v>
      </c>
      <c r="N29" s="23">
        <f>K29*'Non-Battery Cost Input'!$G$5*'Non-Battery Cost Input'!$H$7</f>
        <v>623.08620000000008</v>
      </c>
      <c r="O29" s="45">
        <f>'Non-Battery Cost Input'!$H$9</f>
        <v>400</v>
      </c>
      <c r="P29" s="23">
        <f>K29*'Non-Battery Cost Input'!$G$11</f>
        <v>597.91099999999994</v>
      </c>
      <c r="Q29" s="45">
        <v>0</v>
      </c>
      <c r="R29" s="23">
        <v>0</v>
      </c>
      <c r="S29" s="45">
        <v>0</v>
      </c>
      <c r="T29" s="45">
        <f>'Non-Battery Cost Input'!$H$15</f>
        <v>405</v>
      </c>
      <c r="U29" s="45">
        <f>'Non-Battery Cost Input'!$H$17</f>
        <v>185</v>
      </c>
      <c r="V29" s="45">
        <f>'Non-Battery Cost Input'!$H$16</f>
        <v>65</v>
      </c>
      <c r="W29" s="45">
        <f>'Non-Battery Cost Input'!$H$18</f>
        <v>180</v>
      </c>
      <c r="X29" s="45">
        <f>'Non-Battery Cost Input'!$H$19</f>
        <v>300</v>
      </c>
      <c r="Y29" s="23">
        <f t="shared" si="1"/>
        <v>2755.9971999999998</v>
      </c>
      <c r="Z29" s="23">
        <f>K29*'Vehicle Attributes Overview'!$A$3*'Non-Battery Cost Input'!$G$6*'Non-Battery Cost Input'!$H$8</f>
        <v>214.77592500000003</v>
      </c>
      <c r="AA29" s="45">
        <f>'Non-Battery Cost Input'!$H$9</f>
        <v>400</v>
      </c>
      <c r="AB29" s="23">
        <f>K29*'Vehicle Attributes Overview'!$A$3*'Non-Battery Cost Input'!$G$10</f>
        <v>196.68125000000001</v>
      </c>
      <c r="AC29" s="45">
        <f>'Non-Battery Cost Input'!$H$20</f>
        <v>25</v>
      </c>
      <c r="AD29" s="45">
        <f>'Non-Battery Cost Input'!$H$19</f>
        <v>300</v>
      </c>
      <c r="AE29" s="43">
        <f t="shared" si="2"/>
        <v>1136.457175</v>
      </c>
    </row>
    <row r="30" spans="1:31" x14ac:dyDescent="0.3">
      <c r="A30" s="20" t="str">
        <f t="shared" si="0"/>
        <v>PickupBaseFCEV320</v>
      </c>
      <c r="B30" s="68" t="s">
        <v>89</v>
      </c>
      <c r="C30" s="45" t="s">
        <v>75</v>
      </c>
      <c r="D30" s="45" t="s">
        <v>96</v>
      </c>
      <c r="E30" s="45">
        <v>2025</v>
      </c>
      <c r="F30" s="68" t="str">
        <f>RIGHT(D30,LEN(D30)-MIN(FIND({0,1,2,3,4,5,6,7,8,9},D30&amp;"0123456789"))+1)</f>
        <v>320</v>
      </c>
      <c r="G30" s="23" cm="1">
        <f t="array" ref="G30">IF(LEFT(D30,MIN(FIND({0,1,2,3,4,5,6,7,8,9},D30&amp;"0123456789"))-1)="BEV",INDEX(BEV_Efficiency,MATCH(A30,BEV_Efficiency_VehClass,0),MATCH(E30,Lookup_Year,0)),IF(LEFT(D30,MIN(FIND({0,1,2,3,4,5,6,7,8,9},D30&amp;"0123456789"))-1)="PHEV",INDEX(PHEV_Efficiency,MATCH(A30,PHEV_Efficiency_VehClass,0),MATCH(E30,Lookup_Year,0)),IF(LEFT(D30,MIN(FIND({0,1,2,3,4,5,6,7,8,9},D30&amp;"0123456789"))-1)="FCEV",0,"Error")))</f>
        <v>0</v>
      </c>
      <c r="H30" s="22" cm="1">
        <f t="array" ref="H30">IF(LEFT(D30,MIN(FIND({0,1,2,3,4,5,6,7,8,9},D30&amp;"0123456789"))-1)="BEV",0,IF(LEFT(D30,MIN(FIND({0,1,2,3,4,5,6,7,8,9},D30&amp;"0123456789"))-1)="PHEV",0,IF(LEFT(D30,MIN(FIND({0,1,2,3,4,5,6,7,8,9},D30&amp;"0123456789"))-1)="FCEV",INDEX(FCEV_H2_Efficiency,MATCH(A30,FCEV_H2_Efficiency_VehClass,0),MATCH(E30,Lookup_Year,0)),"Error")))</f>
        <v>23.354687500000001</v>
      </c>
      <c r="I30" s="22" cm="1">
        <f t="array" ref="I30">IF(LEFT(D30,MIN(FIND({0,1,2,3,4,5,6,7,8,9},D30&amp;"0123456789"))-1)="BEV",INDEX(BEV_UBE,MATCH(A30,BEV_UBE_VehClass,0),MATCH(E30,Lookup_Year,0)),IF(LEFT(D30,MIN(FIND({0,1,2,3,4,5,6,7,8,9},D30&amp;"0123456789"))-1)="PHEV",INDEX(PHEV_UBE,MATCH(A30,PHEV_UBE_VehClass,0),MATCH(E30,Lookup_Year,0)),IF(LEFT(D30,MIN(FIND({0,1,2,3,4,5,6,7,8,9},D30&amp;"0123456789"))-1)="FCEV",INDEX(FCEV_UBE,MATCH(A30,FCEV_UBE_VehClass,0),MATCH(E30,Lookup_Year,0)))))</f>
        <v>2.2464</v>
      </c>
      <c r="J30" s="22" cm="1">
        <f t="array" ref="J30">IF(LEFT(D30,MIN(FIND({0,1,2,3,4,5,6,7,8,9},D30&amp;"0123456789"))-1)="BEV",INDEX(BEV_TBE,MATCH(A30,BEV_TBE_VehClass,0),MATCH(E30,Lookup_Year,0)),IF(LEFT(D30,MIN(FIND({0,1,2,3,4,5,6,7,8,9},D30&amp;"0123456789"))-1)="PHEV",INDEX(PHEV_TBE,MATCH(A30,PHEV_TBE_VehClass,0),MATCH(E30,Lookup_Year,0)),IF(LEFT(D30,MIN(FIND({0,1,2,3,4,5,6,7,8,9},D30&amp;"0123456789"))-1)="FCEV",INDEX(FCEV_TBE,MATCH(A30,FCEV_TBE_VehClass,0),MATCH(E30,Lookup_Year,0)))))</f>
        <v>2.2464</v>
      </c>
      <c r="K30" s="23" cm="1">
        <f t="array" ref="K30">IF(LEFT(D30,MIN(FIND({0,1,2,3,4,5,6,7,8,9},D30&amp;"0123456789"))-1)="BEV",INDEX(BEV_eMotor_Power,MATCH(A30,BEV_eMotor_Power_VehClass,0),MATCH(E30,Lookup_Year,0)),IF(LEFT(D30,MIN(FIND({0,1,2,3,4,5,6,7,8,9},D30&amp;"0123456789"))-1)="PHEV",INDEX(PHEV_eMotor_Power,MATCH(A30,PHEV_eMotor_Power_VehClass,0),MATCH(E30,Lookup_Year,0)),IF(LEFT(D30,MIN(FIND({0,1,2,3,4,5,6,7,8,9},D30&amp;"0123456789"))-1)="FCEV",INDEX(FCEV_eMotor_Power,MATCH(A30,FCEV_eMotor_Power_VehClass,0),MATCH(E30,Lookup_Year,0)))))</f>
        <v>185.68100000000001</v>
      </c>
      <c r="L30" s="27" cm="1">
        <f t="array" ref="L30">IF(LEFT(D30,MIN(FIND({0,1,2,3,4,5,6,7,8,9},D30&amp;"0123456789"))-1)="BEV",0,IF(LEFT(D30,MIN(FIND({0,1,2,3,4,5,6,7,8,9},D30&amp;"0123456789"))-1)="PHEV",0,IF(LEFT(D30,MIN(FIND({0,1,2,3,4,5,6,7,8,9},D30&amp;"0123456789"))-1)="FCEV",INDEX(FCEV_TankSize,MATCH(A30,FCEV_TankSize_VehClass,0),MATCH(E30,Lookup_Year,0)))))</f>
        <v>7.4734999999999996</v>
      </c>
      <c r="M30" s="23" cm="1">
        <f t="array" ref="M30">IF(LEFT(D30,MIN(FIND({0,1,2,3,4,5,6,7,8,9},D30&amp;"0123456789"))-1)="BEV",0,IF(LEFT(D30,MIN(FIND({0,1,2,3,4,5,6,7,8,9},D30&amp;"0123456789"))-1)="PHEV",0,IF(LEFT(D30,MIN(FIND({0,1,2,3,4,5,6,7,8,9},D30&amp;"0123456789"))-1)="FCEV",INDEX(FCEV_StackSize,MATCH(A30,FCEV_StackSize_VehClass,0),MATCH(E30,Lookup_Year,0)))))</f>
        <v>162.08099999999999</v>
      </c>
      <c r="N30" s="23">
        <f>K30*'Non-Battery Cost Input'!$G$5*'Non-Battery Cost Input'!$H$7</f>
        <v>735.29676000000018</v>
      </c>
      <c r="O30" s="45">
        <f>'Non-Battery Cost Input'!$H$9</f>
        <v>400</v>
      </c>
      <c r="P30" s="23">
        <f>K30*'Non-Battery Cost Input'!$G$11</f>
        <v>705.58780000000002</v>
      </c>
      <c r="Q30" s="45">
        <v>0</v>
      </c>
      <c r="R30" s="23">
        <v>0</v>
      </c>
      <c r="S30" s="45">
        <v>0</v>
      </c>
      <c r="T30" s="45">
        <f>'Non-Battery Cost Input'!$H$15</f>
        <v>405</v>
      </c>
      <c r="U30" s="45">
        <f>'Non-Battery Cost Input'!$H$17</f>
        <v>185</v>
      </c>
      <c r="V30" s="45">
        <f>'Non-Battery Cost Input'!$H$16</f>
        <v>65</v>
      </c>
      <c r="W30" s="45">
        <f>'Non-Battery Cost Input'!$H$18</f>
        <v>180</v>
      </c>
      <c r="X30" s="45">
        <f>'Non-Battery Cost Input'!$H$19</f>
        <v>300</v>
      </c>
      <c r="Y30" s="23">
        <f t="shared" si="1"/>
        <v>2975.8845600000004</v>
      </c>
      <c r="Z30" s="23">
        <f>K30*'Vehicle Attributes Overview'!$A$3*'Non-Battery Cost Input'!$G$6*'Non-Battery Cost Input'!$H$8</f>
        <v>253.45456500000003</v>
      </c>
      <c r="AA30" s="45">
        <f>'Non-Battery Cost Input'!$H$9</f>
        <v>400</v>
      </c>
      <c r="AB30" s="23">
        <f>K30*'Vehicle Attributes Overview'!$A$3*'Non-Battery Cost Input'!$G$10</f>
        <v>232.10125000000002</v>
      </c>
      <c r="AC30" s="45">
        <f>'Non-Battery Cost Input'!$H$20</f>
        <v>25</v>
      </c>
      <c r="AD30" s="45">
        <f>'Non-Battery Cost Input'!$H$19</f>
        <v>300</v>
      </c>
      <c r="AE30" s="43">
        <f t="shared" si="2"/>
        <v>1210.5558150000002</v>
      </c>
    </row>
    <row r="31" spans="1:31" ht="15" thickBot="1" x14ac:dyDescent="0.35">
      <c r="A31" s="21" t="str">
        <f t="shared" si="0"/>
        <v>PickupHTFCEV320</v>
      </c>
      <c r="B31" s="68" t="s">
        <v>89</v>
      </c>
      <c r="C31" s="45" t="s">
        <v>113</v>
      </c>
      <c r="D31" s="45" t="s">
        <v>96</v>
      </c>
      <c r="E31" s="45">
        <v>2025</v>
      </c>
      <c r="F31" s="68" t="str">
        <f>RIGHT(D31,LEN(D31)-MIN(FIND({0,1,2,3,4,5,6,7,8,9},D31&amp;"0123456789"))+1)</f>
        <v>320</v>
      </c>
      <c r="G31" s="23" cm="1">
        <f t="array" ref="G31">IF(LEFT(D31,MIN(FIND({0,1,2,3,4,5,6,7,8,9},D31&amp;"0123456789"))-1)="BEV",INDEX(BEV_Efficiency,MATCH(A31,BEV_Efficiency_VehClass,0),MATCH(E31,Lookup_Year,0)),IF(LEFT(D31,MIN(FIND({0,1,2,3,4,5,6,7,8,9},D31&amp;"0123456789"))-1)="PHEV",INDEX(PHEV_Efficiency,MATCH(A31,PHEV_Efficiency_VehClass,0),MATCH(E31,Lookup_Year,0)),IF(LEFT(D31,MIN(FIND({0,1,2,3,4,5,6,7,8,9},D31&amp;"0123456789"))-1)="FCEV",0,"Error")))</f>
        <v>0</v>
      </c>
      <c r="H31" s="22" cm="1">
        <f t="array" ref="H31">IF(LEFT(D31,MIN(FIND({0,1,2,3,4,5,6,7,8,9},D31&amp;"0123456789"))-1)="BEV",0,IF(LEFT(D31,MIN(FIND({0,1,2,3,4,5,6,7,8,9},D31&amp;"0123456789"))-1)="PHEV",0,IF(LEFT(D31,MIN(FIND({0,1,2,3,4,5,6,7,8,9},D31&amp;"0123456789"))-1)="FCEV",INDEX(FCEV_H2_Efficiency,MATCH(A31,FCEV_H2_Efficiency_VehClass,0),MATCH(E31,Lookup_Year,0)),"Error")))</f>
        <v>23.354687500000001</v>
      </c>
      <c r="I31" s="22" cm="1">
        <f t="array" ref="I31">IF(LEFT(D31,MIN(FIND({0,1,2,3,4,5,6,7,8,9},D31&amp;"0123456789"))-1)="BEV",INDEX(BEV_UBE,MATCH(A31,BEV_UBE_VehClass,0),MATCH(E31,Lookup_Year,0)),IF(LEFT(D31,MIN(FIND({0,1,2,3,4,5,6,7,8,9},D31&amp;"0123456789"))-1)="PHEV",INDEX(PHEV_UBE,MATCH(A31,PHEV_UBE_VehClass,0),MATCH(E31,Lookup_Year,0)),IF(LEFT(D31,MIN(FIND({0,1,2,3,4,5,6,7,8,9},D31&amp;"0123456789"))-1)="FCEV",INDEX(FCEV_UBE,MATCH(A31,FCEV_UBE_VehClass,0),MATCH(E31,Lookup_Year,0)))))</f>
        <v>2.2464</v>
      </c>
      <c r="J31" s="22" cm="1">
        <f t="array" ref="J31">IF(LEFT(D31,MIN(FIND({0,1,2,3,4,5,6,7,8,9},D31&amp;"0123456789"))-1)="BEV",INDEX(BEV_TBE,MATCH(A31,BEV_TBE_VehClass,0),MATCH(E31,Lookup_Year,0)),IF(LEFT(D31,MIN(FIND({0,1,2,3,4,5,6,7,8,9},D31&amp;"0123456789"))-1)="PHEV",INDEX(PHEV_TBE,MATCH(A31,PHEV_TBE_VehClass,0),MATCH(E31,Lookup_Year,0)),IF(LEFT(D31,MIN(FIND({0,1,2,3,4,5,6,7,8,9},D31&amp;"0123456789"))-1)="FCEV",INDEX(FCEV_TBE,MATCH(A31,FCEV_TBE_VehClass,0),MATCH(E31,Lookup_Year,0)))))</f>
        <v>2.2464</v>
      </c>
      <c r="K31" s="23" cm="1">
        <f t="array" ref="K31">IF(LEFT(D31,MIN(FIND({0,1,2,3,4,5,6,7,8,9},D31&amp;"0123456789"))-1)="BEV",INDEX(BEV_eMotor_Power,MATCH(A31,BEV_eMotor_Power_VehClass,0),MATCH(E31,Lookup_Year,0)),IF(LEFT(D31,MIN(FIND({0,1,2,3,4,5,6,7,8,9},D31&amp;"0123456789"))-1)="PHEV",INDEX(PHEV_eMotor_Power,MATCH(A31,PHEV_eMotor_Power_VehClass,0),MATCH(E31,Lookup_Year,0)),IF(LEFT(D31,MIN(FIND({0,1,2,3,4,5,6,7,8,9},D31&amp;"0123456789"))-1)="FCEV",INDEX(FCEV_eMotor_Power,MATCH(A31,FCEV_eMotor_Power_VehClass,0),MATCH(E31,Lookup_Year,0)))))</f>
        <v>185.68100000000001</v>
      </c>
      <c r="L31" s="27" cm="1">
        <f t="array" ref="L31">IF(LEFT(D31,MIN(FIND({0,1,2,3,4,5,6,7,8,9},D31&amp;"0123456789"))-1)="BEV",0,IF(LEFT(D31,MIN(FIND({0,1,2,3,4,5,6,7,8,9},D31&amp;"0123456789"))-1)="PHEV",0,IF(LEFT(D31,MIN(FIND({0,1,2,3,4,5,6,7,8,9},D31&amp;"0123456789"))-1)="FCEV",INDEX(FCEV_TankSize,MATCH(A31,FCEV_TankSize_VehClass,0),MATCH(E31,Lookup_Year,0)))))</f>
        <v>7.4734999999999996</v>
      </c>
      <c r="M31" s="23" cm="1">
        <f t="array" ref="M31">IF(LEFT(D31,MIN(FIND({0,1,2,3,4,5,6,7,8,9},D31&amp;"0123456789"))-1)="BEV",0,IF(LEFT(D31,MIN(FIND({0,1,2,3,4,5,6,7,8,9},D31&amp;"0123456789"))-1)="PHEV",0,IF(LEFT(D31,MIN(FIND({0,1,2,3,4,5,6,7,8,9},D31&amp;"0123456789"))-1)="FCEV",INDEX(FCEV_StackSize,MATCH(A31,FCEV_StackSize_VehClass,0),MATCH(E31,Lookup_Year,0)))))</f>
        <v>162.08099999999999</v>
      </c>
      <c r="N31" s="23">
        <f>K31*'Non-Battery Cost Input'!$G$5*'Non-Battery Cost Input'!$H$7</f>
        <v>735.29676000000018</v>
      </c>
      <c r="O31" s="45">
        <f>'Non-Battery Cost Input'!$H$9</f>
        <v>400</v>
      </c>
      <c r="P31" s="23">
        <f>K31*'Non-Battery Cost Input'!$G$11</f>
        <v>705.58780000000002</v>
      </c>
      <c r="Q31" s="45">
        <v>0</v>
      </c>
      <c r="R31" s="23">
        <v>0</v>
      </c>
      <c r="S31" s="45">
        <v>0</v>
      </c>
      <c r="T31" s="45">
        <f>'Non-Battery Cost Input'!$H$15</f>
        <v>405</v>
      </c>
      <c r="U31" s="45">
        <f>'Non-Battery Cost Input'!$H$17</f>
        <v>185</v>
      </c>
      <c r="V31" s="45">
        <f>'Non-Battery Cost Input'!$H$16</f>
        <v>65</v>
      </c>
      <c r="W31" s="45">
        <f>'Non-Battery Cost Input'!$H$18</f>
        <v>180</v>
      </c>
      <c r="X31" s="45">
        <f>'Non-Battery Cost Input'!$H$19</f>
        <v>300</v>
      </c>
      <c r="Y31" s="23">
        <f t="shared" si="1"/>
        <v>2975.8845600000004</v>
      </c>
      <c r="Z31" s="23">
        <f>K31*'Vehicle Attributes Overview'!$A$3*'Non-Battery Cost Input'!$G$6*'Non-Battery Cost Input'!$H$8</f>
        <v>253.45456500000003</v>
      </c>
      <c r="AA31" s="45">
        <f>'Non-Battery Cost Input'!$H$9</f>
        <v>400</v>
      </c>
      <c r="AB31" s="23">
        <f>K31*'Vehicle Attributes Overview'!$A$3*'Non-Battery Cost Input'!$G$10</f>
        <v>232.10125000000002</v>
      </c>
      <c r="AC31" s="45">
        <f>'Non-Battery Cost Input'!$H$20</f>
        <v>25</v>
      </c>
      <c r="AD31" s="45">
        <f>'Non-Battery Cost Input'!$H$19</f>
        <v>300</v>
      </c>
      <c r="AE31" s="43">
        <f t="shared" si="2"/>
        <v>1210.5558150000002</v>
      </c>
    </row>
    <row r="33" spans="11:11" x14ac:dyDescent="0.3">
      <c r="K33" s="4"/>
    </row>
    <row r="34" spans="11:11" x14ac:dyDescent="0.3">
      <c r="K34" s="4"/>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0597B"/>
  </sheetPr>
  <dimension ref="A1:U34"/>
  <sheetViews>
    <sheetView topLeftCell="B1" workbookViewId="0"/>
  </sheetViews>
  <sheetFormatPr defaultRowHeight="14.4" x14ac:dyDescent="0.3"/>
  <cols>
    <col min="1" max="1" width="9.109375" hidden="1" customWidth="1"/>
    <col min="2" max="2" width="12.5546875" bestFit="1" customWidth="1"/>
    <col min="3" max="3" width="12.44140625" bestFit="1" customWidth="1"/>
    <col min="4" max="10" width="11" customWidth="1"/>
    <col min="11" max="15" width="12" customWidth="1"/>
  </cols>
  <sheetData>
    <row r="1" spans="1:16" x14ac:dyDescent="0.3">
      <c r="B1" s="170" t="s">
        <v>154</v>
      </c>
      <c r="C1" s="175"/>
      <c r="D1" s="175"/>
      <c r="E1" s="175"/>
      <c r="F1" s="175"/>
      <c r="G1" s="175"/>
      <c r="H1" s="175"/>
      <c r="I1" s="175"/>
      <c r="J1" s="175"/>
      <c r="K1" s="175"/>
      <c r="L1" s="175"/>
      <c r="M1" s="175"/>
      <c r="N1" s="175"/>
      <c r="O1" s="171"/>
    </row>
    <row r="2" spans="1:16" ht="15" customHeight="1" x14ac:dyDescent="0.3">
      <c r="B2" s="73"/>
      <c r="C2" s="73"/>
      <c r="D2" s="74"/>
      <c r="E2" s="194" t="s">
        <v>155</v>
      </c>
      <c r="F2" s="195"/>
      <c r="G2" s="195"/>
      <c r="H2" s="195"/>
      <c r="I2" s="195"/>
      <c r="J2" s="195"/>
      <c r="K2" s="195"/>
      <c r="L2" s="195"/>
      <c r="M2" s="195"/>
      <c r="N2" s="195"/>
      <c r="O2" s="196"/>
    </row>
    <row r="3" spans="1:16" x14ac:dyDescent="0.3">
      <c r="B3" s="75" t="s">
        <v>100</v>
      </c>
      <c r="C3" s="75" t="s">
        <v>101</v>
      </c>
      <c r="D3" s="76" t="s">
        <v>67</v>
      </c>
      <c r="E3" s="77">
        <v>2025</v>
      </c>
      <c r="F3" s="78">
        <v>2026</v>
      </c>
      <c r="G3" s="78">
        <v>2027</v>
      </c>
      <c r="H3" s="78">
        <v>2028</v>
      </c>
      <c r="I3" s="78">
        <v>2029</v>
      </c>
      <c r="J3" s="78">
        <v>2030</v>
      </c>
      <c r="K3" s="78">
        <v>2031</v>
      </c>
      <c r="L3" s="78">
        <v>2032</v>
      </c>
      <c r="M3" s="78">
        <v>2033</v>
      </c>
      <c r="N3" s="78">
        <v>2034</v>
      </c>
      <c r="O3" s="148">
        <v>2035</v>
      </c>
    </row>
    <row r="4" spans="1:16" x14ac:dyDescent="0.3">
      <c r="A4" s="16" t="str">
        <f t="shared" ref="A4:A33" si="0">CONCATENATE(B5,C5,D5,)</f>
        <v>SmallCarBaseBEV300</v>
      </c>
      <c r="B4" s="79" t="s">
        <v>64</v>
      </c>
      <c r="C4" s="68" t="s">
        <v>65</v>
      </c>
      <c r="D4" s="68" t="s">
        <v>156</v>
      </c>
      <c r="E4" s="22" t="s">
        <v>157</v>
      </c>
      <c r="F4" s="22" t="s">
        <v>158</v>
      </c>
      <c r="G4" s="22" t="s">
        <v>159</v>
      </c>
      <c r="H4" s="22" t="s">
        <v>160</v>
      </c>
      <c r="I4" s="22" t="s">
        <v>161</v>
      </c>
      <c r="J4" s="22" t="s">
        <v>162</v>
      </c>
      <c r="K4" s="22" t="s">
        <v>163</v>
      </c>
      <c r="L4" s="22" t="s">
        <v>164</v>
      </c>
      <c r="M4" s="22" t="s">
        <v>165</v>
      </c>
      <c r="N4" s="22" t="s">
        <v>166</v>
      </c>
      <c r="O4" s="42" t="s">
        <v>167</v>
      </c>
      <c r="P4" s="1"/>
    </row>
    <row r="5" spans="1:16" x14ac:dyDescent="0.3">
      <c r="A5" t="str">
        <f t="shared" si="0"/>
        <v>SmallCarPremiumBEV400</v>
      </c>
      <c r="B5" s="79" t="str">
        <f>'Vehicle Attributes - Base Year'!B2</f>
        <v>SmallCar</v>
      </c>
      <c r="C5" s="68" t="str">
        <f>'Vehicle Attributes - Base Year'!C2</f>
        <v>Base</v>
      </c>
      <c r="D5" s="68" t="str">
        <f>'Vehicle Attributes - Base Year'!D2</f>
        <v>BEV300</v>
      </c>
      <c r="E5" s="22" cm="1">
        <f t="array" ref="E5">IF(LEFT($D5,MIN(FIND({0,1,2,3,4,5,6,7,8,9},$D5&amp;"0123456789"))-1)="BEV",INDEX(BEV_TBE,MATCH($A4,BEV_TBE_VehClass,0),MATCH(E$3,Lookup_Year,0)),IF(LEFT($D5,MIN(FIND({0,1,2,3,4,5,6,7,8,9},$D5&amp;"0123456789"))-1)="PHEV",INDEX(PHEV_TBE,MATCH($A4,PHEV_TBE_VehClass,0),MATCH(E$3,Lookup_Year,0)),IF(LEFT($D5,MIN(FIND({0,1,2,3,4,5,6,7,8,9},$D5&amp;"0123456789"))-1)="FCEV",INDEX(FCEV_TBE,MATCH($A4,FCEV_TBE_VehClass,0),MATCH(E$3,Lookup_Year,0)))))</f>
        <v>72.631578947368425</v>
      </c>
      <c r="F5" s="22" cm="1">
        <f t="array" ref="F5">IF(LEFT($D5,MIN(FIND({0,1,2,3,4,5,6,7,8,9},$D5&amp;"0123456789"))-1)="BEV",INDEX(BEV_TBE,MATCH($A4,BEV_TBE_VehClass,0),MATCH(F$3,Lookup_Year,0)),IF(LEFT($D5,MIN(FIND({0,1,2,3,4,5,6,7,8,9},$D5&amp;"0123456789"))-1)="PHEV",INDEX(PHEV_TBE,MATCH($A4,PHEV_TBE_VehClass,0),MATCH(F$3,Lookup_Year,0)),IF(LEFT($D5,MIN(FIND({0,1,2,3,4,5,6,7,8,9},$D5&amp;"0123456789"))-1)="FCEV",INDEX(FCEV_TBE,MATCH($A4,FCEV_TBE_VehClass,0),MATCH(F$3,Lookup_Year,0)))))</f>
        <v>72.268421052631581</v>
      </c>
      <c r="G5" s="22" cm="1">
        <f t="array" ref="G5">IF(LEFT($D5,MIN(FIND({0,1,2,3,4,5,6,7,8,9},$D5&amp;"0123456789"))-1)="BEV",INDEX(BEV_TBE,MATCH($A4,BEV_TBE_VehClass,0),MATCH(G$3,Lookup_Year,0)),IF(LEFT($D5,MIN(FIND({0,1,2,3,4,5,6,7,8,9},$D5&amp;"0123456789"))-1)="PHEV",INDEX(PHEV_TBE,MATCH($A4,PHEV_TBE_VehClass,0),MATCH(G$3,Lookup_Year,0)),IF(LEFT($D5,MIN(FIND({0,1,2,3,4,5,6,7,8,9},$D5&amp;"0123456789"))-1)="FCEV",INDEX(FCEV_TBE,MATCH($A4,FCEV_TBE_VehClass,0),MATCH(G$3,Lookup_Year,0)))))</f>
        <v>71.907078947368419</v>
      </c>
      <c r="H5" s="22" cm="1">
        <f t="array" ref="H5">IF(LEFT($D5,MIN(FIND({0,1,2,3,4,5,6,7,8,9},$D5&amp;"0123456789"))-1)="BEV",INDEX(BEV_TBE,MATCH($A4,BEV_TBE_VehClass,0),MATCH(H$3,Lookup_Year,0)),IF(LEFT($D5,MIN(FIND({0,1,2,3,4,5,6,7,8,9},$D5&amp;"0123456789"))-1)="PHEV",INDEX(PHEV_TBE,MATCH($A4,PHEV_TBE_VehClass,0),MATCH(H$3,Lookup_Year,0)),IF(LEFT($D5,MIN(FIND({0,1,2,3,4,5,6,7,8,9},$D5&amp;"0123456789"))-1)="FCEV",INDEX(FCEV_TBE,MATCH($A4,FCEV_TBE_VehClass,0),MATCH(H$3,Lookup_Year,0)))))</f>
        <v>71.547543552631581</v>
      </c>
      <c r="I5" s="22" cm="1">
        <f t="array" ref="I5">IF(LEFT($D5,MIN(FIND({0,1,2,3,4,5,6,7,8,9},$D5&amp;"0123456789"))-1)="BEV",INDEX(BEV_TBE,MATCH($A4,BEV_TBE_VehClass,0),MATCH(I$3,Lookup_Year,0)),IF(LEFT($D5,MIN(FIND({0,1,2,3,4,5,6,7,8,9},$D5&amp;"0123456789"))-1)="PHEV",INDEX(PHEV_TBE,MATCH($A4,PHEV_TBE_VehClass,0),MATCH(I$3,Lookup_Year,0)),IF(LEFT($D5,MIN(FIND({0,1,2,3,4,5,6,7,8,9},$D5&amp;"0123456789"))-1)="FCEV",INDEX(FCEV_TBE,MATCH($A4,FCEV_TBE_VehClass,0),MATCH(I$3,Lookup_Year,0)))))</f>
        <v>71.189805834868423</v>
      </c>
      <c r="J5" s="22" cm="1">
        <f t="array" ref="J5">IF(LEFT($D5,MIN(FIND({0,1,2,3,4,5,6,7,8,9},$D5&amp;"0123456789"))-1)="BEV",INDEX(BEV_TBE,MATCH($A4,BEV_TBE_VehClass,0),MATCH(J$3,Lookup_Year,0)),IF(LEFT($D5,MIN(FIND({0,1,2,3,4,5,6,7,8,9},$D5&amp;"0123456789"))-1)="PHEV",INDEX(PHEV_TBE,MATCH($A4,PHEV_TBE_VehClass,0),MATCH(J$3,Lookup_Year,0)),IF(LEFT($D5,MIN(FIND({0,1,2,3,4,5,6,7,8,9},$D5&amp;"0123456789"))-1)="FCEV",INDEX(FCEV_TBE,MATCH($A4,FCEV_TBE_VehClass,0),MATCH(J$3,Lookup_Year,0)))))</f>
        <v>70.833856805694069</v>
      </c>
      <c r="K5" s="22" cm="1">
        <f t="array" ref="K5">IF(LEFT($D5,MIN(FIND({0,1,2,3,4,5,6,7,8,9},$D5&amp;"0123456789"))-1)="BEV",INDEX(BEV_TBE,MATCH($A4,BEV_TBE_VehClass,0),MATCH(K$3,Lookup_Year,0)),IF(LEFT($D5,MIN(FIND({0,1,2,3,4,5,6,7,8,9},$D5&amp;"0123456789"))-1)="PHEV",INDEX(PHEV_TBE,MATCH($A4,PHEV_TBE_VehClass,0),MATCH(K$3,Lookup_Year,0)),IF(LEFT($D5,MIN(FIND({0,1,2,3,4,5,6,7,8,9},$D5&amp;"0123456789"))-1)="FCEV",INDEX(FCEV_TBE,MATCH($A4,FCEV_TBE_VehClass,0),MATCH(K$3,Lookup_Year,0)))))</f>
        <v>70.479687521665596</v>
      </c>
      <c r="L5" s="22" cm="1">
        <f t="array" ref="L5">IF(LEFT($D5,MIN(FIND({0,1,2,3,4,5,6,7,8,9},$D5&amp;"0123456789"))-1)="BEV",INDEX(BEV_TBE,MATCH($A4,BEV_TBE_VehClass,0),MATCH(L$3,Lookup_Year,0)),IF(LEFT($D5,MIN(FIND({0,1,2,3,4,5,6,7,8,9},$D5&amp;"0123456789"))-1)="PHEV",INDEX(PHEV_TBE,MATCH($A4,PHEV_TBE_VehClass,0),MATCH(L$3,Lookup_Year,0)),IF(LEFT($D5,MIN(FIND({0,1,2,3,4,5,6,7,8,9},$D5&amp;"0123456789"))-1)="FCEV",INDEX(FCEV_TBE,MATCH($A4,FCEV_TBE_VehClass,0),MATCH(L$3,Lookup_Year,0)))))</f>
        <v>70.127289084057267</v>
      </c>
      <c r="M5" s="22" cm="1">
        <f t="array" ref="M5">IF(LEFT($D5,MIN(FIND({0,1,2,3,4,5,6,7,8,9},$D5&amp;"0123456789"))-1)="BEV",INDEX(BEV_TBE,MATCH($A4,BEV_TBE_VehClass,0),MATCH(M$3,Lookup_Year,0)),IF(LEFT($D5,MIN(FIND({0,1,2,3,4,5,6,7,8,9},$D5&amp;"0123456789"))-1)="PHEV",INDEX(PHEV_TBE,MATCH($A4,PHEV_TBE_VehClass,0),MATCH(M$3,Lookup_Year,0)),IF(LEFT($D5,MIN(FIND({0,1,2,3,4,5,6,7,8,9},$D5&amp;"0123456789"))-1)="FCEV",INDEX(FCEV_TBE,MATCH($A4,FCEV_TBE_VehClass,0),MATCH(M$3,Lookup_Year,0)))))</f>
        <v>69.776652638636989</v>
      </c>
      <c r="N5" s="22" cm="1">
        <f t="array" ref="N5">IF(LEFT($D5,MIN(FIND({0,1,2,3,4,5,6,7,8,9},$D5&amp;"0123456789"))-1)="BEV",INDEX(BEV_TBE,MATCH($A4,BEV_TBE_VehClass,0),MATCH(N$3,Lookup_Year,0)),IF(LEFT($D5,MIN(FIND({0,1,2,3,4,5,6,7,8,9},$D5&amp;"0123456789"))-1)="PHEV",INDEX(PHEV_TBE,MATCH($A4,PHEV_TBE_VehClass,0),MATCH(N$3,Lookup_Year,0)),IF(LEFT($D5,MIN(FIND({0,1,2,3,4,5,6,7,8,9},$D5&amp;"0123456789"))-1)="FCEV",INDEX(FCEV_TBE,MATCH($A4,FCEV_TBE_VehClass,0),MATCH(N$3,Lookup_Year,0)))))</f>
        <v>69.427769375443802</v>
      </c>
      <c r="O5" s="42" cm="1">
        <f t="array" ref="O5">IF(LEFT($D5,MIN(FIND({0,1,2,3,4,5,6,7,8,9},$D5&amp;"0123456789"))-1)="BEV",INDEX(BEV_TBE,MATCH($A4,BEV_TBE_VehClass,0),MATCH(O$3,Lookup_Year,0)),IF(LEFT($D5,MIN(FIND({0,1,2,3,4,5,6,7,8,9},$D5&amp;"0123456789"))-1)="PHEV",INDEX(PHEV_TBE,MATCH($A4,PHEV_TBE_VehClass,0),MATCH(O$3,Lookup_Year,0)),IF(LEFT($D5,MIN(FIND({0,1,2,3,4,5,6,7,8,9},$D5&amp;"0123456789"))-1)="FCEV",INDEX(FCEV_TBE,MATCH($A4,FCEV_TBE_VehClass,0),MATCH(O$3,Lookup_Year,0)))))</f>
        <v>69.080630528566587</v>
      </c>
      <c r="P5" s="1"/>
    </row>
    <row r="6" spans="1:16" x14ac:dyDescent="0.3">
      <c r="A6" s="16" t="str">
        <f t="shared" si="0"/>
        <v>MedCarBaseBEV300</v>
      </c>
      <c r="B6" s="79" t="str">
        <f>'Vehicle Attributes - Base Year'!B3</f>
        <v>SmallCar</v>
      </c>
      <c r="C6" s="68" t="str">
        <f>'Vehicle Attributes - Base Year'!C3</f>
        <v>Premium</v>
      </c>
      <c r="D6" s="68" t="str">
        <f>'Vehicle Attributes - Base Year'!D3</f>
        <v>BEV400</v>
      </c>
      <c r="E6" s="22" cm="1">
        <f t="array" ref="E6">IF(LEFT($D6,MIN(FIND({0,1,2,3,4,5,6,7,8,9},$D6&amp;"0123456789"))-1)="BEV",INDEX(BEV_TBE,MATCH($A5,BEV_TBE_VehClass,0),MATCH(E$3,Lookup_Year,0)),IF(LEFT($D6,MIN(FIND({0,1,2,3,4,5,6,7,8,9},$D6&amp;"0123456789"))-1)="PHEV",INDEX(PHEV_TBE,MATCH($A5,PHEV_TBE_VehClass,0),MATCH(E$3,Lookup_Year,0)),IF(LEFT($D6,MIN(FIND({0,1,2,3,4,5,6,7,8,9},$D6&amp;"0123456789"))-1)="FCEV",INDEX(FCEV_TBE,MATCH($A5,FCEV_TBE_VehClass,0),MATCH(E$3,Lookup_Year,0)))))</f>
        <v>98.94736842105263</v>
      </c>
      <c r="F6" s="22" cm="1">
        <f t="array" ref="F6">IF(LEFT($D6,MIN(FIND({0,1,2,3,4,5,6,7,8,9},$D6&amp;"0123456789"))-1)="BEV",INDEX(BEV_TBE,MATCH($A5,BEV_TBE_VehClass,0),MATCH(F$3,Lookup_Year,0)),IF(LEFT($D6,MIN(FIND({0,1,2,3,4,5,6,7,8,9},$D6&amp;"0123456789"))-1)="PHEV",INDEX(PHEV_TBE,MATCH($A5,PHEV_TBE_VehClass,0),MATCH(F$3,Lookup_Year,0)),IF(LEFT($D6,MIN(FIND({0,1,2,3,4,5,6,7,8,9},$D6&amp;"0123456789"))-1)="FCEV",INDEX(FCEV_TBE,MATCH($A5,FCEV_TBE_VehClass,0),MATCH(F$3,Lookup_Year,0)))))</f>
        <v>98.452631578947376</v>
      </c>
      <c r="G6" s="22" cm="1">
        <f t="array" ref="G6">IF(LEFT($D6,MIN(FIND({0,1,2,3,4,5,6,7,8,9},$D6&amp;"0123456789"))-1)="BEV",INDEX(BEV_TBE,MATCH($A5,BEV_TBE_VehClass,0),MATCH(G$3,Lookup_Year,0)),IF(LEFT($D6,MIN(FIND({0,1,2,3,4,5,6,7,8,9},$D6&amp;"0123456789"))-1)="PHEV",INDEX(PHEV_TBE,MATCH($A5,PHEV_TBE_VehClass,0),MATCH(G$3,Lookup_Year,0)),IF(LEFT($D6,MIN(FIND({0,1,2,3,4,5,6,7,8,9},$D6&amp;"0123456789"))-1)="FCEV",INDEX(FCEV_TBE,MATCH($A5,FCEV_TBE_VehClass,0),MATCH(G$3,Lookup_Year,0)))))</f>
        <v>97.960368421052635</v>
      </c>
      <c r="H6" s="22" cm="1">
        <f t="array" ref="H6">IF(LEFT($D6,MIN(FIND({0,1,2,3,4,5,6,7,8,9},$D6&amp;"0123456789"))-1)="BEV",INDEX(BEV_TBE,MATCH($A5,BEV_TBE_VehClass,0),MATCH(H$3,Lookup_Year,0)),IF(LEFT($D6,MIN(FIND({0,1,2,3,4,5,6,7,8,9},$D6&amp;"0123456789"))-1)="PHEV",INDEX(PHEV_TBE,MATCH($A5,PHEV_TBE_VehClass,0),MATCH(H$3,Lookup_Year,0)),IF(LEFT($D6,MIN(FIND({0,1,2,3,4,5,6,7,8,9},$D6&amp;"0123456789"))-1)="FCEV",INDEX(FCEV_TBE,MATCH($A5,FCEV_TBE_VehClass,0),MATCH(H$3,Lookup_Year,0)))))</f>
        <v>97.47056657894737</v>
      </c>
      <c r="I6" s="22" cm="1">
        <f t="array" ref="I6">IF(LEFT($D6,MIN(FIND({0,1,2,3,4,5,6,7,8,9},$D6&amp;"0123456789"))-1)="BEV",INDEX(BEV_TBE,MATCH($A5,BEV_TBE_VehClass,0),MATCH(I$3,Lookup_Year,0)),IF(LEFT($D6,MIN(FIND({0,1,2,3,4,5,6,7,8,9},$D6&amp;"0123456789"))-1)="PHEV",INDEX(PHEV_TBE,MATCH($A5,PHEV_TBE_VehClass,0),MATCH(I$3,Lookup_Year,0)),IF(LEFT($D6,MIN(FIND({0,1,2,3,4,5,6,7,8,9},$D6&amp;"0123456789"))-1)="FCEV",INDEX(FCEV_TBE,MATCH($A5,FCEV_TBE_VehClass,0),MATCH(I$3,Lookup_Year,0)))))</f>
        <v>96.983213746052613</v>
      </c>
      <c r="J6" s="22" cm="1">
        <f t="array" ref="J6">IF(LEFT($D6,MIN(FIND({0,1,2,3,4,5,6,7,8,9},$D6&amp;"0123456789"))-1)="BEV",INDEX(BEV_TBE,MATCH($A5,BEV_TBE_VehClass,0),MATCH(J$3,Lookup_Year,0)),IF(LEFT($D6,MIN(FIND({0,1,2,3,4,5,6,7,8,9},$D6&amp;"0123456789"))-1)="PHEV",INDEX(PHEV_TBE,MATCH($A5,PHEV_TBE_VehClass,0),MATCH(J$3,Lookup_Year,0)),IF(LEFT($D6,MIN(FIND({0,1,2,3,4,5,6,7,8,9},$D6&amp;"0123456789"))-1)="FCEV",INDEX(FCEV_TBE,MATCH($A5,FCEV_TBE_VehClass,0),MATCH(J$3,Lookup_Year,0)))))</f>
        <v>96.498297677322356</v>
      </c>
      <c r="K6" s="22" cm="1">
        <f t="array" ref="K6">IF(LEFT($D6,MIN(FIND({0,1,2,3,4,5,6,7,8,9},$D6&amp;"0123456789"))-1)="BEV",INDEX(BEV_TBE,MATCH($A5,BEV_TBE_VehClass,0),MATCH(K$3,Lookup_Year,0)),IF(LEFT($D6,MIN(FIND({0,1,2,3,4,5,6,7,8,9},$D6&amp;"0123456789"))-1)="PHEV",INDEX(PHEV_TBE,MATCH($A5,PHEV_TBE_VehClass,0),MATCH(K$3,Lookup_Year,0)),IF(LEFT($D6,MIN(FIND({0,1,2,3,4,5,6,7,8,9},$D6&amp;"0123456789"))-1)="FCEV",INDEX(FCEV_TBE,MATCH($A5,FCEV_TBE_VehClass,0),MATCH(K$3,Lookup_Year,0)))))</f>
        <v>96.015806188935755</v>
      </c>
      <c r="L6" s="22" cm="1">
        <f t="array" ref="L6">IF(LEFT($D6,MIN(FIND({0,1,2,3,4,5,6,7,8,9},$D6&amp;"0123456789"))-1)="BEV",INDEX(BEV_TBE,MATCH($A5,BEV_TBE_VehClass,0),MATCH(L$3,Lookup_Year,0)),IF(LEFT($D6,MIN(FIND({0,1,2,3,4,5,6,7,8,9},$D6&amp;"0123456789"))-1)="PHEV",INDEX(PHEV_TBE,MATCH($A5,PHEV_TBE_VehClass,0),MATCH(L$3,Lookup_Year,0)),IF(LEFT($D6,MIN(FIND({0,1,2,3,4,5,6,7,8,9},$D6&amp;"0123456789"))-1)="FCEV",INDEX(FCEV_TBE,MATCH($A5,FCEV_TBE_VehClass,0),MATCH(L$3,Lookup_Year,0)))))</f>
        <v>95.535727157991062</v>
      </c>
      <c r="M6" s="22" cm="1">
        <f t="array" ref="M6">IF(LEFT($D6,MIN(FIND({0,1,2,3,4,5,6,7,8,9},$D6&amp;"0123456789"))-1)="BEV",INDEX(BEV_TBE,MATCH($A5,BEV_TBE_VehClass,0),MATCH(M$3,Lookup_Year,0)),IF(LEFT($D6,MIN(FIND({0,1,2,3,4,5,6,7,8,9},$D6&amp;"0123456789"))-1)="PHEV",INDEX(PHEV_TBE,MATCH($A5,PHEV_TBE_VehClass,0),MATCH(M$3,Lookup_Year,0)),IF(LEFT($D6,MIN(FIND({0,1,2,3,4,5,6,7,8,9},$D6&amp;"0123456789"))-1)="FCEV",INDEX(FCEV_TBE,MATCH($A5,FCEV_TBE_VehClass,0),MATCH(M$3,Lookup_Year,0)))))</f>
        <v>95.058048522201105</v>
      </c>
      <c r="N6" s="22" cm="1">
        <f t="array" ref="N6">IF(LEFT($D6,MIN(FIND({0,1,2,3,4,5,6,7,8,9},$D6&amp;"0123456789"))-1)="BEV",INDEX(BEV_TBE,MATCH($A5,BEV_TBE_VehClass,0),MATCH(N$3,Lookup_Year,0)),IF(LEFT($D6,MIN(FIND({0,1,2,3,4,5,6,7,8,9},$D6&amp;"0123456789"))-1)="PHEV",INDEX(PHEV_TBE,MATCH($A5,PHEV_TBE_VehClass,0),MATCH(N$3,Lookup_Year,0)),IF(LEFT($D6,MIN(FIND({0,1,2,3,4,5,6,7,8,9},$D6&amp;"0123456789"))-1)="FCEV",INDEX(FCEV_TBE,MATCH($A5,FCEV_TBE_VehClass,0),MATCH(N$3,Lookup_Year,0)))))</f>
        <v>94.582758279590109</v>
      </c>
      <c r="O6" s="42" cm="1">
        <f t="array" ref="O6">IF(LEFT($D6,MIN(FIND({0,1,2,3,4,5,6,7,8,9},$D6&amp;"0123456789"))-1)="BEV",INDEX(BEV_TBE,MATCH($A5,BEV_TBE_VehClass,0),MATCH(O$3,Lookup_Year,0)),IF(LEFT($D6,MIN(FIND({0,1,2,3,4,5,6,7,8,9},$D6&amp;"0123456789"))-1)="PHEV",INDEX(PHEV_TBE,MATCH($A5,PHEV_TBE_VehClass,0),MATCH(O$3,Lookup_Year,0)),IF(LEFT($D6,MIN(FIND({0,1,2,3,4,5,6,7,8,9},$D6&amp;"0123456789"))-1)="FCEV",INDEX(FCEV_TBE,MATCH($A5,FCEV_TBE_VehClass,0),MATCH(O$3,Lookup_Year,0)))))</f>
        <v>94.109844488192152</v>
      </c>
      <c r="P6" s="1"/>
    </row>
    <row r="7" spans="1:16" x14ac:dyDescent="0.3">
      <c r="A7" t="str">
        <f t="shared" si="0"/>
        <v>MedCarPremiumBEV400</v>
      </c>
      <c r="B7" s="79" t="str">
        <f>'Vehicle Attributes - Base Year'!B4</f>
        <v>MedCar</v>
      </c>
      <c r="C7" s="68" t="str">
        <f>'Vehicle Attributes - Base Year'!C4</f>
        <v>Base</v>
      </c>
      <c r="D7" s="68" t="str">
        <f>'Vehicle Attributes - Base Year'!D4</f>
        <v>BEV300</v>
      </c>
      <c r="E7" s="22" cm="1">
        <f t="array" ref="E7">IF(LEFT($D7,MIN(FIND({0,1,2,3,4,5,6,7,8,9},$D7&amp;"0123456789"))-1)="BEV",INDEX(BEV_TBE,MATCH($A6,BEV_TBE_VehClass,0),MATCH(E$3,Lookup_Year,0)),IF(LEFT($D7,MIN(FIND({0,1,2,3,4,5,6,7,8,9},$D7&amp;"0123456789"))-1)="PHEV",INDEX(PHEV_TBE,MATCH($A6,PHEV_TBE_VehClass,0),MATCH(E$3,Lookup_Year,0)),IF(LEFT($D7,MIN(FIND({0,1,2,3,4,5,6,7,8,9},$D7&amp;"0123456789"))-1)="FCEV",INDEX(FCEV_TBE,MATCH($A6,FCEV_TBE_VehClass,0),MATCH(E$3,Lookup_Year,0)))))</f>
        <v>75.789473684210535</v>
      </c>
      <c r="F7" s="22" cm="1">
        <f t="array" ref="F7">IF(LEFT($D7,MIN(FIND({0,1,2,3,4,5,6,7,8,9},$D7&amp;"0123456789"))-1)="BEV",INDEX(BEV_TBE,MATCH($A6,BEV_TBE_VehClass,0),MATCH(F$3,Lookup_Year,0)),IF(LEFT($D7,MIN(FIND({0,1,2,3,4,5,6,7,8,9},$D7&amp;"0123456789"))-1)="PHEV",INDEX(PHEV_TBE,MATCH($A6,PHEV_TBE_VehClass,0),MATCH(F$3,Lookup_Year,0)),IF(LEFT($D7,MIN(FIND({0,1,2,3,4,5,6,7,8,9},$D7&amp;"0123456789"))-1)="FCEV",INDEX(FCEV_TBE,MATCH($A6,FCEV_TBE_VehClass,0),MATCH(F$3,Lookup_Year,0)))))</f>
        <v>75.410526315789483</v>
      </c>
      <c r="G7" s="22" cm="1">
        <f t="array" ref="G7">IF(LEFT($D7,MIN(FIND({0,1,2,3,4,5,6,7,8,9},$D7&amp;"0123456789"))-1)="BEV",INDEX(BEV_TBE,MATCH($A6,BEV_TBE_VehClass,0),MATCH(G$3,Lookup_Year,0)),IF(LEFT($D7,MIN(FIND({0,1,2,3,4,5,6,7,8,9},$D7&amp;"0123456789"))-1)="PHEV",INDEX(PHEV_TBE,MATCH($A6,PHEV_TBE_VehClass,0),MATCH(G$3,Lookup_Year,0)),IF(LEFT($D7,MIN(FIND({0,1,2,3,4,5,6,7,8,9},$D7&amp;"0123456789"))-1)="FCEV",INDEX(FCEV_TBE,MATCH($A6,FCEV_TBE_VehClass,0),MATCH(G$3,Lookup_Year,0)))))</f>
        <v>75.033473684210534</v>
      </c>
      <c r="H7" s="22" cm="1">
        <f t="array" ref="H7">IF(LEFT($D7,MIN(FIND({0,1,2,3,4,5,6,7,8,9},$D7&amp;"0123456789"))-1)="BEV",INDEX(BEV_TBE,MATCH($A6,BEV_TBE_VehClass,0),MATCH(H$3,Lookup_Year,0)),IF(LEFT($D7,MIN(FIND({0,1,2,3,4,5,6,7,8,9},$D7&amp;"0123456789"))-1)="PHEV",INDEX(PHEV_TBE,MATCH($A6,PHEV_TBE_VehClass,0),MATCH(H$3,Lookup_Year,0)),IF(LEFT($D7,MIN(FIND({0,1,2,3,4,5,6,7,8,9},$D7&amp;"0123456789"))-1)="FCEV",INDEX(FCEV_TBE,MATCH($A6,FCEV_TBE_VehClass,0),MATCH(H$3,Lookup_Year,0)))))</f>
        <v>74.658306315789488</v>
      </c>
      <c r="I7" s="22" cm="1">
        <f t="array" ref="I7">IF(LEFT($D7,MIN(FIND({0,1,2,3,4,5,6,7,8,9},$D7&amp;"0123456789"))-1)="BEV",INDEX(BEV_TBE,MATCH($A6,BEV_TBE_VehClass,0),MATCH(I$3,Lookup_Year,0)),IF(LEFT($D7,MIN(FIND({0,1,2,3,4,5,6,7,8,9},$D7&amp;"0123456789"))-1)="PHEV",INDEX(PHEV_TBE,MATCH($A6,PHEV_TBE_VehClass,0),MATCH(I$3,Lookup_Year,0)),IF(LEFT($D7,MIN(FIND({0,1,2,3,4,5,6,7,8,9},$D7&amp;"0123456789"))-1)="FCEV",INDEX(FCEV_TBE,MATCH($A6,FCEV_TBE_VehClass,0),MATCH(I$3,Lookup_Year,0)))))</f>
        <v>74.285014784210532</v>
      </c>
      <c r="J7" s="22" cm="1">
        <f t="array" ref="J7">IF(LEFT($D7,MIN(FIND({0,1,2,3,4,5,6,7,8,9},$D7&amp;"0123456789"))-1)="BEV",INDEX(BEV_TBE,MATCH($A6,BEV_TBE_VehClass,0),MATCH(J$3,Lookup_Year,0)),IF(LEFT($D7,MIN(FIND({0,1,2,3,4,5,6,7,8,9},$D7&amp;"0123456789"))-1)="PHEV",INDEX(PHEV_TBE,MATCH($A6,PHEV_TBE_VehClass,0),MATCH(J$3,Lookup_Year,0)),IF(LEFT($D7,MIN(FIND({0,1,2,3,4,5,6,7,8,9},$D7&amp;"0123456789"))-1)="FCEV",INDEX(FCEV_TBE,MATCH($A6,FCEV_TBE_VehClass,0),MATCH(J$3,Lookup_Year,0)))))</f>
        <v>73.913589710289486</v>
      </c>
      <c r="K7" s="22" cm="1">
        <f t="array" ref="K7">IF(LEFT($D7,MIN(FIND({0,1,2,3,4,5,6,7,8,9},$D7&amp;"0123456789"))-1)="BEV",INDEX(BEV_TBE,MATCH($A6,BEV_TBE_VehClass,0),MATCH(K$3,Lookup_Year,0)),IF(LEFT($D7,MIN(FIND({0,1,2,3,4,5,6,7,8,9},$D7&amp;"0123456789"))-1)="PHEV",INDEX(PHEV_TBE,MATCH($A6,PHEV_TBE_VehClass,0),MATCH(K$3,Lookup_Year,0)),IF(LEFT($D7,MIN(FIND({0,1,2,3,4,5,6,7,8,9},$D7&amp;"0123456789"))-1)="FCEV",INDEX(FCEV_TBE,MATCH($A6,FCEV_TBE_VehClass,0),MATCH(K$3,Lookup_Year,0)))))</f>
        <v>73.544021761738037</v>
      </c>
      <c r="L7" s="22" cm="1">
        <f t="array" ref="L7">IF(LEFT($D7,MIN(FIND({0,1,2,3,4,5,6,7,8,9},$D7&amp;"0123456789"))-1)="BEV",INDEX(BEV_TBE,MATCH($A6,BEV_TBE_VehClass,0),MATCH(L$3,Lookup_Year,0)),IF(LEFT($D7,MIN(FIND({0,1,2,3,4,5,6,7,8,9},$D7&amp;"0123456789"))-1)="PHEV",INDEX(PHEV_TBE,MATCH($A6,PHEV_TBE_VehClass,0),MATCH(L$3,Lookup_Year,0)),IF(LEFT($D7,MIN(FIND({0,1,2,3,4,5,6,7,8,9},$D7&amp;"0123456789"))-1)="FCEV",INDEX(FCEV_TBE,MATCH($A6,FCEV_TBE_VehClass,0),MATCH(L$3,Lookup_Year,0)))))</f>
        <v>73.176301652929354</v>
      </c>
      <c r="M7" s="22" cm="1">
        <f t="array" ref="M7">IF(LEFT($D7,MIN(FIND({0,1,2,3,4,5,6,7,8,9},$D7&amp;"0123456789"))-1)="BEV",INDEX(BEV_TBE,MATCH($A6,BEV_TBE_VehClass,0),MATCH(M$3,Lookup_Year,0)),IF(LEFT($D7,MIN(FIND({0,1,2,3,4,5,6,7,8,9},$D7&amp;"0123456789"))-1)="PHEV",INDEX(PHEV_TBE,MATCH($A6,PHEV_TBE_VehClass,0),MATCH(M$3,Lookup_Year,0)),IF(LEFT($D7,MIN(FIND({0,1,2,3,4,5,6,7,8,9},$D7&amp;"0123456789"))-1)="FCEV",INDEX(FCEV_TBE,MATCH($A6,FCEV_TBE_VehClass,0),MATCH(M$3,Lookup_Year,0)))))</f>
        <v>72.810420144664704</v>
      </c>
      <c r="N7" s="22" cm="1">
        <f t="array" ref="N7">IF(LEFT($D7,MIN(FIND({0,1,2,3,4,5,6,7,8,9},$D7&amp;"0123456789"))-1)="BEV",INDEX(BEV_TBE,MATCH($A6,BEV_TBE_VehClass,0),MATCH(N$3,Lookup_Year,0)),IF(LEFT($D7,MIN(FIND({0,1,2,3,4,5,6,7,8,9},$D7&amp;"0123456789"))-1)="PHEV",INDEX(PHEV_TBE,MATCH($A6,PHEV_TBE_VehClass,0),MATCH(N$3,Lookup_Year,0)),IF(LEFT($D7,MIN(FIND({0,1,2,3,4,5,6,7,8,9},$D7&amp;"0123456789"))-1)="FCEV",INDEX(FCEV_TBE,MATCH($A6,FCEV_TBE_VehClass,0),MATCH(N$3,Lookup_Year,0)))))</f>
        <v>72.446368043941376</v>
      </c>
      <c r="O7" s="42" cm="1">
        <f t="array" ref="O7">IF(LEFT($D7,MIN(FIND({0,1,2,3,4,5,6,7,8,9},$D7&amp;"0123456789"))-1)="BEV",INDEX(BEV_TBE,MATCH($A6,BEV_TBE_VehClass,0),MATCH(O$3,Lookup_Year,0)),IF(LEFT($D7,MIN(FIND({0,1,2,3,4,5,6,7,8,9},$D7&amp;"0123456789"))-1)="PHEV",INDEX(PHEV_TBE,MATCH($A6,PHEV_TBE_VehClass,0),MATCH(O$3,Lookup_Year,0)),IF(LEFT($D7,MIN(FIND({0,1,2,3,4,5,6,7,8,9},$D7&amp;"0123456789"))-1)="FCEV",INDEX(FCEV_TBE,MATCH($A6,FCEV_TBE_VehClass,0),MATCH(O$3,Lookup_Year,0)))))</f>
        <v>72.08413620372167</v>
      </c>
      <c r="P7" s="1"/>
    </row>
    <row r="8" spans="1:16" x14ac:dyDescent="0.3">
      <c r="A8" s="16" t="str">
        <f t="shared" si="0"/>
        <v>SmallSUVBaseBEV300</v>
      </c>
      <c r="B8" s="79" t="str">
        <f>'Vehicle Attributes - Base Year'!B5</f>
        <v>MedCar</v>
      </c>
      <c r="C8" s="68" t="str">
        <f>'Vehicle Attributes - Base Year'!C5</f>
        <v>Premium</v>
      </c>
      <c r="D8" s="68" t="str">
        <f>'Vehicle Attributes - Base Year'!D5</f>
        <v>BEV400</v>
      </c>
      <c r="E8" s="22" cm="1">
        <f t="array" ref="E8">IF(LEFT($D8,MIN(FIND({0,1,2,3,4,5,6,7,8,9},$D8&amp;"0123456789"))-1)="BEV",INDEX(BEV_TBE,MATCH($A7,BEV_TBE_VehClass,0),MATCH(E$3,Lookup_Year,0)),IF(LEFT($D8,MIN(FIND({0,1,2,3,4,5,6,7,8,9},$D8&amp;"0123456789"))-1)="PHEV",INDEX(PHEV_TBE,MATCH($A7,PHEV_TBE_VehClass,0),MATCH(E$3,Lookup_Year,0)),IF(LEFT($D8,MIN(FIND({0,1,2,3,4,5,6,7,8,9},$D8&amp;"0123456789"))-1)="FCEV",INDEX(FCEV_TBE,MATCH($A7,FCEV_TBE_VehClass,0),MATCH(E$3,Lookup_Year,0)))))</f>
        <v>106.10526315789474</v>
      </c>
      <c r="F8" s="22" cm="1">
        <f t="array" ref="F8">IF(LEFT($D8,MIN(FIND({0,1,2,3,4,5,6,7,8,9},$D8&amp;"0123456789"))-1)="BEV",INDEX(BEV_TBE,MATCH($A7,BEV_TBE_VehClass,0),MATCH(F$3,Lookup_Year,0)),IF(LEFT($D8,MIN(FIND({0,1,2,3,4,5,6,7,8,9},$D8&amp;"0123456789"))-1)="PHEV",INDEX(PHEV_TBE,MATCH($A7,PHEV_TBE_VehClass,0),MATCH(F$3,Lookup_Year,0)),IF(LEFT($D8,MIN(FIND({0,1,2,3,4,5,6,7,8,9},$D8&amp;"0123456789"))-1)="FCEV",INDEX(FCEV_TBE,MATCH($A7,FCEV_TBE_VehClass,0),MATCH(F$3,Lookup_Year,0)))))</f>
        <v>105.57473684210528</v>
      </c>
      <c r="G8" s="22" cm="1">
        <f t="array" ref="G8">IF(LEFT($D8,MIN(FIND({0,1,2,3,4,5,6,7,8,9},$D8&amp;"0123456789"))-1)="BEV",INDEX(BEV_TBE,MATCH($A7,BEV_TBE_VehClass,0),MATCH(G$3,Lookup_Year,0)),IF(LEFT($D8,MIN(FIND({0,1,2,3,4,5,6,7,8,9},$D8&amp;"0123456789"))-1)="PHEV",INDEX(PHEV_TBE,MATCH($A7,PHEV_TBE_VehClass,0),MATCH(G$3,Lookup_Year,0)),IF(LEFT($D8,MIN(FIND({0,1,2,3,4,5,6,7,8,9},$D8&amp;"0123456789"))-1)="FCEV",INDEX(FCEV_TBE,MATCH($A7,FCEV_TBE_VehClass,0),MATCH(G$3,Lookup_Year,0)))))</f>
        <v>105.04686315789475</v>
      </c>
      <c r="H8" s="22" cm="1">
        <f t="array" ref="H8">IF(LEFT($D8,MIN(FIND({0,1,2,3,4,5,6,7,8,9},$D8&amp;"0123456789"))-1)="BEV",INDEX(BEV_TBE,MATCH($A7,BEV_TBE_VehClass,0),MATCH(H$3,Lookup_Year,0)),IF(LEFT($D8,MIN(FIND({0,1,2,3,4,5,6,7,8,9},$D8&amp;"0123456789"))-1)="PHEV",INDEX(PHEV_TBE,MATCH($A7,PHEV_TBE_VehClass,0),MATCH(H$3,Lookup_Year,0)),IF(LEFT($D8,MIN(FIND({0,1,2,3,4,5,6,7,8,9},$D8&amp;"0123456789"))-1)="FCEV",INDEX(FCEV_TBE,MATCH($A7,FCEV_TBE_VehClass,0),MATCH(H$3,Lookup_Year,0)))))</f>
        <v>104.52162884210526</v>
      </c>
      <c r="I8" s="22" cm="1">
        <f t="array" ref="I8">IF(LEFT($D8,MIN(FIND({0,1,2,3,4,5,6,7,8,9},$D8&amp;"0123456789"))-1)="BEV",INDEX(BEV_TBE,MATCH($A7,BEV_TBE_VehClass,0),MATCH(I$3,Lookup_Year,0)),IF(LEFT($D8,MIN(FIND({0,1,2,3,4,5,6,7,8,9},$D8&amp;"0123456789"))-1)="PHEV",INDEX(PHEV_TBE,MATCH($A7,PHEV_TBE_VehClass,0),MATCH(I$3,Lookup_Year,0)),IF(LEFT($D8,MIN(FIND({0,1,2,3,4,5,6,7,8,9},$D8&amp;"0123456789"))-1)="FCEV",INDEX(FCEV_TBE,MATCH($A7,FCEV_TBE_VehClass,0),MATCH(I$3,Lookup_Year,0)))))</f>
        <v>103.99902069789474</v>
      </c>
      <c r="J8" s="22" cm="1">
        <f t="array" ref="J8">IF(LEFT($D8,MIN(FIND({0,1,2,3,4,5,6,7,8,9},$D8&amp;"0123456789"))-1)="BEV",INDEX(BEV_TBE,MATCH($A7,BEV_TBE_VehClass,0),MATCH(J$3,Lookup_Year,0)),IF(LEFT($D8,MIN(FIND({0,1,2,3,4,5,6,7,8,9},$D8&amp;"0123456789"))-1)="PHEV",INDEX(PHEV_TBE,MATCH($A7,PHEV_TBE_VehClass,0),MATCH(J$3,Lookup_Year,0)),IF(LEFT($D8,MIN(FIND({0,1,2,3,4,5,6,7,8,9},$D8&amp;"0123456789"))-1)="FCEV",INDEX(FCEV_TBE,MATCH($A7,FCEV_TBE_VehClass,0),MATCH(J$3,Lookup_Year,0)))))</f>
        <v>103.47902559440527</v>
      </c>
      <c r="K8" s="22" cm="1">
        <f t="array" ref="K8">IF(LEFT($D8,MIN(FIND({0,1,2,3,4,5,6,7,8,9},$D8&amp;"0123456789"))-1)="BEV",INDEX(BEV_TBE,MATCH($A7,BEV_TBE_VehClass,0),MATCH(K$3,Lookup_Year,0)),IF(LEFT($D8,MIN(FIND({0,1,2,3,4,5,6,7,8,9},$D8&amp;"0123456789"))-1)="PHEV",INDEX(PHEV_TBE,MATCH($A7,PHEV_TBE_VehClass,0),MATCH(K$3,Lookup_Year,0)),IF(LEFT($D8,MIN(FIND({0,1,2,3,4,5,6,7,8,9},$D8&amp;"0123456789"))-1)="FCEV",INDEX(FCEV_TBE,MATCH($A7,FCEV_TBE_VehClass,0),MATCH(K$3,Lookup_Year,0)))))</f>
        <v>102.96163046643323</v>
      </c>
      <c r="L8" s="22" cm="1">
        <f t="array" ref="L8">IF(LEFT($D8,MIN(FIND({0,1,2,3,4,5,6,7,8,9},$D8&amp;"0123456789"))-1)="BEV",INDEX(BEV_TBE,MATCH($A7,BEV_TBE_VehClass,0),MATCH(L$3,Lookup_Year,0)),IF(LEFT($D8,MIN(FIND({0,1,2,3,4,5,6,7,8,9},$D8&amp;"0123456789"))-1)="PHEV",INDEX(PHEV_TBE,MATCH($A7,PHEV_TBE_VehClass,0),MATCH(L$3,Lookup_Year,0)),IF(LEFT($D8,MIN(FIND({0,1,2,3,4,5,6,7,8,9},$D8&amp;"0123456789"))-1)="FCEV",INDEX(FCEV_TBE,MATCH($A7,FCEV_TBE_VehClass,0),MATCH(L$3,Lookup_Year,0)))))</f>
        <v>102.44682231410108</v>
      </c>
      <c r="M8" s="22" cm="1">
        <f t="array" ref="M8">IF(LEFT($D8,MIN(FIND({0,1,2,3,4,5,6,7,8,9},$D8&amp;"0123456789"))-1)="BEV",INDEX(BEV_TBE,MATCH($A7,BEV_TBE_VehClass,0),MATCH(M$3,Lookup_Year,0)),IF(LEFT($D8,MIN(FIND({0,1,2,3,4,5,6,7,8,9},$D8&amp;"0123456789"))-1)="PHEV",INDEX(PHEV_TBE,MATCH($A7,PHEV_TBE_VehClass,0),MATCH(M$3,Lookup_Year,0)),IF(LEFT($D8,MIN(FIND({0,1,2,3,4,5,6,7,8,9},$D8&amp;"0123456789"))-1)="FCEV",INDEX(FCEV_TBE,MATCH($A7,FCEV_TBE_VehClass,0),MATCH(M$3,Lookup_Year,0)))))</f>
        <v>101.93458820253056</v>
      </c>
      <c r="N8" s="22" cm="1">
        <f t="array" ref="N8">IF(LEFT($D8,MIN(FIND({0,1,2,3,4,5,6,7,8,9},$D8&amp;"0123456789"))-1)="BEV",INDEX(BEV_TBE,MATCH($A7,BEV_TBE_VehClass,0),MATCH(N$3,Lookup_Year,0)),IF(LEFT($D8,MIN(FIND({0,1,2,3,4,5,6,7,8,9},$D8&amp;"0123456789"))-1)="PHEV",INDEX(PHEV_TBE,MATCH($A7,PHEV_TBE_VehClass,0),MATCH(N$3,Lookup_Year,0)),IF(LEFT($D8,MIN(FIND({0,1,2,3,4,5,6,7,8,9},$D8&amp;"0123456789"))-1)="FCEV",INDEX(FCEV_TBE,MATCH($A7,FCEV_TBE_VehClass,0),MATCH(N$3,Lookup_Year,0)))))</f>
        <v>101.42491526151794</v>
      </c>
      <c r="O8" s="42" cm="1">
        <f t="array" ref="O8">IF(LEFT($D8,MIN(FIND({0,1,2,3,4,5,6,7,8,9},$D8&amp;"0123456789"))-1)="BEV",INDEX(BEV_TBE,MATCH($A7,BEV_TBE_VehClass,0),MATCH(O$3,Lookup_Year,0)),IF(LEFT($D8,MIN(FIND({0,1,2,3,4,5,6,7,8,9},$D8&amp;"0123456789"))-1)="PHEV",INDEX(PHEV_TBE,MATCH($A7,PHEV_TBE_VehClass,0),MATCH(O$3,Lookup_Year,0)),IF(LEFT($D8,MIN(FIND({0,1,2,3,4,5,6,7,8,9},$D8&amp;"0123456789"))-1)="FCEV",INDEX(FCEV_TBE,MATCH($A7,FCEV_TBE_VehClass,0),MATCH(O$3,Lookup_Year,0)))))</f>
        <v>100.91779068521035</v>
      </c>
      <c r="P8" s="1"/>
    </row>
    <row r="9" spans="1:16" x14ac:dyDescent="0.3">
      <c r="A9" t="str">
        <f t="shared" si="0"/>
        <v>SmallSUVPremiumBEV400</v>
      </c>
      <c r="B9" s="79" t="str">
        <f>'Vehicle Attributes - Base Year'!B6</f>
        <v>SmallSUV</v>
      </c>
      <c r="C9" s="68" t="str">
        <f>'Vehicle Attributes - Base Year'!C6</f>
        <v>Base</v>
      </c>
      <c r="D9" s="68" t="str">
        <f>'Vehicle Attributes - Base Year'!D6</f>
        <v>BEV300</v>
      </c>
      <c r="E9" s="22" cm="1">
        <f t="array" ref="E9">IF(LEFT($D9,MIN(FIND({0,1,2,3,4,5,6,7,8,9},$D9&amp;"0123456789"))-1)="BEV",INDEX(BEV_TBE,MATCH($A8,BEV_TBE_VehClass,0),MATCH(E$3,Lookup_Year,0)),IF(LEFT($D9,MIN(FIND({0,1,2,3,4,5,6,7,8,9},$D9&amp;"0123456789"))-1)="PHEV",INDEX(PHEV_TBE,MATCH($A8,PHEV_TBE_VehClass,0),MATCH(E$3,Lookup_Year,0)),IF(LEFT($D9,MIN(FIND({0,1,2,3,4,5,6,7,8,9},$D9&amp;"0123456789"))-1)="FCEV",INDEX(FCEV_TBE,MATCH($A8,FCEV_TBE_VehClass,0),MATCH(E$3,Lookup_Year,0)))))</f>
        <v>77.368421052631589</v>
      </c>
      <c r="F9" s="22" cm="1">
        <f t="array" ref="F9">IF(LEFT($D9,MIN(FIND({0,1,2,3,4,5,6,7,8,9},$D9&amp;"0123456789"))-1)="BEV",INDEX(BEV_TBE,MATCH($A8,BEV_TBE_VehClass,0),MATCH(F$3,Lookup_Year,0)),IF(LEFT($D9,MIN(FIND({0,1,2,3,4,5,6,7,8,9},$D9&amp;"0123456789"))-1)="PHEV",INDEX(PHEV_TBE,MATCH($A8,PHEV_TBE_VehClass,0),MATCH(F$3,Lookup_Year,0)),IF(LEFT($D9,MIN(FIND({0,1,2,3,4,5,6,7,8,9},$D9&amp;"0123456789"))-1)="FCEV",INDEX(FCEV_TBE,MATCH($A8,FCEV_TBE_VehClass,0),MATCH(F$3,Lookup_Year,0)))))</f>
        <v>76.981578947368419</v>
      </c>
      <c r="G9" s="22" cm="1">
        <f t="array" ref="G9">IF(LEFT($D9,MIN(FIND({0,1,2,3,4,5,6,7,8,9},$D9&amp;"0123456789"))-1)="BEV",INDEX(BEV_TBE,MATCH($A8,BEV_TBE_VehClass,0),MATCH(G$3,Lookup_Year,0)),IF(LEFT($D9,MIN(FIND({0,1,2,3,4,5,6,7,8,9},$D9&amp;"0123456789"))-1)="PHEV",INDEX(PHEV_TBE,MATCH($A8,PHEV_TBE_VehClass,0),MATCH(G$3,Lookup_Year,0)),IF(LEFT($D9,MIN(FIND({0,1,2,3,4,5,6,7,8,9},$D9&amp;"0123456789"))-1)="FCEV",INDEX(FCEV_TBE,MATCH($A8,FCEV_TBE_VehClass,0),MATCH(G$3,Lookup_Year,0)))))</f>
        <v>76.596671052631592</v>
      </c>
      <c r="H9" s="22" cm="1">
        <f t="array" ref="H9">IF(LEFT($D9,MIN(FIND({0,1,2,3,4,5,6,7,8,9},$D9&amp;"0123456789"))-1)="BEV",INDEX(BEV_TBE,MATCH($A8,BEV_TBE_VehClass,0),MATCH(H$3,Lookup_Year,0)),IF(LEFT($D9,MIN(FIND({0,1,2,3,4,5,6,7,8,9},$D9&amp;"0123456789"))-1)="PHEV",INDEX(PHEV_TBE,MATCH($A8,PHEV_TBE_VehClass,0),MATCH(H$3,Lookup_Year,0)),IF(LEFT($D9,MIN(FIND({0,1,2,3,4,5,6,7,8,9},$D9&amp;"0123456789"))-1)="FCEV",INDEX(FCEV_TBE,MATCH($A8,FCEV_TBE_VehClass,0),MATCH(H$3,Lookup_Year,0)))))</f>
        <v>76.213687697368428</v>
      </c>
      <c r="I9" s="22" cm="1">
        <f t="array" ref="I9">IF(LEFT($D9,MIN(FIND({0,1,2,3,4,5,6,7,8,9},$D9&amp;"0123456789"))-1)="BEV",INDEX(BEV_TBE,MATCH($A8,BEV_TBE_VehClass,0),MATCH(I$3,Lookup_Year,0)),IF(LEFT($D9,MIN(FIND({0,1,2,3,4,5,6,7,8,9},$D9&amp;"0123456789"))-1)="PHEV",INDEX(PHEV_TBE,MATCH($A8,PHEV_TBE_VehClass,0),MATCH(I$3,Lookup_Year,0)),IF(LEFT($D9,MIN(FIND({0,1,2,3,4,5,6,7,8,9},$D9&amp;"0123456789"))-1)="FCEV",INDEX(FCEV_TBE,MATCH($A8,FCEV_TBE_VehClass,0),MATCH(I$3,Lookup_Year,0)))))</f>
        <v>75.832619258881579</v>
      </c>
      <c r="J9" s="22" cm="1">
        <f t="array" ref="J9">IF(LEFT($D9,MIN(FIND({0,1,2,3,4,5,6,7,8,9},$D9&amp;"0123456789"))-1)="BEV",INDEX(BEV_TBE,MATCH($A8,BEV_TBE_VehClass,0),MATCH(J$3,Lookup_Year,0)),IF(LEFT($D9,MIN(FIND({0,1,2,3,4,5,6,7,8,9},$D9&amp;"0123456789"))-1)="PHEV",INDEX(PHEV_TBE,MATCH($A8,PHEV_TBE_VehClass,0),MATCH(J$3,Lookup_Year,0)),IF(LEFT($D9,MIN(FIND({0,1,2,3,4,5,6,7,8,9},$D9&amp;"0123456789"))-1)="FCEV",INDEX(FCEV_TBE,MATCH($A8,FCEV_TBE_VehClass,0),MATCH(J$3,Lookup_Year,0)))))</f>
        <v>75.453456162587173</v>
      </c>
      <c r="K9" s="22" cm="1">
        <f t="array" ref="K9">IF(LEFT($D9,MIN(FIND({0,1,2,3,4,5,6,7,8,9},$D9&amp;"0123456789"))-1)="BEV",INDEX(BEV_TBE,MATCH($A8,BEV_TBE_VehClass,0),MATCH(K$3,Lookup_Year,0)),IF(LEFT($D9,MIN(FIND({0,1,2,3,4,5,6,7,8,9},$D9&amp;"0123456789"))-1)="PHEV",INDEX(PHEV_TBE,MATCH($A8,PHEV_TBE_VehClass,0),MATCH(K$3,Lookup_Year,0)),IF(LEFT($D9,MIN(FIND({0,1,2,3,4,5,6,7,8,9},$D9&amp;"0123456789"))-1)="FCEV",INDEX(FCEV_TBE,MATCH($A8,FCEV_TBE_VehClass,0),MATCH(K$3,Lookup_Year,0)))))</f>
        <v>75.076188881774243</v>
      </c>
      <c r="L9" s="22" cm="1">
        <f t="array" ref="L9">IF(LEFT($D9,MIN(FIND({0,1,2,3,4,5,6,7,8,9},$D9&amp;"0123456789"))-1)="BEV",INDEX(BEV_TBE,MATCH($A8,BEV_TBE_VehClass,0),MATCH(L$3,Lookup_Year,0)),IF(LEFT($D9,MIN(FIND({0,1,2,3,4,5,6,7,8,9},$D9&amp;"0123456789"))-1)="PHEV",INDEX(PHEV_TBE,MATCH($A8,PHEV_TBE_VehClass,0),MATCH(L$3,Lookup_Year,0)),IF(LEFT($D9,MIN(FIND({0,1,2,3,4,5,6,7,8,9},$D9&amp;"0123456789"))-1)="FCEV",INDEX(FCEV_TBE,MATCH($A8,FCEV_TBE_VehClass,0),MATCH(L$3,Lookup_Year,0)))))</f>
        <v>74.700807937365369</v>
      </c>
      <c r="M9" s="22" cm="1">
        <f t="array" ref="M9">IF(LEFT($D9,MIN(FIND({0,1,2,3,4,5,6,7,8,9},$D9&amp;"0123456789"))-1)="BEV",INDEX(BEV_TBE,MATCH($A8,BEV_TBE_VehClass,0),MATCH(M$3,Lookup_Year,0)),IF(LEFT($D9,MIN(FIND({0,1,2,3,4,5,6,7,8,9},$D9&amp;"0123456789"))-1)="PHEV",INDEX(PHEV_TBE,MATCH($A8,PHEV_TBE_VehClass,0),MATCH(M$3,Lookup_Year,0)),IF(LEFT($D9,MIN(FIND({0,1,2,3,4,5,6,7,8,9},$D9&amp;"0123456789"))-1)="FCEV",INDEX(FCEV_TBE,MATCH($A8,FCEV_TBE_VehClass,0),MATCH(M$3,Lookup_Year,0)))))</f>
        <v>74.327303897678547</v>
      </c>
      <c r="N9" s="22" cm="1">
        <f t="array" ref="N9">IF(LEFT($D9,MIN(FIND({0,1,2,3,4,5,6,7,8,9},$D9&amp;"0123456789"))-1)="BEV",INDEX(BEV_TBE,MATCH($A8,BEV_TBE_VehClass,0),MATCH(N$3,Lookup_Year,0)),IF(LEFT($D9,MIN(FIND({0,1,2,3,4,5,6,7,8,9},$D9&amp;"0123456789"))-1)="PHEV",INDEX(PHEV_TBE,MATCH($A8,PHEV_TBE_VehClass,0),MATCH(N$3,Lookup_Year,0)),IF(LEFT($D9,MIN(FIND({0,1,2,3,4,5,6,7,8,9},$D9&amp;"0123456789"))-1)="FCEV",INDEX(FCEV_TBE,MATCH($A8,FCEV_TBE_VehClass,0),MATCH(N$3,Lookup_Year,0)))))</f>
        <v>73.955667378190142</v>
      </c>
      <c r="O9" s="42" cm="1">
        <f t="array" ref="O9">IF(LEFT($D9,MIN(FIND({0,1,2,3,4,5,6,7,8,9},$D9&amp;"0123456789"))-1)="BEV",INDEX(BEV_TBE,MATCH($A8,BEV_TBE_VehClass,0),MATCH(O$3,Lookup_Year,0)),IF(LEFT($D9,MIN(FIND({0,1,2,3,4,5,6,7,8,9},$D9&amp;"0123456789"))-1)="PHEV",INDEX(PHEV_TBE,MATCH($A8,PHEV_TBE_VehClass,0),MATCH(O$3,Lookup_Year,0)),IF(LEFT($D9,MIN(FIND({0,1,2,3,4,5,6,7,8,9},$D9&amp;"0123456789"))-1)="FCEV",INDEX(FCEV_TBE,MATCH($A8,FCEV_TBE_VehClass,0),MATCH(O$3,Lookup_Year,0)))))</f>
        <v>73.585889041299197</v>
      </c>
      <c r="P9" s="1"/>
    </row>
    <row r="10" spans="1:16" x14ac:dyDescent="0.3">
      <c r="A10" s="16" t="str">
        <f t="shared" si="0"/>
        <v>MedSUVBaseBEV300</v>
      </c>
      <c r="B10" s="79" t="str">
        <f>'Vehicle Attributes - Base Year'!B7</f>
        <v>SmallSUV</v>
      </c>
      <c r="C10" s="68" t="str">
        <f>'Vehicle Attributes - Base Year'!C7</f>
        <v>Premium</v>
      </c>
      <c r="D10" s="68" t="str">
        <f>'Vehicle Attributes - Base Year'!D7</f>
        <v>BEV400</v>
      </c>
      <c r="E10" s="22" cm="1">
        <f t="array" ref="E10">IF(LEFT($D10,MIN(FIND({0,1,2,3,4,5,6,7,8,9},$D10&amp;"0123456789"))-1)="BEV",INDEX(BEV_TBE,MATCH($A9,BEV_TBE_VehClass,0),MATCH(E$3,Lookup_Year,0)),IF(LEFT($D10,MIN(FIND({0,1,2,3,4,5,6,7,8,9},$D10&amp;"0123456789"))-1)="PHEV",INDEX(PHEV_TBE,MATCH($A9,PHEV_TBE_VehClass,0),MATCH(E$3,Lookup_Year,0)),IF(LEFT($D10,MIN(FIND({0,1,2,3,4,5,6,7,8,9},$D10&amp;"0123456789"))-1)="FCEV",INDEX(FCEV_TBE,MATCH($A9,FCEV_TBE_VehClass,0),MATCH(E$3,Lookup_Year,0)))))</f>
        <v>108.21052631578948</v>
      </c>
      <c r="F10" s="22" cm="1">
        <f t="array" ref="F10">IF(LEFT($D10,MIN(FIND({0,1,2,3,4,5,6,7,8,9},$D10&amp;"0123456789"))-1)="BEV",INDEX(BEV_TBE,MATCH($A9,BEV_TBE_VehClass,0),MATCH(F$3,Lookup_Year,0)),IF(LEFT($D10,MIN(FIND({0,1,2,3,4,5,6,7,8,9},$D10&amp;"0123456789"))-1)="PHEV",INDEX(PHEV_TBE,MATCH($A9,PHEV_TBE_VehClass,0),MATCH(F$3,Lookup_Year,0)),IF(LEFT($D10,MIN(FIND({0,1,2,3,4,5,6,7,8,9},$D10&amp;"0123456789"))-1)="FCEV",INDEX(FCEV_TBE,MATCH($A9,FCEV_TBE_VehClass,0),MATCH(F$3,Lookup_Year,0)))))</f>
        <v>107.66947368421053</v>
      </c>
      <c r="G10" s="22" cm="1">
        <f t="array" ref="G10">IF(LEFT($D10,MIN(FIND({0,1,2,3,4,5,6,7,8,9},$D10&amp;"0123456789"))-1)="BEV",INDEX(BEV_TBE,MATCH($A9,BEV_TBE_VehClass,0),MATCH(G$3,Lookup_Year,0)),IF(LEFT($D10,MIN(FIND({0,1,2,3,4,5,6,7,8,9},$D10&amp;"0123456789"))-1)="PHEV",INDEX(PHEV_TBE,MATCH($A9,PHEV_TBE_VehClass,0),MATCH(G$3,Lookup_Year,0)),IF(LEFT($D10,MIN(FIND({0,1,2,3,4,5,6,7,8,9},$D10&amp;"0123456789"))-1)="FCEV",INDEX(FCEV_TBE,MATCH($A9,FCEV_TBE_VehClass,0),MATCH(G$3,Lookup_Year,0)))))</f>
        <v>107.13112631578949</v>
      </c>
      <c r="H10" s="22" cm="1">
        <f t="array" ref="H10">IF(LEFT($D10,MIN(FIND({0,1,2,3,4,5,6,7,8,9},$D10&amp;"0123456789"))-1)="BEV",INDEX(BEV_TBE,MATCH($A9,BEV_TBE_VehClass,0),MATCH(H$3,Lookup_Year,0)),IF(LEFT($D10,MIN(FIND({0,1,2,3,4,5,6,7,8,9},$D10&amp;"0123456789"))-1)="PHEV",INDEX(PHEV_TBE,MATCH($A9,PHEV_TBE_VehClass,0),MATCH(H$3,Lookup_Year,0)),IF(LEFT($D10,MIN(FIND({0,1,2,3,4,5,6,7,8,9},$D10&amp;"0123456789"))-1)="FCEV",INDEX(FCEV_TBE,MATCH($A9,FCEV_TBE_VehClass,0),MATCH(H$3,Lookup_Year,0)))))</f>
        <v>106.59547068421054</v>
      </c>
      <c r="I10" s="22" cm="1">
        <f t="array" ref="I10">IF(LEFT($D10,MIN(FIND({0,1,2,3,4,5,6,7,8,9},$D10&amp;"0123456789"))-1)="BEV",INDEX(BEV_TBE,MATCH($A9,BEV_TBE_VehClass,0),MATCH(I$3,Lookup_Year,0)),IF(LEFT($D10,MIN(FIND({0,1,2,3,4,5,6,7,8,9},$D10&amp;"0123456789"))-1)="PHEV",INDEX(PHEV_TBE,MATCH($A9,PHEV_TBE_VehClass,0),MATCH(I$3,Lookup_Year,0)),IF(LEFT($D10,MIN(FIND({0,1,2,3,4,5,6,7,8,9},$D10&amp;"0123456789"))-1)="FCEV",INDEX(FCEV_TBE,MATCH($A9,FCEV_TBE_VehClass,0),MATCH(I$3,Lookup_Year,0)))))</f>
        <v>106.06249333078948</v>
      </c>
      <c r="J10" s="22" cm="1">
        <f t="array" ref="J10">IF(LEFT($D10,MIN(FIND({0,1,2,3,4,5,6,7,8,9},$D10&amp;"0123456789"))-1)="BEV",INDEX(BEV_TBE,MATCH($A9,BEV_TBE_VehClass,0),MATCH(J$3,Lookup_Year,0)),IF(LEFT($D10,MIN(FIND({0,1,2,3,4,5,6,7,8,9},$D10&amp;"0123456789"))-1)="PHEV",INDEX(PHEV_TBE,MATCH($A9,PHEV_TBE_VehClass,0),MATCH(J$3,Lookup_Year,0)),IF(LEFT($D10,MIN(FIND({0,1,2,3,4,5,6,7,8,9},$D10&amp;"0123456789"))-1)="FCEV",INDEX(FCEV_TBE,MATCH($A9,FCEV_TBE_VehClass,0),MATCH(J$3,Lookup_Year,0)))))</f>
        <v>105.53218086413554</v>
      </c>
      <c r="K10" s="22" cm="1">
        <f t="array" ref="K10">IF(LEFT($D10,MIN(FIND({0,1,2,3,4,5,6,7,8,9},$D10&amp;"0123456789"))-1)="BEV",INDEX(BEV_TBE,MATCH($A9,BEV_TBE_VehClass,0),MATCH(K$3,Lookup_Year,0)),IF(LEFT($D10,MIN(FIND({0,1,2,3,4,5,6,7,8,9},$D10&amp;"0123456789"))-1)="PHEV",INDEX(PHEV_TBE,MATCH($A9,PHEV_TBE_VehClass,0),MATCH(K$3,Lookup_Year,0)),IF(LEFT($D10,MIN(FIND({0,1,2,3,4,5,6,7,8,9},$D10&amp;"0123456789"))-1)="FCEV",INDEX(FCEV_TBE,MATCH($A9,FCEV_TBE_VehClass,0),MATCH(K$3,Lookup_Year,0)))))</f>
        <v>105.00451995981486</v>
      </c>
      <c r="L10" s="22" cm="1">
        <f t="array" ref="L10">IF(LEFT($D10,MIN(FIND({0,1,2,3,4,5,6,7,8,9},$D10&amp;"0123456789"))-1)="BEV",INDEX(BEV_TBE,MATCH($A9,BEV_TBE_VehClass,0),MATCH(L$3,Lookup_Year,0)),IF(LEFT($D10,MIN(FIND({0,1,2,3,4,5,6,7,8,9},$D10&amp;"0123456789"))-1)="PHEV",INDEX(PHEV_TBE,MATCH($A9,PHEV_TBE_VehClass,0),MATCH(L$3,Lookup_Year,0)),IF(LEFT($D10,MIN(FIND({0,1,2,3,4,5,6,7,8,9},$D10&amp;"0123456789"))-1)="FCEV",INDEX(FCEV_TBE,MATCH($A9,FCEV_TBE_VehClass,0),MATCH(L$3,Lookup_Year,0)))))</f>
        <v>104.47949736001578</v>
      </c>
      <c r="M10" s="22" cm="1">
        <f t="array" ref="M10">IF(LEFT($D10,MIN(FIND({0,1,2,3,4,5,6,7,8,9},$D10&amp;"0123456789"))-1)="BEV",INDEX(BEV_TBE,MATCH($A9,BEV_TBE_VehClass,0),MATCH(M$3,Lookup_Year,0)),IF(LEFT($D10,MIN(FIND({0,1,2,3,4,5,6,7,8,9},$D10&amp;"0123456789"))-1)="PHEV",INDEX(PHEV_TBE,MATCH($A9,PHEV_TBE_VehClass,0),MATCH(M$3,Lookup_Year,0)),IF(LEFT($D10,MIN(FIND({0,1,2,3,4,5,6,7,8,9},$D10&amp;"0123456789"))-1)="FCEV",INDEX(FCEV_TBE,MATCH($A9,FCEV_TBE_VehClass,0),MATCH(M$3,Lookup_Year,0)))))</f>
        <v>103.95709987321572</v>
      </c>
      <c r="N10" s="22" cm="1">
        <f t="array" ref="N10">IF(LEFT($D10,MIN(FIND({0,1,2,3,4,5,6,7,8,9},$D10&amp;"0123456789"))-1)="BEV",INDEX(BEV_TBE,MATCH($A9,BEV_TBE_VehClass,0),MATCH(N$3,Lookup_Year,0)),IF(LEFT($D10,MIN(FIND({0,1,2,3,4,5,6,7,8,9},$D10&amp;"0123456789"))-1)="PHEV",INDEX(PHEV_TBE,MATCH($A9,PHEV_TBE_VehClass,0),MATCH(N$3,Lookup_Year,0)),IF(LEFT($D10,MIN(FIND({0,1,2,3,4,5,6,7,8,9},$D10&amp;"0123456789"))-1)="FCEV",INDEX(FCEV_TBE,MATCH($A9,FCEV_TBE_VehClass,0),MATCH(N$3,Lookup_Year,0)))))</f>
        <v>103.43731437384963</v>
      </c>
      <c r="O10" s="42" cm="1">
        <f t="array" ref="O10">IF(LEFT($D10,MIN(FIND({0,1,2,3,4,5,6,7,8,9},$D10&amp;"0123456789"))-1)="BEV",INDEX(BEV_TBE,MATCH($A9,BEV_TBE_VehClass,0),MATCH(O$3,Lookup_Year,0)),IF(LEFT($D10,MIN(FIND({0,1,2,3,4,5,6,7,8,9},$D10&amp;"0123456789"))-1)="PHEV",INDEX(PHEV_TBE,MATCH($A9,PHEV_TBE_VehClass,0),MATCH(O$3,Lookup_Year,0)),IF(LEFT($D10,MIN(FIND({0,1,2,3,4,5,6,7,8,9},$D10&amp;"0123456789"))-1)="FCEV",INDEX(FCEV_TBE,MATCH($A9,FCEV_TBE_VehClass,0),MATCH(O$3,Lookup_Year,0)))))</f>
        <v>102.92012780198039</v>
      </c>
      <c r="P10" s="1"/>
    </row>
    <row r="11" spans="1:16" x14ac:dyDescent="0.3">
      <c r="A11" t="str">
        <f t="shared" si="0"/>
        <v>MedSUVPremiumBEV400</v>
      </c>
      <c r="B11" s="79" t="str">
        <f>'Vehicle Attributes - Base Year'!B8</f>
        <v>MedSUV</v>
      </c>
      <c r="C11" s="68" t="str">
        <f>'Vehicle Attributes - Base Year'!C8</f>
        <v>Base</v>
      </c>
      <c r="D11" s="68" t="str">
        <f>'Vehicle Attributes - Base Year'!D8</f>
        <v>BEV300</v>
      </c>
      <c r="E11" s="22" cm="1">
        <f t="array" ref="E11">IF(LEFT($D11,MIN(FIND({0,1,2,3,4,5,6,7,8,9},$D11&amp;"0123456789"))-1)="BEV",INDEX(BEV_TBE,MATCH($A10,BEV_TBE_VehClass,0),MATCH(E$3,Lookup_Year,0)),IF(LEFT($D11,MIN(FIND({0,1,2,3,4,5,6,7,8,9},$D11&amp;"0123456789"))-1)="PHEV",INDEX(PHEV_TBE,MATCH($A10,PHEV_TBE_VehClass,0),MATCH(E$3,Lookup_Year,0)),IF(LEFT($D11,MIN(FIND({0,1,2,3,4,5,6,7,8,9},$D11&amp;"0123456789"))-1)="FCEV",INDEX(FCEV_TBE,MATCH($A10,FCEV_TBE_VehClass,0),MATCH(E$3,Lookup_Year,0)))))</f>
        <v>93.78947368421052</v>
      </c>
      <c r="F11" s="22" cm="1">
        <f t="array" ref="F11">IF(LEFT($D11,MIN(FIND({0,1,2,3,4,5,6,7,8,9},$D11&amp;"0123456789"))-1)="BEV",INDEX(BEV_TBE,MATCH($A10,BEV_TBE_VehClass,0),MATCH(F$3,Lookup_Year,0)),IF(LEFT($D11,MIN(FIND({0,1,2,3,4,5,6,7,8,9},$D11&amp;"0123456789"))-1)="PHEV",INDEX(PHEV_TBE,MATCH($A10,PHEV_TBE_VehClass,0),MATCH(F$3,Lookup_Year,0)),IF(LEFT($D11,MIN(FIND({0,1,2,3,4,5,6,7,8,9},$D11&amp;"0123456789"))-1)="FCEV",INDEX(FCEV_TBE,MATCH($A10,FCEV_TBE_VehClass,0),MATCH(F$3,Lookup_Year,0)))))</f>
        <v>93.320526315789479</v>
      </c>
      <c r="G11" s="22" cm="1">
        <f t="array" ref="G11">IF(LEFT($D11,MIN(FIND({0,1,2,3,4,5,6,7,8,9},$D11&amp;"0123456789"))-1)="BEV",INDEX(BEV_TBE,MATCH($A10,BEV_TBE_VehClass,0),MATCH(G$3,Lookup_Year,0)),IF(LEFT($D11,MIN(FIND({0,1,2,3,4,5,6,7,8,9},$D11&amp;"0123456789"))-1)="PHEV",INDEX(PHEV_TBE,MATCH($A10,PHEV_TBE_VehClass,0),MATCH(G$3,Lookup_Year,0)),IF(LEFT($D11,MIN(FIND({0,1,2,3,4,5,6,7,8,9},$D11&amp;"0123456789"))-1)="FCEV",INDEX(FCEV_TBE,MATCH($A10,FCEV_TBE_VehClass,0),MATCH(G$3,Lookup_Year,0)))))</f>
        <v>92.853923684210528</v>
      </c>
      <c r="H11" s="22" cm="1">
        <f t="array" ref="H11">IF(LEFT($D11,MIN(FIND({0,1,2,3,4,5,6,7,8,9},$D11&amp;"0123456789"))-1)="BEV",INDEX(BEV_TBE,MATCH($A10,BEV_TBE_VehClass,0),MATCH(H$3,Lookup_Year,0)),IF(LEFT($D11,MIN(FIND({0,1,2,3,4,5,6,7,8,9},$D11&amp;"0123456789"))-1)="PHEV",INDEX(PHEV_TBE,MATCH($A10,PHEV_TBE_VehClass,0),MATCH(H$3,Lookup_Year,0)),IF(LEFT($D11,MIN(FIND({0,1,2,3,4,5,6,7,8,9},$D11&amp;"0123456789"))-1)="FCEV",INDEX(FCEV_TBE,MATCH($A10,FCEV_TBE_VehClass,0),MATCH(H$3,Lookup_Year,0)))))</f>
        <v>92.389654065789472</v>
      </c>
      <c r="I11" s="22" cm="1">
        <f t="array" ref="I11">IF(LEFT($D11,MIN(FIND({0,1,2,3,4,5,6,7,8,9},$D11&amp;"0123456789"))-1)="BEV",INDEX(BEV_TBE,MATCH($A10,BEV_TBE_VehClass,0),MATCH(I$3,Lookup_Year,0)),IF(LEFT($D11,MIN(FIND({0,1,2,3,4,5,6,7,8,9},$D11&amp;"0123456789"))-1)="PHEV",INDEX(PHEV_TBE,MATCH($A10,PHEV_TBE_VehClass,0),MATCH(I$3,Lookup_Year,0)),IF(LEFT($D11,MIN(FIND({0,1,2,3,4,5,6,7,8,9},$D11&amp;"0123456789"))-1)="FCEV",INDEX(FCEV_TBE,MATCH($A10,FCEV_TBE_VehClass,0),MATCH(I$3,Lookup_Year,0)))))</f>
        <v>91.927705795460511</v>
      </c>
      <c r="J11" s="22" cm="1">
        <f t="array" ref="J11">IF(LEFT($D11,MIN(FIND({0,1,2,3,4,5,6,7,8,9},$D11&amp;"0123456789"))-1)="BEV",INDEX(BEV_TBE,MATCH($A10,BEV_TBE_VehClass,0),MATCH(J$3,Lookup_Year,0)),IF(LEFT($D11,MIN(FIND({0,1,2,3,4,5,6,7,8,9},$D11&amp;"0123456789"))-1)="PHEV",INDEX(PHEV_TBE,MATCH($A10,PHEV_TBE_VehClass,0),MATCH(J$3,Lookup_Year,0)),IF(LEFT($D11,MIN(FIND({0,1,2,3,4,5,6,7,8,9},$D11&amp;"0123456789"))-1)="FCEV",INDEX(FCEV_TBE,MATCH($A10,FCEV_TBE_VehClass,0),MATCH(J$3,Lookup_Year,0)))))</f>
        <v>91.468067266483203</v>
      </c>
      <c r="K11" s="22" cm="1">
        <f t="array" ref="K11">IF(LEFT($D11,MIN(FIND({0,1,2,3,4,5,6,7,8,9},$D11&amp;"0123456789"))-1)="BEV",INDEX(BEV_TBE,MATCH($A10,BEV_TBE_VehClass,0),MATCH(K$3,Lookup_Year,0)),IF(LEFT($D11,MIN(FIND({0,1,2,3,4,5,6,7,8,9},$D11&amp;"0123456789"))-1)="PHEV",INDEX(PHEV_TBE,MATCH($A10,PHEV_TBE_VehClass,0),MATCH(K$3,Lookup_Year,0)),IF(LEFT($D11,MIN(FIND({0,1,2,3,4,5,6,7,8,9},$D11&amp;"0123456789"))-1)="FCEV",INDEX(FCEV_TBE,MATCH($A10,FCEV_TBE_VehClass,0),MATCH(K$3,Lookup_Year,0)))))</f>
        <v>91.010726930150781</v>
      </c>
      <c r="L11" s="22" cm="1">
        <f t="array" ref="L11">IF(LEFT($D11,MIN(FIND({0,1,2,3,4,5,6,7,8,9},$D11&amp;"0123456789"))-1)="BEV",INDEX(BEV_TBE,MATCH($A10,BEV_TBE_VehClass,0),MATCH(L$3,Lookup_Year,0)),IF(LEFT($D11,MIN(FIND({0,1,2,3,4,5,6,7,8,9},$D11&amp;"0123456789"))-1)="PHEV",INDEX(PHEV_TBE,MATCH($A10,PHEV_TBE_VehClass,0),MATCH(L$3,Lookup_Year,0)),IF(LEFT($D11,MIN(FIND({0,1,2,3,4,5,6,7,8,9},$D11&amp;"0123456789"))-1)="FCEV",INDEX(FCEV_TBE,MATCH($A10,FCEV_TBE_VehClass,0),MATCH(L$3,Lookup_Year,0)))))</f>
        <v>90.555673295500029</v>
      </c>
      <c r="M11" s="22" cm="1">
        <f t="array" ref="M11">IF(LEFT($D11,MIN(FIND({0,1,2,3,4,5,6,7,8,9},$D11&amp;"0123456789"))-1)="BEV",INDEX(BEV_TBE,MATCH($A10,BEV_TBE_VehClass,0),MATCH(M$3,Lookup_Year,0)),IF(LEFT($D11,MIN(FIND({0,1,2,3,4,5,6,7,8,9},$D11&amp;"0123456789"))-1)="PHEV",INDEX(PHEV_TBE,MATCH($A10,PHEV_TBE_VehClass,0),MATCH(M$3,Lookup_Year,0)),IF(LEFT($D11,MIN(FIND({0,1,2,3,4,5,6,7,8,9},$D11&amp;"0123456789"))-1)="FCEV",INDEX(FCEV_TBE,MATCH($A10,FCEV_TBE_VehClass,0),MATCH(M$3,Lookup_Year,0)))))</f>
        <v>90.10289492902254</v>
      </c>
      <c r="N11" s="22" cm="1">
        <f t="array" ref="N11">IF(LEFT($D11,MIN(FIND({0,1,2,3,4,5,6,7,8,9},$D11&amp;"0123456789"))-1)="BEV",INDEX(BEV_TBE,MATCH($A10,BEV_TBE_VehClass,0),MATCH(N$3,Lookup_Year,0)),IF(LEFT($D11,MIN(FIND({0,1,2,3,4,5,6,7,8,9},$D11&amp;"0123456789"))-1)="PHEV",INDEX(PHEV_TBE,MATCH($A10,PHEV_TBE_VehClass,0),MATCH(N$3,Lookup_Year,0)),IF(LEFT($D11,MIN(FIND({0,1,2,3,4,5,6,7,8,9},$D11&amp;"0123456789"))-1)="FCEV",INDEX(FCEV_TBE,MATCH($A10,FCEV_TBE_VehClass,0),MATCH(N$3,Lookup_Year,0)))))</f>
        <v>89.652380454377422</v>
      </c>
      <c r="O11" s="42" cm="1">
        <f t="array" ref="O11">IF(LEFT($D11,MIN(FIND({0,1,2,3,4,5,6,7,8,9},$D11&amp;"0123456789"))-1)="BEV",INDEX(BEV_TBE,MATCH($A10,BEV_TBE_VehClass,0),MATCH(O$3,Lookup_Year,0)),IF(LEFT($D11,MIN(FIND({0,1,2,3,4,5,6,7,8,9},$D11&amp;"0123456789"))-1)="PHEV",INDEX(PHEV_TBE,MATCH($A10,PHEV_TBE_VehClass,0),MATCH(O$3,Lookup_Year,0)),IF(LEFT($D11,MIN(FIND({0,1,2,3,4,5,6,7,8,9},$D11&amp;"0123456789"))-1)="FCEV",INDEX(FCEV_TBE,MATCH($A10,FCEV_TBE_VehClass,0),MATCH(O$3,Lookup_Year,0)))))</f>
        <v>89.204118552105527</v>
      </c>
      <c r="P11" s="1"/>
    </row>
    <row r="12" spans="1:16" x14ac:dyDescent="0.3">
      <c r="A12" s="16" t="str">
        <f t="shared" si="0"/>
        <v>PickupBaseBEV300</v>
      </c>
      <c r="B12" s="79" t="str">
        <f>'Vehicle Attributes - Base Year'!B9</f>
        <v>MedSUV</v>
      </c>
      <c r="C12" s="68" t="str">
        <f>'Vehicle Attributes - Base Year'!C9</f>
        <v>Premium</v>
      </c>
      <c r="D12" s="68" t="str">
        <f>'Vehicle Attributes - Base Year'!D9</f>
        <v>BEV400</v>
      </c>
      <c r="E12" s="22" cm="1">
        <f t="array" ref="E12">IF(LEFT($D12,MIN(FIND({0,1,2,3,4,5,6,7,8,9},$D12&amp;"0123456789"))-1)="BEV",INDEX(BEV_TBE,MATCH($A11,BEV_TBE_VehClass,0),MATCH(E$3,Lookup_Year,0)),IF(LEFT($D12,MIN(FIND({0,1,2,3,4,5,6,7,8,9},$D12&amp;"0123456789"))-1)="PHEV",INDEX(PHEV_TBE,MATCH($A11,PHEV_TBE_VehClass,0),MATCH(E$3,Lookup_Year,0)),IF(LEFT($D12,MIN(FIND({0,1,2,3,4,5,6,7,8,9},$D12&amp;"0123456789"))-1)="FCEV",INDEX(FCEV_TBE,MATCH($A11,FCEV_TBE_VehClass,0),MATCH(E$3,Lookup_Year,0)))))</f>
        <v>131.36842105263159</v>
      </c>
      <c r="F12" s="22" cm="1">
        <f t="array" ref="F12">IF(LEFT($D12,MIN(FIND({0,1,2,3,4,5,6,7,8,9},$D12&amp;"0123456789"))-1)="BEV",INDEX(BEV_TBE,MATCH($A11,BEV_TBE_VehClass,0),MATCH(F$3,Lookup_Year,0)),IF(LEFT($D12,MIN(FIND({0,1,2,3,4,5,6,7,8,9},$D12&amp;"0123456789"))-1)="PHEV",INDEX(PHEV_TBE,MATCH($A11,PHEV_TBE_VehClass,0),MATCH(F$3,Lookup_Year,0)),IF(LEFT($D12,MIN(FIND({0,1,2,3,4,5,6,7,8,9},$D12&amp;"0123456789"))-1)="FCEV",INDEX(FCEV_TBE,MATCH($A11,FCEV_TBE_VehClass,0),MATCH(F$3,Lookup_Year,0)))))</f>
        <v>130.71157894736842</v>
      </c>
      <c r="G12" s="22" cm="1">
        <f t="array" ref="G12">IF(LEFT($D12,MIN(FIND({0,1,2,3,4,5,6,7,8,9},$D12&amp;"0123456789"))-1)="BEV",INDEX(BEV_TBE,MATCH($A11,BEV_TBE_VehClass,0),MATCH(G$3,Lookup_Year,0)),IF(LEFT($D12,MIN(FIND({0,1,2,3,4,5,6,7,8,9},$D12&amp;"0123456789"))-1)="PHEV",INDEX(PHEV_TBE,MATCH($A11,PHEV_TBE_VehClass,0),MATCH(G$3,Lookup_Year,0)),IF(LEFT($D12,MIN(FIND({0,1,2,3,4,5,6,7,8,9},$D12&amp;"0123456789"))-1)="FCEV",INDEX(FCEV_TBE,MATCH($A11,FCEV_TBE_VehClass,0),MATCH(G$3,Lookup_Year,0)))))</f>
        <v>130.05802105263157</v>
      </c>
      <c r="H12" s="22" cm="1">
        <f t="array" ref="H12">IF(LEFT($D12,MIN(FIND({0,1,2,3,4,5,6,7,8,9},$D12&amp;"0123456789"))-1)="BEV",INDEX(BEV_TBE,MATCH($A11,BEV_TBE_VehClass,0),MATCH(H$3,Lookup_Year,0)),IF(LEFT($D12,MIN(FIND({0,1,2,3,4,5,6,7,8,9},$D12&amp;"0123456789"))-1)="PHEV",INDEX(PHEV_TBE,MATCH($A11,PHEV_TBE_VehClass,0),MATCH(H$3,Lookup_Year,0)),IF(LEFT($D12,MIN(FIND({0,1,2,3,4,5,6,7,8,9},$D12&amp;"0123456789"))-1)="FCEV",INDEX(FCEV_TBE,MATCH($A11,FCEV_TBE_VehClass,0),MATCH(H$3,Lookup_Year,0)))))</f>
        <v>129.40773094736841</v>
      </c>
      <c r="I12" s="22" cm="1">
        <f t="array" ref="I12">IF(LEFT($D12,MIN(FIND({0,1,2,3,4,5,6,7,8,9},$D12&amp;"0123456789"))-1)="BEV",INDEX(BEV_TBE,MATCH($A11,BEV_TBE_VehClass,0),MATCH(I$3,Lookup_Year,0)),IF(LEFT($D12,MIN(FIND({0,1,2,3,4,5,6,7,8,9},$D12&amp;"0123456789"))-1)="PHEV",INDEX(PHEV_TBE,MATCH($A11,PHEV_TBE_VehClass,0),MATCH(I$3,Lookup_Year,0)),IF(LEFT($D12,MIN(FIND({0,1,2,3,4,5,6,7,8,9},$D12&amp;"0123456789"))-1)="FCEV",INDEX(FCEV_TBE,MATCH($A11,FCEV_TBE_VehClass,0),MATCH(I$3,Lookup_Year,0)))))</f>
        <v>128.76069229263155</v>
      </c>
      <c r="J12" s="22" cm="1">
        <f t="array" ref="J12">IF(LEFT($D12,MIN(FIND({0,1,2,3,4,5,6,7,8,9},$D12&amp;"0123456789"))-1)="BEV",INDEX(BEV_TBE,MATCH($A11,BEV_TBE_VehClass,0),MATCH(J$3,Lookup_Year,0)),IF(LEFT($D12,MIN(FIND({0,1,2,3,4,5,6,7,8,9},$D12&amp;"0123456789"))-1)="PHEV",INDEX(PHEV_TBE,MATCH($A11,PHEV_TBE_VehClass,0),MATCH(J$3,Lookup_Year,0)),IF(LEFT($D12,MIN(FIND({0,1,2,3,4,5,6,7,8,9},$D12&amp;"0123456789"))-1)="FCEV",INDEX(FCEV_TBE,MATCH($A11,FCEV_TBE_VehClass,0),MATCH(J$3,Lookup_Year,0)))))</f>
        <v>128.11688883116841</v>
      </c>
      <c r="K12" s="22" cm="1">
        <f t="array" ref="K12">IF(LEFT($D12,MIN(FIND({0,1,2,3,4,5,6,7,8,9},$D12&amp;"0123456789"))-1)="BEV",INDEX(BEV_TBE,MATCH($A11,BEV_TBE_VehClass,0),MATCH(K$3,Lookup_Year,0)),IF(LEFT($D12,MIN(FIND({0,1,2,3,4,5,6,7,8,9},$D12&amp;"0123456789"))-1)="PHEV",INDEX(PHEV_TBE,MATCH($A11,PHEV_TBE_VehClass,0),MATCH(K$3,Lookup_Year,0)),IF(LEFT($D12,MIN(FIND({0,1,2,3,4,5,6,7,8,9},$D12&amp;"0123456789"))-1)="FCEV",INDEX(FCEV_TBE,MATCH($A11,FCEV_TBE_VehClass,0),MATCH(K$3,Lookup_Year,0)))))</f>
        <v>127.47630438701256</v>
      </c>
      <c r="L12" s="22" cm="1">
        <f t="array" ref="L12">IF(LEFT($D12,MIN(FIND({0,1,2,3,4,5,6,7,8,9},$D12&amp;"0123456789"))-1)="BEV",INDEX(BEV_TBE,MATCH($A11,BEV_TBE_VehClass,0),MATCH(L$3,Lookup_Year,0)),IF(LEFT($D12,MIN(FIND({0,1,2,3,4,5,6,7,8,9},$D12&amp;"0123456789"))-1)="PHEV",INDEX(PHEV_TBE,MATCH($A11,PHEV_TBE_VehClass,0),MATCH(L$3,Lookup_Year,0)),IF(LEFT($D12,MIN(FIND({0,1,2,3,4,5,6,7,8,9},$D12&amp;"0123456789"))-1)="FCEV",INDEX(FCEV_TBE,MATCH($A11,FCEV_TBE_VehClass,0),MATCH(L$3,Lookup_Year,0)))))</f>
        <v>126.83892286507751</v>
      </c>
      <c r="M12" s="22" cm="1">
        <f t="array" ref="M12">IF(LEFT($D12,MIN(FIND({0,1,2,3,4,5,6,7,8,9},$D12&amp;"0123456789"))-1)="BEV",INDEX(BEV_TBE,MATCH($A11,BEV_TBE_VehClass,0),MATCH(M$3,Lookup_Year,0)),IF(LEFT($D12,MIN(FIND({0,1,2,3,4,5,6,7,8,9},$D12&amp;"0123456789"))-1)="PHEV",INDEX(PHEV_TBE,MATCH($A11,PHEV_TBE_VehClass,0),MATCH(M$3,Lookup_Year,0)),IF(LEFT($D12,MIN(FIND({0,1,2,3,4,5,6,7,8,9},$D12&amp;"0123456789"))-1)="FCEV",INDEX(FCEV_TBE,MATCH($A11,FCEV_TBE_VehClass,0),MATCH(M$3,Lookup_Year,0)))))</f>
        <v>126.2047282507521</v>
      </c>
      <c r="N12" s="22" cm="1">
        <f t="array" ref="N12">IF(LEFT($D12,MIN(FIND({0,1,2,3,4,5,6,7,8,9},$D12&amp;"0123456789"))-1)="BEV",INDEX(BEV_TBE,MATCH($A11,BEV_TBE_VehClass,0),MATCH(N$3,Lookup_Year,0)),IF(LEFT($D12,MIN(FIND({0,1,2,3,4,5,6,7,8,9},$D12&amp;"0123456789"))-1)="PHEV",INDEX(PHEV_TBE,MATCH($A11,PHEV_TBE_VehClass,0),MATCH(N$3,Lookup_Year,0)),IF(LEFT($D12,MIN(FIND({0,1,2,3,4,5,6,7,8,9},$D12&amp;"0123456789"))-1)="FCEV",INDEX(FCEV_TBE,MATCH($A11,FCEV_TBE_VehClass,0),MATCH(N$3,Lookup_Year,0)))))</f>
        <v>125.57370460949835</v>
      </c>
      <c r="O12" s="42" cm="1">
        <f t="array" ref="O12">IF(LEFT($D12,MIN(FIND({0,1,2,3,4,5,6,7,8,9},$D12&amp;"0123456789"))-1)="BEV",INDEX(BEV_TBE,MATCH($A11,BEV_TBE_VehClass,0),MATCH(O$3,Lookup_Year,0)),IF(LEFT($D12,MIN(FIND({0,1,2,3,4,5,6,7,8,9},$D12&amp;"0123456789"))-1)="PHEV",INDEX(PHEV_TBE,MATCH($A11,PHEV_TBE_VehClass,0),MATCH(O$3,Lookup_Year,0)),IF(LEFT($D12,MIN(FIND({0,1,2,3,4,5,6,7,8,9},$D12&amp;"0123456789"))-1)="FCEV",INDEX(FCEV_TBE,MATCH($A11,FCEV_TBE_VehClass,0),MATCH(O$3,Lookup_Year,0)))))</f>
        <v>124.94583608645087</v>
      </c>
      <c r="P12" s="1"/>
    </row>
    <row r="13" spans="1:16" x14ac:dyDescent="0.3">
      <c r="A13" t="str">
        <f t="shared" si="0"/>
        <v>PickupHTBEV400</v>
      </c>
      <c r="B13" s="79" t="str">
        <f>'Vehicle Attributes - Base Year'!B10</f>
        <v>Pickup</v>
      </c>
      <c r="C13" s="68" t="str">
        <f>'Vehicle Attributes - Base Year'!C10</f>
        <v>Base</v>
      </c>
      <c r="D13" s="68" t="str">
        <f>'Vehicle Attributes - Base Year'!D10</f>
        <v>BEV300</v>
      </c>
      <c r="E13" s="22" cm="1">
        <f t="array" ref="E13">IF(LEFT($D13,MIN(FIND({0,1,2,3,4,5,6,7,8,9},$D13&amp;"0123456789"))-1)="BEV",INDEX(BEV_TBE,MATCH($A12,BEV_TBE_VehClass,0),MATCH(E$3,Lookup_Year,0)),IF(LEFT($D13,MIN(FIND({0,1,2,3,4,5,6,7,8,9},$D13&amp;"0123456789"))-1)="PHEV",INDEX(PHEV_TBE,MATCH($A12,PHEV_TBE_VehClass,0),MATCH(E$3,Lookup_Year,0)),IF(LEFT($D13,MIN(FIND({0,1,2,3,4,5,6,7,8,9},$D13&amp;"0123456789"))-1)="FCEV",INDEX(FCEV_TBE,MATCH($A12,FCEV_TBE_VehClass,0),MATCH(E$3,Lookup_Year,0)))))</f>
        <v>112.42105263157895</v>
      </c>
      <c r="F13" s="22" cm="1">
        <f t="array" ref="F13">IF(LEFT($D13,MIN(FIND({0,1,2,3,4,5,6,7,8,9},$D13&amp;"0123456789"))-1)="BEV",INDEX(BEV_TBE,MATCH($A12,BEV_TBE_VehClass,0),MATCH(F$3,Lookup_Year,0)),IF(LEFT($D13,MIN(FIND({0,1,2,3,4,5,6,7,8,9},$D13&amp;"0123456789"))-1)="PHEV",INDEX(PHEV_TBE,MATCH($A12,PHEV_TBE_VehClass,0),MATCH(F$3,Lookup_Year,0)),IF(LEFT($D13,MIN(FIND({0,1,2,3,4,5,6,7,8,9},$D13&amp;"0123456789"))-1)="FCEV",INDEX(FCEV_TBE,MATCH($A12,FCEV_TBE_VehClass,0),MATCH(F$3,Lookup_Year,0)))))</f>
        <v>111.85894736842104</v>
      </c>
      <c r="G13" s="22" cm="1">
        <f t="array" ref="G13">IF(LEFT($D13,MIN(FIND({0,1,2,3,4,5,6,7,8,9},$D13&amp;"0123456789"))-1)="BEV",INDEX(BEV_TBE,MATCH($A12,BEV_TBE_VehClass,0),MATCH(G$3,Lookup_Year,0)),IF(LEFT($D13,MIN(FIND({0,1,2,3,4,5,6,7,8,9},$D13&amp;"0123456789"))-1)="PHEV",INDEX(PHEV_TBE,MATCH($A12,PHEV_TBE_VehClass,0),MATCH(G$3,Lookup_Year,0)),IF(LEFT($D13,MIN(FIND({0,1,2,3,4,5,6,7,8,9},$D13&amp;"0123456789"))-1)="FCEV",INDEX(FCEV_TBE,MATCH($A12,FCEV_TBE_VehClass,0),MATCH(G$3,Lookup_Year,0)))))</f>
        <v>111.29965263157895</v>
      </c>
      <c r="H13" s="22" cm="1">
        <f t="array" ref="H13">IF(LEFT($D13,MIN(FIND({0,1,2,3,4,5,6,7,8,9},$D13&amp;"0123456789"))-1)="BEV",INDEX(BEV_TBE,MATCH($A12,BEV_TBE_VehClass,0),MATCH(H$3,Lookup_Year,0)),IF(LEFT($D13,MIN(FIND({0,1,2,3,4,5,6,7,8,9},$D13&amp;"0123456789"))-1)="PHEV",INDEX(PHEV_TBE,MATCH($A12,PHEV_TBE_VehClass,0),MATCH(H$3,Lookup_Year,0)),IF(LEFT($D13,MIN(FIND({0,1,2,3,4,5,6,7,8,9},$D13&amp;"0123456789"))-1)="FCEV",INDEX(FCEV_TBE,MATCH($A12,FCEV_TBE_VehClass,0),MATCH(H$3,Lookup_Year,0)))))</f>
        <v>110.74315436842105</v>
      </c>
      <c r="I13" s="22" cm="1">
        <f t="array" ref="I13">IF(LEFT($D13,MIN(FIND({0,1,2,3,4,5,6,7,8,9},$D13&amp;"0123456789"))-1)="BEV",INDEX(BEV_TBE,MATCH($A12,BEV_TBE_VehClass,0),MATCH(I$3,Lookup_Year,0)),IF(LEFT($D13,MIN(FIND({0,1,2,3,4,5,6,7,8,9},$D13&amp;"0123456789"))-1)="PHEV",INDEX(PHEV_TBE,MATCH($A12,PHEV_TBE_VehClass,0),MATCH(I$3,Lookup_Year,0)),IF(LEFT($D13,MIN(FIND({0,1,2,3,4,5,6,7,8,9},$D13&amp;"0123456789"))-1)="FCEV",INDEX(FCEV_TBE,MATCH($A12,FCEV_TBE_VehClass,0),MATCH(I$3,Lookup_Year,0)))))</f>
        <v>110.18943859657895</v>
      </c>
      <c r="J13" s="22" cm="1">
        <f t="array" ref="J13">IF(LEFT($D13,MIN(FIND({0,1,2,3,4,5,6,7,8,9},$D13&amp;"0123456789"))-1)="BEV",INDEX(BEV_TBE,MATCH($A12,BEV_TBE_VehClass,0),MATCH(J$3,Lookup_Year,0)),IF(LEFT($D13,MIN(FIND({0,1,2,3,4,5,6,7,8,9},$D13&amp;"0123456789"))-1)="PHEV",INDEX(PHEV_TBE,MATCH($A12,PHEV_TBE_VehClass,0),MATCH(J$3,Lookup_Year,0)),IF(LEFT($D13,MIN(FIND({0,1,2,3,4,5,6,7,8,9},$D13&amp;"0123456789"))-1)="FCEV",INDEX(FCEV_TBE,MATCH($A12,FCEV_TBE_VehClass,0),MATCH(J$3,Lookup_Year,0)))))</f>
        <v>109.63849140359606</v>
      </c>
      <c r="K13" s="22" cm="1">
        <f t="array" ref="K13">IF(LEFT($D13,MIN(FIND({0,1,2,3,4,5,6,7,8,9},$D13&amp;"0123456789"))-1)="BEV",INDEX(BEV_TBE,MATCH($A12,BEV_TBE_VehClass,0),MATCH(K$3,Lookup_Year,0)),IF(LEFT($D13,MIN(FIND({0,1,2,3,4,5,6,7,8,9},$D13&amp;"0123456789"))-1)="PHEV",INDEX(PHEV_TBE,MATCH($A12,PHEV_TBE_VehClass,0),MATCH(K$3,Lookup_Year,0)),IF(LEFT($D13,MIN(FIND({0,1,2,3,4,5,6,7,8,9},$D13&amp;"0123456789"))-1)="FCEV",INDEX(FCEV_TBE,MATCH($A12,FCEV_TBE_VehClass,0),MATCH(K$3,Lookup_Year,0)))))</f>
        <v>109.09029894657807</v>
      </c>
      <c r="L13" s="22" cm="1">
        <f t="array" ref="L13">IF(LEFT($D13,MIN(FIND({0,1,2,3,4,5,6,7,8,9},$D13&amp;"0123456789"))-1)="BEV",INDEX(BEV_TBE,MATCH($A12,BEV_TBE_VehClass,0),MATCH(L$3,Lookup_Year,0)),IF(LEFT($D13,MIN(FIND({0,1,2,3,4,5,6,7,8,9},$D13&amp;"0123456789"))-1)="PHEV",INDEX(PHEV_TBE,MATCH($A12,PHEV_TBE_VehClass,0),MATCH(L$3,Lookup_Year,0)),IF(LEFT($D13,MIN(FIND({0,1,2,3,4,5,6,7,8,9},$D13&amp;"0123456789"))-1)="FCEV",INDEX(FCEV_TBE,MATCH($A12,FCEV_TBE_VehClass,0),MATCH(L$3,Lookup_Year,0)))))</f>
        <v>108.54484745184519</v>
      </c>
      <c r="M13" s="22" cm="1">
        <f t="array" ref="M13">IF(LEFT($D13,MIN(FIND({0,1,2,3,4,5,6,7,8,9},$D13&amp;"0123456789"))-1)="BEV",INDEX(BEV_TBE,MATCH($A12,BEV_TBE_VehClass,0),MATCH(M$3,Lookup_Year,0)),IF(LEFT($D13,MIN(FIND({0,1,2,3,4,5,6,7,8,9},$D13&amp;"0123456789"))-1)="PHEV",INDEX(PHEV_TBE,MATCH($A12,PHEV_TBE_VehClass,0),MATCH(M$3,Lookup_Year,0)),IF(LEFT($D13,MIN(FIND({0,1,2,3,4,5,6,7,8,9},$D13&amp;"0123456789"))-1)="FCEV",INDEX(FCEV_TBE,MATCH($A12,FCEV_TBE_VehClass,0),MATCH(M$3,Lookup_Year,0)))))</f>
        <v>108.00212321458598</v>
      </c>
      <c r="N13" s="22" cm="1">
        <f t="array" ref="N13">IF(LEFT($D13,MIN(FIND({0,1,2,3,4,5,6,7,8,9},$D13&amp;"0123456789"))-1)="BEV",INDEX(BEV_TBE,MATCH($A12,BEV_TBE_VehClass,0),MATCH(N$3,Lookup_Year,0)),IF(LEFT($D13,MIN(FIND({0,1,2,3,4,5,6,7,8,9},$D13&amp;"0123456789"))-1)="PHEV",INDEX(PHEV_TBE,MATCH($A12,PHEV_TBE_VehClass,0),MATCH(N$3,Lookup_Year,0)),IF(LEFT($D13,MIN(FIND({0,1,2,3,4,5,6,7,8,9},$D13&amp;"0123456789"))-1)="FCEV",INDEX(FCEV_TBE,MATCH($A12,FCEV_TBE_VehClass,0),MATCH(N$3,Lookup_Year,0)))))</f>
        <v>107.46211259851303</v>
      </c>
      <c r="O13" s="42" cm="1">
        <f t="array" ref="O13">IF(LEFT($D13,MIN(FIND({0,1,2,3,4,5,6,7,8,9},$D13&amp;"0123456789"))-1)="BEV",INDEX(BEV_TBE,MATCH($A12,BEV_TBE_VehClass,0),MATCH(O$3,Lookup_Year,0)),IF(LEFT($D13,MIN(FIND({0,1,2,3,4,5,6,7,8,9},$D13&amp;"0123456789"))-1)="PHEV",INDEX(PHEV_TBE,MATCH($A12,PHEV_TBE_VehClass,0),MATCH(O$3,Lookup_Year,0)),IF(LEFT($D13,MIN(FIND({0,1,2,3,4,5,6,7,8,9},$D13&amp;"0123456789"))-1)="FCEV",INDEX(FCEV_TBE,MATCH($A12,FCEV_TBE_VehClass,0),MATCH(O$3,Lookup_Year,0)))))</f>
        <v>106.92480203552047</v>
      </c>
      <c r="P13" s="1"/>
    </row>
    <row r="14" spans="1:16" x14ac:dyDescent="0.3">
      <c r="A14" s="16" t="str">
        <f t="shared" si="0"/>
        <v>SmallCarBasePHEV50</v>
      </c>
      <c r="B14" s="79" t="str">
        <f>'Vehicle Attributes - Base Year'!B11</f>
        <v>Pickup</v>
      </c>
      <c r="C14" s="68" t="str">
        <f>'Vehicle Attributes - Base Year'!C11</f>
        <v>HT</v>
      </c>
      <c r="D14" s="68" t="str">
        <f>'Vehicle Attributes - Base Year'!D11</f>
        <v>BEV400</v>
      </c>
      <c r="E14" s="22" cm="1">
        <f t="array" ref="E14">IF(LEFT($D14,MIN(FIND({0,1,2,3,4,5,6,7,8,9},$D14&amp;"0123456789"))-1)="BEV",INDEX(BEV_TBE,MATCH($A13,BEV_TBE_VehClass,0),MATCH(E$3,Lookup_Year,0)),IF(LEFT($D14,MIN(FIND({0,1,2,3,4,5,6,7,8,9},$D14&amp;"0123456789"))-1)="PHEV",INDEX(PHEV_TBE,MATCH($A13,PHEV_TBE_VehClass,0),MATCH(E$3,Lookup_Year,0)),IF(LEFT($D14,MIN(FIND({0,1,2,3,4,5,6,7,8,9},$D14&amp;"0123456789"))-1)="FCEV",INDEX(FCEV_TBE,MATCH($A13,FCEV_TBE_VehClass,0),MATCH(E$3,Lookup_Year,0)))))</f>
        <v>157.47368421052633</v>
      </c>
      <c r="F14" s="22" cm="1">
        <f t="array" ref="F14">IF(LEFT($D14,MIN(FIND({0,1,2,3,4,5,6,7,8,9},$D14&amp;"0123456789"))-1)="BEV",INDEX(BEV_TBE,MATCH($A13,BEV_TBE_VehClass,0),MATCH(F$3,Lookup_Year,0)),IF(LEFT($D14,MIN(FIND({0,1,2,3,4,5,6,7,8,9},$D14&amp;"0123456789"))-1)="PHEV",INDEX(PHEV_TBE,MATCH($A13,PHEV_TBE_VehClass,0),MATCH(F$3,Lookup_Year,0)),IF(LEFT($D14,MIN(FIND({0,1,2,3,4,5,6,7,8,9},$D14&amp;"0123456789"))-1)="FCEV",INDEX(FCEV_TBE,MATCH($A13,FCEV_TBE_VehClass,0),MATCH(F$3,Lookup_Year,0)))))</f>
        <v>156.6863157894737</v>
      </c>
      <c r="G14" s="22" cm="1">
        <f t="array" ref="G14">IF(LEFT($D14,MIN(FIND({0,1,2,3,4,5,6,7,8,9},$D14&amp;"0123456789"))-1)="BEV",INDEX(BEV_TBE,MATCH($A13,BEV_TBE_VehClass,0),MATCH(G$3,Lookup_Year,0)),IF(LEFT($D14,MIN(FIND({0,1,2,3,4,5,6,7,8,9},$D14&amp;"0123456789"))-1)="PHEV",INDEX(PHEV_TBE,MATCH($A13,PHEV_TBE_VehClass,0),MATCH(G$3,Lookup_Year,0)),IF(LEFT($D14,MIN(FIND({0,1,2,3,4,5,6,7,8,9},$D14&amp;"0123456789"))-1)="FCEV",INDEX(FCEV_TBE,MATCH($A13,FCEV_TBE_VehClass,0),MATCH(G$3,Lookup_Year,0)))))</f>
        <v>155.90288421052631</v>
      </c>
      <c r="H14" s="22" cm="1">
        <f t="array" ref="H14">IF(LEFT($D14,MIN(FIND({0,1,2,3,4,5,6,7,8,9},$D14&amp;"0123456789"))-1)="BEV",INDEX(BEV_TBE,MATCH($A13,BEV_TBE_VehClass,0),MATCH(H$3,Lookup_Year,0)),IF(LEFT($D14,MIN(FIND({0,1,2,3,4,5,6,7,8,9},$D14&amp;"0123456789"))-1)="PHEV",INDEX(PHEV_TBE,MATCH($A13,PHEV_TBE_VehClass,0),MATCH(H$3,Lookup_Year,0)),IF(LEFT($D14,MIN(FIND({0,1,2,3,4,5,6,7,8,9},$D14&amp;"0123456789"))-1)="FCEV",INDEX(FCEV_TBE,MATCH($A13,FCEV_TBE_VehClass,0),MATCH(H$3,Lookup_Year,0)))))</f>
        <v>155.12336978947366</v>
      </c>
      <c r="I14" s="22" cm="1">
        <f t="array" ref="I14">IF(LEFT($D14,MIN(FIND({0,1,2,3,4,5,6,7,8,9},$D14&amp;"0123456789"))-1)="BEV",INDEX(BEV_TBE,MATCH($A13,BEV_TBE_VehClass,0),MATCH(I$3,Lookup_Year,0)),IF(LEFT($D14,MIN(FIND({0,1,2,3,4,5,6,7,8,9},$D14&amp;"0123456789"))-1)="PHEV",INDEX(PHEV_TBE,MATCH($A13,PHEV_TBE_VehClass,0),MATCH(I$3,Lookup_Year,0)),IF(LEFT($D14,MIN(FIND({0,1,2,3,4,5,6,7,8,9},$D14&amp;"0123456789"))-1)="FCEV",INDEX(FCEV_TBE,MATCH($A13,FCEV_TBE_VehClass,0),MATCH(I$3,Lookup_Year,0)))))</f>
        <v>154.34775294052631</v>
      </c>
      <c r="J14" s="22" cm="1">
        <f t="array" ref="J14">IF(LEFT($D14,MIN(FIND({0,1,2,3,4,5,6,7,8,9},$D14&amp;"0123456789"))-1)="BEV",INDEX(BEV_TBE,MATCH($A13,BEV_TBE_VehClass,0),MATCH(J$3,Lookup_Year,0)),IF(LEFT($D14,MIN(FIND({0,1,2,3,4,5,6,7,8,9},$D14&amp;"0123456789"))-1)="PHEV",INDEX(PHEV_TBE,MATCH($A13,PHEV_TBE_VehClass,0),MATCH(J$3,Lookup_Year,0)),IF(LEFT($D14,MIN(FIND({0,1,2,3,4,5,6,7,8,9},$D14&amp;"0123456789"))-1)="FCEV",INDEX(FCEV_TBE,MATCH($A13,FCEV_TBE_VehClass,0),MATCH(J$3,Lookup_Year,0)))))</f>
        <v>153.5760141758237</v>
      </c>
      <c r="K14" s="22" cm="1">
        <f t="array" ref="K14">IF(LEFT($D14,MIN(FIND({0,1,2,3,4,5,6,7,8,9},$D14&amp;"0123456789"))-1)="BEV",INDEX(BEV_TBE,MATCH($A13,BEV_TBE_VehClass,0),MATCH(K$3,Lookup_Year,0)),IF(LEFT($D14,MIN(FIND({0,1,2,3,4,5,6,7,8,9},$D14&amp;"0123456789"))-1)="PHEV",INDEX(PHEV_TBE,MATCH($A13,PHEV_TBE_VehClass,0),MATCH(K$3,Lookup_Year,0)),IF(LEFT($D14,MIN(FIND({0,1,2,3,4,5,6,7,8,9},$D14&amp;"0123456789"))-1)="FCEV",INDEX(FCEV_TBE,MATCH($A13,FCEV_TBE_VehClass,0),MATCH(K$3,Lookup_Year,0)))))</f>
        <v>152.80813410494457</v>
      </c>
      <c r="L14" s="22" cm="1">
        <f t="array" ref="L14">IF(LEFT($D14,MIN(FIND({0,1,2,3,4,5,6,7,8,9},$D14&amp;"0123456789"))-1)="BEV",INDEX(BEV_TBE,MATCH($A13,BEV_TBE_VehClass,0),MATCH(L$3,Lookup_Year,0)),IF(LEFT($D14,MIN(FIND({0,1,2,3,4,5,6,7,8,9},$D14&amp;"0123456789"))-1)="PHEV",INDEX(PHEV_TBE,MATCH($A13,PHEV_TBE_VehClass,0),MATCH(L$3,Lookup_Year,0)),IF(LEFT($D14,MIN(FIND({0,1,2,3,4,5,6,7,8,9},$D14&amp;"0123456789"))-1)="FCEV",INDEX(FCEV_TBE,MATCH($A13,FCEV_TBE_VehClass,0),MATCH(L$3,Lookup_Year,0)))))</f>
        <v>152.04409343441984</v>
      </c>
      <c r="M14" s="22" cm="1">
        <f t="array" ref="M14">IF(LEFT($D14,MIN(FIND({0,1,2,3,4,5,6,7,8,9},$D14&amp;"0123456789"))-1)="BEV",INDEX(BEV_TBE,MATCH($A13,BEV_TBE_VehClass,0),MATCH(M$3,Lookup_Year,0)),IF(LEFT($D14,MIN(FIND({0,1,2,3,4,5,6,7,8,9},$D14&amp;"0123456789"))-1)="PHEV",INDEX(PHEV_TBE,MATCH($A13,PHEV_TBE_VehClass,0),MATCH(M$3,Lookup_Year,0)),IF(LEFT($D14,MIN(FIND({0,1,2,3,4,5,6,7,8,9},$D14&amp;"0123456789"))-1)="FCEV",INDEX(FCEV_TBE,MATCH($A13,FCEV_TBE_VehClass,0),MATCH(M$3,Lookup_Year,0)))))</f>
        <v>151.28387296724773</v>
      </c>
      <c r="N14" s="22" cm="1">
        <f t="array" ref="N14">IF(LEFT($D14,MIN(FIND({0,1,2,3,4,5,6,7,8,9},$D14&amp;"0123456789"))-1)="BEV",INDEX(BEV_TBE,MATCH($A13,BEV_TBE_VehClass,0),MATCH(N$3,Lookup_Year,0)),IF(LEFT($D14,MIN(FIND({0,1,2,3,4,5,6,7,8,9},$D14&amp;"0123456789"))-1)="PHEV",INDEX(PHEV_TBE,MATCH($A13,PHEV_TBE_VehClass,0),MATCH(N$3,Lookup_Year,0)),IF(LEFT($D14,MIN(FIND({0,1,2,3,4,5,6,7,8,9},$D14&amp;"0123456789"))-1)="FCEV",INDEX(FCEV_TBE,MATCH($A13,FCEV_TBE_VehClass,0),MATCH(N$3,Lookup_Year,0)))))</f>
        <v>150.5274536024115</v>
      </c>
      <c r="O14" s="42" cm="1">
        <f t="array" ref="O14">IF(LEFT($D14,MIN(FIND({0,1,2,3,4,5,6,7,8,9},$D14&amp;"0123456789"))-1)="BEV",INDEX(BEV_TBE,MATCH($A13,BEV_TBE_VehClass,0),MATCH(O$3,Lookup_Year,0)),IF(LEFT($D14,MIN(FIND({0,1,2,3,4,5,6,7,8,9},$D14&amp;"0123456789"))-1)="PHEV",INDEX(PHEV_TBE,MATCH($A13,PHEV_TBE_VehClass,0),MATCH(O$3,Lookup_Year,0)),IF(LEFT($D14,MIN(FIND({0,1,2,3,4,5,6,7,8,9},$D14&amp;"0123456789"))-1)="FCEV",INDEX(FCEV_TBE,MATCH($A13,FCEV_TBE_VehClass,0),MATCH(O$3,Lookup_Year,0)))))</f>
        <v>149.77481633439945</v>
      </c>
      <c r="P14" s="1"/>
    </row>
    <row r="15" spans="1:16" x14ac:dyDescent="0.3">
      <c r="A15" t="str">
        <f t="shared" si="0"/>
        <v>SmallCarPremiumPHEV50</v>
      </c>
      <c r="B15" s="79" t="str">
        <f>'Vehicle Attributes - Base Year'!B12</f>
        <v>SmallCar</v>
      </c>
      <c r="C15" s="68" t="str">
        <f>'Vehicle Attributes - Base Year'!C12</f>
        <v>Base</v>
      </c>
      <c r="D15" s="68" t="str">
        <f>'Vehicle Attributes - Base Year'!D12</f>
        <v>PHEV50</v>
      </c>
      <c r="E15" s="22" cm="1">
        <f t="array" ref="E15">IF(LEFT($D15,MIN(FIND({0,1,2,3,4,5,6,7,8,9},$D15&amp;"0123456789"))-1)="BEV",INDEX(BEV_TBE,MATCH($A14,BEV_TBE_VehClass,0),MATCH(E$3,Lookup_Year,0)),IF(LEFT($D15,MIN(FIND({0,1,2,3,4,5,6,7,8,9},$D15&amp;"0123456789"))-1)="PHEV",INDEX(PHEV_TBE,MATCH($A14,PHEV_TBE_VehClass,0),MATCH(E$3,Lookup_Year,0)),IF(LEFT($D15,MIN(FIND({0,1,2,3,4,5,6,7,8,9},$D15&amp;"0123456789"))-1)="FCEV",INDEX(FCEV_TBE,MATCH($A14,FCEV_TBE_VehClass,0),MATCH(E$3,Lookup_Year,0)))))</f>
        <v>17.117647058823529</v>
      </c>
      <c r="F15" s="22" cm="1">
        <f t="array" ref="F15">IF(LEFT($D15,MIN(FIND({0,1,2,3,4,5,6,7,8,9},$D15&amp;"0123456789"))-1)="BEV",INDEX(BEV_TBE,MATCH($A14,BEV_TBE_VehClass,0),MATCH(F$3,Lookup_Year,0)),IF(LEFT($D15,MIN(FIND({0,1,2,3,4,5,6,7,8,9},$D15&amp;"0123456789"))-1)="PHEV",INDEX(PHEV_TBE,MATCH($A14,PHEV_TBE_VehClass,0),MATCH(F$3,Lookup_Year,0)),IF(LEFT($D15,MIN(FIND({0,1,2,3,4,5,6,7,8,9},$D15&amp;"0123456789"))-1)="FCEV",INDEX(FCEV_TBE,MATCH($A14,FCEV_TBE_VehClass,0),MATCH(F$3,Lookup_Year,0)))))</f>
        <v>17.032058823529411</v>
      </c>
      <c r="G15" s="22" cm="1">
        <f t="array" ref="G15">IF(LEFT($D15,MIN(FIND({0,1,2,3,4,5,6,7,8,9},$D15&amp;"0123456789"))-1)="BEV",INDEX(BEV_TBE,MATCH($A14,BEV_TBE_VehClass,0),MATCH(G$3,Lookup_Year,0)),IF(LEFT($D15,MIN(FIND({0,1,2,3,4,5,6,7,8,9},$D15&amp;"0123456789"))-1)="PHEV",INDEX(PHEV_TBE,MATCH($A14,PHEV_TBE_VehClass,0),MATCH(G$3,Lookup_Year,0)),IF(LEFT($D15,MIN(FIND({0,1,2,3,4,5,6,7,8,9},$D15&amp;"0123456789"))-1)="FCEV",INDEX(FCEV_TBE,MATCH($A14,FCEV_TBE_VehClass,0),MATCH(G$3,Lookup_Year,0)))))</f>
        <v>16.946898529411765</v>
      </c>
      <c r="H15" s="22" cm="1">
        <f t="array" ref="H15">IF(LEFT($D15,MIN(FIND({0,1,2,3,4,5,6,7,8,9},$D15&amp;"0123456789"))-1)="BEV",INDEX(BEV_TBE,MATCH($A14,BEV_TBE_VehClass,0),MATCH(H$3,Lookup_Year,0)),IF(LEFT($D15,MIN(FIND({0,1,2,3,4,5,6,7,8,9},$D15&amp;"0123456789"))-1)="PHEV",INDEX(PHEV_TBE,MATCH($A14,PHEV_TBE_VehClass,0),MATCH(H$3,Lookup_Year,0)),IF(LEFT($D15,MIN(FIND({0,1,2,3,4,5,6,7,8,9},$D15&amp;"0123456789"))-1)="FCEV",INDEX(FCEV_TBE,MATCH($A14,FCEV_TBE_VehClass,0),MATCH(H$3,Lookup_Year,0)))))</f>
        <v>16.86216403676471</v>
      </c>
      <c r="I15" s="22" cm="1">
        <f t="array" ref="I15">IF(LEFT($D15,MIN(FIND({0,1,2,3,4,5,6,7,8,9},$D15&amp;"0123456789"))-1)="BEV",INDEX(BEV_TBE,MATCH($A14,BEV_TBE_VehClass,0),MATCH(I$3,Lookup_Year,0)),IF(LEFT($D15,MIN(FIND({0,1,2,3,4,5,6,7,8,9},$D15&amp;"0123456789"))-1)="PHEV",INDEX(PHEV_TBE,MATCH($A14,PHEV_TBE_VehClass,0),MATCH(I$3,Lookup_Year,0)),IF(LEFT($D15,MIN(FIND({0,1,2,3,4,5,6,7,8,9},$D15&amp;"0123456789"))-1)="FCEV",INDEX(FCEV_TBE,MATCH($A14,FCEV_TBE_VehClass,0),MATCH(I$3,Lookup_Year,0)))))</f>
        <v>16.777853216580887</v>
      </c>
      <c r="J15" s="22" cm="1">
        <f t="array" ref="J15">IF(LEFT($D15,MIN(FIND({0,1,2,3,4,5,6,7,8,9},$D15&amp;"0123456789"))-1)="BEV",INDEX(BEV_TBE,MATCH($A14,BEV_TBE_VehClass,0),MATCH(J$3,Lookup_Year,0)),IF(LEFT($D15,MIN(FIND({0,1,2,3,4,5,6,7,8,9},$D15&amp;"0123456789"))-1)="PHEV",INDEX(PHEV_TBE,MATCH($A14,PHEV_TBE_VehClass,0),MATCH(J$3,Lookup_Year,0)),IF(LEFT($D15,MIN(FIND({0,1,2,3,4,5,6,7,8,9},$D15&amp;"0123456789"))-1)="FCEV",INDEX(FCEV_TBE,MATCH($A14,FCEV_TBE_VehClass,0),MATCH(J$3,Lookup_Year,0)))))</f>
        <v>16.693963950497981</v>
      </c>
      <c r="K15" s="22" cm="1">
        <f t="array" ref="K15">IF(LEFT($D15,MIN(FIND({0,1,2,3,4,5,6,7,8,9},$D15&amp;"0123456789"))-1)="BEV",INDEX(BEV_TBE,MATCH($A14,BEV_TBE_VehClass,0),MATCH(K$3,Lookup_Year,0)),IF(LEFT($D15,MIN(FIND({0,1,2,3,4,5,6,7,8,9},$D15&amp;"0123456789"))-1)="PHEV",INDEX(PHEV_TBE,MATCH($A14,PHEV_TBE_VehClass,0),MATCH(K$3,Lookup_Year,0)),IF(LEFT($D15,MIN(FIND({0,1,2,3,4,5,6,7,8,9},$D15&amp;"0123456789"))-1)="FCEV",INDEX(FCEV_TBE,MATCH($A14,FCEV_TBE_VehClass,0),MATCH(K$3,Lookup_Year,0)))))</f>
        <v>16.61049413074549</v>
      </c>
      <c r="L15" s="22" cm="1">
        <f t="array" ref="L15">IF(LEFT($D15,MIN(FIND({0,1,2,3,4,5,6,7,8,9},$D15&amp;"0123456789"))-1)="BEV",INDEX(BEV_TBE,MATCH($A14,BEV_TBE_VehClass,0),MATCH(L$3,Lookup_Year,0)),IF(LEFT($D15,MIN(FIND({0,1,2,3,4,5,6,7,8,9},$D15&amp;"0123456789"))-1)="PHEV",INDEX(PHEV_TBE,MATCH($A14,PHEV_TBE_VehClass,0),MATCH(L$3,Lookup_Year,0)),IF(LEFT($D15,MIN(FIND({0,1,2,3,4,5,6,7,8,9},$D15&amp;"0123456789"))-1)="FCEV",INDEX(FCEV_TBE,MATCH($A14,FCEV_TBE_VehClass,0),MATCH(L$3,Lookup_Year,0)))))</f>
        <v>16.527441660091764</v>
      </c>
      <c r="M15" s="22" cm="1">
        <f t="array" ref="M15">IF(LEFT($D15,MIN(FIND({0,1,2,3,4,5,6,7,8,9},$D15&amp;"0123456789"))-1)="BEV",INDEX(BEV_TBE,MATCH($A14,BEV_TBE_VehClass,0),MATCH(M$3,Lookup_Year,0)),IF(LEFT($D15,MIN(FIND({0,1,2,3,4,5,6,7,8,9},$D15&amp;"0123456789"))-1)="PHEV",INDEX(PHEV_TBE,MATCH($A14,PHEV_TBE_VehClass,0),MATCH(M$3,Lookup_Year,0)),IF(LEFT($D15,MIN(FIND({0,1,2,3,4,5,6,7,8,9},$D15&amp;"0123456789"))-1)="FCEV",INDEX(FCEV_TBE,MATCH($A14,FCEV_TBE_VehClass,0),MATCH(M$3,Lookup_Year,0)))))</f>
        <v>16.444804451791306</v>
      </c>
      <c r="N15" s="22" cm="1">
        <f t="array" ref="N15">IF(LEFT($D15,MIN(FIND({0,1,2,3,4,5,6,7,8,9},$D15&amp;"0123456789"))-1)="BEV",INDEX(BEV_TBE,MATCH($A14,BEV_TBE_VehClass,0),MATCH(N$3,Lookup_Year,0)),IF(LEFT($D15,MIN(FIND({0,1,2,3,4,5,6,7,8,9},$D15&amp;"0123456789"))-1)="PHEV",INDEX(PHEV_TBE,MATCH($A14,PHEV_TBE_VehClass,0),MATCH(N$3,Lookup_Year,0)),IF(LEFT($D15,MIN(FIND({0,1,2,3,4,5,6,7,8,9},$D15&amp;"0123456789"))-1)="FCEV",INDEX(FCEV_TBE,MATCH($A14,FCEV_TBE_VehClass,0),MATCH(N$3,Lookup_Year,0)))))</f>
        <v>16.36258042953235</v>
      </c>
      <c r="O15" s="42" cm="1">
        <f t="array" ref="O15">IF(LEFT($D15,MIN(FIND({0,1,2,3,4,5,6,7,8,9},$D15&amp;"0123456789"))-1)="BEV",INDEX(BEV_TBE,MATCH($A14,BEV_TBE_VehClass,0),MATCH(O$3,Lookup_Year,0)),IF(LEFT($D15,MIN(FIND({0,1,2,3,4,5,6,7,8,9},$D15&amp;"0123456789"))-1)="PHEV",INDEX(PHEV_TBE,MATCH($A14,PHEV_TBE_VehClass,0),MATCH(O$3,Lookup_Year,0)),IF(LEFT($D15,MIN(FIND({0,1,2,3,4,5,6,7,8,9},$D15&amp;"0123456789"))-1)="FCEV",INDEX(FCEV_TBE,MATCH($A14,FCEV_TBE_VehClass,0),MATCH(O$3,Lookup_Year,0)))))</f>
        <v>16.280767527384686</v>
      </c>
      <c r="P15" s="1"/>
    </row>
    <row r="16" spans="1:16" x14ac:dyDescent="0.3">
      <c r="A16" s="16" t="str">
        <f t="shared" si="0"/>
        <v>MedCarBasePHEV50</v>
      </c>
      <c r="B16" s="79" t="str">
        <f>'Vehicle Attributes - Base Year'!B13</f>
        <v>SmallCar</v>
      </c>
      <c r="C16" s="68" t="str">
        <f>'Vehicle Attributes - Base Year'!C13</f>
        <v>Premium</v>
      </c>
      <c r="D16" s="68" t="str">
        <f>'Vehicle Attributes - Base Year'!D13</f>
        <v>PHEV50</v>
      </c>
      <c r="E16" s="22" cm="1">
        <f t="array" ref="E16">IF(LEFT($D16,MIN(FIND({0,1,2,3,4,5,6,7,8,9},$D16&amp;"0123456789"))-1)="BEV",INDEX(BEV_TBE,MATCH($A15,BEV_TBE_VehClass,0),MATCH(E$3,Lookup_Year,0)),IF(LEFT($D16,MIN(FIND({0,1,2,3,4,5,6,7,8,9},$D16&amp;"0123456789"))-1)="PHEV",INDEX(PHEV_TBE,MATCH($A15,PHEV_TBE_VehClass,0),MATCH(E$3,Lookup_Year,0)),IF(LEFT($D16,MIN(FIND({0,1,2,3,4,5,6,7,8,9},$D16&amp;"0123456789"))-1)="FCEV",INDEX(FCEV_TBE,MATCH($A15,FCEV_TBE_VehClass,0),MATCH(E$3,Lookup_Year,0)))))</f>
        <v>17.117647058823529</v>
      </c>
      <c r="F16" s="22" cm="1">
        <f t="array" ref="F16">IF(LEFT($D16,MIN(FIND({0,1,2,3,4,5,6,7,8,9},$D16&amp;"0123456789"))-1)="BEV",INDEX(BEV_TBE,MATCH($A15,BEV_TBE_VehClass,0),MATCH(F$3,Lookup_Year,0)),IF(LEFT($D16,MIN(FIND({0,1,2,3,4,5,6,7,8,9},$D16&amp;"0123456789"))-1)="PHEV",INDEX(PHEV_TBE,MATCH($A15,PHEV_TBE_VehClass,0),MATCH(F$3,Lookup_Year,0)),IF(LEFT($D16,MIN(FIND({0,1,2,3,4,5,6,7,8,9},$D16&amp;"0123456789"))-1)="FCEV",INDEX(FCEV_TBE,MATCH($A15,FCEV_TBE_VehClass,0),MATCH(F$3,Lookup_Year,0)))))</f>
        <v>17.032058823529411</v>
      </c>
      <c r="G16" s="22" cm="1">
        <f t="array" ref="G16">IF(LEFT($D16,MIN(FIND({0,1,2,3,4,5,6,7,8,9},$D16&amp;"0123456789"))-1)="BEV",INDEX(BEV_TBE,MATCH($A15,BEV_TBE_VehClass,0),MATCH(G$3,Lookup_Year,0)),IF(LEFT($D16,MIN(FIND({0,1,2,3,4,5,6,7,8,9},$D16&amp;"0123456789"))-1)="PHEV",INDEX(PHEV_TBE,MATCH($A15,PHEV_TBE_VehClass,0),MATCH(G$3,Lookup_Year,0)),IF(LEFT($D16,MIN(FIND({0,1,2,3,4,5,6,7,8,9},$D16&amp;"0123456789"))-1)="FCEV",INDEX(FCEV_TBE,MATCH($A15,FCEV_TBE_VehClass,0),MATCH(G$3,Lookup_Year,0)))))</f>
        <v>16.946898529411765</v>
      </c>
      <c r="H16" s="22" cm="1">
        <f t="array" ref="H16">IF(LEFT($D16,MIN(FIND({0,1,2,3,4,5,6,7,8,9},$D16&amp;"0123456789"))-1)="BEV",INDEX(BEV_TBE,MATCH($A15,BEV_TBE_VehClass,0),MATCH(H$3,Lookup_Year,0)),IF(LEFT($D16,MIN(FIND({0,1,2,3,4,5,6,7,8,9},$D16&amp;"0123456789"))-1)="PHEV",INDEX(PHEV_TBE,MATCH($A15,PHEV_TBE_VehClass,0),MATCH(H$3,Lookup_Year,0)),IF(LEFT($D16,MIN(FIND({0,1,2,3,4,5,6,7,8,9},$D16&amp;"0123456789"))-1)="FCEV",INDEX(FCEV_TBE,MATCH($A15,FCEV_TBE_VehClass,0),MATCH(H$3,Lookup_Year,0)))))</f>
        <v>16.86216403676471</v>
      </c>
      <c r="I16" s="22" cm="1">
        <f t="array" ref="I16">IF(LEFT($D16,MIN(FIND({0,1,2,3,4,5,6,7,8,9},$D16&amp;"0123456789"))-1)="BEV",INDEX(BEV_TBE,MATCH($A15,BEV_TBE_VehClass,0),MATCH(I$3,Lookup_Year,0)),IF(LEFT($D16,MIN(FIND({0,1,2,3,4,5,6,7,8,9},$D16&amp;"0123456789"))-1)="PHEV",INDEX(PHEV_TBE,MATCH($A15,PHEV_TBE_VehClass,0),MATCH(I$3,Lookup_Year,0)),IF(LEFT($D16,MIN(FIND({0,1,2,3,4,5,6,7,8,9},$D16&amp;"0123456789"))-1)="FCEV",INDEX(FCEV_TBE,MATCH($A15,FCEV_TBE_VehClass,0),MATCH(I$3,Lookup_Year,0)))))</f>
        <v>16.777853216580887</v>
      </c>
      <c r="J16" s="22" cm="1">
        <f t="array" ref="J16">IF(LEFT($D16,MIN(FIND({0,1,2,3,4,5,6,7,8,9},$D16&amp;"0123456789"))-1)="BEV",INDEX(BEV_TBE,MATCH($A15,BEV_TBE_VehClass,0),MATCH(J$3,Lookup_Year,0)),IF(LEFT($D16,MIN(FIND({0,1,2,3,4,5,6,7,8,9},$D16&amp;"0123456789"))-1)="PHEV",INDEX(PHEV_TBE,MATCH($A15,PHEV_TBE_VehClass,0),MATCH(J$3,Lookup_Year,0)),IF(LEFT($D16,MIN(FIND({0,1,2,3,4,5,6,7,8,9},$D16&amp;"0123456789"))-1)="FCEV",INDEX(FCEV_TBE,MATCH($A15,FCEV_TBE_VehClass,0),MATCH(J$3,Lookup_Year,0)))))</f>
        <v>16.693963950497981</v>
      </c>
      <c r="K16" s="22" cm="1">
        <f t="array" ref="K16">IF(LEFT($D16,MIN(FIND({0,1,2,3,4,5,6,7,8,9},$D16&amp;"0123456789"))-1)="BEV",INDEX(BEV_TBE,MATCH($A15,BEV_TBE_VehClass,0),MATCH(K$3,Lookup_Year,0)),IF(LEFT($D16,MIN(FIND({0,1,2,3,4,5,6,7,8,9},$D16&amp;"0123456789"))-1)="PHEV",INDEX(PHEV_TBE,MATCH($A15,PHEV_TBE_VehClass,0),MATCH(K$3,Lookup_Year,0)),IF(LEFT($D16,MIN(FIND({0,1,2,3,4,5,6,7,8,9},$D16&amp;"0123456789"))-1)="FCEV",INDEX(FCEV_TBE,MATCH($A15,FCEV_TBE_VehClass,0),MATCH(K$3,Lookup_Year,0)))))</f>
        <v>16.61049413074549</v>
      </c>
      <c r="L16" s="22" cm="1">
        <f t="array" ref="L16">IF(LEFT($D16,MIN(FIND({0,1,2,3,4,5,6,7,8,9},$D16&amp;"0123456789"))-1)="BEV",INDEX(BEV_TBE,MATCH($A15,BEV_TBE_VehClass,0),MATCH(L$3,Lookup_Year,0)),IF(LEFT($D16,MIN(FIND({0,1,2,3,4,5,6,7,8,9},$D16&amp;"0123456789"))-1)="PHEV",INDEX(PHEV_TBE,MATCH($A15,PHEV_TBE_VehClass,0),MATCH(L$3,Lookup_Year,0)),IF(LEFT($D16,MIN(FIND({0,1,2,3,4,5,6,7,8,9},$D16&amp;"0123456789"))-1)="FCEV",INDEX(FCEV_TBE,MATCH($A15,FCEV_TBE_VehClass,0),MATCH(L$3,Lookup_Year,0)))))</f>
        <v>16.527441660091764</v>
      </c>
      <c r="M16" s="22" cm="1">
        <f t="array" ref="M16">IF(LEFT($D16,MIN(FIND({0,1,2,3,4,5,6,7,8,9},$D16&amp;"0123456789"))-1)="BEV",INDEX(BEV_TBE,MATCH($A15,BEV_TBE_VehClass,0),MATCH(M$3,Lookup_Year,0)),IF(LEFT($D16,MIN(FIND({0,1,2,3,4,5,6,7,8,9},$D16&amp;"0123456789"))-1)="PHEV",INDEX(PHEV_TBE,MATCH($A15,PHEV_TBE_VehClass,0),MATCH(M$3,Lookup_Year,0)),IF(LEFT($D16,MIN(FIND({0,1,2,3,4,5,6,7,8,9},$D16&amp;"0123456789"))-1)="FCEV",INDEX(FCEV_TBE,MATCH($A15,FCEV_TBE_VehClass,0),MATCH(M$3,Lookup_Year,0)))))</f>
        <v>16.444804451791306</v>
      </c>
      <c r="N16" s="22" cm="1">
        <f t="array" ref="N16">IF(LEFT($D16,MIN(FIND({0,1,2,3,4,5,6,7,8,9},$D16&amp;"0123456789"))-1)="BEV",INDEX(BEV_TBE,MATCH($A15,BEV_TBE_VehClass,0),MATCH(N$3,Lookup_Year,0)),IF(LEFT($D16,MIN(FIND({0,1,2,3,4,5,6,7,8,9},$D16&amp;"0123456789"))-1)="PHEV",INDEX(PHEV_TBE,MATCH($A15,PHEV_TBE_VehClass,0),MATCH(N$3,Lookup_Year,0)),IF(LEFT($D16,MIN(FIND({0,1,2,3,4,5,6,7,8,9},$D16&amp;"0123456789"))-1)="FCEV",INDEX(FCEV_TBE,MATCH($A15,FCEV_TBE_VehClass,0),MATCH(N$3,Lookup_Year,0)))))</f>
        <v>16.36258042953235</v>
      </c>
      <c r="O16" s="42" cm="1">
        <f t="array" ref="O16">IF(LEFT($D16,MIN(FIND({0,1,2,3,4,5,6,7,8,9},$D16&amp;"0123456789"))-1)="BEV",INDEX(BEV_TBE,MATCH($A15,BEV_TBE_VehClass,0),MATCH(O$3,Lookup_Year,0)),IF(LEFT($D16,MIN(FIND({0,1,2,3,4,5,6,7,8,9},$D16&amp;"0123456789"))-1)="PHEV",INDEX(PHEV_TBE,MATCH($A15,PHEV_TBE_VehClass,0),MATCH(O$3,Lookup_Year,0)),IF(LEFT($D16,MIN(FIND({0,1,2,3,4,5,6,7,8,9},$D16&amp;"0123456789"))-1)="FCEV",INDEX(FCEV_TBE,MATCH($A15,FCEV_TBE_VehClass,0),MATCH(O$3,Lookup_Year,0)))))</f>
        <v>16.280767527384686</v>
      </c>
      <c r="P16" s="1"/>
    </row>
    <row r="17" spans="1:21" x14ac:dyDescent="0.3">
      <c r="A17" t="str">
        <f t="shared" si="0"/>
        <v>MedCarPremiumPHEV50</v>
      </c>
      <c r="B17" s="79" t="str">
        <f>'Vehicle Attributes - Base Year'!B14</f>
        <v>MedCar</v>
      </c>
      <c r="C17" s="68" t="str">
        <f>'Vehicle Attributes - Base Year'!C14</f>
        <v>Base</v>
      </c>
      <c r="D17" s="68" t="str">
        <f>'Vehicle Attributes - Base Year'!D14</f>
        <v>PHEV50</v>
      </c>
      <c r="E17" s="22" cm="1">
        <f t="array" ref="E17">IF(LEFT($D17,MIN(FIND({0,1,2,3,4,5,6,7,8,9},$D17&amp;"0123456789"))-1)="BEV",INDEX(BEV_TBE,MATCH($A16,BEV_TBE_VehClass,0),MATCH(E$3,Lookup_Year,0)),IF(LEFT($D17,MIN(FIND({0,1,2,3,4,5,6,7,8,9},$D17&amp;"0123456789"))-1)="PHEV",INDEX(PHEV_TBE,MATCH($A16,PHEV_TBE_VehClass,0),MATCH(E$3,Lookup_Year,0)),IF(LEFT($D17,MIN(FIND({0,1,2,3,4,5,6,7,8,9},$D17&amp;"0123456789"))-1)="FCEV",INDEX(FCEV_TBE,MATCH($A16,FCEV_TBE_VehClass,0),MATCH(E$3,Lookup_Year,0)))))</f>
        <v>18.352941176470587</v>
      </c>
      <c r="F17" s="22" cm="1">
        <f t="array" ref="F17">IF(LEFT($D17,MIN(FIND({0,1,2,3,4,5,6,7,8,9},$D17&amp;"0123456789"))-1)="BEV",INDEX(BEV_TBE,MATCH($A16,BEV_TBE_VehClass,0),MATCH(F$3,Lookup_Year,0)),IF(LEFT($D17,MIN(FIND({0,1,2,3,4,5,6,7,8,9},$D17&amp;"0123456789"))-1)="PHEV",INDEX(PHEV_TBE,MATCH($A16,PHEV_TBE_VehClass,0),MATCH(F$3,Lookup_Year,0)),IF(LEFT($D17,MIN(FIND({0,1,2,3,4,5,6,7,8,9},$D17&amp;"0123456789"))-1)="FCEV",INDEX(FCEV_TBE,MATCH($A16,FCEV_TBE_VehClass,0),MATCH(F$3,Lookup_Year,0)))))</f>
        <v>18.261176470588236</v>
      </c>
      <c r="G17" s="22" cm="1">
        <f t="array" ref="G17">IF(LEFT($D17,MIN(FIND({0,1,2,3,4,5,6,7,8,9},$D17&amp;"0123456789"))-1)="BEV",INDEX(BEV_TBE,MATCH($A16,BEV_TBE_VehClass,0),MATCH(G$3,Lookup_Year,0)),IF(LEFT($D17,MIN(FIND({0,1,2,3,4,5,6,7,8,9},$D17&amp;"0123456789"))-1)="PHEV",INDEX(PHEV_TBE,MATCH($A16,PHEV_TBE_VehClass,0),MATCH(G$3,Lookup_Year,0)),IF(LEFT($D17,MIN(FIND({0,1,2,3,4,5,6,7,8,9},$D17&amp;"0123456789"))-1)="FCEV",INDEX(FCEV_TBE,MATCH($A16,FCEV_TBE_VehClass,0),MATCH(G$3,Lookup_Year,0)))))</f>
        <v>18.169870588235295</v>
      </c>
      <c r="H17" s="22" cm="1">
        <f t="array" ref="H17">IF(LEFT($D17,MIN(FIND({0,1,2,3,4,5,6,7,8,9},$D17&amp;"0123456789"))-1)="BEV",INDEX(BEV_TBE,MATCH($A16,BEV_TBE_VehClass,0),MATCH(H$3,Lookup_Year,0)),IF(LEFT($D17,MIN(FIND({0,1,2,3,4,5,6,7,8,9},$D17&amp;"0123456789"))-1)="PHEV",INDEX(PHEV_TBE,MATCH($A16,PHEV_TBE_VehClass,0),MATCH(H$3,Lookup_Year,0)),IF(LEFT($D17,MIN(FIND({0,1,2,3,4,5,6,7,8,9},$D17&amp;"0123456789"))-1)="FCEV",INDEX(FCEV_TBE,MATCH($A16,FCEV_TBE_VehClass,0),MATCH(H$3,Lookup_Year,0)))))</f>
        <v>18.079021235294118</v>
      </c>
      <c r="I17" s="22" cm="1">
        <f t="array" ref="I17">IF(LEFT($D17,MIN(FIND({0,1,2,3,4,5,6,7,8,9},$D17&amp;"0123456789"))-1)="BEV",INDEX(BEV_TBE,MATCH($A16,BEV_TBE_VehClass,0),MATCH(I$3,Lookup_Year,0)),IF(LEFT($D17,MIN(FIND({0,1,2,3,4,5,6,7,8,9},$D17&amp;"0123456789"))-1)="PHEV",INDEX(PHEV_TBE,MATCH($A16,PHEV_TBE_VehClass,0),MATCH(I$3,Lookup_Year,0)),IF(LEFT($D17,MIN(FIND({0,1,2,3,4,5,6,7,8,9},$D17&amp;"0123456789"))-1)="FCEV",INDEX(FCEV_TBE,MATCH($A16,FCEV_TBE_VehClass,0),MATCH(I$3,Lookup_Year,0)))))</f>
        <v>17.988626129117645</v>
      </c>
      <c r="J17" s="22" cm="1">
        <f t="array" ref="J17">IF(LEFT($D17,MIN(FIND({0,1,2,3,4,5,6,7,8,9},$D17&amp;"0123456789"))-1)="BEV",INDEX(BEV_TBE,MATCH($A16,BEV_TBE_VehClass,0),MATCH(J$3,Lookup_Year,0)),IF(LEFT($D17,MIN(FIND({0,1,2,3,4,5,6,7,8,9},$D17&amp;"0123456789"))-1)="PHEV",INDEX(PHEV_TBE,MATCH($A16,PHEV_TBE_VehClass,0),MATCH(J$3,Lookup_Year,0)),IF(LEFT($D17,MIN(FIND({0,1,2,3,4,5,6,7,8,9},$D17&amp;"0123456789"))-1)="FCEV",INDEX(FCEV_TBE,MATCH($A16,FCEV_TBE_VehClass,0),MATCH(J$3,Lookup_Year,0)))))</f>
        <v>17.898682998472058</v>
      </c>
      <c r="K17" s="22" cm="1">
        <f t="array" ref="K17">IF(LEFT($D17,MIN(FIND({0,1,2,3,4,5,6,7,8,9},$D17&amp;"0123456789"))-1)="BEV",INDEX(BEV_TBE,MATCH($A16,BEV_TBE_VehClass,0),MATCH(K$3,Lookup_Year,0)),IF(LEFT($D17,MIN(FIND({0,1,2,3,4,5,6,7,8,9},$D17&amp;"0123456789"))-1)="PHEV",INDEX(PHEV_TBE,MATCH($A16,PHEV_TBE_VehClass,0),MATCH(K$3,Lookup_Year,0)),IF(LEFT($D17,MIN(FIND({0,1,2,3,4,5,6,7,8,9},$D17&amp;"0123456789"))-1)="FCEV",INDEX(FCEV_TBE,MATCH($A16,FCEV_TBE_VehClass,0),MATCH(K$3,Lookup_Year,0)))))</f>
        <v>17.809189583479696</v>
      </c>
      <c r="L17" s="22" cm="1">
        <f t="array" ref="L17">IF(LEFT($D17,MIN(FIND({0,1,2,3,4,5,6,7,8,9},$D17&amp;"0123456789"))-1)="BEV",INDEX(BEV_TBE,MATCH($A16,BEV_TBE_VehClass,0),MATCH(L$3,Lookup_Year,0)),IF(LEFT($D17,MIN(FIND({0,1,2,3,4,5,6,7,8,9},$D17&amp;"0123456789"))-1)="PHEV",INDEX(PHEV_TBE,MATCH($A16,PHEV_TBE_VehClass,0),MATCH(L$3,Lookup_Year,0)),IF(LEFT($D17,MIN(FIND({0,1,2,3,4,5,6,7,8,9},$D17&amp;"0123456789"))-1)="FCEV",INDEX(FCEV_TBE,MATCH($A16,FCEV_TBE_VehClass,0),MATCH(L$3,Lookup_Year,0)))))</f>
        <v>17.720143635562298</v>
      </c>
      <c r="M17" s="22" cm="1">
        <f t="array" ref="M17">IF(LEFT($D17,MIN(FIND({0,1,2,3,4,5,6,7,8,9},$D17&amp;"0123456789"))-1)="BEV",INDEX(BEV_TBE,MATCH($A16,BEV_TBE_VehClass,0),MATCH(M$3,Lookup_Year,0)),IF(LEFT($D17,MIN(FIND({0,1,2,3,4,5,6,7,8,9},$D17&amp;"0123456789"))-1)="PHEV",INDEX(PHEV_TBE,MATCH($A16,PHEV_TBE_VehClass,0),MATCH(M$3,Lookup_Year,0)),IF(LEFT($D17,MIN(FIND({0,1,2,3,4,5,6,7,8,9},$D17&amp;"0123456789"))-1)="FCEV",INDEX(FCEV_TBE,MATCH($A16,FCEV_TBE_VehClass,0),MATCH(M$3,Lookup_Year,0)))))</f>
        <v>17.631542917384486</v>
      </c>
      <c r="N17" s="22" cm="1">
        <f t="array" ref="N17">IF(LEFT($D17,MIN(FIND({0,1,2,3,4,5,6,7,8,9},$D17&amp;"0123456789"))-1)="BEV",INDEX(BEV_TBE,MATCH($A16,BEV_TBE_VehClass,0),MATCH(N$3,Lookup_Year,0)),IF(LEFT($D17,MIN(FIND({0,1,2,3,4,5,6,7,8,9},$D17&amp;"0123456789"))-1)="PHEV",INDEX(PHEV_TBE,MATCH($A16,PHEV_TBE_VehClass,0),MATCH(N$3,Lookup_Year,0)),IF(LEFT($D17,MIN(FIND({0,1,2,3,4,5,6,7,8,9},$D17&amp;"0123456789"))-1)="FCEV",INDEX(FCEV_TBE,MATCH($A16,FCEV_TBE_VehClass,0),MATCH(N$3,Lookup_Year,0)))))</f>
        <v>17.543385202797563</v>
      </c>
      <c r="O17" s="42" cm="1">
        <f t="array" ref="O17">IF(LEFT($D17,MIN(FIND({0,1,2,3,4,5,6,7,8,9},$D17&amp;"0123456789"))-1)="BEV",INDEX(BEV_TBE,MATCH($A16,BEV_TBE_VehClass,0),MATCH(O$3,Lookup_Year,0)),IF(LEFT($D17,MIN(FIND({0,1,2,3,4,5,6,7,8,9},$D17&amp;"0123456789"))-1)="PHEV",INDEX(PHEV_TBE,MATCH($A16,PHEV_TBE_VehClass,0),MATCH(O$3,Lookup_Year,0)),IF(LEFT($D17,MIN(FIND({0,1,2,3,4,5,6,7,8,9},$D17&amp;"0123456789"))-1)="FCEV",INDEX(FCEV_TBE,MATCH($A16,FCEV_TBE_VehClass,0),MATCH(O$3,Lookup_Year,0)))))</f>
        <v>17.455668276783577</v>
      </c>
      <c r="P17" s="1"/>
    </row>
    <row r="18" spans="1:21" x14ac:dyDescent="0.3">
      <c r="A18" s="16" t="str">
        <f t="shared" si="0"/>
        <v>SmallSUVBasePHEV50</v>
      </c>
      <c r="B18" s="79" t="str">
        <f>'Vehicle Attributes - Base Year'!B15</f>
        <v>MedCar</v>
      </c>
      <c r="C18" s="68" t="str">
        <f>'Vehicle Attributes - Base Year'!C15</f>
        <v>Premium</v>
      </c>
      <c r="D18" s="68" t="str">
        <f>'Vehicle Attributes - Base Year'!D15</f>
        <v>PHEV50</v>
      </c>
      <c r="E18" s="22" cm="1">
        <f t="array" ref="E18">IF(LEFT($D18,MIN(FIND({0,1,2,3,4,5,6,7,8,9},$D18&amp;"0123456789"))-1)="BEV",INDEX(BEV_TBE,MATCH($A17,BEV_TBE_VehClass,0),MATCH(E$3,Lookup_Year,0)),IF(LEFT($D18,MIN(FIND({0,1,2,3,4,5,6,7,8,9},$D18&amp;"0123456789"))-1)="PHEV",INDEX(PHEV_TBE,MATCH($A17,PHEV_TBE_VehClass,0),MATCH(E$3,Lookup_Year,0)),IF(LEFT($D18,MIN(FIND({0,1,2,3,4,5,6,7,8,9},$D18&amp;"0123456789"))-1)="FCEV",INDEX(FCEV_TBE,MATCH($A17,FCEV_TBE_VehClass,0),MATCH(E$3,Lookup_Year,0)))))</f>
        <v>18.352941176470587</v>
      </c>
      <c r="F18" s="22" cm="1">
        <f t="array" ref="F18">IF(LEFT($D18,MIN(FIND({0,1,2,3,4,5,6,7,8,9},$D18&amp;"0123456789"))-1)="BEV",INDEX(BEV_TBE,MATCH($A17,BEV_TBE_VehClass,0),MATCH(F$3,Lookup_Year,0)),IF(LEFT($D18,MIN(FIND({0,1,2,3,4,5,6,7,8,9},$D18&amp;"0123456789"))-1)="PHEV",INDEX(PHEV_TBE,MATCH($A17,PHEV_TBE_VehClass,0),MATCH(F$3,Lookup_Year,0)),IF(LEFT($D18,MIN(FIND({0,1,2,3,4,5,6,7,8,9},$D18&amp;"0123456789"))-1)="FCEV",INDEX(FCEV_TBE,MATCH($A17,FCEV_TBE_VehClass,0),MATCH(F$3,Lookup_Year,0)))))</f>
        <v>18.261176470588236</v>
      </c>
      <c r="G18" s="22" cm="1">
        <f t="array" ref="G18">IF(LEFT($D18,MIN(FIND({0,1,2,3,4,5,6,7,8,9},$D18&amp;"0123456789"))-1)="BEV",INDEX(BEV_TBE,MATCH($A17,BEV_TBE_VehClass,0),MATCH(G$3,Lookup_Year,0)),IF(LEFT($D18,MIN(FIND({0,1,2,3,4,5,6,7,8,9},$D18&amp;"0123456789"))-1)="PHEV",INDEX(PHEV_TBE,MATCH($A17,PHEV_TBE_VehClass,0),MATCH(G$3,Lookup_Year,0)),IF(LEFT($D18,MIN(FIND({0,1,2,3,4,5,6,7,8,9},$D18&amp;"0123456789"))-1)="FCEV",INDEX(FCEV_TBE,MATCH($A17,FCEV_TBE_VehClass,0),MATCH(G$3,Lookup_Year,0)))))</f>
        <v>18.169870588235295</v>
      </c>
      <c r="H18" s="22" cm="1">
        <f t="array" ref="H18">IF(LEFT($D18,MIN(FIND({0,1,2,3,4,5,6,7,8,9},$D18&amp;"0123456789"))-1)="BEV",INDEX(BEV_TBE,MATCH($A17,BEV_TBE_VehClass,0),MATCH(H$3,Lookup_Year,0)),IF(LEFT($D18,MIN(FIND({0,1,2,3,4,5,6,7,8,9},$D18&amp;"0123456789"))-1)="PHEV",INDEX(PHEV_TBE,MATCH($A17,PHEV_TBE_VehClass,0),MATCH(H$3,Lookup_Year,0)),IF(LEFT($D18,MIN(FIND({0,1,2,3,4,5,6,7,8,9},$D18&amp;"0123456789"))-1)="FCEV",INDEX(FCEV_TBE,MATCH($A17,FCEV_TBE_VehClass,0),MATCH(H$3,Lookup_Year,0)))))</f>
        <v>18.079021235294118</v>
      </c>
      <c r="I18" s="22" cm="1">
        <f t="array" ref="I18">IF(LEFT($D18,MIN(FIND({0,1,2,3,4,5,6,7,8,9},$D18&amp;"0123456789"))-1)="BEV",INDEX(BEV_TBE,MATCH($A17,BEV_TBE_VehClass,0),MATCH(I$3,Lookup_Year,0)),IF(LEFT($D18,MIN(FIND({0,1,2,3,4,5,6,7,8,9},$D18&amp;"0123456789"))-1)="PHEV",INDEX(PHEV_TBE,MATCH($A17,PHEV_TBE_VehClass,0),MATCH(I$3,Lookup_Year,0)),IF(LEFT($D18,MIN(FIND({0,1,2,3,4,5,6,7,8,9},$D18&amp;"0123456789"))-1)="FCEV",INDEX(FCEV_TBE,MATCH($A17,FCEV_TBE_VehClass,0),MATCH(I$3,Lookup_Year,0)))))</f>
        <v>17.988626129117645</v>
      </c>
      <c r="J18" s="22" cm="1">
        <f t="array" ref="J18">IF(LEFT($D18,MIN(FIND({0,1,2,3,4,5,6,7,8,9},$D18&amp;"0123456789"))-1)="BEV",INDEX(BEV_TBE,MATCH($A17,BEV_TBE_VehClass,0),MATCH(J$3,Lookup_Year,0)),IF(LEFT($D18,MIN(FIND({0,1,2,3,4,5,6,7,8,9},$D18&amp;"0123456789"))-1)="PHEV",INDEX(PHEV_TBE,MATCH($A17,PHEV_TBE_VehClass,0),MATCH(J$3,Lookup_Year,0)),IF(LEFT($D18,MIN(FIND({0,1,2,3,4,5,6,7,8,9},$D18&amp;"0123456789"))-1)="FCEV",INDEX(FCEV_TBE,MATCH($A17,FCEV_TBE_VehClass,0),MATCH(J$3,Lookup_Year,0)))))</f>
        <v>17.898682998472058</v>
      </c>
      <c r="K18" s="22" cm="1">
        <f t="array" ref="K18">IF(LEFT($D18,MIN(FIND({0,1,2,3,4,5,6,7,8,9},$D18&amp;"0123456789"))-1)="BEV",INDEX(BEV_TBE,MATCH($A17,BEV_TBE_VehClass,0),MATCH(K$3,Lookup_Year,0)),IF(LEFT($D18,MIN(FIND({0,1,2,3,4,5,6,7,8,9},$D18&amp;"0123456789"))-1)="PHEV",INDEX(PHEV_TBE,MATCH($A17,PHEV_TBE_VehClass,0),MATCH(K$3,Lookup_Year,0)),IF(LEFT($D18,MIN(FIND({0,1,2,3,4,5,6,7,8,9},$D18&amp;"0123456789"))-1)="FCEV",INDEX(FCEV_TBE,MATCH($A17,FCEV_TBE_VehClass,0),MATCH(K$3,Lookup_Year,0)))))</f>
        <v>17.809189583479696</v>
      </c>
      <c r="L18" s="22" cm="1">
        <f t="array" ref="L18">IF(LEFT($D18,MIN(FIND({0,1,2,3,4,5,6,7,8,9},$D18&amp;"0123456789"))-1)="BEV",INDEX(BEV_TBE,MATCH($A17,BEV_TBE_VehClass,0),MATCH(L$3,Lookup_Year,0)),IF(LEFT($D18,MIN(FIND({0,1,2,3,4,5,6,7,8,9},$D18&amp;"0123456789"))-1)="PHEV",INDEX(PHEV_TBE,MATCH($A17,PHEV_TBE_VehClass,0),MATCH(L$3,Lookup_Year,0)),IF(LEFT($D18,MIN(FIND({0,1,2,3,4,5,6,7,8,9},$D18&amp;"0123456789"))-1)="FCEV",INDEX(FCEV_TBE,MATCH($A17,FCEV_TBE_VehClass,0),MATCH(L$3,Lookup_Year,0)))))</f>
        <v>17.720143635562298</v>
      </c>
      <c r="M18" s="22" cm="1">
        <f t="array" ref="M18">IF(LEFT($D18,MIN(FIND({0,1,2,3,4,5,6,7,8,9},$D18&amp;"0123456789"))-1)="BEV",INDEX(BEV_TBE,MATCH($A17,BEV_TBE_VehClass,0),MATCH(M$3,Lookup_Year,0)),IF(LEFT($D18,MIN(FIND({0,1,2,3,4,5,6,7,8,9},$D18&amp;"0123456789"))-1)="PHEV",INDEX(PHEV_TBE,MATCH($A17,PHEV_TBE_VehClass,0),MATCH(M$3,Lookup_Year,0)),IF(LEFT($D18,MIN(FIND({0,1,2,3,4,5,6,7,8,9},$D18&amp;"0123456789"))-1)="FCEV",INDEX(FCEV_TBE,MATCH($A17,FCEV_TBE_VehClass,0),MATCH(M$3,Lookup_Year,0)))))</f>
        <v>17.631542917384486</v>
      </c>
      <c r="N18" s="22" cm="1">
        <f t="array" ref="N18">IF(LEFT($D18,MIN(FIND({0,1,2,3,4,5,6,7,8,9},$D18&amp;"0123456789"))-1)="BEV",INDEX(BEV_TBE,MATCH($A17,BEV_TBE_VehClass,0),MATCH(N$3,Lookup_Year,0)),IF(LEFT($D18,MIN(FIND({0,1,2,3,4,5,6,7,8,9},$D18&amp;"0123456789"))-1)="PHEV",INDEX(PHEV_TBE,MATCH($A17,PHEV_TBE_VehClass,0),MATCH(N$3,Lookup_Year,0)),IF(LEFT($D18,MIN(FIND({0,1,2,3,4,5,6,7,8,9},$D18&amp;"0123456789"))-1)="FCEV",INDEX(FCEV_TBE,MATCH($A17,FCEV_TBE_VehClass,0),MATCH(N$3,Lookup_Year,0)))))</f>
        <v>17.543385202797563</v>
      </c>
      <c r="O18" s="42" cm="1">
        <f t="array" ref="O18">IF(LEFT($D18,MIN(FIND({0,1,2,3,4,5,6,7,8,9},$D18&amp;"0123456789"))-1)="BEV",INDEX(BEV_TBE,MATCH($A17,BEV_TBE_VehClass,0),MATCH(O$3,Lookup_Year,0)),IF(LEFT($D18,MIN(FIND({0,1,2,3,4,5,6,7,8,9},$D18&amp;"0123456789"))-1)="PHEV",INDEX(PHEV_TBE,MATCH($A17,PHEV_TBE_VehClass,0),MATCH(O$3,Lookup_Year,0)),IF(LEFT($D18,MIN(FIND({0,1,2,3,4,5,6,7,8,9},$D18&amp;"0123456789"))-1)="FCEV",INDEX(FCEV_TBE,MATCH($A17,FCEV_TBE_VehClass,0),MATCH(O$3,Lookup_Year,0)))))</f>
        <v>17.455668276783577</v>
      </c>
      <c r="P18" s="1"/>
    </row>
    <row r="19" spans="1:21" x14ac:dyDescent="0.3">
      <c r="A19" t="str">
        <f t="shared" si="0"/>
        <v>SmallSUVPremiumPHEV50</v>
      </c>
      <c r="B19" s="79" t="str">
        <f>'Vehicle Attributes - Base Year'!B16</f>
        <v>SmallSUV</v>
      </c>
      <c r="C19" s="68" t="str">
        <f>'Vehicle Attributes - Base Year'!C16</f>
        <v>Base</v>
      </c>
      <c r="D19" s="68" t="str">
        <f>'Vehicle Attributes - Base Year'!D16</f>
        <v>PHEV50</v>
      </c>
      <c r="E19" s="22" cm="1">
        <f t="array" ref="E19">IF(LEFT($D19,MIN(FIND({0,1,2,3,4,5,6,7,8,9},$D19&amp;"0123456789"))-1)="BEV",INDEX(BEV_TBE,MATCH($A18,BEV_TBE_VehClass,0),MATCH(E$3,Lookup_Year,0)),IF(LEFT($D19,MIN(FIND({0,1,2,3,4,5,6,7,8,9},$D19&amp;"0123456789"))-1)="PHEV",INDEX(PHEV_TBE,MATCH($A18,PHEV_TBE_VehClass,0),MATCH(E$3,Lookup_Year,0)),IF(LEFT($D19,MIN(FIND({0,1,2,3,4,5,6,7,8,9},$D19&amp;"0123456789"))-1)="FCEV",INDEX(FCEV_TBE,MATCH($A18,FCEV_TBE_VehClass,0),MATCH(E$3,Lookup_Year,0)))))</f>
        <v>21.058823529411764</v>
      </c>
      <c r="F19" s="22" cm="1">
        <f t="array" ref="F19">IF(LEFT($D19,MIN(FIND({0,1,2,3,4,5,6,7,8,9},$D19&amp;"0123456789"))-1)="BEV",INDEX(BEV_TBE,MATCH($A18,BEV_TBE_VehClass,0),MATCH(F$3,Lookup_Year,0)),IF(LEFT($D19,MIN(FIND({0,1,2,3,4,5,6,7,8,9},$D19&amp;"0123456789"))-1)="PHEV",INDEX(PHEV_TBE,MATCH($A18,PHEV_TBE_VehClass,0),MATCH(F$3,Lookup_Year,0)),IF(LEFT($D19,MIN(FIND({0,1,2,3,4,5,6,7,8,9},$D19&amp;"0123456789"))-1)="FCEV",INDEX(FCEV_TBE,MATCH($A18,FCEV_TBE_VehClass,0),MATCH(F$3,Lookup_Year,0)))))</f>
        <v>20.953529411764709</v>
      </c>
      <c r="G19" s="22" cm="1">
        <f t="array" ref="G19">IF(LEFT($D19,MIN(FIND({0,1,2,3,4,5,6,7,8,9},$D19&amp;"0123456789"))-1)="BEV",INDEX(BEV_TBE,MATCH($A18,BEV_TBE_VehClass,0),MATCH(G$3,Lookup_Year,0)),IF(LEFT($D19,MIN(FIND({0,1,2,3,4,5,6,7,8,9},$D19&amp;"0123456789"))-1)="PHEV",INDEX(PHEV_TBE,MATCH($A18,PHEV_TBE_VehClass,0),MATCH(G$3,Lookup_Year,0)),IF(LEFT($D19,MIN(FIND({0,1,2,3,4,5,6,7,8,9},$D19&amp;"0123456789"))-1)="FCEV",INDEX(FCEV_TBE,MATCH($A18,FCEV_TBE_VehClass,0),MATCH(G$3,Lookup_Year,0)))))</f>
        <v>20.848761764705884</v>
      </c>
      <c r="H19" s="22" cm="1">
        <f t="array" ref="H19">IF(LEFT($D19,MIN(FIND({0,1,2,3,4,5,6,7,8,9},$D19&amp;"0123456789"))-1)="BEV",INDEX(BEV_TBE,MATCH($A18,BEV_TBE_VehClass,0),MATCH(H$3,Lookup_Year,0)),IF(LEFT($D19,MIN(FIND({0,1,2,3,4,5,6,7,8,9},$D19&amp;"0123456789"))-1)="PHEV",INDEX(PHEV_TBE,MATCH($A18,PHEV_TBE_VehClass,0),MATCH(H$3,Lookup_Year,0)),IF(LEFT($D19,MIN(FIND({0,1,2,3,4,5,6,7,8,9},$D19&amp;"0123456789"))-1)="FCEV",INDEX(FCEV_TBE,MATCH($A18,FCEV_TBE_VehClass,0),MATCH(H$3,Lookup_Year,0)))))</f>
        <v>20.744517955882351</v>
      </c>
      <c r="I19" s="22" cm="1">
        <f t="array" ref="I19">IF(LEFT($D19,MIN(FIND({0,1,2,3,4,5,6,7,8,9},$D19&amp;"0123456789"))-1)="BEV",INDEX(BEV_TBE,MATCH($A18,BEV_TBE_VehClass,0),MATCH(I$3,Lookup_Year,0)),IF(LEFT($D19,MIN(FIND({0,1,2,3,4,5,6,7,8,9},$D19&amp;"0123456789"))-1)="PHEV",INDEX(PHEV_TBE,MATCH($A18,PHEV_TBE_VehClass,0),MATCH(I$3,Lookup_Year,0)),IF(LEFT($D19,MIN(FIND({0,1,2,3,4,5,6,7,8,9},$D19&amp;"0123456789"))-1)="FCEV",INDEX(FCEV_TBE,MATCH($A18,FCEV_TBE_VehClass,0),MATCH(I$3,Lookup_Year,0)))))</f>
        <v>20.640795366102939</v>
      </c>
      <c r="J19" s="22" cm="1">
        <f t="array" ref="J19">IF(LEFT($D19,MIN(FIND({0,1,2,3,4,5,6,7,8,9},$D19&amp;"0123456789"))-1)="BEV",INDEX(BEV_TBE,MATCH($A18,BEV_TBE_VehClass,0),MATCH(J$3,Lookup_Year,0)),IF(LEFT($D19,MIN(FIND({0,1,2,3,4,5,6,7,8,9},$D19&amp;"0123456789"))-1)="PHEV",INDEX(PHEV_TBE,MATCH($A18,PHEV_TBE_VehClass,0),MATCH(J$3,Lookup_Year,0)),IF(LEFT($D19,MIN(FIND({0,1,2,3,4,5,6,7,8,9},$D19&amp;"0123456789"))-1)="FCEV",INDEX(FCEV_TBE,MATCH($A18,FCEV_TBE_VehClass,0),MATCH(J$3,Lookup_Year,0)))))</f>
        <v>20.537591389272425</v>
      </c>
      <c r="K19" s="22" cm="1">
        <f t="array" ref="K19">IF(LEFT($D19,MIN(FIND({0,1,2,3,4,5,6,7,8,9},$D19&amp;"0123456789"))-1)="BEV",INDEX(BEV_TBE,MATCH($A18,BEV_TBE_VehClass,0),MATCH(K$3,Lookup_Year,0)),IF(LEFT($D19,MIN(FIND({0,1,2,3,4,5,6,7,8,9},$D19&amp;"0123456789"))-1)="PHEV",INDEX(PHEV_TBE,MATCH($A18,PHEV_TBE_VehClass,0),MATCH(K$3,Lookup_Year,0)),IF(LEFT($D19,MIN(FIND({0,1,2,3,4,5,6,7,8,9},$D19&amp;"0123456789"))-1)="FCEV",INDEX(FCEV_TBE,MATCH($A18,FCEV_TBE_VehClass,0),MATCH(K$3,Lookup_Year,0)))))</f>
        <v>20.434903432326063</v>
      </c>
      <c r="L19" s="22" cm="1">
        <f t="array" ref="L19">IF(LEFT($D19,MIN(FIND({0,1,2,3,4,5,6,7,8,9},$D19&amp;"0123456789"))-1)="BEV",INDEX(BEV_TBE,MATCH($A18,BEV_TBE_VehClass,0),MATCH(L$3,Lookup_Year,0)),IF(LEFT($D19,MIN(FIND({0,1,2,3,4,5,6,7,8,9},$D19&amp;"0123456789"))-1)="PHEV",INDEX(PHEV_TBE,MATCH($A18,PHEV_TBE_VehClass,0),MATCH(L$3,Lookup_Year,0)),IF(LEFT($D19,MIN(FIND({0,1,2,3,4,5,6,7,8,9},$D19&amp;"0123456789"))-1)="FCEV",INDEX(FCEV_TBE,MATCH($A18,FCEV_TBE_VehClass,0),MATCH(L$3,Lookup_Year,0)))))</f>
        <v>20.332728915164434</v>
      </c>
      <c r="M19" s="22" cm="1">
        <f t="array" ref="M19">IF(LEFT($D19,MIN(FIND({0,1,2,3,4,5,6,7,8,9},$D19&amp;"0123456789"))-1)="BEV",INDEX(BEV_TBE,MATCH($A18,BEV_TBE_VehClass,0),MATCH(M$3,Lookup_Year,0)),IF(LEFT($D19,MIN(FIND({0,1,2,3,4,5,6,7,8,9},$D19&amp;"0123456789"))-1)="PHEV",INDEX(PHEV_TBE,MATCH($A18,PHEV_TBE_VehClass,0),MATCH(M$3,Lookup_Year,0)),IF(LEFT($D19,MIN(FIND({0,1,2,3,4,5,6,7,8,9},$D19&amp;"0123456789"))-1)="FCEV",INDEX(FCEV_TBE,MATCH($A18,FCEV_TBE_VehClass,0),MATCH(M$3,Lookup_Year,0)))))</f>
        <v>20.231065270588616</v>
      </c>
      <c r="N19" s="22" cm="1">
        <f t="array" ref="N19">IF(LEFT($D19,MIN(FIND({0,1,2,3,4,5,6,7,8,9},$D19&amp;"0123456789"))-1)="BEV",INDEX(BEV_TBE,MATCH($A18,BEV_TBE_VehClass,0),MATCH(N$3,Lookup_Year,0)),IF(LEFT($D19,MIN(FIND({0,1,2,3,4,5,6,7,8,9},$D19&amp;"0123456789"))-1)="PHEV",INDEX(PHEV_TBE,MATCH($A18,PHEV_TBE_VehClass,0),MATCH(N$3,Lookup_Year,0)),IF(LEFT($D19,MIN(FIND({0,1,2,3,4,5,6,7,8,9},$D19&amp;"0123456789"))-1)="FCEV",INDEX(FCEV_TBE,MATCH($A18,FCEV_TBE_VehClass,0),MATCH(N$3,Lookup_Year,0)))))</f>
        <v>20.129909944235667</v>
      </c>
      <c r="O19" s="42" cm="1">
        <f t="array" ref="O19">IF(LEFT($D19,MIN(FIND({0,1,2,3,4,5,6,7,8,9},$D19&amp;"0123456789"))-1)="BEV",INDEX(BEV_TBE,MATCH($A18,BEV_TBE_VehClass,0),MATCH(O$3,Lookup_Year,0)),IF(LEFT($D19,MIN(FIND({0,1,2,3,4,5,6,7,8,9},$D19&amp;"0123456789"))-1)="PHEV",INDEX(PHEV_TBE,MATCH($A18,PHEV_TBE_VehClass,0),MATCH(O$3,Lookup_Year,0)),IF(LEFT($D19,MIN(FIND({0,1,2,3,4,5,6,7,8,9},$D19&amp;"0123456789"))-1)="FCEV",INDEX(FCEV_TBE,MATCH($A18,FCEV_TBE_VehClass,0),MATCH(O$3,Lookup_Year,0)))))</f>
        <v>20.029260394514491</v>
      </c>
      <c r="P19" s="1"/>
    </row>
    <row r="20" spans="1:21" x14ac:dyDescent="0.3">
      <c r="A20" s="16" t="str">
        <f t="shared" si="0"/>
        <v>MedSUVBasePHEV50</v>
      </c>
      <c r="B20" s="79" t="str">
        <f>'Vehicle Attributes - Base Year'!B17</f>
        <v>SmallSUV</v>
      </c>
      <c r="C20" s="68" t="str">
        <f>'Vehicle Attributes - Base Year'!C17</f>
        <v>Premium</v>
      </c>
      <c r="D20" s="68" t="str">
        <f>'Vehicle Attributes - Base Year'!D17</f>
        <v>PHEV50</v>
      </c>
      <c r="E20" s="22" cm="1">
        <f t="array" ref="E20">IF(LEFT($D20,MIN(FIND({0,1,2,3,4,5,6,7,8,9},$D20&amp;"0123456789"))-1)="BEV",INDEX(BEV_TBE,MATCH($A19,BEV_TBE_VehClass,0),MATCH(E$3,Lookup_Year,0)),IF(LEFT($D20,MIN(FIND({0,1,2,3,4,5,6,7,8,9},$D20&amp;"0123456789"))-1)="PHEV",INDEX(PHEV_TBE,MATCH($A19,PHEV_TBE_VehClass,0),MATCH(E$3,Lookup_Year,0)),IF(LEFT($D20,MIN(FIND({0,1,2,3,4,5,6,7,8,9},$D20&amp;"0123456789"))-1)="FCEV",INDEX(FCEV_TBE,MATCH($A19,FCEV_TBE_VehClass,0),MATCH(E$3,Lookup_Year,0)))))</f>
        <v>21.058823529411764</v>
      </c>
      <c r="F20" s="22" cm="1">
        <f t="array" ref="F20">IF(LEFT($D20,MIN(FIND({0,1,2,3,4,5,6,7,8,9},$D20&amp;"0123456789"))-1)="BEV",INDEX(BEV_TBE,MATCH($A19,BEV_TBE_VehClass,0),MATCH(F$3,Lookup_Year,0)),IF(LEFT($D20,MIN(FIND({0,1,2,3,4,5,6,7,8,9},$D20&amp;"0123456789"))-1)="PHEV",INDEX(PHEV_TBE,MATCH($A19,PHEV_TBE_VehClass,0),MATCH(F$3,Lookup_Year,0)),IF(LEFT($D20,MIN(FIND({0,1,2,3,4,5,6,7,8,9},$D20&amp;"0123456789"))-1)="FCEV",INDEX(FCEV_TBE,MATCH($A19,FCEV_TBE_VehClass,0),MATCH(F$3,Lookup_Year,0)))))</f>
        <v>20.953529411764709</v>
      </c>
      <c r="G20" s="22" cm="1">
        <f t="array" ref="G20">IF(LEFT($D20,MIN(FIND({0,1,2,3,4,5,6,7,8,9},$D20&amp;"0123456789"))-1)="BEV",INDEX(BEV_TBE,MATCH($A19,BEV_TBE_VehClass,0),MATCH(G$3,Lookup_Year,0)),IF(LEFT($D20,MIN(FIND({0,1,2,3,4,5,6,7,8,9},$D20&amp;"0123456789"))-1)="PHEV",INDEX(PHEV_TBE,MATCH($A19,PHEV_TBE_VehClass,0),MATCH(G$3,Lookup_Year,0)),IF(LEFT($D20,MIN(FIND({0,1,2,3,4,5,6,7,8,9},$D20&amp;"0123456789"))-1)="FCEV",INDEX(FCEV_TBE,MATCH($A19,FCEV_TBE_VehClass,0),MATCH(G$3,Lookup_Year,0)))))</f>
        <v>20.848761764705884</v>
      </c>
      <c r="H20" s="22" cm="1">
        <f t="array" ref="H20">IF(LEFT($D20,MIN(FIND({0,1,2,3,4,5,6,7,8,9},$D20&amp;"0123456789"))-1)="BEV",INDEX(BEV_TBE,MATCH($A19,BEV_TBE_VehClass,0),MATCH(H$3,Lookup_Year,0)),IF(LEFT($D20,MIN(FIND({0,1,2,3,4,5,6,7,8,9},$D20&amp;"0123456789"))-1)="PHEV",INDEX(PHEV_TBE,MATCH($A19,PHEV_TBE_VehClass,0),MATCH(H$3,Lookup_Year,0)),IF(LEFT($D20,MIN(FIND({0,1,2,3,4,5,6,7,8,9},$D20&amp;"0123456789"))-1)="FCEV",INDEX(FCEV_TBE,MATCH($A19,FCEV_TBE_VehClass,0),MATCH(H$3,Lookup_Year,0)))))</f>
        <v>20.744517955882351</v>
      </c>
      <c r="I20" s="22" cm="1">
        <f t="array" ref="I20">IF(LEFT($D20,MIN(FIND({0,1,2,3,4,5,6,7,8,9},$D20&amp;"0123456789"))-1)="BEV",INDEX(BEV_TBE,MATCH($A19,BEV_TBE_VehClass,0),MATCH(I$3,Lookup_Year,0)),IF(LEFT($D20,MIN(FIND({0,1,2,3,4,5,6,7,8,9},$D20&amp;"0123456789"))-1)="PHEV",INDEX(PHEV_TBE,MATCH($A19,PHEV_TBE_VehClass,0),MATCH(I$3,Lookup_Year,0)),IF(LEFT($D20,MIN(FIND({0,1,2,3,4,5,6,7,8,9},$D20&amp;"0123456789"))-1)="FCEV",INDEX(FCEV_TBE,MATCH($A19,FCEV_TBE_VehClass,0),MATCH(I$3,Lookup_Year,0)))))</f>
        <v>20.640795366102939</v>
      </c>
      <c r="J20" s="22" cm="1">
        <f t="array" ref="J20">IF(LEFT($D20,MIN(FIND({0,1,2,3,4,5,6,7,8,9},$D20&amp;"0123456789"))-1)="BEV",INDEX(BEV_TBE,MATCH($A19,BEV_TBE_VehClass,0),MATCH(J$3,Lookup_Year,0)),IF(LEFT($D20,MIN(FIND({0,1,2,3,4,5,6,7,8,9},$D20&amp;"0123456789"))-1)="PHEV",INDEX(PHEV_TBE,MATCH($A19,PHEV_TBE_VehClass,0),MATCH(J$3,Lookup_Year,0)),IF(LEFT($D20,MIN(FIND({0,1,2,3,4,5,6,7,8,9},$D20&amp;"0123456789"))-1)="FCEV",INDEX(FCEV_TBE,MATCH($A19,FCEV_TBE_VehClass,0),MATCH(J$3,Lookup_Year,0)))))</f>
        <v>20.537591389272425</v>
      </c>
      <c r="K20" s="22" cm="1">
        <f t="array" ref="K20">IF(LEFT($D20,MIN(FIND({0,1,2,3,4,5,6,7,8,9},$D20&amp;"0123456789"))-1)="BEV",INDEX(BEV_TBE,MATCH($A19,BEV_TBE_VehClass,0),MATCH(K$3,Lookup_Year,0)),IF(LEFT($D20,MIN(FIND({0,1,2,3,4,5,6,7,8,9},$D20&amp;"0123456789"))-1)="PHEV",INDEX(PHEV_TBE,MATCH($A19,PHEV_TBE_VehClass,0),MATCH(K$3,Lookup_Year,0)),IF(LEFT($D20,MIN(FIND({0,1,2,3,4,5,6,7,8,9},$D20&amp;"0123456789"))-1)="FCEV",INDEX(FCEV_TBE,MATCH($A19,FCEV_TBE_VehClass,0),MATCH(K$3,Lookup_Year,0)))))</f>
        <v>20.434903432326063</v>
      </c>
      <c r="L20" s="22" cm="1">
        <f t="array" ref="L20">IF(LEFT($D20,MIN(FIND({0,1,2,3,4,5,6,7,8,9},$D20&amp;"0123456789"))-1)="BEV",INDEX(BEV_TBE,MATCH($A19,BEV_TBE_VehClass,0),MATCH(L$3,Lookup_Year,0)),IF(LEFT($D20,MIN(FIND({0,1,2,3,4,5,6,7,8,9},$D20&amp;"0123456789"))-1)="PHEV",INDEX(PHEV_TBE,MATCH($A19,PHEV_TBE_VehClass,0),MATCH(L$3,Lookup_Year,0)),IF(LEFT($D20,MIN(FIND({0,1,2,3,4,5,6,7,8,9},$D20&amp;"0123456789"))-1)="FCEV",INDEX(FCEV_TBE,MATCH($A19,FCEV_TBE_VehClass,0),MATCH(L$3,Lookup_Year,0)))))</f>
        <v>20.332728915164434</v>
      </c>
      <c r="M20" s="22" cm="1">
        <f t="array" ref="M20">IF(LEFT($D20,MIN(FIND({0,1,2,3,4,5,6,7,8,9},$D20&amp;"0123456789"))-1)="BEV",INDEX(BEV_TBE,MATCH($A19,BEV_TBE_VehClass,0),MATCH(M$3,Lookup_Year,0)),IF(LEFT($D20,MIN(FIND({0,1,2,3,4,5,6,7,8,9},$D20&amp;"0123456789"))-1)="PHEV",INDEX(PHEV_TBE,MATCH($A19,PHEV_TBE_VehClass,0),MATCH(M$3,Lookup_Year,0)),IF(LEFT($D20,MIN(FIND({0,1,2,3,4,5,6,7,8,9},$D20&amp;"0123456789"))-1)="FCEV",INDEX(FCEV_TBE,MATCH($A19,FCEV_TBE_VehClass,0),MATCH(M$3,Lookup_Year,0)))))</f>
        <v>20.231065270588616</v>
      </c>
      <c r="N20" s="22" cm="1">
        <f t="array" ref="N20">IF(LEFT($D20,MIN(FIND({0,1,2,3,4,5,6,7,8,9},$D20&amp;"0123456789"))-1)="BEV",INDEX(BEV_TBE,MATCH($A19,BEV_TBE_VehClass,0),MATCH(N$3,Lookup_Year,0)),IF(LEFT($D20,MIN(FIND({0,1,2,3,4,5,6,7,8,9},$D20&amp;"0123456789"))-1)="PHEV",INDEX(PHEV_TBE,MATCH($A19,PHEV_TBE_VehClass,0),MATCH(N$3,Lookup_Year,0)),IF(LEFT($D20,MIN(FIND({0,1,2,3,4,5,6,7,8,9},$D20&amp;"0123456789"))-1)="FCEV",INDEX(FCEV_TBE,MATCH($A19,FCEV_TBE_VehClass,0),MATCH(N$3,Lookup_Year,0)))))</f>
        <v>20.129909944235667</v>
      </c>
      <c r="O20" s="42" cm="1">
        <f t="array" ref="O20">IF(LEFT($D20,MIN(FIND({0,1,2,3,4,5,6,7,8,9},$D20&amp;"0123456789"))-1)="BEV",INDEX(BEV_TBE,MATCH($A19,BEV_TBE_VehClass,0),MATCH(O$3,Lookup_Year,0)),IF(LEFT($D20,MIN(FIND({0,1,2,3,4,5,6,7,8,9},$D20&amp;"0123456789"))-1)="PHEV",INDEX(PHEV_TBE,MATCH($A19,PHEV_TBE_VehClass,0),MATCH(O$3,Lookup_Year,0)),IF(LEFT($D20,MIN(FIND({0,1,2,3,4,5,6,7,8,9},$D20&amp;"0123456789"))-1)="FCEV",INDEX(FCEV_TBE,MATCH($A19,FCEV_TBE_VehClass,0),MATCH(O$3,Lookup_Year,0)))))</f>
        <v>20.029260394514491</v>
      </c>
      <c r="P20" s="1"/>
    </row>
    <row r="21" spans="1:21" x14ac:dyDescent="0.3">
      <c r="A21" t="str">
        <f t="shared" si="0"/>
        <v>MedSUVPremiumPHEV50</v>
      </c>
      <c r="B21" s="79" t="str">
        <f>'Vehicle Attributes - Base Year'!B18</f>
        <v>MedSUV</v>
      </c>
      <c r="C21" s="68" t="str">
        <f>'Vehicle Attributes - Base Year'!C18</f>
        <v>Base</v>
      </c>
      <c r="D21" s="68" t="str">
        <f>'Vehicle Attributes - Base Year'!D18</f>
        <v>PHEV50</v>
      </c>
      <c r="E21" s="22" cm="1">
        <f t="array" ref="E21">IF(LEFT($D21,MIN(FIND({0,1,2,3,4,5,6,7,8,9},$D21&amp;"0123456789"))-1)="BEV",INDEX(BEV_TBE,MATCH($A20,BEV_TBE_VehClass,0),MATCH(E$3,Lookup_Year,0)),IF(LEFT($D21,MIN(FIND({0,1,2,3,4,5,6,7,8,9},$D21&amp;"0123456789"))-1)="PHEV",INDEX(PHEV_TBE,MATCH($A20,PHEV_TBE_VehClass,0),MATCH(E$3,Lookup_Year,0)),IF(LEFT($D21,MIN(FIND({0,1,2,3,4,5,6,7,8,9},$D21&amp;"0123456789"))-1)="FCEV",INDEX(FCEV_TBE,MATCH($A20,FCEV_TBE_VehClass,0),MATCH(E$3,Lookup_Year,0)))))</f>
        <v>22.705882352941178</v>
      </c>
      <c r="F21" s="22" cm="1">
        <f t="array" ref="F21">IF(LEFT($D21,MIN(FIND({0,1,2,3,4,5,6,7,8,9},$D21&amp;"0123456789"))-1)="BEV",INDEX(BEV_TBE,MATCH($A20,BEV_TBE_VehClass,0),MATCH(F$3,Lookup_Year,0)),IF(LEFT($D21,MIN(FIND({0,1,2,3,4,5,6,7,8,9},$D21&amp;"0123456789"))-1)="PHEV",INDEX(PHEV_TBE,MATCH($A20,PHEV_TBE_VehClass,0),MATCH(F$3,Lookup_Year,0)),IF(LEFT($D21,MIN(FIND({0,1,2,3,4,5,6,7,8,9},$D21&amp;"0123456789"))-1)="FCEV",INDEX(FCEV_TBE,MATCH($A20,FCEV_TBE_VehClass,0),MATCH(F$3,Lookup_Year,0)))))</f>
        <v>22.592352941176468</v>
      </c>
      <c r="G21" s="22" cm="1">
        <f t="array" ref="G21">IF(LEFT($D21,MIN(FIND({0,1,2,3,4,5,6,7,8,9},$D21&amp;"0123456789"))-1)="BEV",INDEX(BEV_TBE,MATCH($A20,BEV_TBE_VehClass,0),MATCH(G$3,Lookup_Year,0)),IF(LEFT($D21,MIN(FIND({0,1,2,3,4,5,6,7,8,9},$D21&amp;"0123456789"))-1)="PHEV",INDEX(PHEV_TBE,MATCH($A20,PHEV_TBE_VehClass,0),MATCH(G$3,Lookup_Year,0)),IF(LEFT($D21,MIN(FIND({0,1,2,3,4,5,6,7,8,9},$D21&amp;"0123456789"))-1)="FCEV",INDEX(FCEV_TBE,MATCH($A20,FCEV_TBE_VehClass,0),MATCH(G$3,Lookup_Year,0)))))</f>
        <v>22.479391176470592</v>
      </c>
      <c r="H21" s="22" cm="1">
        <f t="array" ref="H21">IF(LEFT($D21,MIN(FIND({0,1,2,3,4,5,6,7,8,9},$D21&amp;"0123456789"))-1)="BEV",INDEX(BEV_TBE,MATCH($A20,BEV_TBE_VehClass,0),MATCH(H$3,Lookup_Year,0)),IF(LEFT($D21,MIN(FIND({0,1,2,3,4,5,6,7,8,9},$D21&amp;"0123456789"))-1)="PHEV",INDEX(PHEV_TBE,MATCH($A20,PHEV_TBE_VehClass,0),MATCH(H$3,Lookup_Year,0)),IF(LEFT($D21,MIN(FIND({0,1,2,3,4,5,6,7,8,9},$D21&amp;"0123456789"))-1)="FCEV",INDEX(FCEV_TBE,MATCH($A20,FCEV_TBE_VehClass,0),MATCH(H$3,Lookup_Year,0)))))</f>
        <v>22.366994220588236</v>
      </c>
      <c r="I21" s="22" cm="1">
        <f t="array" ref="I21">IF(LEFT($D21,MIN(FIND({0,1,2,3,4,5,6,7,8,9},$D21&amp;"0123456789"))-1)="BEV",INDEX(BEV_TBE,MATCH($A20,BEV_TBE_VehClass,0),MATCH(I$3,Lookup_Year,0)),IF(LEFT($D21,MIN(FIND({0,1,2,3,4,5,6,7,8,9},$D21&amp;"0123456789"))-1)="PHEV",INDEX(PHEV_TBE,MATCH($A20,PHEV_TBE_VehClass,0),MATCH(I$3,Lookup_Year,0)),IF(LEFT($D21,MIN(FIND({0,1,2,3,4,5,6,7,8,9},$D21&amp;"0123456789"))-1)="FCEV",INDEX(FCEV_TBE,MATCH($A20,FCEV_TBE_VehClass,0),MATCH(I$3,Lookup_Year,0)))))</f>
        <v>22.255159249485295</v>
      </c>
      <c r="J21" s="22" cm="1">
        <f t="array" ref="J21">IF(LEFT($D21,MIN(FIND({0,1,2,3,4,5,6,7,8,9},$D21&amp;"0123456789"))-1)="BEV",INDEX(BEV_TBE,MATCH($A20,BEV_TBE_VehClass,0),MATCH(J$3,Lookup_Year,0)),IF(LEFT($D21,MIN(FIND({0,1,2,3,4,5,6,7,8,9},$D21&amp;"0123456789"))-1)="PHEV",INDEX(PHEV_TBE,MATCH($A20,PHEV_TBE_VehClass,0),MATCH(J$3,Lookup_Year,0)),IF(LEFT($D21,MIN(FIND({0,1,2,3,4,5,6,7,8,9},$D21&amp;"0123456789"))-1)="FCEV",INDEX(FCEV_TBE,MATCH($A20,FCEV_TBE_VehClass,0),MATCH(J$3,Lookup_Year,0)))))</f>
        <v>22.143883453237873</v>
      </c>
      <c r="K21" s="22" cm="1">
        <f t="array" ref="K21">IF(LEFT($D21,MIN(FIND({0,1,2,3,4,5,6,7,8,9},$D21&amp;"0123456789"))-1)="BEV",INDEX(BEV_TBE,MATCH($A20,BEV_TBE_VehClass,0),MATCH(K$3,Lookup_Year,0)),IF(LEFT($D21,MIN(FIND({0,1,2,3,4,5,6,7,8,9},$D21&amp;"0123456789"))-1)="PHEV",INDEX(PHEV_TBE,MATCH($A20,PHEV_TBE_VehClass,0),MATCH(K$3,Lookup_Year,0)),IF(LEFT($D21,MIN(FIND({0,1,2,3,4,5,6,7,8,9},$D21&amp;"0123456789"))-1)="FCEV",INDEX(FCEV_TBE,MATCH($A20,FCEV_TBE_VehClass,0),MATCH(K$3,Lookup_Year,0)))))</f>
        <v>22.033164035971684</v>
      </c>
      <c r="L21" s="22" cm="1">
        <f t="array" ref="L21">IF(LEFT($D21,MIN(FIND({0,1,2,3,4,5,6,7,8,9},$D21&amp;"0123456789"))-1)="BEV",INDEX(BEV_TBE,MATCH($A20,BEV_TBE_VehClass,0),MATCH(L$3,Lookup_Year,0)),IF(LEFT($D21,MIN(FIND({0,1,2,3,4,5,6,7,8,9},$D21&amp;"0123456789"))-1)="PHEV",INDEX(PHEV_TBE,MATCH($A20,PHEV_TBE_VehClass,0),MATCH(L$3,Lookup_Year,0)),IF(LEFT($D21,MIN(FIND({0,1,2,3,4,5,6,7,8,9},$D21&amp;"0123456789"))-1)="FCEV",INDEX(FCEV_TBE,MATCH($A20,FCEV_TBE_VehClass,0),MATCH(L$3,Lookup_Year,0)))))</f>
        <v>21.922998215791825</v>
      </c>
      <c r="M21" s="22" cm="1">
        <f t="array" ref="M21">IF(LEFT($D21,MIN(FIND({0,1,2,3,4,5,6,7,8,9},$D21&amp;"0123456789"))-1)="BEV",INDEX(BEV_TBE,MATCH($A20,BEV_TBE_VehClass,0),MATCH(M$3,Lookup_Year,0)),IF(LEFT($D21,MIN(FIND({0,1,2,3,4,5,6,7,8,9},$D21&amp;"0123456789"))-1)="PHEV",INDEX(PHEV_TBE,MATCH($A20,PHEV_TBE_VehClass,0),MATCH(M$3,Lookup_Year,0)),IF(LEFT($D21,MIN(FIND({0,1,2,3,4,5,6,7,8,9},$D21&amp;"0123456789"))-1)="FCEV",INDEX(FCEV_TBE,MATCH($A20,FCEV_TBE_VehClass,0),MATCH(M$3,Lookup_Year,0)))))</f>
        <v>21.813383224712862</v>
      </c>
      <c r="N21" s="22" cm="1">
        <f t="array" ref="N21">IF(LEFT($D21,MIN(FIND({0,1,2,3,4,5,6,7,8,9},$D21&amp;"0123456789"))-1)="BEV",INDEX(BEV_TBE,MATCH($A20,BEV_TBE_VehClass,0),MATCH(N$3,Lookup_Year,0)),IF(LEFT($D21,MIN(FIND({0,1,2,3,4,5,6,7,8,9},$D21&amp;"0123456789"))-1)="PHEV",INDEX(PHEV_TBE,MATCH($A20,PHEV_TBE_VehClass,0),MATCH(N$3,Lookup_Year,0)),IF(LEFT($D21,MIN(FIND({0,1,2,3,4,5,6,7,8,9},$D21&amp;"0123456789"))-1)="FCEV",INDEX(FCEV_TBE,MATCH($A20,FCEV_TBE_VehClass,0),MATCH(N$3,Lookup_Year,0)))))</f>
        <v>21.704316308589299</v>
      </c>
      <c r="O21" s="42" cm="1">
        <f t="array" ref="O21">IF(LEFT($D21,MIN(FIND({0,1,2,3,4,5,6,7,8,9},$D21&amp;"0123456789"))-1)="BEV",INDEX(BEV_TBE,MATCH($A20,BEV_TBE_VehClass,0),MATCH(O$3,Lookup_Year,0)),IF(LEFT($D21,MIN(FIND({0,1,2,3,4,5,6,7,8,9},$D21&amp;"0123456789"))-1)="PHEV",INDEX(PHEV_TBE,MATCH($A20,PHEV_TBE_VehClass,0),MATCH(O$3,Lookup_Year,0)),IF(LEFT($D21,MIN(FIND({0,1,2,3,4,5,6,7,8,9},$D21&amp;"0123456789"))-1)="FCEV",INDEX(FCEV_TBE,MATCH($A20,FCEV_TBE_VehClass,0),MATCH(O$3,Lookup_Year,0)))))</f>
        <v>21.595794727046354</v>
      </c>
      <c r="P21" s="1"/>
    </row>
    <row r="22" spans="1:21" x14ac:dyDescent="0.3">
      <c r="A22" s="16" t="str">
        <f t="shared" si="0"/>
        <v>PickupBasePHEV50</v>
      </c>
      <c r="B22" s="79" t="str">
        <f>'Vehicle Attributes - Base Year'!B19</f>
        <v>MedSUV</v>
      </c>
      <c r="C22" s="68" t="str">
        <f>'Vehicle Attributes - Base Year'!C19</f>
        <v>Premium</v>
      </c>
      <c r="D22" s="68" t="str">
        <f>'Vehicle Attributes - Base Year'!D19</f>
        <v>PHEV50</v>
      </c>
      <c r="E22" s="22" cm="1">
        <f t="array" ref="E22">IF(LEFT($D22,MIN(FIND({0,1,2,3,4,5,6,7,8,9},$D22&amp;"0123456789"))-1)="BEV",INDEX(BEV_TBE,MATCH($A21,BEV_TBE_VehClass,0),MATCH(E$3,Lookup_Year,0)),IF(LEFT($D22,MIN(FIND({0,1,2,3,4,5,6,7,8,9},$D22&amp;"0123456789"))-1)="PHEV",INDEX(PHEV_TBE,MATCH($A21,PHEV_TBE_VehClass,0),MATCH(E$3,Lookup_Year,0)),IF(LEFT($D22,MIN(FIND({0,1,2,3,4,5,6,7,8,9},$D22&amp;"0123456789"))-1)="FCEV",INDEX(FCEV_TBE,MATCH($A21,FCEV_TBE_VehClass,0),MATCH(E$3,Lookup_Year,0)))))</f>
        <v>22.705882352941178</v>
      </c>
      <c r="F22" s="22" cm="1">
        <f t="array" ref="F22">IF(LEFT($D22,MIN(FIND({0,1,2,3,4,5,6,7,8,9},$D22&amp;"0123456789"))-1)="BEV",INDEX(BEV_TBE,MATCH($A21,BEV_TBE_VehClass,0),MATCH(F$3,Lookup_Year,0)),IF(LEFT($D22,MIN(FIND({0,1,2,3,4,5,6,7,8,9},$D22&amp;"0123456789"))-1)="PHEV",INDEX(PHEV_TBE,MATCH($A21,PHEV_TBE_VehClass,0),MATCH(F$3,Lookup_Year,0)),IF(LEFT($D22,MIN(FIND({0,1,2,3,4,5,6,7,8,9},$D22&amp;"0123456789"))-1)="FCEV",INDEX(FCEV_TBE,MATCH($A21,FCEV_TBE_VehClass,0),MATCH(F$3,Lookup_Year,0)))))</f>
        <v>22.592352941176468</v>
      </c>
      <c r="G22" s="22" cm="1">
        <f t="array" ref="G22">IF(LEFT($D22,MIN(FIND({0,1,2,3,4,5,6,7,8,9},$D22&amp;"0123456789"))-1)="BEV",INDEX(BEV_TBE,MATCH($A21,BEV_TBE_VehClass,0),MATCH(G$3,Lookup_Year,0)),IF(LEFT($D22,MIN(FIND({0,1,2,3,4,5,6,7,8,9},$D22&amp;"0123456789"))-1)="PHEV",INDEX(PHEV_TBE,MATCH($A21,PHEV_TBE_VehClass,0),MATCH(G$3,Lookup_Year,0)),IF(LEFT($D22,MIN(FIND({0,1,2,3,4,5,6,7,8,9},$D22&amp;"0123456789"))-1)="FCEV",INDEX(FCEV_TBE,MATCH($A21,FCEV_TBE_VehClass,0),MATCH(G$3,Lookup_Year,0)))))</f>
        <v>22.479391176470592</v>
      </c>
      <c r="H22" s="22" cm="1">
        <f t="array" ref="H22">IF(LEFT($D22,MIN(FIND({0,1,2,3,4,5,6,7,8,9},$D22&amp;"0123456789"))-1)="BEV",INDEX(BEV_TBE,MATCH($A21,BEV_TBE_VehClass,0),MATCH(H$3,Lookup_Year,0)),IF(LEFT($D22,MIN(FIND({0,1,2,3,4,5,6,7,8,9},$D22&amp;"0123456789"))-1)="PHEV",INDEX(PHEV_TBE,MATCH($A21,PHEV_TBE_VehClass,0),MATCH(H$3,Lookup_Year,0)),IF(LEFT($D22,MIN(FIND({0,1,2,3,4,5,6,7,8,9},$D22&amp;"0123456789"))-1)="FCEV",INDEX(FCEV_TBE,MATCH($A21,FCEV_TBE_VehClass,0),MATCH(H$3,Lookup_Year,0)))))</f>
        <v>22.366994220588236</v>
      </c>
      <c r="I22" s="22" cm="1">
        <f t="array" ref="I22">IF(LEFT($D22,MIN(FIND({0,1,2,3,4,5,6,7,8,9},$D22&amp;"0123456789"))-1)="BEV",INDEX(BEV_TBE,MATCH($A21,BEV_TBE_VehClass,0),MATCH(I$3,Lookup_Year,0)),IF(LEFT($D22,MIN(FIND({0,1,2,3,4,5,6,7,8,9},$D22&amp;"0123456789"))-1)="PHEV",INDEX(PHEV_TBE,MATCH($A21,PHEV_TBE_VehClass,0),MATCH(I$3,Lookup_Year,0)),IF(LEFT($D22,MIN(FIND({0,1,2,3,4,5,6,7,8,9},$D22&amp;"0123456789"))-1)="FCEV",INDEX(FCEV_TBE,MATCH($A21,FCEV_TBE_VehClass,0),MATCH(I$3,Lookup_Year,0)))))</f>
        <v>22.255159249485295</v>
      </c>
      <c r="J22" s="22" cm="1">
        <f t="array" ref="J22">IF(LEFT($D22,MIN(FIND({0,1,2,3,4,5,6,7,8,9},$D22&amp;"0123456789"))-1)="BEV",INDEX(BEV_TBE,MATCH($A21,BEV_TBE_VehClass,0),MATCH(J$3,Lookup_Year,0)),IF(LEFT($D22,MIN(FIND({0,1,2,3,4,5,6,7,8,9},$D22&amp;"0123456789"))-1)="PHEV",INDEX(PHEV_TBE,MATCH($A21,PHEV_TBE_VehClass,0),MATCH(J$3,Lookup_Year,0)),IF(LEFT($D22,MIN(FIND({0,1,2,3,4,5,6,7,8,9},$D22&amp;"0123456789"))-1)="FCEV",INDEX(FCEV_TBE,MATCH($A21,FCEV_TBE_VehClass,0),MATCH(J$3,Lookup_Year,0)))))</f>
        <v>22.143883453237873</v>
      </c>
      <c r="K22" s="22" cm="1">
        <f t="array" ref="K22">IF(LEFT($D22,MIN(FIND({0,1,2,3,4,5,6,7,8,9},$D22&amp;"0123456789"))-1)="BEV",INDEX(BEV_TBE,MATCH($A21,BEV_TBE_VehClass,0),MATCH(K$3,Lookup_Year,0)),IF(LEFT($D22,MIN(FIND({0,1,2,3,4,5,6,7,8,9},$D22&amp;"0123456789"))-1)="PHEV",INDEX(PHEV_TBE,MATCH($A21,PHEV_TBE_VehClass,0),MATCH(K$3,Lookup_Year,0)),IF(LEFT($D22,MIN(FIND({0,1,2,3,4,5,6,7,8,9},$D22&amp;"0123456789"))-1)="FCEV",INDEX(FCEV_TBE,MATCH($A21,FCEV_TBE_VehClass,0),MATCH(K$3,Lookup_Year,0)))))</f>
        <v>22.033164035971684</v>
      </c>
      <c r="L22" s="22" cm="1">
        <f t="array" ref="L22">IF(LEFT($D22,MIN(FIND({0,1,2,3,4,5,6,7,8,9},$D22&amp;"0123456789"))-1)="BEV",INDEX(BEV_TBE,MATCH($A21,BEV_TBE_VehClass,0),MATCH(L$3,Lookup_Year,0)),IF(LEFT($D22,MIN(FIND({0,1,2,3,4,5,6,7,8,9},$D22&amp;"0123456789"))-1)="PHEV",INDEX(PHEV_TBE,MATCH($A21,PHEV_TBE_VehClass,0),MATCH(L$3,Lookup_Year,0)),IF(LEFT($D22,MIN(FIND({0,1,2,3,4,5,6,7,8,9},$D22&amp;"0123456789"))-1)="FCEV",INDEX(FCEV_TBE,MATCH($A21,FCEV_TBE_VehClass,0),MATCH(L$3,Lookup_Year,0)))))</f>
        <v>21.922998215791825</v>
      </c>
      <c r="M22" s="22" cm="1">
        <f t="array" ref="M22">IF(LEFT($D22,MIN(FIND({0,1,2,3,4,5,6,7,8,9},$D22&amp;"0123456789"))-1)="BEV",INDEX(BEV_TBE,MATCH($A21,BEV_TBE_VehClass,0),MATCH(M$3,Lookup_Year,0)),IF(LEFT($D22,MIN(FIND({0,1,2,3,4,5,6,7,8,9},$D22&amp;"0123456789"))-1)="PHEV",INDEX(PHEV_TBE,MATCH($A21,PHEV_TBE_VehClass,0),MATCH(M$3,Lookup_Year,0)),IF(LEFT($D22,MIN(FIND({0,1,2,3,4,5,6,7,8,9},$D22&amp;"0123456789"))-1)="FCEV",INDEX(FCEV_TBE,MATCH($A21,FCEV_TBE_VehClass,0),MATCH(M$3,Lookup_Year,0)))))</f>
        <v>21.813383224712862</v>
      </c>
      <c r="N22" s="22" cm="1">
        <f t="array" ref="N22">IF(LEFT($D22,MIN(FIND({0,1,2,3,4,5,6,7,8,9},$D22&amp;"0123456789"))-1)="BEV",INDEX(BEV_TBE,MATCH($A21,BEV_TBE_VehClass,0),MATCH(N$3,Lookup_Year,0)),IF(LEFT($D22,MIN(FIND({0,1,2,3,4,5,6,7,8,9},$D22&amp;"0123456789"))-1)="PHEV",INDEX(PHEV_TBE,MATCH($A21,PHEV_TBE_VehClass,0),MATCH(N$3,Lookup_Year,0)),IF(LEFT($D22,MIN(FIND({0,1,2,3,4,5,6,7,8,9},$D22&amp;"0123456789"))-1)="FCEV",INDEX(FCEV_TBE,MATCH($A21,FCEV_TBE_VehClass,0),MATCH(N$3,Lookup_Year,0)))))</f>
        <v>21.704316308589299</v>
      </c>
      <c r="O22" s="42" cm="1">
        <f t="array" ref="O22">IF(LEFT($D22,MIN(FIND({0,1,2,3,4,5,6,7,8,9},$D22&amp;"0123456789"))-1)="BEV",INDEX(BEV_TBE,MATCH($A21,BEV_TBE_VehClass,0),MATCH(O$3,Lookup_Year,0)),IF(LEFT($D22,MIN(FIND({0,1,2,3,4,5,6,7,8,9},$D22&amp;"0123456789"))-1)="PHEV",INDEX(PHEV_TBE,MATCH($A21,PHEV_TBE_VehClass,0),MATCH(O$3,Lookup_Year,0)),IF(LEFT($D22,MIN(FIND({0,1,2,3,4,5,6,7,8,9},$D22&amp;"0123456789"))-1)="FCEV",INDEX(FCEV_TBE,MATCH($A21,FCEV_TBE_VehClass,0),MATCH(O$3,Lookup_Year,0)))))</f>
        <v>21.595794727046354</v>
      </c>
      <c r="P22" s="1"/>
    </row>
    <row r="23" spans="1:21" x14ac:dyDescent="0.3">
      <c r="A23" t="str">
        <f t="shared" si="0"/>
        <v>PickupHTPHEV50</v>
      </c>
      <c r="B23" s="79" t="str">
        <f>'Vehicle Attributes - Base Year'!B20</f>
        <v>Pickup</v>
      </c>
      <c r="C23" s="68" t="str">
        <f>'Vehicle Attributes - Base Year'!C20</f>
        <v>Base</v>
      </c>
      <c r="D23" s="68" t="str">
        <f>'Vehicle Attributes - Base Year'!D20</f>
        <v>PHEV50</v>
      </c>
      <c r="E23" s="22" cm="1">
        <f t="array" ref="E23">IF(LEFT($D23,MIN(FIND({0,1,2,3,4,5,6,7,8,9},$D23&amp;"0123456789"))-1)="BEV",INDEX(BEV_TBE,MATCH($A22,BEV_TBE_VehClass,0),MATCH(E$3,Lookup_Year,0)),IF(LEFT($D23,MIN(FIND({0,1,2,3,4,5,6,7,8,9},$D23&amp;"0123456789"))-1)="PHEV",INDEX(PHEV_TBE,MATCH($A22,PHEV_TBE_VehClass,0),MATCH(E$3,Lookup_Year,0)),IF(LEFT($D23,MIN(FIND({0,1,2,3,4,5,6,7,8,9},$D23&amp;"0123456789"))-1)="FCEV",INDEX(FCEV_TBE,MATCH($A22,FCEV_TBE_VehClass,0),MATCH(E$3,Lookup_Year,0)))))</f>
        <v>27.235294117647058</v>
      </c>
      <c r="F23" s="22" cm="1">
        <f t="array" ref="F23">IF(LEFT($D23,MIN(FIND({0,1,2,3,4,5,6,7,8,9},$D23&amp;"0123456789"))-1)="BEV",INDEX(BEV_TBE,MATCH($A22,BEV_TBE_VehClass,0),MATCH(F$3,Lookup_Year,0)),IF(LEFT($D23,MIN(FIND({0,1,2,3,4,5,6,7,8,9},$D23&amp;"0123456789"))-1)="PHEV",INDEX(PHEV_TBE,MATCH($A22,PHEV_TBE_VehClass,0),MATCH(F$3,Lookup_Year,0)),IF(LEFT($D23,MIN(FIND({0,1,2,3,4,5,6,7,8,9},$D23&amp;"0123456789"))-1)="FCEV",INDEX(FCEV_TBE,MATCH($A22,FCEV_TBE_VehClass,0),MATCH(F$3,Lookup_Year,0)))))</f>
        <v>27.099117647058826</v>
      </c>
      <c r="G23" s="22" cm="1">
        <f t="array" ref="G23">IF(LEFT($D23,MIN(FIND({0,1,2,3,4,5,6,7,8,9},$D23&amp;"0123456789"))-1)="BEV",INDEX(BEV_TBE,MATCH($A22,BEV_TBE_VehClass,0),MATCH(G$3,Lookup_Year,0)),IF(LEFT($D23,MIN(FIND({0,1,2,3,4,5,6,7,8,9},$D23&amp;"0123456789"))-1)="PHEV",INDEX(PHEV_TBE,MATCH($A22,PHEV_TBE_VehClass,0),MATCH(G$3,Lookup_Year,0)),IF(LEFT($D23,MIN(FIND({0,1,2,3,4,5,6,7,8,9},$D23&amp;"0123456789"))-1)="FCEV",INDEX(FCEV_TBE,MATCH($A22,FCEV_TBE_VehClass,0),MATCH(G$3,Lookup_Year,0)))))</f>
        <v>26.963622058823532</v>
      </c>
      <c r="H23" s="22" cm="1">
        <f t="array" ref="H23">IF(LEFT($D23,MIN(FIND({0,1,2,3,4,5,6,7,8,9},$D23&amp;"0123456789"))-1)="BEV",INDEX(BEV_TBE,MATCH($A22,BEV_TBE_VehClass,0),MATCH(H$3,Lookup_Year,0)),IF(LEFT($D23,MIN(FIND({0,1,2,3,4,5,6,7,8,9},$D23&amp;"0123456789"))-1)="PHEV",INDEX(PHEV_TBE,MATCH($A22,PHEV_TBE_VehClass,0),MATCH(H$3,Lookup_Year,0)),IF(LEFT($D23,MIN(FIND({0,1,2,3,4,5,6,7,8,9},$D23&amp;"0123456789"))-1)="FCEV",INDEX(FCEV_TBE,MATCH($A22,FCEV_TBE_VehClass,0),MATCH(H$3,Lookup_Year,0)))))</f>
        <v>26.828803948529412</v>
      </c>
      <c r="I23" s="22" cm="1">
        <f t="array" ref="I23">IF(LEFT($D23,MIN(FIND({0,1,2,3,4,5,6,7,8,9},$D23&amp;"0123456789"))-1)="BEV",INDEX(BEV_TBE,MATCH($A22,BEV_TBE_VehClass,0),MATCH(I$3,Lookup_Year,0)),IF(LEFT($D23,MIN(FIND({0,1,2,3,4,5,6,7,8,9},$D23&amp;"0123456789"))-1)="PHEV",INDEX(PHEV_TBE,MATCH($A22,PHEV_TBE_VehClass,0),MATCH(I$3,Lookup_Year,0)),IF(LEFT($D23,MIN(FIND({0,1,2,3,4,5,6,7,8,9},$D23&amp;"0123456789"))-1)="FCEV",INDEX(FCEV_TBE,MATCH($A22,FCEV_TBE_VehClass,0),MATCH(I$3,Lookup_Year,0)))))</f>
        <v>26.694659928786766</v>
      </c>
      <c r="J23" s="22" cm="1">
        <f t="array" ref="J23">IF(LEFT($D23,MIN(FIND({0,1,2,3,4,5,6,7,8,9},$D23&amp;"0123456789"))-1)="BEV",INDEX(BEV_TBE,MATCH($A22,BEV_TBE_VehClass,0),MATCH(J$3,Lookup_Year,0)),IF(LEFT($D23,MIN(FIND({0,1,2,3,4,5,6,7,8,9},$D23&amp;"0123456789"))-1)="PHEV",INDEX(PHEV_TBE,MATCH($A22,PHEV_TBE_VehClass,0),MATCH(J$3,Lookup_Year,0)),IF(LEFT($D23,MIN(FIND({0,1,2,3,4,5,6,7,8,9},$D23&amp;"0123456789"))-1)="FCEV",INDEX(FCEV_TBE,MATCH($A22,FCEV_TBE_VehClass,0),MATCH(J$3,Lookup_Year,0)))))</f>
        <v>26.561186629142831</v>
      </c>
      <c r="K23" s="22" cm="1">
        <f t="array" ref="K23">IF(LEFT($D23,MIN(FIND({0,1,2,3,4,5,6,7,8,9},$D23&amp;"0123456789"))-1)="BEV",INDEX(BEV_TBE,MATCH($A22,BEV_TBE_VehClass,0),MATCH(K$3,Lookup_Year,0)),IF(LEFT($D23,MIN(FIND({0,1,2,3,4,5,6,7,8,9},$D23&amp;"0123456789"))-1)="PHEV",INDEX(PHEV_TBE,MATCH($A22,PHEV_TBE_VehClass,0),MATCH(K$3,Lookup_Year,0)),IF(LEFT($D23,MIN(FIND({0,1,2,3,4,5,6,7,8,9},$D23&amp;"0123456789"))-1)="FCEV",INDEX(FCEV_TBE,MATCH($A22,FCEV_TBE_VehClass,0),MATCH(K$3,Lookup_Year,0)))))</f>
        <v>26.428380695997117</v>
      </c>
      <c r="L23" s="22" cm="1">
        <f t="array" ref="L23">IF(LEFT($D23,MIN(FIND({0,1,2,3,4,5,6,7,8,9},$D23&amp;"0123456789"))-1)="BEV",INDEX(BEV_TBE,MATCH($A22,BEV_TBE_VehClass,0),MATCH(L$3,Lookup_Year,0)),IF(LEFT($D23,MIN(FIND({0,1,2,3,4,5,6,7,8,9},$D23&amp;"0123456789"))-1)="PHEV",INDEX(PHEV_TBE,MATCH($A22,PHEV_TBE_VehClass,0),MATCH(L$3,Lookup_Year,0)),IF(LEFT($D23,MIN(FIND({0,1,2,3,4,5,6,7,8,9},$D23&amp;"0123456789"))-1)="FCEV",INDEX(FCEV_TBE,MATCH($A22,FCEV_TBE_VehClass,0),MATCH(L$3,Lookup_Year,0)))))</f>
        <v>26.296238792517126</v>
      </c>
      <c r="M23" s="22" cm="1">
        <f t="array" ref="M23">IF(LEFT($D23,MIN(FIND({0,1,2,3,4,5,6,7,8,9},$D23&amp;"0123456789"))-1)="BEV",INDEX(BEV_TBE,MATCH($A22,BEV_TBE_VehClass,0),MATCH(M$3,Lookup_Year,0)),IF(LEFT($D23,MIN(FIND({0,1,2,3,4,5,6,7,8,9},$D23&amp;"0123456789"))-1)="PHEV",INDEX(PHEV_TBE,MATCH($A22,PHEV_TBE_VehClass,0),MATCH(M$3,Lookup_Year,0)),IF(LEFT($D23,MIN(FIND({0,1,2,3,4,5,6,7,8,9},$D23&amp;"0123456789"))-1)="FCEV",INDEX(FCEV_TBE,MATCH($A22,FCEV_TBE_VehClass,0),MATCH(M$3,Lookup_Year,0)))))</f>
        <v>26.164757598554541</v>
      </c>
      <c r="N23" s="22" cm="1">
        <f t="array" ref="N23">IF(LEFT($D23,MIN(FIND({0,1,2,3,4,5,6,7,8,9},$D23&amp;"0123456789"))-1)="BEV",INDEX(BEV_TBE,MATCH($A22,BEV_TBE_VehClass,0),MATCH(N$3,Lookup_Year,0)),IF(LEFT($D23,MIN(FIND({0,1,2,3,4,5,6,7,8,9},$D23&amp;"0123456789"))-1)="PHEV",INDEX(PHEV_TBE,MATCH($A22,PHEV_TBE_VehClass,0),MATCH(N$3,Lookup_Year,0)),IF(LEFT($D23,MIN(FIND({0,1,2,3,4,5,6,7,8,9},$D23&amp;"0123456789"))-1)="FCEV",INDEX(FCEV_TBE,MATCH($A22,FCEV_TBE_VehClass,0),MATCH(N$3,Lookup_Year,0)))))</f>
        <v>26.033933810561766</v>
      </c>
      <c r="O23" s="42" cm="1">
        <f t="array" ref="O23">IF(LEFT($D23,MIN(FIND({0,1,2,3,4,5,6,7,8,9},$D23&amp;"0123456789"))-1)="BEV",INDEX(BEV_TBE,MATCH($A22,BEV_TBE_VehClass,0),MATCH(O$3,Lookup_Year,0)),IF(LEFT($D23,MIN(FIND({0,1,2,3,4,5,6,7,8,9},$D23&amp;"0123456789"))-1)="PHEV",INDEX(PHEV_TBE,MATCH($A22,PHEV_TBE_VehClass,0),MATCH(O$3,Lookup_Year,0)),IF(LEFT($D23,MIN(FIND({0,1,2,3,4,5,6,7,8,9},$D23&amp;"0123456789"))-1)="FCEV",INDEX(FCEV_TBE,MATCH($A22,FCEV_TBE_VehClass,0),MATCH(O$3,Lookup_Year,0)))))</f>
        <v>25.903764141508958</v>
      </c>
      <c r="P23" s="1"/>
    </row>
    <row r="24" spans="1:21" x14ac:dyDescent="0.3">
      <c r="A24" s="16" t="str">
        <f t="shared" si="0"/>
        <v>SmallCarBaseFCEV320</v>
      </c>
      <c r="B24" s="79" t="str">
        <f>'Vehicle Attributes - Base Year'!B21</f>
        <v>Pickup</v>
      </c>
      <c r="C24" s="68" t="str">
        <f>'Vehicle Attributes - Base Year'!C21</f>
        <v>HT</v>
      </c>
      <c r="D24" s="68" t="str">
        <f>'Vehicle Attributes - Base Year'!D21</f>
        <v>PHEV50</v>
      </c>
      <c r="E24" s="22" cm="1">
        <f t="array" ref="E24">IF(LEFT($D24,MIN(FIND({0,1,2,3,4,5,6,7,8,9},$D24&amp;"0123456789"))-1)="BEV",INDEX(BEV_TBE,MATCH($A23,BEV_TBE_VehClass,0),MATCH(E$3,Lookup_Year,0)),IF(LEFT($D24,MIN(FIND({0,1,2,3,4,5,6,7,8,9},$D24&amp;"0123456789"))-1)="PHEV",INDEX(PHEV_TBE,MATCH($A23,PHEV_TBE_VehClass,0),MATCH(E$3,Lookup_Year,0)),IF(LEFT($D24,MIN(FIND({0,1,2,3,4,5,6,7,8,9},$D24&amp;"0123456789"))-1)="FCEV",INDEX(FCEV_TBE,MATCH($A23,FCEV_TBE_VehClass,0),MATCH(E$3,Lookup_Year,0)))))</f>
        <v>27.235294117647058</v>
      </c>
      <c r="F24" s="22" cm="1">
        <f t="array" ref="F24">IF(LEFT($D24,MIN(FIND({0,1,2,3,4,5,6,7,8,9},$D24&amp;"0123456789"))-1)="BEV",INDEX(BEV_TBE,MATCH($A23,BEV_TBE_VehClass,0),MATCH(F$3,Lookup_Year,0)),IF(LEFT($D24,MIN(FIND({0,1,2,3,4,5,6,7,8,9},$D24&amp;"0123456789"))-1)="PHEV",INDEX(PHEV_TBE,MATCH($A23,PHEV_TBE_VehClass,0),MATCH(F$3,Lookup_Year,0)),IF(LEFT($D24,MIN(FIND({0,1,2,3,4,5,6,7,8,9},$D24&amp;"0123456789"))-1)="FCEV",INDEX(FCEV_TBE,MATCH($A23,FCEV_TBE_VehClass,0),MATCH(F$3,Lookup_Year,0)))))</f>
        <v>27.099117647058826</v>
      </c>
      <c r="G24" s="22" cm="1">
        <f t="array" ref="G24">IF(LEFT($D24,MIN(FIND({0,1,2,3,4,5,6,7,8,9},$D24&amp;"0123456789"))-1)="BEV",INDEX(BEV_TBE,MATCH($A23,BEV_TBE_VehClass,0),MATCH(G$3,Lookup_Year,0)),IF(LEFT($D24,MIN(FIND({0,1,2,3,4,5,6,7,8,9},$D24&amp;"0123456789"))-1)="PHEV",INDEX(PHEV_TBE,MATCH($A23,PHEV_TBE_VehClass,0),MATCH(G$3,Lookup_Year,0)),IF(LEFT($D24,MIN(FIND({0,1,2,3,4,5,6,7,8,9},$D24&amp;"0123456789"))-1)="FCEV",INDEX(FCEV_TBE,MATCH($A23,FCEV_TBE_VehClass,0),MATCH(G$3,Lookup_Year,0)))))</f>
        <v>26.963622058823532</v>
      </c>
      <c r="H24" s="22" cm="1">
        <f t="array" ref="H24">IF(LEFT($D24,MIN(FIND({0,1,2,3,4,5,6,7,8,9},$D24&amp;"0123456789"))-1)="BEV",INDEX(BEV_TBE,MATCH($A23,BEV_TBE_VehClass,0),MATCH(H$3,Lookup_Year,0)),IF(LEFT($D24,MIN(FIND({0,1,2,3,4,5,6,7,8,9},$D24&amp;"0123456789"))-1)="PHEV",INDEX(PHEV_TBE,MATCH($A23,PHEV_TBE_VehClass,0),MATCH(H$3,Lookup_Year,0)),IF(LEFT($D24,MIN(FIND({0,1,2,3,4,5,6,7,8,9},$D24&amp;"0123456789"))-1)="FCEV",INDEX(FCEV_TBE,MATCH($A23,FCEV_TBE_VehClass,0),MATCH(H$3,Lookup_Year,0)))))</f>
        <v>26.828803948529412</v>
      </c>
      <c r="I24" s="22" cm="1">
        <f t="array" ref="I24">IF(LEFT($D24,MIN(FIND({0,1,2,3,4,5,6,7,8,9},$D24&amp;"0123456789"))-1)="BEV",INDEX(BEV_TBE,MATCH($A23,BEV_TBE_VehClass,0),MATCH(I$3,Lookup_Year,0)),IF(LEFT($D24,MIN(FIND({0,1,2,3,4,5,6,7,8,9},$D24&amp;"0123456789"))-1)="PHEV",INDEX(PHEV_TBE,MATCH($A23,PHEV_TBE_VehClass,0),MATCH(I$3,Lookup_Year,0)),IF(LEFT($D24,MIN(FIND({0,1,2,3,4,5,6,7,8,9},$D24&amp;"0123456789"))-1)="FCEV",INDEX(FCEV_TBE,MATCH($A23,FCEV_TBE_VehClass,0),MATCH(I$3,Lookup_Year,0)))))</f>
        <v>26.694659928786766</v>
      </c>
      <c r="J24" s="22" cm="1">
        <f t="array" ref="J24">IF(LEFT($D24,MIN(FIND({0,1,2,3,4,5,6,7,8,9},$D24&amp;"0123456789"))-1)="BEV",INDEX(BEV_TBE,MATCH($A23,BEV_TBE_VehClass,0),MATCH(J$3,Lookup_Year,0)),IF(LEFT($D24,MIN(FIND({0,1,2,3,4,5,6,7,8,9},$D24&amp;"0123456789"))-1)="PHEV",INDEX(PHEV_TBE,MATCH($A23,PHEV_TBE_VehClass,0),MATCH(J$3,Lookup_Year,0)),IF(LEFT($D24,MIN(FIND({0,1,2,3,4,5,6,7,8,9},$D24&amp;"0123456789"))-1)="FCEV",INDEX(FCEV_TBE,MATCH($A23,FCEV_TBE_VehClass,0),MATCH(J$3,Lookup_Year,0)))))</f>
        <v>26.561186629142831</v>
      </c>
      <c r="K24" s="22" cm="1">
        <f t="array" ref="K24">IF(LEFT($D24,MIN(FIND({0,1,2,3,4,5,6,7,8,9},$D24&amp;"0123456789"))-1)="BEV",INDEX(BEV_TBE,MATCH($A23,BEV_TBE_VehClass,0),MATCH(K$3,Lookup_Year,0)),IF(LEFT($D24,MIN(FIND({0,1,2,3,4,5,6,7,8,9},$D24&amp;"0123456789"))-1)="PHEV",INDEX(PHEV_TBE,MATCH($A23,PHEV_TBE_VehClass,0),MATCH(K$3,Lookup_Year,0)),IF(LEFT($D24,MIN(FIND({0,1,2,3,4,5,6,7,8,9},$D24&amp;"0123456789"))-1)="FCEV",INDEX(FCEV_TBE,MATCH($A23,FCEV_TBE_VehClass,0),MATCH(K$3,Lookup_Year,0)))))</f>
        <v>26.428380695997117</v>
      </c>
      <c r="L24" s="22" cm="1">
        <f t="array" ref="L24">IF(LEFT($D24,MIN(FIND({0,1,2,3,4,5,6,7,8,9},$D24&amp;"0123456789"))-1)="BEV",INDEX(BEV_TBE,MATCH($A23,BEV_TBE_VehClass,0),MATCH(L$3,Lookup_Year,0)),IF(LEFT($D24,MIN(FIND({0,1,2,3,4,5,6,7,8,9},$D24&amp;"0123456789"))-1)="PHEV",INDEX(PHEV_TBE,MATCH($A23,PHEV_TBE_VehClass,0),MATCH(L$3,Lookup_Year,0)),IF(LEFT($D24,MIN(FIND({0,1,2,3,4,5,6,7,8,9},$D24&amp;"0123456789"))-1)="FCEV",INDEX(FCEV_TBE,MATCH($A23,FCEV_TBE_VehClass,0),MATCH(L$3,Lookup_Year,0)))))</f>
        <v>26.296238792517126</v>
      </c>
      <c r="M24" s="22" cm="1">
        <f t="array" ref="M24">IF(LEFT($D24,MIN(FIND({0,1,2,3,4,5,6,7,8,9},$D24&amp;"0123456789"))-1)="BEV",INDEX(BEV_TBE,MATCH($A23,BEV_TBE_VehClass,0),MATCH(M$3,Lookup_Year,0)),IF(LEFT($D24,MIN(FIND({0,1,2,3,4,5,6,7,8,9},$D24&amp;"0123456789"))-1)="PHEV",INDEX(PHEV_TBE,MATCH($A23,PHEV_TBE_VehClass,0),MATCH(M$3,Lookup_Year,0)),IF(LEFT($D24,MIN(FIND({0,1,2,3,4,5,6,7,8,9},$D24&amp;"0123456789"))-1)="FCEV",INDEX(FCEV_TBE,MATCH($A23,FCEV_TBE_VehClass,0),MATCH(M$3,Lookup_Year,0)))))</f>
        <v>26.164757598554541</v>
      </c>
      <c r="N24" s="22" cm="1">
        <f t="array" ref="N24">IF(LEFT($D24,MIN(FIND({0,1,2,3,4,5,6,7,8,9},$D24&amp;"0123456789"))-1)="BEV",INDEX(BEV_TBE,MATCH($A23,BEV_TBE_VehClass,0),MATCH(N$3,Lookup_Year,0)),IF(LEFT($D24,MIN(FIND({0,1,2,3,4,5,6,7,8,9},$D24&amp;"0123456789"))-1)="PHEV",INDEX(PHEV_TBE,MATCH($A23,PHEV_TBE_VehClass,0),MATCH(N$3,Lookup_Year,0)),IF(LEFT($D24,MIN(FIND({0,1,2,3,4,5,6,7,8,9},$D24&amp;"0123456789"))-1)="FCEV",INDEX(FCEV_TBE,MATCH($A23,FCEV_TBE_VehClass,0),MATCH(N$3,Lookup_Year,0)))))</f>
        <v>26.033933810561766</v>
      </c>
      <c r="O24" s="42" cm="1">
        <f t="array" ref="O24">IF(LEFT($D24,MIN(FIND({0,1,2,3,4,5,6,7,8,9},$D24&amp;"0123456789"))-1)="BEV",INDEX(BEV_TBE,MATCH($A23,BEV_TBE_VehClass,0),MATCH(O$3,Lookup_Year,0)),IF(LEFT($D24,MIN(FIND({0,1,2,3,4,5,6,7,8,9},$D24&amp;"0123456789"))-1)="PHEV",INDEX(PHEV_TBE,MATCH($A23,PHEV_TBE_VehClass,0),MATCH(O$3,Lookup_Year,0)),IF(LEFT($D24,MIN(FIND({0,1,2,3,4,5,6,7,8,9},$D24&amp;"0123456789"))-1)="FCEV",INDEX(FCEV_TBE,MATCH($A23,FCEV_TBE_VehClass,0),MATCH(O$3,Lookup_Year,0)))))</f>
        <v>25.903764141508958</v>
      </c>
      <c r="P24" s="11"/>
      <c r="Q24" s="11"/>
      <c r="R24" s="11"/>
      <c r="S24" s="11"/>
      <c r="T24" s="11"/>
      <c r="U24" s="11"/>
    </row>
    <row r="25" spans="1:21" x14ac:dyDescent="0.3">
      <c r="A25" t="str">
        <f t="shared" si="0"/>
        <v>SmallCarPremiumFCEV320</v>
      </c>
      <c r="B25" s="79" t="str">
        <f>'Vehicle Attributes - Base Year'!B22</f>
        <v>SmallCar</v>
      </c>
      <c r="C25" s="68" t="str">
        <f>'Vehicle Attributes - Base Year'!C22</f>
        <v>Base</v>
      </c>
      <c r="D25" s="68" t="str">
        <f>'Vehicle Attributes - Base Year'!D22</f>
        <v>FCEV320</v>
      </c>
      <c r="E25" s="22" cm="1">
        <f t="array" ref="E25">IF(LEFT($D25,MIN(FIND({0,1,2,3,4,5,6,7,8,9},$D25&amp;"0123456789"))-1)="BEV",INDEX(BEV_TBE,MATCH($A24,BEV_TBE_VehClass,0),MATCH(E$3,Lookup_Year,0)),IF(LEFT($D25,MIN(FIND({0,1,2,3,4,5,6,7,8,9},$D25&amp;"0123456789"))-1)="PHEV",INDEX(PHEV_TBE,MATCH($A24,PHEV_TBE_VehClass,0),MATCH(E$3,Lookup_Year,0)),IF(LEFT($D25,MIN(FIND({0,1,2,3,4,5,6,7,8,9},$D25&amp;"0123456789"))-1)="FCEV",INDEX(FCEV_TBE,MATCH($A24,FCEV_TBE_VehClass,0),MATCH(E$3,Lookup_Year,0)))))</f>
        <v>1.4039999999999999</v>
      </c>
      <c r="F25" s="22" cm="1">
        <f t="array" ref="F25">IF(LEFT($D25,MIN(FIND({0,1,2,3,4,5,6,7,8,9},$D25&amp;"0123456789"))-1)="BEV",INDEX(BEV_TBE,MATCH($A24,BEV_TBE_VehClass,0),MATCH(F$3,Lookup_Year,0)),IF(LEFT($D25,MIN(FIND({0,1,2,3,4,5,6,7,8,9},$D25&amp;"0123456789"))-1)="PHEV",INDEX(PHEV_TBE,MATCH($A24,PHEV_TBE_VehClass,0),MATCH(F$3,Lookup_Year,0)),IF(LEFT($D25,MIN(FIND({0,1,2,3,4,5,6,7,8,9},$D25&amp;"0123456789"))-1)="FCEV",INDEX(FCEV_TBE,MATCH($A24,FCEV_TBE_VehClass,0),MATCH(F$3,Lookup_Year,0)))))</f>
        <v>1.4039999999999999</v>
      </c>
      <c r="G25" s="22" cm="1">
        <f t="array" ref="G25">IF(LEFT($D25,MIN(FIND({0,1,2,3,4,5,6,7,8,9},$D25&amp;"0123456789"))-1)="BEV",INDEX(BEV_TBE,MATCH($A24,BEV_TBE_VehClass,0),MATCH(G$3,Lookup_Year,0)),IF(LEFT($D25,MIN(FIND({0,1,2,3,4,5,6,7,8,9},$D25&amp;"0123456789"))-1)="PHEV",INDEX(PHEV_TBE,MATCH($A24,PHEV_TBE_VehClass,0),MATCH(G$3,Lookup_Year,0)),IF(LEFT($D25,MIN(FIND({0,1,2,3,4,5,6,7,8,9},$D25&amp;"0123456789"))-1)="FCEV",INDEX(FCEV_TBE,MATCH($A24,FCEV_TBE_VehClass,0),MATCH(G$3,Lookup_Year,0)))))</f>
        <v>1.4039999999999999</v>
      </c>
      <c r="H25" s="22" cm="1">
        <f t="array" ref="H25">IF(LEFT($D25,MIN(FIND({0,1,2,3,4,5,6,7,8,9},$D25&amp;"0123456789"))-1)="BEV",INDEX(BEV_TBE,MATCH($A24,BEV_TBE_VehClass,0),MATCH(H$3,Lookup_Year,0)),IF(LEFT($D25,MIN(FIND({0,1,2,3,4,5,6,7,8,9},$D25&amp;"0123456789"))-1)="PHEV",INDEX(PHEV_TBE,MATCH($A24,PHEV_TBE_VehClass,0),MATCH(H$3,Lookup_Year,0)),IF(LEFT($D25,MIN(FIND({0,1,2,3,4,5,6,7,8,9},$D25&amp;"0123456789"))-1)="FCEV",INDEX(FCEV_TBE,MATCH($A24,FCEV_TBE_VehClass,0),MATCH(H$3,Lookup_Year,0)))))</f>
        <v>1.4039999999999999</v>
      </c>
      <c r="I25" s="22" cm="1">
        <f t="array" ref="I25">IF(LEFT($D25,MIN(FIND({0,1,2,3,4,5,6,7,8,9},$D25&amp;"0123456789"))-1)="BEV",INDEX(BEV_TBE,MATCH($A24,BEV_TBE_VehClass,0),MATCH(I$3,Lookup_Year,0)),IF(LEFT($D25,MIN(FIND({0,1,2,3,4,5,6,7,8,9},$D25&amp;"0123456789"))-1)="PHEV",INDEX(PHEV_TBE,MATCH($A24,PHEV_TBE_VehClass,0),MATCH(I$3,Lookup_Year,0)),IF(LEFT($D25,MIN(FIND({0,1,2,3,4,5,6,7,8,9},$D25&amp;"0123456789"))-1)="FCEV",INDEX(FCEV_TBE,MATCH($A24,FCEV_TBE_VehClass,0),MATCH(I$3,Lookup_Year,0)))))</f>
        <v>1.4039999999999999</v>
      </c>
      <c r="J25" s="22" cm="1">
        <f t="array" ref="J25">IF(LEFT($D25,MIN(FIND({0,1,2,3,4,5,6,7,8,9},$D25&amp;"0123456789"))-1)="BEV",INDEX(BEV_TBE,MATCH($A24,BEV_TBE_VehClass,0),MATCH(J$3,Lookup_Year,0)),IF(LEFT($D25,MIN(FIND({0,1,2,3,4,5,6,7,8,9},$D25&amp;"0123456789"))-1)="PHEV",INDEX(PHEV_TBE,MATCH($A24,PHEV_TBE_VehClass,0),MATCH(J$3,Lookup_Year,0)),IF(LEFT($D25,MIN(FIND({0,1,2,3,4,5,6,7,8,9},$D25&amp;"0123456789"))-1)="FCEV",INDEX(FCEV_TBE,MATCH($A24,FCEV_TBE_VehClass,0),MATCH(J$3,Lookup_Year,0)))))</f>
        <v>1.4039999999999999</v>
      </c>
      <c r="K25" s="22" cm="1">
        <f t="array" ref="K25">IF(LEFT($D25,MIN(FIND({0,1,2,3,4,5,6,7,8,9},$D25&amp;"0123456789"))-1)="BEV",INDEX(BEV_TBE,MATCH($A24,BEV_TBE_VehClass,0),MATCH(K$3,Lookup_Year,0)),IF(LEFT($D25,MIN(FIND({0,1,2,3,4,5,6,7,8,9},$D25&amp;"0123456789"))-1)="PHEV",INDEX(PHEV_TBE,MATCH($A24,PHEV_TBE_VehClass,0),MATCH(K$3,Lookup_Year,0)),IF(LEFT($D25,MIN(FIND({0,1,2,3,4,5,6,7,8,9},$D25&amp;"0123456789"))-1)="FCEV",INDEX(FCEV_TBE,MATCH($A24,FCEV_TBE_VehClass,0),MATCH(K$3,Lookup_Year,0)))))</f>
        <v>1.3759199999999998</v>
      </c>
      <c r="L25" s="22" cm="1">
        <f t="array" ref="L25">IF(LEFT($D25,MIN(FIND({0,1,2,3,4,5,6,7,8,9},$D25&amp;"0123456789"))-1)="BEV",INDEX(BEV_TBE,MATCH($A24,BEV_TBE_VehClass,0),MATCH(L$3,Lookup_Year,0)),IF(LEFT($D25,MIN(FIND({0,1,2,3,4,5,6,7,8,9},$D25&amp;"0123456789"))-1)="PHEV",INDEX(PHEV_TBE,MATCH($A24,PHEV_TBE_VehClass,0),MATCH(L$3,Lookup_Year,0)),IF(LEFT($D25,MIN(FIND({0,1,2,3,4,5,6,7,8,9},$D25&amp;"0123456789"))-1)="FCEV",INDEX(FCEV_TBE,MATCH($A24,FCEV_TBE_VehClass,0),MATCH(L$3,Lookup_Year,0)))))</f>
        <v>1.3478399999999999</v>
      </c>
      <c r="M25" s="22" cm="1">
        <f t="array" ref="M25">IF(LEFT($D25,MIN(FIND({0,1,2,3,4,5,6,7,8,9},$D25&amp;"0123456789"))-1)="BEV",INDEX(BEV_TBE,MATCH($A24,BEV_TBE_VehClass,0),MATCH(M$3,Lookup_Year,0)),IF(LEFT($D25,MIN(FIND({0,1,2,3,4,5,6,7,8,9},$D25&amp;"0123456789"))-1)="PHEV",INDEX(PHEV_TBE,MATCH($A24,PHEV_TBE_VehClass,0),MATCH(M$3,Lookup_Year,0)),IF(LEFT($D25,MIN(FIND({0,1,2,3,4,5,6,7,8,9},$D25&amp;"0123456789"))-1)="FCEV",INDEX(FCEV_TBE,MATCH($A24,FCEV_TBE_VehClass,0),MATCH(M$3,Lookup_Year,0)))))</f>
        <v>1.3197599999999998</v>
      </c>
      <c r="N25" s="22" cm="1">
        <f t="array" ref="N25">IF(LEFT($D25,MIN(FIND({0,1,2,3,4,5,6,7,8,9},$D25&amp;"0123456789"))-1)="BEV",INDEX(BEV_TBE,MATCH($A24,BEV_TBE_VehClass,0),MATCH(N$3,Lookup_Year,0)),IF(LEFT($D25,MIN(FIND({0,1,2,3,4,5,6,7,8,9},$D25&amp;"0123456789"))-1)="PHEV",INDEX(PHEV_TBE,MATCH($A24,PHEV_TBE_VehClass,0),MATCH(N$3,Lookup_Year,0)),IF(LEFT($D25,MIN(FIND({0,1,2,3,4,5,6,7,8,9},$D25&amp;"0123456789"))-1)="FCEV",INDEX(FCEV_TBE,MATCH($A24,FCEV_TBE_VehClass,0),MATCH(N$3,Lookup_Year,0)))))</f>
        <v>1.2916799999999999</v>
      </c>
      <c r="O25" s="42" cm="1">
        <f t="array" ref="O25">IF(LEFT($D25,MIN(FIND({0,1,2,3,4,5,6,7,8,9},$D25&amp;"0123456789"))-1)="BEV",INDEX(BEV_TBE,MATCH($A24,BEV_TBE_VehClass,0),MATCH(O$3,Lookup_Year,0)),IF(LEFT($D25,MIN(FIND({0,1,2,3,4,5,6,7,8,9},$D25&amp;"0123456789"))-1)="PHEV",INDEX(PHEV_TBE,MATCH($A24,PHEV_TBE_VehClass,0),MATCH(O$3,Lookup_Year,0)),IF(LEFT($D25,MIN(FIND({0,1,2,3,4,5,6,7,8,9},$D25&amp;"0123456789"))-1)="FCEV",INDEX(FCEV_TBE,MATCH($A24,FCEV_TBE_VehClass,0),MATCH(O$3,Lookup_Year,0)))))</f>
        <v>1.2635999999999998</v>
      </c>
      <c r="P25" s="11"/>
      <c r="Q25" s="11"/>
      <c r="R25" s="11"/>
      <c r="S25" s="11"/>
      <c r="T25" s="11"/>
      <c r="U25" s="11"/>
    </row>
    <row r="26" spans="1:21" x14ac:dyDescent="0.3">
      <c r="A26" s="16" t="str">
        <f t="shared" si="0"/>
        <v>MedCarBaseFCEV320</v>
      </c>
      <c r="B26" s="79" t="str">
        <f>'Vehicle Attributes - Base Year'!B23</f>
        <v>SmallCar</v>
      </c>
      <c r="C26" s="68" t="str">
        <f>'Vehicle Attributes - Base Year'!C23</f>
        <v>Premium</v>
      </c>
      <c r="D26" s="68" t="str">
        <f>'Vehicle Attributes - Base Year'!D23</f>
        <v>FCEV320</v>
      </c>
      <c r="E26" s="22" cm="1">
        <f t="array" ref="E26">IF(LEFT($D26,MIN(FIND({0,1,2,3,4,5,6,7,8,9},$D26&amp;"0123456789"))-1)="BEV",INDEX(BEV_TBE,MATCH($A25,BEV_TBE_VehClass,0),MATCH(E$3,Lookup_Year,0)),IF(LEFT($D26,MIN(FIND({0,1,2,3,4,5,6,7,8,9},$D26&amp;"0123456789"))-1)="PHEV",INDEX(PHEV_TBE,MATCH($A25,PHEV_TBE_VehClass,0),MATCH(E$3,Lookup_Year,0)),IF(LEFT($D26,MIN(FIND({0,1,2,3,4,5,6,7,8,9},$D26&amp;"0123456789"))-1)="FCEV",INDEX(FCEV_TBE,MATCH($A25,FCEV_TBE_VehClass,0),MATCH(E$3,Lookup_Year,0)))))</f>
        <v>1.4039999999999999</v>
      </c>
      <c r="F26" s="22" cm="1">
        <f t="array" ref="F26">IF(LEFT($D26,MIN(FIND({0,1,2,3,4,5,6,7,8,9},$D26&amp;"0123456789"))-1)="BEV",INDEX(BEV_TBE,MATCH($A25,BEV_TBE_VehClass,0),MATCH(F$3,Lookup_Year,0)),IF(LEFT($D26,MIN(FIND({0,1,2,3,4,5,6,7,8,9},$D26&amp;"0123456789"))-1)="PHEV",INDEX(PHEV_TBE,MATCH($A25,PHEV_TBE_VehClass,0),MATCH(F$3,Lookup_Year,0)),IF(LEFT($D26,MIN(FIND({0,1,2,3,4,5,6,7,8,9},$D26&amp;"0123456789"))-1)="FCEV",INDEX(FCEV_TBE,MATCH($A25,FCEV_TBE_VehClass,0),MATCH(F$3,Lookup_Year,0)))))</f>
        <v>1.4039999999999999</v>
      </c>
      <c r="G26" s="22" cm="1">
        <f t="array" ref="G26">IF(LEFT($D26,MIN(FIND({0,1,2,3,4,5,6,7,8,9},$D26&amp;"0123456789"))-1)="BEV",INDEX(BEV_TBE,MATCH($A25,BEV_TBE_VehClass,0),MATCH(G$3,Lookup_Year,0)),IF(LEFT($D26,MIN(FIND({0,1,2,3,4,5,6,7,8,9},$D26&amp;"0123456789"))-1)="PHEV",INDEX(PHEV_TBE,MATCH($A25,PHEV_TBE_VehClass,0),MATCH(G$3,Lookup_Year,0)),IF(LEFT($D26,MIN(FIND({0,1,2,3,4,5,6,7,8,9},$D26&amp;"0123456789"))-1)="FCEV",INDEX(FCEV_TBE,MATCH($A25,FCEV_TBE_VehClass,0),MATCH(G$3,Lookup_Year,0)))))</f>
        <v>1.4039999999999999</v>
      </c>
      <c r="H26" s="22" cm="1">
        <f t="array" ref="H26">IF(LEFT($D26,MIN(FIND({0,1,2,3,4,5,6,7,8,9},$D26&amp;"0123456789"))-1)="BEV",INDEX(BEV_TBE,MATCH($A25,BEV_TBE_VehClass,0),MATCH(H$3,Lookup_Year,0)),IF(LEFT($D26,MIN(FIND({0,1,2,3,4,5,6,7,8,9},$D26&amp;"0123456789"))-1)="PHEV",INDEX(PHEV_TBE,MATCH($A25,PHEV_TBE_VehClass,0),MATCH(H$3,Lookup_Year,0)),IF(LEFT($D26,MIN(FIND({0,1,2,3,4,5,6,7,8,9},$D26&amp;"0123456789"))-1)="FCEV",INDEX(FCEV_TBE,MATCH($A25,FCEV_TBE_VehClass,0),MATCH(H$3,Lookup_Year,0)))))</f>
        <v>1.4039999999999999</v>
      </c>
      <c r="I26" s="22" cm="1">
        <f t="array" ref="I26">IF(LEFT($D26,MIN(FIND({0,1,2,3,4,5,6,7,8,9},$D26&amp;"0123456789"))-1)="BEV",INDEX(BEV_TBE,MATCH($A25,BEV_TBE_VehClass,0),MATCH(I$3,Lookup_Year,0)),IF(LEFT($D26,MIN(FIND({0,1,2,3,4,5,6,7,8,9},$D26&amp;"0123456789"))-1)="PHEV",INDEX(PHEV_TBE,MATCH($A25,PHEV_TBE_VehClass,0),MATCH(I$3,Lookup_Year,0)),IF(LEFT($D26,MIN(FIND({0,1,2,3,4,5,6,7,8,9},$D26&amp;"0123456789"))-1)="FCEV",INDEX(FCEV_TBE,MATCH($A25,FCEV_TBE_VehClass,0),MATCH(I$3,Lookup_Year,0)))))</f>
        <v>1.4039999999999999</v>
      </c>
      <c r="J26" s="22" cm="1">
        <f t="array" ref="J26">IF(LEFT($D26,MIN(FIND({0,1,2,3,4,5,6,7,8,9},$D26&amp;"0123456789"))-1)="BEV",INDEX(BEV_TBE,MATCH($A25,BEV_TBE_VehClass,0),MATCH(J$3,Lookup_Year,0)),IF(LEFT($D26,MIN(FIND({0,1,2,3,4,5,6,7,8,9},$D26&amp;"0123456789"))-1)="PHEV",INDEX(PHEV_TBE,MATCH($A25,PHEV_TBE_VehClass,0),MATCH(J$3,Lookup_Year,0)),IF(LEFT($D26,MIN(FIND({0,1,2,3,4,5,6,7,8,9},$D26&amp;"0123456789"))-1)="FCEV",INDEX(FCEV_TBE,MATCH($A25,FCEV_TBE_VehClass,0),MATCH(J$3,Lookup_Year,0)))))</f>
        <v>1.4039999999999999</v>
      </c>
      <c r="K26" s="22" cm="1">
        <f t="array" ref="K26">IF(LEFT($D26,MIN(FIND({0,1,2,3,4,5,6,7,8,9},$D26&amp;"0123456789"))-1)="BEV",INDEX(BEV_TBE,MATCH($A25,BEV_TBE_VehClass,0),MATCH(K$3,Lookup_Year,0)),IF(LEFT($D26,MIN(FIND({0,1,2,3,4,5,6,7,8,9},$D26&amp;"0123456789"))-1)="PHEV",INDEX(PHEV_TBE,MATCH($A25,PHEV_TBE_VehClass,0),MATCH(K$3,Lookup_Year,0)),IF(LEFT($D26,MIN(FIND({0,1,2,3,4,5,6,7,8,9},$D26&amp;"0123456789"))-1)="FCEV",INDEX(FCEV_TBE,MATCH($A25,FCEV_TBE_VehClass,0),MATCH(K$3,Lookup_Year,0)))))</f>
        <v>1.3759199999999998</v>
      </c>
      <c r="L26" s="22" cm="1">
        <f t="array" ref="L26">IF(LEFT($D26,MIN(FIND({0,1,2,3,4,5,6,7,8,9},$D26&amp;"0123456789"))-1)="BEV",INDEX(BEV_TBE,MATCH($A25,BEV_TBE_VehClass,0),MATCH(L$3,Lookup_Year,0)),IF(LEFT($D26,MIN(FIND({0,1,2,3,4,5,6,7,8,9},$D26&amp;"0123456789"))-1)="PHEV",INDEX(PHEV_TBE,MATCH($A25,PHEV_TBE_VehClass,0),MATCH(L$3,Lookup_Year,0)),IF(LEFT($D26,MIN(FIND({0,1,2,3,4,5,6,7,8,9},$D26&amp;"0123456789"))-1)="FCEV",INDEX(FCEV_TBE,MATCH($A25,FCEV_TBE_VehClass,0),MATCH(L$3,Lookup_Year,0)))))</f>
        <v>1.3478399999999999</v>
      </c>
      <c r="M26" s="22" cm="1">
        <f t="array" ref="M26">IF(LEFT($D26,MIN(FIND({0,1,2,3,4,5,6,7,8,9},$D26&amp;"0123456789"))-1)="BEV",INDEX(BEV_TBE,MATCH($A25,BEV_TBE_VehClass,0),MATCH(M$3,Lookup_Year,0)),IF(LEFT($D26,MIN(FIND({0,1,2,3,4,5,6,7,8,9},$D26&amp;"0123456789"))-1)="PHEV",INDEX(PHEV_TBE,MATCH($A25,PHEV_TBE_VehClass,0),MATCH(M$3,Lookup_Year,0)),IF(LEFT($D26,MIN(FIND({0,1,2,3,4,5,6,7,8,9},$D26&amp;"0123456789"))-1)="FCEV",INDEX(FCEV_TBE,MATCH($A25,FCEV_TBE_VehClass,0),MATCH(M$3,Lookup_Year,0)))))</f>
        <v>1.3197599999999998</v>
      </c>
      <c r="N26" s="22" cm="1">
        <f t="array" ref="N26">IF(LEFT($D26,MIN(FIND({0,1,2,3,4,5,6,7,8,9},$D26&amp;"0123456789"))-1)="BEV",INDEX(BEV_TBE,MATCH($A25,BEV_TBE_VehClass,0),MATCH(N$3,Lookup_Year,0)),IF(LEFT($D26,MIN(FIND({0,1,2,3,4,5,6,7,8,9},$D26&amp;"0123456789"))-1)="PHEV",INDEX(PHEV_TBE,MATCH($A25,PHEV_TBE_VehClass,0),MATCH(N$3,Lookup_Year,0)),IF(LEFT($D26,MIN(FIND({0,1,2,3,4,5,6,7,8,9},$D26&amp;"0123456789"))-1)="FCEV",INDEX(FCEV_TBE,MATCH($A25,FCEV_TBE_VehClass,0),MATCH(N$3,Lookup_Year,0)))))</f>
        <v>1.2916799999999999</v>
      </c>
      <c r="O26" s="42" cm="1">
        <f t="array" ref="O26">IF(LEFT($D26,MIN(FIND({0,1,2,3,4,5,6,7,8,9},$D26&amp;"0123456789"))-1)="BEV",INDEX(BEV_TBE,MATCH($A25,BEV_TBE_VehClass,0),MATCH(O$3,Lookup_Year,0)),IF(LEFT($D26,MIN(FIND({0,1,2,3,4,5,6,7,8,9},$D26&amp;"0123456789"))-1)="PHEV",INDEX(PHEV_TBE,MATCH($A25,PHEV_TBE_VehClass,0),MATCH(O$3,Lookup_Year,0)),IF(LEFT($D26,MIN(FIND({0,1,2,3,4,5,6,7,8,9},$D26&amp;"0123456789"))-1)="FCEV",INDEX(FCEV_TBE,MATCH($A25,FCEV_TBE_VehClass,0),MATCH(O$3,Lookup_Year,0)))))</f>
        <v>1.2635999999999998</v>
      </c>
      <c r="P26" s="11"/>
      <c r="Q26" s="11"/>
      <c r="R26" s="11"/>
      <c r="S26" s="11"/>
      <c r="T26" s="11"/>
      <c r="U26" s="11"/>
    </row>
    <row r="27" spans="1:21" x14ac:dyDescent="0.3">
      <c r="A27" t="str">
        <f t="shared" si="0"/>
        <v>MedCarPremiumFCEV320</v>
      </c>
      <c r="B27" s="79" t="str">
        <f>'Vehicle Attributes - Base Year'!B24</f>
        <v>MedCar</v>
      </c>
      <c r="C27" s="68" t="str">
        <f>'Vehicle Attributes - Base Year'!C24</f>
        <v>Base</v>
      </c>
      <c r="D27" s="68" t="str">
        <f>'Vehicle Attributes - Base Year'!D24</f>
        <v>FCEV320</v>
      </c>
      <c r="E27" s="22" cm="1">
        <f t="array" ref="E27">IF(LEFT($D27,MIN(FIND({0,1,2,3,4,5,6,7,8,9},$D27&amp;"0123456789"))-1)="BEV",INDEX(BEV_TBE,MATCH($A26,BEV_TBE_VehClass,0),MATCH(E$3,Lookup_Year,0)),IF(LEFT($D27,MIN(FIND({0,1,2,3,4,5,6,7,8,9},$D27&amp;"0123456789"))-1)="PHEV",INDEX(PHEV_TBE,MATCH($A26,PHEV_TBE_VehClass,0),MATCH(E$3,Lookup_Year,0)),IF(LEFT($D27,MIN(FIND({0,1,2,3,4,5,6,7,8,9},$D27&amp;"0123456789"))-1)="FCEV",INDEX(FCEV_TBE,MATCH($A26,FCEV_TBE_VehClass,0),MATCH(E$3,Lookup_Year,0)))))</f>
        <v>1.6847999999999999</v>
      </c>
      <c r="F27" s="22" cm="1">
        <f t="array" ref="F27">IF(LEFT($D27,MIN(FIND({0,1,2,3,4,5,6,7,8,9},$D27&amp;"0123456789"))-1)="BEV",INDEX(BEV_TBE,MATCH($A26,BEV_TBE_VehClass,0),MATCH(F$3,Lookup_Year,0)),IF(LEFT($D27,MIN(FIND({0,1,2,3,4,5,6,7,8,9},$D27&amp;"0123456789"))-1)="PHEV",INDEX(PHEV_TBE,MATCH($A26,PHEV_TBE_VehClass,0),MATCH(F$3,Lookup_Year,0)),IF(LEFT($D27,MIN(FIND({0,1,2,3,4,5,6,7,8,9},$D27&amp;"0123456789"))-1)="FCEV",INDEX(FCEV_TBE,MATCH($A26,FCEV_TBE_VehClass,0),MATCH(F$3,Lookup_Year,0)))))</f>
        <v>1.65672</v>
      </c>
      <c r="G27" s="22" cm="1">
        <f t="array" ref="G27">IF(LEFT($D27,MIN(FIND({0,1,2,3,4,5,6,7,8,9},$D27&amp;"0123456789"))-1)="BEV",INDEX(BEV_TBE,MATCH($A26,BEV_TBE_VehClass,0),MATCH(G$3,Lookup_Year,0)),IF(LEFT($D27,MIN(FIND({0,1,2,3,4,5,6,7,8,9},$D27&amp;"0123456789"))-1)="PHEV",INDEX(PHEV_TBE,MATCH($A26,PHEV_TBE_VehClass,0),MATCH(G$3,Lookup_Year,0)),IF(LEFT($D27,MIN(FIND({0,1,2,3,4,5,6,7,8,9},$D27&amp;"0123456789"))-1)="FCEV",INDEX(FCEV_TBE,MATCH($A26,FCEV_TBE_VehClass,0),MATCH(G$3,Lookup_Year,0)))))</f>
        <v>1.6286399999999999</v>
      </c>
      <c r="H27" s="22" cm="1">
        <f t="array" ref="H27">IF(LEFT($D27,MIN(FIND({0,1,2,3,4,5,6,7,8,9},$D27&amp;"0123456789"))-1)="BEV",INDEX(BEV_TBE,MATCH($A26,BEV_TBE_VehClass,0),MATCH(H$3,Lookup_Year,0)),IF(LEFT($D27,MIN(FIND({0,1,2,3,4,5,6,7,8,9},$D27&amp;"0123456789"))-1)="PHEV",INDEX(PHEV_TBE,MATCH($A26,PHEV_TBE_VehClass,0),MATCH(H$3,Lookup_Year,0)),IF(LEFT($D27,MIN(FIND({0,1,2,3,4,5,6,7,8,9},$D27&amp;"0123456789"))-1)="FCEV",INDEX(FCEV_TBE,MATCH($A26,FCEV_TBE_VehClass,0),MATCH(H$3,Lookup_Year,0)))))</f>
        <v>1.60056</v>
      </c>
      <c r="I27" s="22" cm="1">
        <f t="array" ref="I27">IF(LEFT($D27,MIN(FIND({0,1,2,3,4,5,6,7,8,9},$D27&amp;"0123456789"))-1)="BEV",INDEX(BEV_TBE,MATCH($A26,BEV_TBE_VehClass,0),MATCH(I$3,Lookup_Year,0)),IF(LEFT($D27,MIN(FIND({0,1,2,3,4,5,6,7,8,9},$D27&amp;"0123456789"))-1)="PHEV",INDEX(PHEV_TBE,MATCH($A26,PHEV_TBE_VehClass,0),MATCH(I$3,Lookup_Year,0)),IF(LEFT($D27,MIN(FIND({0,1,2,3,4,5,6,7,8,9},$D27&amp;"0123456789"))-1)="FCEV",INDEX(FCEV_TBE,MATCH($A26,FCEV_TBE_VehClass,0),MATCH(I$3,Lookup_Year,0)))))</f>
        <v>1.5724799999999999</v>
      </c>
      <c r="J27" s="22" cm="1">
        <f t="array" ref="J27">IF(LEFT($D27,MIN(FIND({0,1,2,3,4,5,6,7,8,9},$D27&amp;"0123456789"))-1)="BEV",INDEX(BEV_TBE,MATCH($A26,BEV_TBE_VehClass,0),MATCH(J$3,Lookup_Year,0)),IF(LEFT($D27,MIN(FIND({0,1,2,3,4,5,6,7,8,9},$D27&amp;"0123456789"))-1)="PHEV",INDEX(PHEV_TBE,MATCH($A26,PHEV_TBE_VehClass,0),MATCH(J$3,Lookup_Year,0)),IF(LEFT($D27,MIN(FIND({0,1,2,3,4,5,6,7,8,9},$D27&amp;"0123456789"))-1)="FCEV",INDEX(FCEV_TBE,MATCH($A26,FCEV_TBE_VehClass,0),MATCH(J$3,Lookup_Year,0)))))</f>
        <v>1.5444</v>
      </c>
      <c r="K27" s="22" cm="1">
        <f t="array" ref="K27">IF(LEFT($D27,MIN(FIND({0,1,2,3,4,5,6,7,8,9},$D27&amp;"0123456789"))-1)="BEV",INDEX(BEV_TBE,MATCH($A26,BEV_TBE_VehClass,0),MATCH(K$3,Lookup_Year,0)),IF(LEFT($D27,MIN(FIND({0,1,2,3,4,5,6,7,8,9},$D27&amp;"0123456789"))-1)="PHEV",INDEX(PHEV_TBE,MATCH($A26,PHEV_TBE_VehClass,0),MATCH(K$3,Lookup_Year,0)),IF(LEFT($D27,MIN(FIND({0,1,2,3,4,5,6,7,8,9},$D27&amp;"0123456789"))-1)="FCEV",INDEX(FCEV_TBE,MATCH($A26,FCEV_TBE_VehClass,0),MATCH(K$3,Lookup_Year,0)))))</f>
        <v>1.5163199999999999</v>
      </c>
      <c r="L27" s="22" cm="1">
        <f t="array" ref="L27">IF(LEFT($D27,MIN(FIND({0,1,2,3,4,5,6,7,8,9},$D27&amp;"0123456789"))-1)="BEV",INDEX(BEV_TBE,MATCH($A26,BEV_TBE_VehClass,0),MATCH(L$3,Lookup_Year,0)),IF(LEFT($D27,MIN(FIND({0,1,2,3,4,5,6,7,8,9},$D27&amp;"0123456789"))-1)="PHEV",INDEX(PHEV_TBE,MATCH($A26,PHEV_TBE_VehClass,0),MATCH(L$3,Lookup_Year,0)),IF(LEFT($D27,MIN(FIND({0,1,2,3,4,5,6,7,8,9},$D27&amp;"0123456789"))-1)="FCEV",INDEX(FCEV_TBE,MATCH($A26,FCEV_TBE_VehClass,0),MATCH(L$3,Lookup_Year,0)))))</f>
        <v>1.48824</v>
      </c>
      <c r="M27" s="22" cm="1">
        <f t="array" ref="M27">IF(LEFT($D27,MIN(FIND({0,1,2,3,4,5,6,7,8,9},$D27&amp;"0123456789"))-1)="BEV",INDEX(BEV_TBE,MATCH($A26,BEV_TBE_VehClass,0),MATCH(M$3,Lookup_Year,0)),IF(LEFT($D27,MIN(FIND({0,1,2,3,4,5,6,7,8,9},$D27&amp;"0123456789"))-1)="PHEV",INDEX(PHEV_TBE,MATCH($A26,PHEV_TBE_VehClass,0),MATCH(M$3,Lookup_Year,0)),IF(LEFT($D27,MIN(FIND({0,1,2,3,4,5,6,7,8,9},$D27&amp;"0123456789"))-1)="FCEV",INDEX(FCEV_TBE,MATCH($A26,FCEV_TBE_VehClass,0),MATCH(M$3,Lookup_Year,0)))))</f>
        <v>1.4601599999999999</v>
      </c>
      <c r="N27" s="22" cm="1">
        <f t="array" ref="N27">IF(LEFT($D27,MIN(FIND({0,1,2,3,4,5,6,7,8,9},$D27&amp;"0123456789"))-1)="BEV",INDEX(BEV_TBE,MATCH($A26,BEV_TBE_VehClass,0),MATCH(N$3,Lookup_Year,0)),IF(LEFT($D27,MIN(FIND({0,1,2,3,4,5,6,7,8,9},$D27&amp;"0123456789"))-1)="PHEV",INDEX(PHEV_TBE,MATCH($A26,PHEV_TBE_VehClass,0),MATCH(N$3,Lookup_Year,0)),IF(LEFT($D27,MIN(FIND({0,1,2,3,4,5,6,7,8,9},$D27&amp;"0123456789"))-1)="FCEV",INDEX(FCEV_TBE,MATCH($A26,FCEV_TBE_VehClass,0),MATCH(N$3,Lookup_Year,0)))))</f>
        <v>1.43208</v>
      </c>
      <c r="O27" s="42" cm="1">
        <f t="array" ref="O27">IF(LEFT($D27,MIN(FIND({0,1,2,3,4,5,6,7,8,9},$D27&amp;"0123456789"))-1)="BEV",INDEX(BEV_TBE,MATCH($A26,BEV_TBE_VehClass,0),MATCH(O$3,Lookup_Year,0)),IF(LEFT($D27,MIN(FIND({0,1,2,3,4,5,6,7,8,9},$D27&amp;"0123456789"))-1)="PHEV",INDEX(PHEV_TBE,MATCH($A26,PHEV_TBE_VehClass,0),MATCH(O$3,Lookup_Year,0)),IF(LEFT($D27,MIN(FIND({0,1,2,3,4,5,6,7,8,9},$D27&amp;"0123456789"))-1)="FCEV",INDEX(FCEV_TBE,MATCH($A26,FCEV_TBE_VehClass,0),MATCH(O$3,Lookup_Year,0)))))</f>
        <v>1.4039999999999999</v>
      </c>
      <c r="P27" s="11"/>
      <c r="Q27" s="11"/>
      <c r="R27" s="11"/>
      <c r="S27" s="11"/>
      <c r="T27" s="11"/>
      <c r="U27" s="11"/>
    </row>
    <row r="28" spans="1:21" x14ac:dyDescent="0.3">
      <c r="A28" s="16" t="str">
        <f t="shared" si="0"/>
        <v>SmallSUVBaseFCEV320</v>
      </c>
      <c r="B28" s="79" t="str">
        <f>'Vehicle Attributes - Base Year'!B25</f>
        <v>MedCar</v>
      </c>
      <c r="C28" s="68" t="str">
        <f>'Vehicle Attributes - Base Year'!C25</f>
        <v>Premium</v>
      </c>
      <c r="D28" s="68" t="str">
        <f>'Vehicle Attributes - Base Year'!D25</f>
        <v>FCEV320</v>
      </c>
      <c r="E28" s="22" cm="1">
        <f t="array" ref="E28">IF(LEFT($D28,MIN(FIND({0,1,2,3,4,5,6,7,8,9},$D28&amp;"0123456789"))-1)="BEV",INDEX(BEV_TBE,MATCH($A27,BEV_TBE_VehClass,0),MATCH(E$3,Lookup_Year,0)),IF(LEFT($D28,MIN(FIND({0,1,2,3,4,5,6,7,8,9},$D28&amp;"0123456789"))-1)="PHEV",INDEX(PHEV_TBE,MATCH($A27,PHEV_TBE_VehClass,0),MATCH(E$3,Lookup_Year,0)),IF(LEFT($D28,MIN(FIND({0,1,2,3,4,5,6,7,8,9},$D28&amp;"0123456789"))-1)="FCEV",INDEX(FCEV_TBE,MATCH($A27,FCEV_TBE_VehClass,0),MATCH(E$3,Lookup_Year,0)))))</f>
        <v>1.6847999999999999</v>
      </c>
      <c r="F28" s="22" cm="1">
        <f t="array" ref="F28">IF(LEFT($D28,MIN(FIND({0,1,2,3,4,5,6,7,8,9},$D28&amp;"0123456789"))-1)="BEV",INDEX(BEV_TBE,MATCH($A27,BEV_TBE_VehClass,0),MATCH(F$3,Lookup_Year,0)),IF(LEFT($D28,MIN(FIND({0,1,2,3,4,5,6,7,8,9},$D28&amp;"0123456789"))-1)="PHEV",INDEX(PHEV_TBE,MATCH($A27,PHEV_TBE_VehClass,0),MATCH(F$3,Lookup_Year,0)),IF(LEFT($D28,MIN(FIND({0,1,2,3,4,5,6,7,8,9},$D28&amp;"0123456789"))-1)="FCEV",INDEX(FCEV_TBE,MATCH($A27,FCEV_TBE_VehClass,0),MATCH(F$3,Lookup_Year,0)))))</f>
        <v>1.65672</v>
      </c>
      <c r="G28" s="22" cm="1">
        <f t="array" ref="G28">IF(LEFT($D28,MIN(FIND({0,1,2,3,4,5,6,7,8,9},$D28&amp;"0123456789"))-1)="BEV",INDEX(BEV_TBE,MATCH($A27,BEV_TBE_VehClass,0),MATCH(G$3,Lookup_Year,0)),IF(LEFT($D28,MIN(FIND({0,1,2,3,4,5,6,7,8,9},$D28&amp;"0123456789"))-1)="PHEV",INDEX(PHEV_TBE,MATCH($A27,PHEV_TBE_VehClass,0),MATCH(G$3,Lookup_Year,0)),IF(LEFT($D28,MIN(FIND({0,1,2,3,4,5,6,7,8,9},$D28&amp;"0123456789"))-1)="FCEV",INDEX(FCEV_TBE,MATCH($A27,FCEV_TBE_VehClass,0),MATCH(G$3,Lookup_Year,0)))))</f>
        <v>1.6286399999999999</v>
      </c>
      <c r="H28" s="22" cm="1">
        <f t="array" ref="H28">IF(LEFT($D28,MIN(FIND({0,1,2,3,4,5,6,7,8,9},$D28&amp;"0123456789"))-1)="BEV",INDEX(BEV_TBE,MATCH($A27,BEV_TBE_VehClass,0),MATCH(H$3,Lookup_Year,0)),IF(LEFT($D28,MIN(FIND({0,1,2,3,4,5,6,7,8,9},$D28&amp;"0123456789"))-1)="PHEV",INDEX(PHEV_TBE,MATCH($A27,PHEV_TBE_VehClass,0),MATCH(H$3,Lookup_Year,0)),IF(LEFT($D28,MIN(FIND({0,1,2,3,4,5,6,7,8,9},$D28&amp;"0123456789"))-1)="FCEV",INDEX(FCEV_TBE,MATCH($A27,FCEV_TBE_VehClass,0),MATCH(H$3,Lookup_Year,0)))))</f>
        <v>1.60056</v>
      </c>
      <c r="I28" s="22" cm="1">
        <f t="array" ref="I28">IF(LEFT($D28,MIN(FIND({0,1,2,3,4,5,6,7,8,9},$D28&amp;"0123456789"))-1)="BEV",INDEX(BEV_TBE,MATCH($A27,BEV_TBE_VehClass,0),MATCH(I$3,Lookup_Year,0)),IF(LEFT($D28,MIN(FIND({0,1,2,3,4,5,6,7,8,9},$D28&amp;"0123456789"))-1)="PHEV",INDEX(PHEV_TBE,MATCH($A27,PHEV_TBE_VehClass,0),MATCH(I$3,Lookup_Year,0)),IF(LEFT($D28,MIN(FIND({0,1,2,3,4,5,6,7,8,9},$D28&amp;"0123456789"))-1)="FCEV",INDEX(FCEV_TBE,MATCH($A27,FCEV_TBE_VehClass,0),MATCH(I$3,Lookup_Year,0)))))</f>
        <v>1.5724799999999999</v>
      </c>
      <c r="J28" s="22" cm="1">
        <f t="array" ref="J28">IF(LEFT($D28,MIN(FIND({0,1,2,3,4,5,6,7,8,9},$D28&amp;"0123456789"))-1)="BEV",INDEX(BEV_TBE,MATCH($A27,BEV_TBE_VehClass,0),MATCH(J$3,Lookup_Year,0)),IF(LEFT($D28,MIN(FIND({0,1,2,3,4,5,6,7,8,9},$D28&amp;"0123456789"))-1)="PHEV",INDEX(PHEV_TBE,MATCH($A27,PHEV_TBE_VehClass,0),MATCH(J$3,Lookup_Year,0)),IF(LEFT($D28,MIN(FIND({0,1,2,3,4,5,6,7,8,9},$D28&amp;"0123456789"))-1)="FCEV",INDEX(FCEV_TBE,MATCH($A27,FCEV_TBE_VehClass,0),MATCH(J$3,Lookup_Year,0)))))</f>
        <v>1.5444</v>
      </c>
      <c r="K28" s="22" cm="1">
        <f t="array" ref="K28">IF(LEFT($D28,MIN(FIND({0,1,2,3,4,5,6,7,8,9},$D28&amp;"0123456789"))-1)="BEV",INDEX(BEV_TBE,MATCH($A27,BEV_TBE_VehClass,0),MATCH(K$3,Lookup_Year,0)),IF(LEFT($D28,MIN(FIND({0,1,2,3,4,5,6,7,8,9},$D28&amp;"0123456789"))-1)="PHEV",INDEX(PHEV_TBE,MATCH($A27,PHEV_TBE_VehClass,0),MATCH(K$3,Lookup_Year,0)),IF(LEFT($D28,MIN(FIND({0,1,2,3,4,5,6,7,8,9},$D28&amp;"0123456789"))-1)="FCEV",INDEX(FCEV_TBE,MATCH($A27,FCEV_TBE_VehClass,0),MATCH(K$3,Lookup_Year,0)))))</f>
        <v>1.5163199999999999</v>
      </c>
      <c r="L28" s="22" cm="1">
        <f t="array" ref="L28">IF(LEFT($D28,MIN(FIND({0,1,2,3,4,5,6,7,8,9},$D28&amp;"0123456789"))-1)="BEV",INDEX(BEV_TBE,MATCH($A27,BEV_TBE_VehClass,0),MATCH(L$3,Lookup_Year,0)),IF(LEFT($D28,MIN(FIND({0,1,2,3,4,5,6,7,8,9},$D28&amp;"0123456789"))-1)="PHEV",INDEX(PHEV_TBE,MATCH($A27,PHEV_TBE_VehClass,0),MATCH(L$3,Lookup_Year,0)),IF(LEFT($D28,MIN(FIND({0,1,2,3,4,5,6,7,8,9},$D28&amp;"0123456789"))-1)="FCEV",INDEX(FCEV_TBE,MATCH($A27,FCEV_TBE_VehClass,0),MATCH(L$3,Lookup_Year,0)))))</f>
        <v>1.48824</v>
      </c>
      <c r="M28" s="22" cm="1">
        <f t="array" ref="M28">IF(LEFT($D28,MIN(FIND({0,1,2,3,4,5,6,7,8,9},$D28&amp;"0123456789"))-1)="BEV",INDEX(BEV_TBE,MATCH($A27,BEV_TBE_VehClass,0),MATCH(M$3,Lookup_Year,0)),IF(LEFT($D28,MIN(FIND({0,1,2,3,4,5,6,7,8,9},$D28&amp;"0123456789"))-1)="PHEV",INDEX(PHEV_TBE,MATCH($A27,PHEV_TBE_VehClass,0),MATCH(M$3,Lookup_Year,0)),IF(LEFT($D28,MIN(FIND({0,1,2,3,4,5,6,7,8,9},$D28&amp;"0123456789"))-1)="FCEV",INDEX(FCEV_TBE,MATCH($A27,FCEV_TBE_VehClass,0),MATCH(M$3,Lookup_Year,0)))))</f>
        <v>1.4601599999999999</v>
      </c>
      <c r="N28" s="22" cm="1">
        <f t="array" ref="N28">IF(LEFT($D28,MIN(FIND({0,1,2,3,4,5,6,7,8,9},$D28&amp;"0123456789"))-1)="BEV",INDEX(BEV_TBE,MATCH($A27,BEV_TBE_VehClass,0),MATCH(N$3,Lookup_Year,0)),IF(LEFT($D28,MIN(FIND({0,1,2,3,4,5,6,7,8,9},$D28&amp;"0123456789"))-1)="PHEV",INDEX(PHEV_TBE,MATCH($A27,PHEV_TBE_VehClass,0),MATCH(N$3,Lookup_Year,0)),IF(LEFT($D28,MIN(FIND({0,1,2,3,4,5,6,7,8,9},$D28&amp;"0123456789"))-1)="FCEV",INDEX(FCEV_TBE,MATCH($A27,FCEV_TBE_VehClass,0),MATCH(N$3,Lookup_Year,0)))))</f>
        <v>1.43208</v>
      </c>
      <c r="O28" s="42" cm="1">
        <f t="array" ref="O28">IF(LEFT($D28,MIN(FIND({0,1,2,3,4,5,6,7,8,9},$D28&amp;"0123456789"))-1)="BEV",INDEX(BEV_TBE,MATCH($A27,BEV_TBE_VehClass,0),MATCH(O$3,Lookup_Year,0)),IF(LEFT($D28,MIN(FIND({0,1,2,3,4,5,6,7,8,9},$D28&amp;"0123456789"))-1)="PHEV",INDEX(PHEV_TBE,MATCH($A27,PHEV_TBE_VehClass,0),MATCH(O$3,Lookup_Year,0)),IF(LEFT($D28,MIN(FIND({0,1,2,3,4,5,6,7,8,9},$D28&amp;"0123456789"))-1)="FCEV",INDEX(FCEV_TBE,MATCH($A27,FCEV_TBE_VehClass,0),MATCH(O$3,Lookup_Year,0)))))</f>
        <v>1.4039999999999999</v>
      </c>
      <c r="P28" s="11"/>
      <c r="Q28" s="11"/>
      <c r="R28" s="11"/>
      <c r="S28" s="11"/>
      <c r="T28" s="11"/>
      <c r="U28" s="11"/>
    </row>
    <row r="29" spans="1:21" x14ac:dyDescent="0.3">
      <c r="A29" t="str">
        <f t="shared" si="0"/>
        <v>SmallSUVPremiumFCEV320</v>
      </c>
      <c r="B29" s="79" t="str">
        <f>'Vehicle Attributes - Base Year'!B26</f>
        <v>SmallSUV</v>
      </c>
      <c r="C29" s="68" t="str">
        <f>'Vehicle Attributes - Base Year'!C26</f>
        <v>Base</v>
      </c>
      <c r="D29" s="68" t="str">
        <f>'Vehicle Attributes - Base Year'!D26</f>
        <v>FCEV320</v>
      </c>
      <c r="E29" s="22" cm="1">
        <f t="array" ref="E29">IF(LEFT($D29,MIN(FIND({0,1,2,3,4,5,6,7,8,9},$D29&amp;"0123456789"))-1)="BEV",INDEX(BEV_TBE,MATCH($A28,BEV_TBE_VehClass,0),MATCH(E$3,Lookup_Year,0)),IF(LEFT($D29,MIN(FIND({0,1,2,3,4,5,6,7,8,9},$D29&amp;"0123456789"))-1)="PHEV",INDEX(PHEV_TBE,MATCH($A28,PHEV_TBE_VehClass,0),MATCH(E$3,Lookup_Year,0)),IF(LEFT($D29,MIN(FIND({0,1,2,3,4,5,6,7,8,9},$D29&amp;"0123456789"))-1)="FCEV",INDEX(FCEV_TBE,MATCH($A28,FCEV_TBE_VehClass,0),MATCH(E$3,Lookup_Year,0)))))</f>
        <v>1.6847999999999999</v>
      </c>
      <c r="F29" s="22" cm="1">
        <f t="array" ref="F29">IF(LEFT($D29,MIN(FIND({0,1,2,3,4,5,6,7,8,9},$D29&amp;"0123456789"))-1)="BEV",INDEX(BEV_TBE,MATCH($A28,BEV_TBE_VehClass,0),MATCH(F$3,Lookup_Year,0)),IF(LEFT($D29,MIN(FIND({0,1,2,3,4,5,6,7,8,9},$D29&amp;"0123456789"))-1)="PHEV",INDEX(PHEV_TBE,MATCH($A28,PHEV_TBE_VehClass,0),MATCH(F$3,Lookup_Year,0)),IF(LEFT($D29,MIN(FIND({0,1,2,3,4,5,6,7,8,9},$D29&amp;"0123456789"))-1)="FCEV",INDEX(FCEV_TBE,MATCH($A28,FCEV_TBE_VehClass,0),MATCH(F$3,Lookup_Year,0)))))</f>
        <v>1.65672</v>
      </c>
      <c r="G29" s="22" cm="1">
        <f t="array" ref="G29">IF(LEFT($D29,MIN(FIND({0,1,2,3,4,5,6,7,8,9},$D29&amp;"0123456789"))-1)="BEV",INDEX(BEV_TBE,MATCH($A28,BEV_TBE_VehClass,0),MATCH(G$3,Lookup_Year,0)),IF(LEFT($D29,MIN(FIND({0,1,2,3,4,5,6,7,8,9},$D29&amp;"0123456789"))-1)="PHEV",INDEX(PHEV_TBE,MATCH($A28,PHEV_TBE_VehClass,0),MATCH(G$3,Lookup_Year,0)),IF(LEFT($D29,MIN(FIND({0,1,2,3,4,5,6,7,8,9},$D29&amp;"0123456789"))-1)="FCEV",INDEX(FCEV_TBE,MATCH($A28,FCEV_TBE_VehClass,0),MATCH(G$3,Lookup_Year,0)))))</f>
        <v>1.6286399999999999</v>
      </c>
      <c r="H29" s="22" cm="1">
        <f t="array" ref="H29">IF(LEFT($D29,MIN(FIND({0,1,2,3,4,5,6,7,8,9},$D29&amp;"0123456789"))-1)="BEV",INDEX(BEV_TBE,MATCH($A28,BEV_TBE_VehClass,0),MATCH(H$3,Lookup_Year,0)),IF(LEFT($D29,MIN(FIND({0,1,2,3,4,5,6,7,8,9},$D29&amp;"0123456789"))-1)="PHEV",INDEX(PHEV_TBE,MATCH($A28,PHEV_TBE_VehClass,0),MATCH(H$3,Lookup_Year,0)),IF(LEFT($D29,MIN(FIND({0,1,2,3,4,5,6,7,8,9},$D29&amp;"0123456789"))-1)="FCEV",INDEX(FCEV_TBE,MATCH($A28,FCEV_TBE_VehClass,0),MATCH(H$3,Lookup_Year,0)))))</f>
        <v>1.60056</v>
      </c>
      <c r="I29" s="22" cm="1">
        <f t="array" ref="I29">IF(LEFT($D29,MIN(FIND({0,1,2,3,4,5,6,7,8,9},$D29&amp;"0123456789"))-1)="BEV",INDEX(BEV_TBE,MATCH($A28,BEV_TBE_VehClass,0),MATCH(I$3,Lookup_Year,0)),IF(LEFT($D29,MIN(FIND({0,1,2,3,4,5,6,7,8,9},$D29&amp;"0123456789"))-1)="PHEV",INDEX(PHEV_TBE,MATCH($A28,PHEV_TBE_VehClass,0),MATCH(I$3,Lookup_Year,0)),IF(LEFT($D29,MIN(FIND({0,1,2,3,4,5,6,7,8,9},$D29&amp;"0123456789"))-1)="FCEV",INDEX(FCEV_TBE,MATCH($A28,FCEV_TBE_VehClass,0),MATCH(I$3,Lookup_Year,0)))))</f>
        <v>1.5724799999999999</v>
      </c>
      <c r="J29" s="22" cm="1">
        <f t="array" ref="J29">IF(LEFT($D29,MIN(FIND({0,1,2,3,4,5,6,7,8,9},$D29&amp;"0123456789"))-1)="BEV",INDEX(BEV_TBE,MATCH($A28,BEV_TBE_VehClass,0),MATCH(J$3,Lookup_Year,0)),IF(LEFT($D29,MIN(FIND({0,1,2,3,4,5,6,7,8,9},$D29&amp;"0123456789"))-1)="PHEV",INDEX(PHEV_TBE,MATCH($A28,PHEV_TBE_VehClass,0),MATCH(J$3,Lookup_Year,0)),IF(LEFT($D29,MIN(FIND({0,1,2,3,4,5,6,7,8,9},$D29&amp;"0123456789"))-1)="FCEV",INDEX(FCEV_TBE,MATCH($A28,FCEV_TBE_VehClass,0),MATCH(J$3,Lookup_Year,0)))))</f>
        <v>1.5444</v>
      </c>
      <c r="K29" s="22" cm="1">
        <f t="array" ref="K29">IF(LEFT($D29,MIN(FIND({0,1,2,3,4,5,6,7,8,9},$D29&amp;"0123456789"))-1)="BEV",INDEX(BEV_TBE,MATCH($A28,BEV_TBE_VehClass,0),MATCH(K$3,Lookup_Year,0)),IF(LEFT($D29,MIN(FIND({0,1,2,3,4,5,6,7,8,9},$D29&amp;"0123456789"))-1)="PHEV",INDEX(PHEV_TBE,MATCH($A28,PHEV_TBE_VehClass,0),MATCH(K$3,Lookup_Year,0)),IF(LEFT($D29,MIN(FIND({0,1,2,3,4,5,6,7,8,9},$D29&amp;"0123456789"))-1)="FCEV",INDEX(FCEV_TBE,MATCH($A28,FCEV_TBE_VehClass,0),MATCH(K$3,Lookup_Year,0)))))</f>
        <v>1.5444</v>
      </c>
      <c r="L29" s="22" cm="1">
        <f t="array" ref="L29">IF(LEFT($D29,MIN(FIND({0,1,2,3,4,5,6,7,8,9},$D29&amp;"0123456789"))-1)="BEV",INDEX(BEV_TBE,MATCH($A28,BEV_TBE_VehClass,0),MATCH(L$3,Lookup_Year,0)),IF(LEFT($D29,MIN(FIND({0,1,2,3,4,5,6,7,8,9},$D29&amp;"0123456789"))-1)="PHEV",INDEX(PHEV_TBE,MATCH($A28,PHEV_TBE_VehClass,0),MATCH(L$3,Lookup_Year,0)),IF(LEFT($D29,MIN(FIND({0,1,2,3,4,5,6,7,8,9},$D29&amp;"0123456789"))-1)="FCEV",INDEX(FCEV_TBE,MATCH($A28,FCEV_TBE_VehClass,0),MATCH(L$3,Lookup_Year,0)))))</f>
        <v>1.5444</v>
      </c>
      <c r="M29" s="22" cm="1">
        <f t="array" ref="M29">IF(LEFT($D29,MIN(FIND({0,1,2,3,4,5,6,7,8,9},$D29&amp;"0123456789"))-1)="BEV",INDEX(BEV_TBE,MATCH($A28,BEV_TBE_VehClass,0),MATCH(M$3,Lookup_Year,0)),IF(LEFT($D29,MIN(FIND({0,1,2,3,4,5,6,7,8,9},$D29&amp;"0123456789"))-1)="PHEV",INDEX(PHEV_TBE,MATCH($A28,PHEV_TBE_VehClass,0),MATCH(M$3,Lookup_Year,0)),IF(LEFT($D29,MIN(FIND({0,1,2,3,4,5,6,7,8,9},$D29&amp;"0123456789"))-1)="FCEV",INDEX(FCEV_TBE,MATCH($A28,FCEV_TBE_VehClass,0),MATCH(M$3,Lookup_Year,0)))))</f>
        <v>1.5444</v>
      </c>
      <c r="N29" s="22" cm="1">
        <f t="array" ref="N29">IF(LEFT($D29,MIN(FIND({0,1,2,3,4,5,6,7,8,9},$D29&amp;"0123456789"))-1)="BEV",INDEX(BEV_TBE,MATCH($A28,BEV_TBE_VehClass,0),MATCH(N$3,Lookup_Year,0)),IF(LEFT($D29,MIN(FIND({0,1,2,3,4,5,6,7,8,9},$D29&amp;"0123456789"))-1)="PHEV",INDEX(PHEV_TBE,MATCH($A28,PHEV_TBE_VehClass,0),MATCH(N$3,Lookup_Year,0)),IF(LEFT($D29,MIN(FIND({0,1,2,3,4,5,6,7,8,9},$D29&amp;"0123456789"))-1)="FCEV",INDEX(FCEV_TBE,MATCH($A28,FCEV_TBE_VehClass,0),MATCH(N$3,Lookup_Year,0)))))</f>
        <v>1.5444</v>
      </c>
      <c r="O29" s="42" cm="1">
        <f t="array" ref="O29">IF(LEFT($D29,MIN(FIND({0,1,2,3,4,5,6,7,8,9},$D29&amp;"0123456789"))-1)="BEV",INDEX(BEV_TBE,MATCH($A28,BEV_TBE_VehClass,0),MATCH(O$3,Lookup_Year,0)),IF(LEFT($D29,MIN(FIND({0,1,2,3,4,5,6,7,8,9},$D29&amp;"0123456789"))-1)="PHEV",INDEX(PHEV_TBE,MATCH($A28,PHEV_TBE_VehClass,0),MATCH(O$3,Lookup_Year,0)),IF(LEFT($D29,MIN(FIND({0,1,2,3,4,5,6,7,8,9},$D29&amp;"0123456789"))-1)="FCEV",INDEX(FCEV_TBE,MATCH($A28,FCEV_TBE_VehClass,0),MATCH(O$3,Lookup_Year,0)))))</f>
        <v>1.5444</v>
      </c>
      <c r="P29" s="11"/>
      <c r="Q29" s="11"/>
      <c r="R29" s="11"/>
      <c r="S29" s="11"/>
      <c r="T29" s="11"/>
      <c r="U29" s="11"/>
    </row>
    <row r="30" spans="1:21" x14ac:dyDescent="0.3">
      <c r="A30" s="16" t="str">
        <f t="shared" si="0"/>
        <v>MedSUVBaseFCEV320</v>
      </c>
      <c r="B30" s="79" t="str">
        <f>'Vehicle Attributes - Base Year'!B27</f>
        <v>SmallSUV</v>
      </c>
      <c r="C30" s="68" t="str">
        <f>'Vehicle Attributes - Base Year'!C27</f>
        <v>Premium</v>
      </c>
      <c r="D30" s="68" t="str">
        <f>'Vehicle Attributes - Base Year'!D27</f>
        <v>FCEV320</v>
      </c>
      <c r="E30" s="22" cm="1">
        <f t="array" ref="E30">IF(LEFT($D30,MIN(FIND({0,1,2,3,4,5,6,7,8,9},$D30&amp;"0123456789"))-1)="BEV",INDEX(BEV_TBE,MATCH($A29,BEV_TBE_VehClass,0),MATCH(E$3,Lookup_Year,0)),IF(LEFT($D30,MIN(FIND({0,1,2,3,4,5,6,7,8,9},$D30&amp;"0123456789"))-1)="PHEV",INDEX(PHEV_TBE,MATCH($A29,PHEV_TBE_VehClass,0),MATCH(E$3,Lookup_Year,0)),IF(LEFT($D30,MIN(FIND({0,1,2,3,4,5,6,7,8,9},$D30&amp;"0123456789"))-1)="FCEV",INDEX(FCEV_TBE,MATCH($A29,FCEV_TBE_VehClass,0),MATCH(E$3,Lookup_Year,0)))))</f>
        <v>1.6847999999999999</v>
      </c>
      <c r="F30" s="22" cm="1">
        <f t="array" ref="F30">IF(LEFT($D30,MIN(FIND({0,1,2,3,4,5,6,7,8,9},$D30&amp;"0123456789"))-1)="BEV",INDEX(BEV_TBE,MATCH($A29,BEV_TBE_VehClass,0),MATCH(F$3,Lookup_Year,0)),IF(LEFT($D30,MIN(FIND({0,1,2,3,4,5,6,7,8,9},$D30&amp;"0123456789"))-1)="PHEV",INDEX(PHEV_TBE,MATCH($A29,PHEV_TBE_VehClass,0),MATCH(F$3,Lookup_Year,0)),IF(LEFT($D30,MIN(FIND({0,1,2,3,4,5,6,7,8,9},$D30&amp;"0123456789"))-1)="FCEV",INDEX(FCEV_TBE,MATCH($A29,FCEV_TBE_VehClass,0),MATCH(F$3,Lookup_Year,0)))))</f>
        <v>1.65672</v>
      </c>
      <c r="G30" s="22" cm="1">
        <f t="array" ref="G30">IF(LEFT($D30,MIN(FIND({0,1,2,3,4,5,6,7,8,9},$D30&amp;"0123456789"))-1)="BEV",INDEX(BEV_TBE,MATCH($A29,BEV_TBE_VehClass,0),MATCH(G$3,Lookup_Year,0)),IF(LEFT($D30,MIN(FIND({0,1,2,3,4,5,6,7,8,9},$D30&amp;"0123456789"))-1)="PHEV",INDEX(PHEV_TBE,MATCH($A29,PHEV_TBE_VehClass,0),MATCH(G$3,Lookup_Year,0)),IF(LEFT($D30,MIN(FIND({0,1,2,3,4,5,6,7,8,9},$D30&amp;"0123456789"))-1)="FCEV",INDEX(FCEV_TBE,MATCH($A29,FCEV_TBE_VehClass,0),MATCH(G$3,Lookup_Year,0)))))</f>
        <v>1.6286399999999999</v>
      </c>
      <c r="H30" s="22" cm="1">
        <f t="array" ref="H30">IF(LEFT($D30,MIN(FIND({0,1,2,3,4,5,6,7,8,9},$D30&amp;"0123456789"))-1)="BEV",INDEX(BEV_TBE,MATCH($A29,BEV_TBE_VehClass,0),MATCH(H$3,Lookup_Year,0)),IF(LEFT($D30,MIN(FIND({0,1,2,3,4,5,6,7,8,9},$D30&amp;"0123456789"))-1)="PHEV",INDEX(PHEV_TBE,MATCH($A29,PHEV_TBE_VehClass,0),MATCH(H$3,Lookup_Year,0)),IF(LEFT($D30,MIN(FIND({0,1,2,3,4,5,6,7,8,9},$D30&amp;"0123456789"))-1)="FCEV",INDEX(FCEV_TBE,MATCH($A29,FCEV_TBE_VehClass,0),MATCH(H$3,Lookup_Year,0)))))</f>
        <v>1.60056</v>
      </c>
      <c r="I30" s="22" cm="1">
        <f t="array" ref="I30">IF(LEFT($D30,MIN(FIND({0,1,2,3,4,5,6,7,8,9},$D30&amp;"0123456789"))-1)="BEV",INDEX(BEV_TBE,MATCH($A29,BEV_TBE_VehClass,0),MATCH(I$3,Lookup_Year,0)),IF(LEFT($D30,MIN(FIND({0,1,2,3,4,5,6,7,8,9},$D30&amp;"0123456789"))-1)="PHEV",INDEX(PHEV_TBE,MATCH($A29,PHEV_TBE_VehClass,0),MATCH(I$3,Lookup_Year,0)),IF(LEFT($D30,MIN(FIND({0,1,2,3,4,5,6,7,8,9},$D30&amp;"0123456789"))-1)="FCEV",INDEX(FCEV_TBE,MATCH($A29,FCEV_TBE_VehClass,0),MATCH(I$3,Lookup_Year,0)))))</f>
        <v>1.5724799999999999</v>
      </c>
      <c r="J30" s="22" cm="1">
        <f t="array" ref="J30">IF(LEFT($D30,MIN(FIND({0,1,2,3,4,5,6,7,8,9},$D30&amp;"0123456789"))-1)="BEV",INDEX(BEV_TBE,MATCH($A29,BEV_TBE_VehClass,0),MATCH(J$3,Lookup_Year,0)),IF(LEFT($D30,MIN(FIND({0,1,2,3,4,5,6,7,8,9},$D30&amp;"0123456789"))-1)="PHEV",INDEX(PHEV_TBE,MATCH($A29,PHEV_TBE_VehClass,0),MATCH(J$3,Lookup_Year,0)),IF(LEFT($D30,MIN(FIND({0,1,2,3,4,5,6,7,8,9},$D30&amp;"0123456789"))-1)="FCEV",INDEX(FCEV_TBE,MATCH($A29,FCEV_TBE_VehClass,0),MATCH(J$3,Lookup_Year,0)))))</f>
        <v>1.5444</v>
      </c>
      <c r="K30" s="22" cm="1">
        <f t="array" ref="K30">IF(LEFT($D30,MIN(FIND({0,1,2,3,4,5,6,7,8,9},$D30&amp;"0123456789"))-1)="BEV",INDEX(BEV_TBE,MATCH($A29,BEV_TBE_VehClass,0),MATCH(K$3,Lookup_Year,0)),IF(LEFT($D30,MIN(FIND({0,1,2,3,4,5,6,7,8,9},$D30&amp;"0123456789"))-1)="PHEV",INDEX(PHEV_TBE,MATCH($A29,PHEV_TBE_VehClass,0),MATCH(K$3,Lookup_Year,0)),IF(LEFT($D30,MIN(FIND({0,1,2,3,4,5,6,7,8,9},$D30&amp;"0123456789"))-1)="FCEV",INDEX(FCEV_TBE,MATCH($A29,FCEV_TBE_VehClass,0),MATCH(K$3,Lookup_Year,0)))))</f>
        <v>1.5444</v>
      </c>
      <c r="L30" s="22" cm="1">
        <f t="array" ref="L30">IF(LEFT($D30,MIN(FIND({0,1,2,3,4,5,6,7,8,9},$D30&amp;"0123456789"))-1)="BEV",INDEX(BEV_TBE,MATCH($A29,BEV_TBE_VehClass,0),MATCH(L$3,Lookup_Year,0)),IF(LEFT($D30,MIN(FIND({0,1,2,3,4,5,6,7,8,9},$D30&amp;"0123456789"))-1)="PHEV",INDEX(PHEV_TBE,MATCH($A29,PHEV_TBE_VehClass,0),MATCH(L$3,Lookup_Year,0)),IF(LEFT($D30,MIN(FIND({0,1,2,3,4,5,6,7,8,9},$D30&amp;"0123456789"))-1)="FCEV",INDEX(FCEV_TBE,MATCH($A29,FCEV_TBE_VehClass,0),MATCH(L$3,Lookup_Year,0)))))</f>
        <v>1.5444</v>
      </c>
      <c r="M30" s="22" cm="1">
        <f t="array" ref="M30">IF(LEFT($D30,MIN(FIND({0,1,2,3,4,5,6,7,8,9},$D30&amp;"0123456789"))-1)="BEV",INDEX(BEV_TBE,MATCH($A29,BEV_TBE_VehClass,0),MATCH(M$3,Lookup_Year,0)),IF(LEFT($D30,MIN(FIND({0,1,2,3,4,5,6,7,8,9},$D30&amp;"0123456789"))-1)="PHEV",INDEX(PHEV_TBE,MATCH($A29,PHEV_TBE_VehClass,0),MATCH(M$3,Lookup_Year,0)),IF(LEFT($D30,MIN(FIND({0,1,2,3,4,5,6,7,8,9},$D30&amp;"0123456789"))-1)="FCEV",INDEX(FCEV_TBE,MATCH($A29,FCEV_TBE_VehClass,0),MATCH(M$3,Lookup_Year,0)))))</f>
        <v>1.5444</v>
      </c>
      <c r="N30" s="22" cm="1">
        <f t="array" ref="N30">IF(LEFT($D30,MIN(FIND({0,1,2,3,4,5,6,7,8,9},$D30&amp;"0123456789"))-1)="BEV",INDEX(BEV_TBE,MATCH($A29,BEV_TBE_VehClass,0),MATCH(N$3,Lookup_Year,0)),IF(LEFT($D30,MIN(FIND({0,1,2,3,4,5,6,7,8,9},$D30&amp;"0123456789"))-1)="PHEV",INDEX(PHEV_TBE,MATCH($A29,PHEV_TBE_VehClass,0),MATCH(N$3,Lookup_Year,0)),IF(LEFT($D30,MIN(FIND({0,1,2,3,4,5,6,7,8,9},$D30&amp;"0123456789"))-1)="FCEV",INDEX(FCEV_TBE,MATCH($A29,FCEV_TBE_VehClass,0),MATCH(N$3,Lookup_Year,0)))))</f>
        <v>1.5444</v>
      </c>
      <c r="O30" s="42" cm="1">
        <f t="array" ref="O30">IF(LEFT($D30,MIN(FIND({0,1,2,3,4,5,6,7,8,9},$D30&amp;"0123456789"))-1)="BEV",INDEX(BEV_TBE,MATCH($A29,BEV_TBE_VehClass,0),MATCH(O$3,Lookup_Year,0)),IF(LEFT($D30,MIN(FIND({0,1,2,3,4,5,6,7,8,9},$D30&amp;"0123456789"))-1)="PHEV",INDEX(PHEV_TBE,MATCH($A29,PHEV_TBE_VehClass,0),MATCH(O$3,Lookup_Year,0)),IF(LEFT($D30,MIN(FIND({0,1,2,3,4,5,6,7,8,9},$D30&amp;"0123456789"))-1)="FCEV",INDEX(FCEV_TBE,MATCH($A29,FCEV_TBE_VehClass,0),MATCH(O$3,Lookup_Year,0)))))</f>
        <v>1.5444</v>
      </c>
      <c r="P30" s="11"/>
      <c r="Q30" s="11"/>
      <c r="R30" s="11"/>
      <c r="S30" s="11"/>
      <c r="T30" s="11"/>
      <c r="U30" s="11"/>
    </row>
    <row r="31" spans="1:21" x14ac:dyDescent="0.3">
      <c r="A31" t="str">
        <f t="shared" si="0"/>
        <v>MedSUVPremiumFCEV320</v>
      </c>
      <c r="B31" s="79" t="str">
        <f>'Vehicle Attributes - Base Year'!B28</f>
        <v>MedSUV</v>
      </c>
      <c r="C31" s="68" t="str">
        <f>'Vehicle Attributes - Base Year'!C28</f>
        <v>Base</v>
      </c>
      <c r="D31" s="68" t="str">
        <f>'Vehicle Attributes - Base Year'!D28</f>
        <v>FCEV320</v>
      </c>
      <c r="E31" s="22" cm="1">
        <f t="array" ref="E31">IF(LEFT($D31,MIN(FIND({0,1,2,3,4,5,6,7,8,9},$D31&amp;"0123456789"))-1)="BEV",INDEX(BEV_TBE,MATCH($A30,BEV_TBE_VehClass,0),MATCH(E$3,Lookup_Year,0)),IF(LEFT($D31,MIN(FIND({0,1,2,3,4,5,6,7,8,9},$D31&amp;"0123456789"))-1)="PHEV",INDEX(PHEV_TBE,MATCH($A30,PHEV_TBE_VehClass,0),MATCH(E$3,Lookup_Year,0)),IF(LEFT($D31,MIN(FIND({0,1,2,3,4,5,6,7,8,9},$D31&amp;"0123456789"))-1)="FCEV",INDEX(FCEV_TBE,MATCH($A30,FCEV_TBE_VehClass,0),MATCH(E$3,Lookup_Year,0)))))</f>
        <v>1.9656</v>
      </c>
      <c r="F31" s="22" cm="1">
        <f t="array" ref="F31">IF(LEFT($D31,MIN(FIND({0,1,2,3,4,5,6,7,8,9},$D31&amp;"0123456789"))-1)="BEV",INDEX(BEV_TBE,MATCH($A30,BEV_TBE_VehClass,0),MATCH(F$3,Lookup_Year,0)),IF(LEFT($D31,MIN(FIND({0,1,2,3,4,5,6,7,8,9},$D31&amp;"0123456789"))-1)="PHEV",INDEX(PHEV_TBE,MATCH($A30,PHEV_TBE_VehClass,0),MATCH(F$3,Lookup_Year,0)),IF(LEFT($D31,MIN(FIND({0,1,2,3,4,5,6,7,8,9},$D31&amp;"0123456789"))-1)="FCEV",INDEX(FCEV_TBE,MATCH($A30,FCEV_TBE_VehClass,0),MATCH(F$3,Lookup_Year,0)))))</f>
        <v>1.9375200000000001</v>
      </c>
      <c r="G31" s="22" cm="1">
        <f t="array" ref="G31">IF(LEFT($D31,MIN(FIND({0,1,2,3,4,5,6,7,8,9},$D31&amp;"0123456789"))-1)="BEV",INDEX(BEV_TBE,MATCH($A30,BEV_TBE_VehClass,0),MATCH(G$3,Lookup_Year,0)),IF(LEFT($D31,MIN(FIND({0,1,2,3,4,5,6,7,8,9},$D31&amp;"0123456789"))-1)="PHEV",INDEX(PHEV_TBE,MATCH($A30,PHEV_TBE_VehClass,0),MATCH(G$3,Lookup_Year,0)),IF(LEFT($D31,MIN(FIND({0,1,2,3,4,5,6,7,8,9},$D31&amp;"0123456789"))-1)="FCEV",INDEX(FCEV_TBE,MATCH($A30,FCEV_TBE_VehClass,0),MATCH(G$3,Lookup_Year,0)))))</f>
        <v>1.90944</v>
      </c>
      <c r="H31" s="22" cm="1">
        <f t="array" ref="H31">IF(LEFT($D31,MIN(FIND({0,1,2,3,4,5,6,7,8,9},$D31&amp;"0123456789"))-1)="BEV",INDEX(BEV_TBE,MATCH($A30,BEV_TBE_VehClass,0),MATCH(H$3,Lookup_Year,0)),IF(LEFT($D31,MIN(FIND({0,1,2,3,4,5,6,7,8,9},$D31&amp;"0123456789"))-1)="PHEV",INDEX(PHEV_TBE,MATCH($A30,PHEV_TBE_VehClass,0),MATCH(H$3,Lookup_Year,0)),IF(LEFT($D31,MIN(FIND({0,1,2,3,4,5,6,7,8,9},$D31&amp;"0123456789"))-1)="FCEV",INDEX(FCEV_TBE,MATCH($A30,FCEV_TBE_VehClass,0),MATCH(H$3,Lookup_Year,0)))))</f>
        <v>1.8813600000000001</v>
      </c>
      <c r="I31" s="22" cm="1">
        <f t="array" ref="I31">IF(LEFT($D31,MIN(FIND({0,1,2,3,4,5,6,7,8,9},$D31&amp;"0123456789"))-1)="BEV",INDEX(BEV_TBE,MATCH($A30,BEV_TBE_VehClass,0),MATCH(I$3,Lookup_Year,0)),IF(LEFT($D31,MIN(FIND({0,1,2,3,4,5,6,7,8,9},$D31&amp;"0123456789"))-1)="PHEV",INDEX(PHEV_TBE,MATCH($A30,PHEV_TBE_VehClass,0),MATCH(I$3,Lookup_Year,0)),IF(LEFT($D31,MIN(FIND({0,1,2,3,4,5,6,7,8,9},$D31&amp;"0123456789"))-1)="FCEV",INDEX(FCEV_TBE,MATCH($A30,FCEV_TBE_VehClass,0),MATCH(I$3,Lookup_Year,0)))))</f>
        <v>1.85328</v>
      </c>
      <c r="J31" s="22" cm="1">
        <f t="array" ref="J31">IF(LEFT($D31,MIN(FIND({0,1,2,3,4,5,6,7,8,9},$D31&amp;"0123456789"))-1)="BEV",INDEX(BEV_TBE,MATCH($A30,BEV_TBE_VehClass,0),MATCH(J$3,Lookup_Year,0)),IF(LEFT($D31,MIN(FIND({0,1,2,3,4,5,6,7,8,9},$D31&amp;"0123456789"))-1)="PHEV",INDEX(PHEV_TBE,MATCH($A30,PHEV_TBE_VehClass,0),MATCH(J$3,Lookup_Year,0)),IF(LEFT($D31,MIN(FIND({0,1,2,3,4,5,6,7,8,9},$D31&amp;"0123456789"))-1)="FCEV",INDEX(FCEV_TBE,MATCH($A30,FCEV_TBE_VehClass,0),MATCH(J$3,Lookup_Year,0)))))</f>
        <v>1.8252000000000002</v>
      </c>
      <c r="K31" s="22" cm="1">
        <f t="array" ref="K31">IF(LEFT($D31,MIN(FIND({0,1,2,3,4,5,6,7,8,9},$D31&amp;"0123456789"))-1)="BEV",INDEX(BEV_TBE,MATCH($A30,BEV_TBE_VehClass,0),MATCH(K$3,Lookup_Year,0)),IF(LEFT($D31,MIN(FIND({0,1,2,3,4,5,6,7,8,9},$D31&amp;"0123456789"))-1)="PHEV",INDEX(PHEV_TBE,MATCH($A30,PHEV_TBE_VehClass,0),MATCH(K$3,Lookup_Year,0)),IF(LEFT($D31,MIN(FIND({0,1,2,3,4,5,6,7,8,9},$D31&amp;"0123456789"))-1)="FCEV",INDEX(FCEV_TBE,MATCH($A30,FCEV_TBE_VehClass,0),MATCH(K$3,Lookup_Year,0)))))</f>
        <v>1.7971200000000001</v>
      </c>
      <c r="L31" s="22" cm="1">
        <f t="array" ref="L31">IF(LEFT($D31,MIN(FIND({0,1,2,3,4,5,6,7,8,9},$D31&amp;"0123456789"))-1)="BEV",INDEX(BEV_TBE,MATCH($A30,BEV_TBE_VehClass,0),MATCH(L$3,Lookup_Year,0)),IF(LEFT($D31,MIN(FIND({0,1,2,3,4,5,6,7,8,9},$D31&amp;"0123456789"))-1)="PHEV",INDEX(PHEV_TBE,MATCH($A30,PHEV_TBE_VehClass,0),MATCH(L$3,Lookup_Year,0)),IF(LEFT($D31,MIN(FIND({0,1,2,3,4,5,6,7,8,9},$D31&amp;"0123456789"))-1)="FCEV",INDEX(FCEV_TBE,MATCH($A30,FCEV_TBE_VehClass,0),MATCH(L$3,Lookup_Year,0)))))</f>
        <v>1.7690399999999999</v>
      </c>
      <c r="M31" s="22" cm="1">
        <f t="array" ref="M31">IF(LEFT($D31,MIN(FIND({0,1,2,3,4,5,6,7,8,9},$D31&amp;"0123456789"))-1)="BEV",INDEX(BEV_TBE,MATCH($A30,BEV_TBE_VehClass,0),MATCH(M$3,Lookup_Year,0)),IF(LEFT($D31,MIN(FIND({0,1,2,3,4,5,6,7,8,9},$D31&amp;"0123456789"))-1)="PHEV",INDEX(PHEV_TBE,MATCH($A30,PHEV_TBE_VehClass,0),MATCH(M$3,Lookup_Year,0)),IF(LEFT($D31,MIN(FIND({0,1,2,3,4,5,6,7,8,9},$D31&amp;"0123456789"))-1)="FCEV",INDEX(FCEV_TBE,MATCH($A30,FCEV_TBE_VehClass,0),MATCH(M$3,Lookup_Year,0)))))</f>
        <v>1.7409600000000001</v>
      </c>
      <c r="N31" s="22" cm="1">
        <f t="array" ref="N31">IF(LEFT($D31,MIN(FIND({0,1,2,3,4,5,6,7,8,9},$D31&amp;"0123456789"))-1)="BEV",INDEX(BEV_TBE,MATCH($A30,BEV_TBE_VehClass,0),MATCH(N$3,Lookup_Year,0)),IF(LEFT($D31,MIN(FIND({0,1,2,3,4,5,6,7,8,9},$D31&amp;"0123456789"))-1)="PHEV",INDEX(PHEV_TBE,MATCH($A30,PHEV_TBE_VehClass,0),MATCH(N$3,Lookup_Year,0)),IF(LEFT($D31,MIN(FIND({0,1,2,3,4,5,6,7,8,9},$D31&amp;"0123456789"))-1)="FCEV",INDEX(FCEV_TBE,MATCH($A30,FCEV_TBE_VehClass,0),MATCH(N$3,Lookup_Year,0)))))</f>
        <v>1.71288</v>
      </c>
      <c r="O31" s="42" cm="1">
        <f t="array" ref="O31">IF(LEFT($D31,MIN(FIND({0,1,2,3,4,5,6,7,8,9},$D31&amp;"0123456789"))-1)="BEV",INDEX(BEV_TBE,MATCH($A30,BEV_TBE_VehClass,0),MATCH(O$3,Lookup_Year,0)),IF(LEFT($D31,MIN(FIND({0,1,2,3,4,5,6,7,8,9},$D31&amp;"0123456789"))-1)="PHEV",INDEX(PHEV_TBE,MATCH($A30,PHEV_TBE_VehClass,0),MATCH(O$3,Lookup_Year,0)),IF(LEFT($D31,MIN(FIND({0,1,2,3,4,5,6,7,8,9},$D31&amp;"0123456789"))-1)="FCEV",INDEX(FCEV_TBE,MATCH($A30,FCEV_TBE_VehClass,0),MATCH(O$3,Lookup_Year,0)))))</f>
        <v>1.6847999999999999</v>
      </c>
      <c r="P31" s="11"/>
      <c r="Q31" s="11"/>
      <c r="R31" s="11"/>
      <c r="S31" s="11"/>
      <c r="T31" s="11"/>
      <c r="U31" s="11"/>
    </row>
    <row r="32" spans="1:21" x14ac:dyDescent="0.3">
      <c r="A32" s="16" t="str">
        <f t="shared" si="0"/>
        <v>PickupBaseFCEV320</v>
      </c>
      <c r="B32" s="79" t="str">
        <f>'Vehicle Attributes - Base Year'!B29</f>
        <v>MedSUV</v>
      </c>
      <c r="C32" s="68" t="str">
        <f>'Vehicle Attributes - Base Year'!C29</f>
        <v>Premium</v>
      </c>
      <c r="D32" s="68" t="str">
        <f>'Vehicle Attributes - Base Year'!D29</f>
        <v>FCEV320</v>
      </c>
      <c r="E32" s="22" cm="1">
        <f t="array" ref="E32">IF(LEFT($D32,MIN(FIND({0,1,2,3,4,5,6,7,8,9},$D32&amp;"0123456789"))-1)="BEV",INDEX(BEV_TBE,MATCH($A31,BEV_TBE_VehClass,0),MATCH(E$3,Lookup_Year,0)),IF(LEFT($D32,MIN(FIND({0,1,2,3,4,5,6,7,8,9},$D32&amp;"0123456789"))-1)="PHEV",INDEX(PHEV_TBE,MATCH($A31,PHEV_TBE_VehClass,0),MATCH(E$3,Lookup_Year,0)),IF(LEFT($D32,MIN(FIND({0,1,2,3,4,5,6,7,8,9},$D32&amp;"0123456789"))-1)="FCEV",INDEX(FCEV_TBE,MATCH($A31,FCEV_TBE_VehClass,0),MATCH(E$3,Lookup_Year,0)))))</f>
        <v>1.9656</v>
      </c>
      <c r="F32" s="22" cm="1">
        <f t="array" ref="F32">IF(LEFT($D32,MIN(FIND({0,1,2,3,4,5,6,7,8,9},$D32&amp;"0123456789"))-1)="BEV",INDEX(BEV_TBE,MATCH($A31,BEV_TBE_VehClass,0),MATCH(F$3,Lookup_Year,0)),IF(LEFT($D32,MIN(FIND({0,1,2,3,4,5,6,7,8,9},$D32&amp;"0123456789"))-1)="PHEV",INDEX(PHEV_TBE,MATCH($A31,PHEV_TBE_VehClass,0),MATCH(F$3,Lookup_Year,0)),IF(LEFT($D32,MIN(FIND({0,1,2,3,4,5,6,7,8,9},$D32&amp;"0123456789"))-1)="FCEV",INDEX(FCEV_TBE,MATCH($A31,FCEV_TBE_VehClass,0),MATCH(F$3,Lookup_Year,0)))))</f>
        <v>1.9375200000000001</v>
      </c>
      <c r="G32" s="22" cm="1">
        <f t="array" ref="G32">IF(LEFT($D32,MIN(FIND({0,1,2,3,4,5,6,7,8,9},$D32&amp;"0123456789"))-1)="BEV",INDEX(BEV_TBE,MATCH($A31,BEV_TBE_VehClass,0),MATCH(G$3,Lookup_Year,0)),IF(LEFT($D32,MIN(FIND({0,1,2,3,4,5,6,7,8,9},$D32&amp;"0123456789"))-1)="PHEV",INDEX(PHEV_TBE,MATCH($A31,PHEV_TBE_VehClass,0),MATCH(G$3,Lookup_Year,0)),IF(LEFT($D32,MIN(FIND({0,1,2,3,4,5,6,7,8,9},$D32&amp;"0123456789"))-1)="FCEV",INDEX(FCEV_TBE,MATCH($A31,FCEV_TBE_VehClass,0),MATCH(G$3,Lookup_Year,0)))))</f>
        <v>1.90944</v>
      </c>
      <c r="H32" s="22" cm="1">
        <f t="array" ref="H32">IF(LEFT($D32,MIN(FIND({0,1,2,3,4,5,6,7,8,9},$D32&amp;"0123456789"))-1)="BEV",INDEX(BEV_TBE,MATCH($A31,BEV_TBE_VehClass,0),MATCH(H$3,Lookup_Year,0)),IF(LEFT($D32,MIN(FIND({0,1,2,3,4,5,6,7,8,9},$D32&amp;"0123456789"))-1)="PHEV",INDEX(PHEV_TBE,MATCH($A31,PHEV_TBE_VehClass,0),MATCH(H$3,Lookup_Year,0)),IF(LEFT($D32,MIN(FIND({0,1,2,3,4,5,6,7,8,9},$D32&amp;"0123456789"))-1)="FCEV",INDEX(FCEV_TBE,MATCH($A31,FCEV_TBE_VehClass,0),MATCH(H$3,Lookup_Year,0)))))</f>
        <v>1.8813600000000001</v>
      </c>
      <c r="I32" s="22" cm="1">
        <f t="array" ref="I32">IF(LEFT($D32,MIN(FIND({0,1,2,3,4,5,6,7,8,9},$D32&amp;"0123456789"))-1)="BEV",INDEX(BEV_TBE,MATCH($A31,BEV_TBE_VehClass,0),MATCH(I$3,Lookup_Year,0)),IF(LEFT($D32,MIN(FIND({0,1,2,3,4,5,6,7,8,9},$D32&amp;"0123456789"))-1)="PHEV",INDEX(PHEV_TBE,MATCH($A31,PHEV_TBE_VehClass,0),MATCH(I$3,Lookup_Year,0)),IF(LEFT($D32,MIN(FIND({0,1,2,3,4,5,6,7,8,9},$D32&amp;"0123456789"))-1)="FCEV",INDEX(FCEV_TBE,MATCH($A31,FCEV_TBE_VehClass,0),MATCH(I$3,Lookup_Year,0)))))</f>
        <v>1.85328</v>
      </c>
      <c r="J32" s="22" cm="1">
        <f t="array" ref="J32">IF(LEFT($D32,MIN(FIND({0,1,2,3,4,5,6,7,8,9},$D32&amp;"0123456789"))-1)="BEV",INDEX(BEV_TBE,MATCH($A31,BEV_TBE_VehClass,0),MATCH(J$3,Lookup_Year,0)),IF(LEFT($D32,MIN(FIND({0,1,2,3,4,5,6,7,8,9},$D32&amp;"0123456789"))-1)="PHEV",INDEX(PHEV_TBE,MATCH($A31,PHEV_TBE_VehClass,0),MATCH(J$3,Lookup_Year,0)),IF(LEFT($D32,MIN(FIND({0,1,2,3,4,5,6,7,8,9},$D32&amp;"0123456789"))-1)="FCEV",INDEX(FCEV_TBE,MATCH($A31,FCEV_TBE_VehClass,0),MATCH(J$3,Lookup_Year,0)))))</f>
        <v>1.8252000000000002</v>
      </c>
      <c r="K32" s="22" cm="1">
        <f t="array" ref="K32">IF(LEFT($D32,MIN(FIND({0,1,2,3,4,5,6,7,8,9},$D32&amp;"0123456789"))-1)="BEV",INDEX(BEV_TBE,MATCH($A31,BEV_TBE_VehClass,0),MATCH(K$3,Lookup_Year,0)),IF(LEFT($D32,MIN(FIND({0,1,2,3,4,5,6,7,8,9},$D32&amp;"0123456789"))-1)="PHEV",INDEX(PHEV_TBE,MATCH($A31,PHEV_TBE_VehClass,0),MATCH(K$3,Lookup_Year,0)),IF(LEFT($D32,MIN(FIND({0,1,2,3,4,5,6,7,8,9},$D32&amp;"0123456789"))-1)="FCEV",INDEX(FCEV_TBE,MATCH($A31,FCEV_TBE_VehClass,0),MATCH(K$3,Lookup_Year,0)))))</f>
        <v>1.7971200000000001</v>
      </c>
      <c r="L32" s="22" cm="1">
        <f t="array" ref="L32">IF(LEFT($D32,MIN(FIND({0,1,2,3,4,5,6,7,8,9},$D32&amp;"0123456789"))-1)="BEV",INDEX(BEV_TBE,MATCH($A31,BEV_TBE_VehClass,0),MATCH(L$3,Lookup_Year,0)),IF(LEFT($D32,MIN(FIND({0,1,2,3,4,5,6,7,8,9},$D32&amp;"0123456789"))-1)="PHEV",INDEX(PHEV_TBE,MATCH($A31,PHEV_TBE_VehClass,0),MATCH(L$3,Lookup_Year,0)),IF(LEFT($D32,MIN(FIND({0,1,2,3,4,5,6,7,8,9},$D32&amp;"0123456789"))-1)="FCEV",INDEX(FCEV_TBE,MATCH($A31,FCEV_TBE_VehClass,0),MATCH(L$3,Lookup_Year,0)))))</f>
        <v>1.7690399999999999</v>
      </c>
      <c r="M32" s="22" cm="1">
        <f t="array" ref="M32">IF(LEFT($D32,MIN(FIND({0,1,2,3,4,5,6,7,8,9},$D32&amp;"0123456789"))-1)="BEV",INDEX(BEV_TBE,MATCH($A31,BEV_TBE_VehClass,0),MATCH(M$3,Lookup_Year,0)),IF(LEFT($D32,MIN(FIND({0,1,2,3,4,5,6,7,8,9},$D32&amp;"0123456789"))-1)="PHEV",INDEX(PHEV_TBE,MATCH($A31,PHEV_TBE_VehClass,0),MATCH(M$3,Lookup_Year,0)),IF(LEFT($D32,MIN(FIND({0,1,2,3,4,5,6,7,8,9},$D32&amp;"0123456789"))-1)="FCEV",INDEX(FCEV_TBE,MATCH($A31,FCEV_TBE_VehClass,0),MATCH(M$3,Lookup_Year,0)))))</f>
        <v>1.7409600000000001</v>
      </c>
      <c r="N32" s="22" cm="1">
        <f t="array" ref="N32">IF(LEFT($D32,MIN(FIND({0,1,2,3,4,5,6,7,8,9},$D32&amp;"0123456789"))-1)="BEV",INDEX(BEV_TBE,MATCH($A31,BEV_TBE_VehClass,0),MATCH(N$3,Lookup_Year,0)),IF(LEFT($D32,MIN(FIND({0,1,2,3,4,5,6,7,8,9},$D32&amp;"0123456789"))-1)="PHEV",INDEX(PHEV_TBE,MATCH($A31,PHEV_TBE_VehClass,0),MATCH(N$3,Lookup_Year,0)),IF(LEFT($D32,MIN(FIND({0,1,2,3,4,5,6,7,8,9},$D32&amp;"0123456789"))-1)="FCEV",INDEX(FCEV_TBE,MATCH($A31,FCEV_TBE_VehClass,0),MATCH(N$3,Lookup_Year,0)))))</f>
        <v>1.71288</v>
      </c>
      <c r="O32" s="42" cm="1">
        <f t="array" ref="O32">IF(LEFT($D32,MIN(FIND({0,1,2,3,4,5,6,7,8,9},$D32&amp;"0123456789"))-1)="BEV",INDEX(BEV_TBE,MATCH($A31,BEV_TBE_VehClass,0),MATCH(O$3,Lookup_Year,0)),IF(LEFT($D32,MIN(FIND({0,1,2,3,4,5,6,7,8,9},$D32&amp;"0123456789"))-1)="PHEV",INDEX(PHEV_TBE,MATCH($A31,PHEV_TBE_VehClass,0),MATCH(O$3,Lookup_Year,0)),IF(LEFT($D32,MIN(FIND({0,1,2,3,4,5,6,7,8,9},$D32&amp;"0123456789"))-1)="FCEV",INDEX(FCEV_TBE,MATCH($A31,FCEV_TBE_VehClass,0),MATCH(O$3,Lookup_Year,0)))))</f>
        <v>1.6847999999999999</v>
      </c>
      <c r="P32" s="11"/>
      <c r="Q32" s="11"/>
      <c r="R32" s="11"/>
      <c r="S32" s="11"/>
      <c r="T32" s="11"/>
      <c r="U32" s="11"/>
    </row>
    <row r="33" spans="1:21" x14ac:dyDescent="0.3">
      <c r="A33" t="str">
        <f t="shared" si="0"/>
        <v>PickupHTFCEV320</v>
      </c>
      <c r="B33" s="79" t="str">
        <f>'Vehicle Attributes - Base Year'!B30</f>
        <v>Pickup</v>
      </c>
      <c r="C33" s="68" t="str">
        <f>'Vehicle Attributes - Base Year'!C30</f>
        <v>Base</v>
      </c>
      <c r="D33" s="68" t="str">
        <f>'Vehicle Attributes - Base Year'!D30</f>
        <v>FCEV320</v>
      </c>
      <c r="E33" s="22" cm="1">
        <f t="array" ref="E33">IF(LEFT($D33,MIN(FIND({0,1,2,3,4,5,6,7,8,9},$D33&amp;"0123456789"))-1)="BEV",INDEX(BEV_TBE,MATCH($A32,BEV_TBE_VehClass,0),MATCH(E$3,Lookup_Year,0)),IF(LEFT($D33,MIN(FIND({0,1,2,3,4,5,6,7,8,9},$D33&amp;"0123456789"))-1)="PHEV",INDEX(PHEV_TBE,MATCH($A32,PHEV_TBE_VehClass,0),MATCH(E$3,Lookup_Year,0)),IF(LEFT($D33,MIN(FIND({0,1,2,3,4,5,6,7,8,9},$D33&amp;"0123456789"))-1)="FCEV",INDEX(FCEV_TBE,MATCH($A32,FCEV_TBE_VehClass,0),MATCH(E$3,Lookup_Year,0)))))</f>
        <v>2.2464</v>
      </c>
      <c r="F33" s="22" cm="1">
        <f t="array" ref="F33">IF(LEFT($D33,MIN(FIND({0,1,2,3,4,5,6,7,8,9},$D33&amp;"0123456789"))-1)="BEV",INDEX(BEV_TBE,MATCH($A32,BEV_TBE_VehClass,0),MATCH(F$3,Lookup_Year,0)),IF(LEFT($D33,MIN(FIND({0,1,2,3,4,5,6,7,8,9},$D33&amp;"0123456789"))-1)="PHEV",INDEX(PHEV_TBE,MATCH($A32,PHEV_TBE_VehClass,0),MATCH(F$3,Lookup_Year,0)),IF(LEFT($D33,MIN(FIND({0,1,2,3,4,5,6,7,8,9},$D33&amp;"0123456789"))-1)="FCEV",INDEX(FCEV_TBE,MATCH($A32,FCEV_TBE_VehClass,0),MATCH(F$3,Lookup_Year,0)))))</f>
        <v>2.1902400000000002</v>
      </c>
      <c r="G33" s="22" cm="1">
        <f t="array" ref="G33">IF(LEFT($D33,MIN(FIND({0,1,2,3,4,5,6,7,8,9},$D33&amp;"0123456789"))-1)="BEV",INDEX(BEV_TBE,MATCH($A32,BEV_TBE_VehClass,0),MATCH(G$3,Lookup_Year,0)),IF(LEFT($D33,MIN(FIND({0,1,2,3,4,5,6,7,8,9},$D33&amp;"0123456789"))-1)="PHEV",INDEX(PHEV_TBE,MATCH($A32,PHEV_TBE_VehClass,0),MATCH(G$3,Lookup_Year,0)),IF(LEFT($D33,MIN(FIND({0,1,2,3,4,5,6,7,8,9},$D33&amp;"0123456789"))-1)="FCEV",INDEX(FCEV_TBE,MATCH($A32,FCEV_TBE_VehClass,0),MATCH(G$3,Lookup_Year,0)))))</f>
        <v>2.13408</v>
      </c>
      <c r="H33" s="22" cm="1">
        <f t="array" ref="H33">IF(LEFT($D33,MIN(FIND({0,1,2,3,4,5,6,7,8,9},$D33&amp;"0123456789"))-1)="BEV",INDEX(BEV_TBE,MATCH($A32,BEV_TBE_VehClass,0),MATCH(H$3,Lookup_Year,0)),IF(LEFT($D33,MIN(FIND({0,1,2,3,4,5,6,7,8,9},$D33&amp;"0123456789"))-1)="PHEV",INDEX(PHEV_TBE,MATCH($A32,PHEV_TBE_VehClass,0),MATCH(H$3,Lookup_Year,0)),IF(LEFT($D33,MIN(FIND({0,1,2,3,4,5,6,7,8,9},$D33&amp;"0123456789"))-1)="FCEV",INDEX(FCEV_TBE,MATCH($A32,FCEV_TBE_VehClass,0),MATCH(H$3,Lookup_Year,0)))))</f>
        <v>2.0779199999999998</v>
      </c>
      <c r="I33" s="22" cm="1">
        <f t="array" ref="I33">IF(LEFT($D33,MIN(FIND({0,1,2,3,4,5,6,7,8,9},$D33&amp;"0123456789"))-1)="BEV",INDEX(BEV_TBE,MATCH($A32,BEV_TBE_VehClass,0),MATCH(I$3,Lookup_Year,0)),IF(LEFT($D33,MIN(FIND({0,1,2,3,4,5,6,7,8,9},$D33&amp;"0123456789"))-1)="PHEV",INDEX(PHEV_TBE,MATCH($A32,PHEV_TBE_VehClass,0),MATCH(I$3,Lookup_Year,0)),IF(LEFT($D33,MIN(FIND({0,1,2,3,4,5,6,7,8,9},$D33&amp;"0123456789"))-1)="FCEV",INDEX(FCEV_TBE,MATCH($A32,FCEV_TBE_VehClass,0),MATCH(I$3,Lookup_Year,0)))))</f>
        <v>2.02176</v>
      </c>
      <c r="J33" s="22" cm="1">
        <f t="array" ref="J33">IF(LEFT($D33,MIN(FIND({0,1,2,3,4,5,6,7,8,9},$D33&amp;"0123456789"))-1)="BEV",INDEX(BEV_TBE,MATCH($A32,BEV_TBE_VehClass,0),MATCH(J$3,Lookup_Year,0)),IF(LEFT($D33,MIN(FIND({0,1,2,3,4,5,6,7,8,9},$D33&amp;"0123456789"))-1)="PHEV",INDEX(PHEV_TBE,MATCH($A32,PHEV_TBE_VehClass,0),MATCH(J$3,Lookup_Year,0)),IF(LEFT($D33,MIN(FIND({0,1,2,3,4,5,6,7,8,9},$D33&amp;"0123456789"))-1)="FCEV",INDEX(FCEV_TBE,MATCH($A32,FCEV_TBE_VehClass,0),MATCH(J$3,Lookup_Year,0)))))</f>
        <v>1.9656</v>
      </c>
      <c r="K33" s="22" cm="1">
        <f t="array" ref="K33">IF(LEFT($D33,MIN(FIND({0,1,2,3,4,5,6,7,8,9},$D33&amp;"0123456789"))-1)="BEV",INDEX(BEV_TBE,MATCH($A32,BEV_TBE_VehClass,0),MATCH(K$3,Lookup_Year,0)),IF(LEFT($D33,MIN(FIND({0,1,2,3,4,5,6,7,8,9},$D33&amp;"0123456789"))-1)="PHEV",INDEX(PHEV_TBE,MATCH($A32,PHEV_TBE_VehClass,0),MATCH(K$3,Lookup_Year,0)),IF(LEFT($D33,MIN(FIND({0,1,2,3,4,5,6,7,8,9},$D33&amp;"0123456789"))-1)="FCEV",INDEX(FCEV_TBE,MATCH($A32,FCEV_TBE_VehClass,0),MATCH(K$3,Lookup_Year,0)))))</f>
        <v>1.9656</v>
      </c>
      <c r="L33" s="22" cm="1">
        <f t="array" ref="L33">IF(LEFT($D33,MIN(FIND({0,1,2,3,4,5,6,7,8,9},$D33&amp;"0123456789"))-1)="BEV",INDEX(BEV_TBE,MATCH($A32,BEV_TBE_VehClass,0),MATCH(L$3,Lookup_Year,0)),IF(LEFT($D33,MIN(FIND({0,1,2,3,4,5,6,7,8,9},$D33&amp;"0123456789"))-1)="PHEV",INDEX(PHEV_TBE,MATCH($A32,PHEV_TBE_VehClass,0),MATCH(L$3,Lookup_Year,0)),IF(LEFT($D33,MIN(FIND({0,1,2,3,4,5,6,7,8,9},$D33&amp;"0123456789"))-1)="FCEV",INDEX(FCEV_TBE,MATCH($A32,FCEV_TBE_VehClass,0),MATCH(L$3,Lookup_Year,0)))))</f>
        <v>1.9656</v>
      </c>
      <c r="M33" s="22" cm="1">
        <f t="array" ref="M33">IF(LEFT($D33,MIN(FIND({0,1,2,3,4,5,6,7,8,9},$D33&amp;"0123456789"))-1)="BEV",INDEX(BEV_TBE,MATCH($A32,BEV_TBE_VehClass,0),MATCH(M$3,Lookup_Year,0)),IF(LEFT($D33,MIN(FIND({0,1,2,3,4,5,6,7,8,9},$D33&amp;"0123456789"))-1)="PHEV",INDEX(PHEV_TBE,MATCH($A32,PHEV_TBE_VehClass,0),MATCH(M$3,Lookup_Year,0)),IF(LEFT($D33,MIN(FIND({0,1,2,3,4,5,6,7,8,9},$D33&amp;"0123456789"))-1)="FCEV",INDEX(FCEV_TBE,MATCH($A32,FCEV_TBE_VehClass,0),MATCH(M$3,Lookup_Year,0)))))</f>
        <v>1.9656</v>
      </c>
      <c r="N33" s="22" cm="1">
        <f t="array" ref="N33">IF(LEFT($D33,MIN(FIND({0,1,2,3,4,5,6,7,8,9},$D33&amp;"0123456789"))-1)="BEV",INDEX(BEV_TBE,MATCH($A32,BEV_TBE_VehClass,0),MATCH(N$3,Lookup_Year,0)),IF(LEFT($D33,MIN(FIND({0,1,2,3,4,5,6,7,8,9},$D33&amp;"0123456789"))-1)="PHEV",INDEX(PHEV_TBE,MATCH($A32,PHEV_TBE_VehClass,0),MATCH(N$3,Lookup_Year,0)),IF(LEFT($D33,MIN(FIND({0,1,2,3,4,5,6,7,8,9},$D33&amp;"0123456789"))-1)="FCEV",INDEX(FCEV_TBE,MATCH($A32,FCEV_TBE_VehClass,0),MATCH(N$3,Lookup_Year,0)))))</f>
        <v>1.9656</v>
      </c>
      <c r="O33" s="42" cm="1">
        <f t="array" ref="O33">IF(LEFT($D33,MIN(FIND({0,1,2,3,4,5,6,7,8,9},$D33&amp;"0123456789"))-1)="BEV",INDEX(BEV_TBE,MATCH($A32,BEV_TBE_VehClass,0),MATCH(O$3,Lookup_Year,0)),IF(LEFT($D33,MIN(FIND({0,1,2,3,4,5,6,7,8,9},$D33&amp;"0123456789"))-1)="PHEV",INDEX(PHEV_TBE,MATCH($A32,PHEV_TBE_VehClass,0),MATCH(O$3,Lookup_Year,0)),IF(LEFT($D33,MIN(FIND({0,1,2,3,4,5,6,7,8,9},$D33&amp;"0123456789"))-1)="FCEV",INDEX(FCEV_TBE,MATCH($A32,FCEV_TBE_VehClass,0),MATCH(O$3,Lookup_Year,0)))))</f>
        <v>1.9656</v>
      </c>
      <c r="P33" s="11"/>
      <c r="Q33" s="11"/>
      <c r="R33" s="11"/>
      <c r="S33" s="11"/>
      <c r="T33" s="11"/>
      <c r="U33" s="11"/>
    </row>
    <row r="34" spans="1:21" x14ac:dyDescent="0.3">
      <c r="B34" s="79" t="str">
        <f>'Vehicle Attributes - Base Year'!B31</f>
        <v>Pickup</v>
      </c>
      <c r="C34" s="68" t="str">
        <f>'Vehicle Attributes - Base Year'!C31</f>
        <v>HT</v>
      </c>
      <c r="D34" s="68" t="str">
        <f>'Vehicle Attributes - Base Year'!D31</f>
        <v>FCEV320</v>
      </c>
      <c r="E34" s="22" cm="1">
        <f t="array" ref="E34">IF(LEFT($D34,MIN(FIND({0,1,2,3,4,5,6,7,8,9},$D34&amp;"0123456789"))-1)="BEV",INDEX(BEV_TBE,MATCH($A33,BEV_TBE_VehClass,0),MATCH(E$3,Lookup_Year,0)),IF(LEFT($D34,MIN(FIND({0,1,2,3,4,5,6,7,8,9},$D34&amp;"0123456789"))-1)="PHEV",INDEX(PHEV_TBE,MATCH($A33,PHEV_TBE_VehClass,0),MATCH(E$3,Lookup_Year,0)),IF(LEFT($D34,MIN(FIND({0,1,2,3,4,5,6,7,8,9},$D34&amp;"0123456789"))-1)="FCEV",INDEX(FCEV_TBE,MATCH($A33,FCEV_TBE_VehClass,0),MATCH(E$3,Lookup_Year,0)))))</f>
        <v>2.2464</v>
      </c>
      <c r="F34" s="22" cm="1">
        <f t="array" ref="F34">IF(LEFT($D34,MIN(FIND({0,1,2,3,4,5,6,7,8,9},$D34&amp;"0123456789"))-1)="BEV",INDEX(BEV_TBE,MATCH($A33,BEV_TBE_VehClass,0),MATCH(F$3,Lookup_Year,0)),IF(LEFT($D34,MIN(FIND({0,1,2,3,4,5,6,7,8,9},$D34&amp;"0123456789"))-1)="PHEV",INDEX(PHEV_TBE,MATCH($A33,PHEV_TBE_VehClass,0),MATCH(F$3,Lookup_Year,0)),IF(LEFT($D34,MIN(FIND({0,1,2,3,4,5,6,7,8,9},$D34&amp;"0123456789"))-1)="FCEV",INDEX(FCEV_TBE,MATCH($A33,FCEV_TBE_VehClass,0),MATCH(F$3,Lookup_Year,0)))))</f>
        <v>2.1902400000000002</v>
      </c>
      <c r="G34" s="22" cm="1">
        <f t="array" ref="G34">IF(LEFT($D34,MIN(FIND({0,1,2,3,4,5,6,7,8,9},$D34&amp;"0123456789"))-1)="BEV",INDEX(BEV_TBE,MATCH($A33,BEV_TBE_VehClass,0),MATCH(G$3,Lookup_Year,0)),IF(LEFT($D34,MIN(FIND({0,1,2,3,4,5,6,7,8,9},$D34&amp;"0123456789"))-1)="PHEV",INDEX(PHEV_TBE,MATCH($A33,PHEV_TBE_VehClass,0),MATCH(G$3,Lookup_Year,0)),IF(LEFT($D34,MIN(FIND({0,1,2,3,4,5,6,7,8,9},$D34&amp;"0123456789"))-1)="FCEV",INDEX(FCEV_TBE,MATCH($A33,FCEV_TBE_VehClass,0),MATCH(G$3,Lookup_Year,0)))))</f>
        <v>2.13408</v>
      </c>
      <c r="H34" s="22" cm="1">
        <f t="array" ref="H34">IF(LEFT($D34,MIN(FIND({0,1,2,3,4,5,6,7,8,9},$D34&amp;"0123456789"))-1)="BEV",INDEX(BEV_TBE,MATCH($A33,BEV_TBE_VehClass,0),MATCH(H$3,Lookup_Year,0)),IF(LEFT($D34,MIN(FIND({0,1,2,3,4,5,6,7,8,9},$D34&amp;"0123456789"))-1)="PHEV",INDEX(PHEV_TBE,MATCH($A33,PHEV_TBE_VehClass,0),MATCH(H$3,Lookup_Year,0)),IF(LEFT($D34,MIN(FIND({0,1,2,3,4,5,6,7,8,9},$D34&amp;"0123456789"))-1)="FCEV",INDEX(FCEV_TBE,MATCH($A33,FCEV_TBE_VehClass,0),MATCH(H$3,Lookup_Year,0)))))</f>
        <v>2.0779199999999998</v>
      </c>
      <c r="I34" s="22" cm="1">
        <f t="array" ref="I34">IF(LEFT($D34,MIN(FIND({0,1,2,3,4,5,6,7,8,9},$D34&amp;"0123456789"))-1)="BEV",INDEX(BEV_TBE,MATCH($A33,BEV_TBE_VehClass,0),MATCH(I$3,Lookup_Year,0)),IF(LEFT($D34,MIN(FIND({0,1,2,3,4,5,6,7,8,9},$D34&amp;"0123456789"))-1)="PHEV",INDEX(PHEV_TBE,MATCH($A33,PHEV_TBE_VehClass,0),MATCH(I$3,Lookup_Year,0)),IF(LEFT($D34,MIN(FIND({0,1,2,3,4,5,6,7,8,9},$D34&amp;"0123456789"))-1)="FCEV",INDEX(FCEV_TBE,MATCH($A33,FCEV_TBE_VehClass,0),MATCH(I$3,Lookup_Year,0)))))</f>
        <v>2.02176</v>
      </c>
      <c r="J34" s="22" cm="1">
        <f t="array" ref="J34">IF(LEFT($D34,MIN(FIND({0,1,2,3,4,5,6,7,8,9},$D34&amp;"0123456789"))-1)="BEV",INDEX(BEV_TBE,MATCH($A33,BEV_TBE_VehClass,0),MATCH(J$3,Lookup_Year,0)),IF(LEFT($D34,MIN(FIND({0,1,2,3,4,5,6,7,8,9},$D34&amp;"0123456789"))-1)="PHEV",INDEX(PHEV_TBE,MATCH($A33,PHEV_TBE_VehClass,0),MATCH(J$3,Lookup_Year,0)),IF(LEFT($D34,MIN(FIND({0,1,2,3,4,5,6,7,8,9},$D34&amp;"0123456789"))-1)="FCEV",INDEX(FCEV_TBE,MATCH($A33,FCEV_TBE_VehClass,0),MATCH(J$3,Lookup_Year,0)))))</f>
        <v>1.9656</v>
      </c>
      <c r="K34" s="22" cm="1">
        <f t="array" ref="K34">IF(LEFT($D34,MIN(FIND({0,1,2,3,4,5,6,7,8,9},$D34&amp;"0123456789"))-1)="BEV",INDEX(BEV_TBE,MATCH($A33,BEV_TBE_VehClass,0),MATCH(K$3,Lookup_Year,0)),IF(LEFT($D34,MIN(FIND({0,1,2,3,4,5,6,7,8,9},$D34&amp;"0123456789"))-1)="PHEV",INDEX(PHEV_TBE,MATCH($A33,PHEV_TBE_VehClass,0),MATCH(K$3,Lookup_Year,0)),IF(LEFT($D34,MIN(FIND({0,1,2,3,4,5,6,7,8,9},$D34&amp;"0123456789"))-1)="FCEV",INDEX(FCEV_TBE,MATCH($A33,FCEV_TBE_VehClass,0),MATCH(K$3,Lookup_Year,0)))))</f>
        <v>1.9656</v>
      </c>
      <c r="L34" s="22" cm="1">
        <f t="array" ref="L34">IF(LEFT($D34,MIN(FIND({0,1,2,3,4,5,6,7,8,9},$D34&amp;"0123456789"))-1)="BEV",INDEX(BEV_TBE,MATCH($A33,BEV_TBE_VehClass,0),MATCH(L$3,Lookup_Year,0)),IF(LEFT($D34,MIN(FIND({0,1,2,3,4,5,6,7,8,9},$D34&amp;"0123456789"))-1)="PHEV",INDEX(PHEV_TBE,MATCH($A33,PHEV_TBE_VehClass,0),MATCH(L$3,Lookup_Year,0)),IF(LEFT($D34,MIN(FIND({0,1,2,3,4,5,6,7,8,9},$D34&amp;"0123456789"))-1)="FCEV",INDEX(FCEV_TBE,MATCH($A33,FCEV_TBE_VehClass,0),MATCH(L$3,Lookup_Year,0)))))</f>
        <v>1.9656</v>
      </c>
      <c r="M34" s="22" cm="1">
        <f t="array" ref="M34">IF(LEFT($D34,MIN(FIND({0,1,2,3,4,5,6,7,8,9},$D34&amp;"0123456789"))-1)="BEV",INDEX(BEV_TBE,MATCH($A33,BEV_TBE_VehClass,0),MATCH(M$3,Lookup_Year,0)),IF(LEFT($D34,MIN(FIND({0,1,2,3,4,5,6,7,8,9},$D34&amp;"0123456789"))-1)="PHEV",INDEX(PHEV_TBE,MATCH($A33,PHEV_TBE_VehClass,0),MATCH(M$3,Lookup_Year,0)),IF(LEFT($D34,MIN(FIND({0,1,2,3,4,5,6,7,8,9},$D34&amp;"0123456789"))-1)="FCEV",INDEX(FCEV_TBE,MATCH($A33,FCEV_TBE_VehClass,0),MATCH(M$3,Lookup_Year,0)))))</f>
        <v>1.9656</v>
      </c>
      <c r="N34" s="22" cm="1">
        <f t="array" ref="N34">IF(LEFT($D34,MIN(FIND({0,1,2,3,4,5,6,7,8,9},$D34&amp;"0123456789"))-1)="BEV",INDEX(BEV_TBE,MATCH($A33,BEV_TBE_VehClass,0),MATCH(N$3,Lookup_Year,0)),IF(LEFT($D34,MIN(FIND({0,1,2,3,4,5,6,7,8,9},$D34&amp;"0123456789"))-1)="PHEV",INDEX(PHEV_TBE,MATCH($A33,PHEV_TBE_VehClass,0),MATCH(N$3,Lookup_Year,0)),IF(LEFT($D34,MIN(FIND({0,1,2,3,4,5,6,7,8,9},$D34&amp;"0123456789"))-1)="FCEV",INDEX(FCEV_TBE,MATCH($A33,FCEV_TBE_VehClass,0),MATCH(N$3,Lookup_Year,0)))))</f>
        <v>1.9656</v>
      </c>
      <c r="O34" s="42" cm="1">
        <f t="array" ref="O34">IF(LEFT($D34,MIN(FIND({0,1,2,3,4,5,6,7,8,9},$D34&amp;"0123456789"))-1)="BEV",INDEX(BEV_TBE,MATCH($A33,BEV_TBE_VehClass,0),MATCH(O$3,Lookup_Year,0)),IF(LEFT($D34,MIN(FIND({0,1,2,3,4,5,6,7,8,9},$D34&amp;"0123456789"))-1)="PHEV",INDEX(PHEV_TBE,MATCH($A33,PHEV_TBE_VehClass,0),MATCH(O$3,Lookup_Year,0)),IF(LEFT($D34,MIN(FIND({0,1,2,3,4,5,6,7,8,9},$D34&amp;"0123456789"))-1)="FCEV",INDEX(FCEV_TBE,MATCH($A33,FCEV_TBE_VehClass,0),MATCH(O$3,Lookup_Year,0)))))</f>
        <v>1.9656</v>
      </c>
    </row>
  </sheetData>
  <mergeCells count="2">
    <mergeCell ref="E2:O2"/>
    <mergeCell ref="B1:O1"/>
  </mergeCells>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36A393"/>
  </sheetPr>
  <dimension ref="A1:AP34"/>
  <sheetViews>
    <sheetView topLeftCell="O1" workbookViewId="0">
      <selection activeCell="R7" sqref="R7"/>
    </sheetView>
  </sheetViews>
  <sheetFormatPr defaultRowHeight="14.4" x14ac:dyDescent="0.3"/>
  <cols>
    <col min="1" max="1" width="9.109375" hidden="1" customWidth="1"/>
    <col min="2" max="2" width="12.5546875" bestFit="1" customWidth="1"/>
    <col min="3" max="3" width="12.44140625" bestFit="1" customWidth="1"/>
    <col min="4" max="10" width="11" customWidth="1"/>
    <col min="11" max="15" width="12" customWidth="1"/>
    <col min="17" max="17" width="11.109375" bestFit="1" customWidth="1"/>
    <col min="18" max="25" width="12.44140625" customWidth="1"/>
    <col min="26" max="28" width="13.44140625" customWidth="1"/>
  </cols>
  <sheetData>
    <row r="1" spans="1:42" ht="15" customHeight="1" thickBot="1" x14ac:dyDescent="0.35">
      <c r="B1" s="170" t="s">
        <v>168</v>
      </c>
      <c r="C1" s="175"/>
      <c r="D1" s="175"/>
      <c r="E1" s="175"/>
      <c r="F1" s="175"/>
      <c r="G1" s="175"/>
      <c r="H1" s="175"/>
      <c r="I1" s="175"/>
      <c r="J1" s="175"/>
      <c r="K1" s="175"/>
      <c r="L1" s="175"/>
      <c r="M1" s="175"/>
      <c r="N1" s="175"/>
      <c r="O1" s="171"/>
      <c r="P1" s="29"/>
      <c r="Q1" s="29"/>
      <c r="R1" s="32"/>
      <c r="S1" s="29"/>
      <c r="T1" s="29"/>
      <c r="U1" s="29"/>
      <c r="V1" s="29"/>
      <c r="W1" s="29"/>
      <c r="X1" s="29"/>
      <c r="Y1" s="29"/>
      <c r="Z1" s="29"/>
      <c r="AA1" s="29"/>
      <c r="AB1" s="29"/>
    </row>
    <row r="2" spans="1:42" x14ac:dyDescent="0.3">
      <c r="A2" s="8"/>
      <c r="B2" s="73"/>
      <c r="C2" s="73"/>
      <c r="D2" s="74"/>
      <c r="E2" s="195" t="s">
        <v>155</v>
      </c>
      <c r="F2" s="195"/>
      <c r="G2" s="195"/>
      <c r="H2" s="195"/>
      <c r="I2" s="195"/>
      <c r="J2" s="195"/>
      <c r="K2" s="195"/>
      <c r="L2" s="195"/>
      <c r="M2" s="195"/>
      <c r="N2" s="195"/>
      <c r="O2" s="196"/>
      <c r="P2" s="29"/>
      <c r="Q2" s="170" t="s">
        <v>169</v>
      </c>
      <c r="R2" s="175"/>
      <c r="S2" s="175"/>
      <c r="T2" s="175"/>
      <c r="U2" s="175"/>
      <c r="V2" s="175"/>
      <c r="W2" s="175"/>
      <c r="X2" s="175"/>
      <c r="Y2" s="175"/>
      <c r="Z2" s="175"/>
      <c r="AA2" s="175"/>
      <c r="AB2" s="171"/>
    </row>
    <row r="3" spans="1:42" x14ac:dyDescent="0.3">
      <c r="A3" s="8"/>
      <c r="B3" s="75" t="s">
        <v>100</v>
      </c>
      <c r="C3" s="75" t="s">
        <v>101</v>
      </c>
      <c r="D3" s="76" t="s">
        <v>67</v>
      </c>
      <c r="E3" s="77">
        <v>2025</v>
      </c>
      <c r="F3" s="78">
        <v>2026</v>
      </c>
      <c r="G3" s="78">
        <v>2027</v>
      </c>
      <c r="H3" s="78">
        <v>2028</v>
      </c>
      <c r="I3" s="78">
        <v>2029</v>
      </c>
      <c r="J3" s="78">
        <v>2030</v>
      </c>
      <c r="K3" s="78">
        <v>2031</v>
      </c>
      <c r="L3" s="78">
        <v>2032</v>
      </c>
      <c r="M3" s="78">
        <v>2033</v>
      </c>
      <c r="N3" s="78">
        <v>2034</v>
      </c>
      <c r="O3" s="148">
        <v>2035</v>
      </c>
      <c r="P3" s="29"/>
      <c r="Q3" s="120"/>
      <c r="R3" s="195" t="s">
        <v>155</v>
      </c>
      <c r="S3" s="195"/>
      <c r="T3" s="195"/>
      <c r="U3" s="195"/>
      <c r="V3" s="195"/>
      <c r="W3" s="195"/>
      <c r="X3" s="195"/>
      <c r="Y3" s="195"/>
      <c r="Z3" s="195"/>
      <c r="AA3" s="195"/>
      <c r="AB3" s="196"/>
    </row>
    <row r="4" spans="1:42" x14ac:dyDescent="0.3">
      <c r="A4" s="16" t="str">
        <f t="shared" ref="A4:A33" si="0">CONCATENATE(B5,C5,D5,)</f>
        <v>SmallCarBaseBEV300</v>
      </c>
      <c r="B4" s="110" t="s">
        <v>64</v>
      </c>
      <c r="C4" s="113" t="s">
        <v>65</v>
      </c>
      <c r="D4" s="113" t="s">
        <v>156</v>
      </c>
      <c r="E4" s="137" t="s">
        <v>157</v>
      </c>
      <c r="F4" s="137" t="s">
        <v>158</v>
      </c>
      <c r="G4" s="137" t="s">
        <v>159</v>
      </c>
      <c r="H4" s="137" t="s">
        <v>160</v>
      </c>
      <c r="I4" s="137" t="s">
        <v>161</v>
      </c>
      <c r="J4" s="137" t="s">
        <v>162</v>
      </c>
      <c r="K4" s="137" t="s">
        <v>163</v>
      </c>
      <c r="L4" s="137" t="s">
        <v>164</v>
      </c>
      <c r="M4" s="137" t="s">
        <v>165</v>
      </c>
      <c r="N4" s="137" t="s">
        <v>166</v>
      </c>
      <c r="O4" s="138" t="s">
        <v>167</v>
      </c>
      <c r="P4" s="29"/>
      <c r="Q4" s="120" t="s">
        <v>170</v>
      </c>
      <c r="R4" s="121">
        <v>2025</v>
      </c>
      <c r="S4" s="121">
        <v>2026</v>
      </c>
      <c r="T4" s="121">
        <v>2027</v>
      </c>
      <c r="U4" s="121">
        <v>2028</v>
      </c>
      <c r="V4" s="121">
        <v>2029</v>
      </c>
      <c r="W4" s="121">
        <v>2030</v>
      </c>
      <c r="X4" s="121">
        <v>2031</v>
      </c>
      <c r="Y4" s="121">
        <v>2032</v>
      </c>
      <c r="Z4" s="121">
        <v>2033</v>
      </c>
      <c r="AA4" s="121">
        <v>2034</v>
      </c>
      <c r="AB4" s="122">
        <v>2035</v>
      </c>
      <c r="AD4" s="4"/>
      <c r="AE4" s="4"/>
      <c r="AF4" s="4"/>
      <c r="AG4" s="4"/>
      <c r="AH4" s="4"/>
      <c r="AI4" s="4"/>
      <c r="AJ4" s="4"/>
      <c r="AK4" s="4"/>
      <c r="AL4" s="4"/>
      <c r="AM4" s="4"/>
      <c r="AN4" s="4"/>
      <c r="AO4" s="3"/>
      <c r="AP4" s="3"/>
    </row>
    <row r="5" spans="1:42" x14ac:dyDescent="0.3">
      <c r="A5" t="str">
        <f t="shared" si="0"/>
        <v>SmallCarPremiumBEV400</v>
      </c>
      <c r="B5" s="79" t="str">
        <f>'Vehicle Attributes - Base Year'!B2</f>
        <v>SmallCar</v>
      </c>
      <c r="C5" s="68" t="str">
        <f>'Vehicle Attributes - Base Year'!C2</f>
        <v>Base</v>
      </c>
      <c r="D5" s="68" t="str">
        <f>'Vehicle Attributes - Base Year'!D2</f>
        <v>BEV300</v>
      </c>
      <c r="E5" s="23">
        <f>R$6*'Battery Capacity'!E5</f>
        <v>7444.7368421052633</v>
      </c>
      <c r="F5" s="23">
        <f>S$6*'Battery Capacity'!F5</f>
        <v>6888.9872368421056</v>
      </c>
      <c r="G5" s="23">
        <f>T$6*'Battery Capacity'!G5</f>
        <v>6374.7243396118429</v>
      </c>
      <c r="H5" s="23">
        <f>U$6*'Battery Capacity'!H5</f>
        <v>5898.8511676598191</v>
      </c>
      <c r="I5" s="23">
        <f>V$6*'Battery Capacity'!I5</f>
        <v>5458.5019279940134</v>
      </c>
      <c r="J5" s="23">
        <f>W$6*'Battery Capacity'!J5</f>
        <v>5135.4546184128203</v>
      </c>
      <c r="K5" s="23">
        <f>X$6*'Battery Capacity'!K5</f>
        <v>4854.2884780547183</v>
      </c>
      <c r="L5" s="23">
        <f>Y$6*'Battery Capacity'!L5</f>
        <v>4588.5161838812219</v>
      </c>
      <c r="M5" s="23">
        <f>Z$6*'Battery Capacity'!M5</f>
        <v>4337.294922813725</v>
      </c>
      <c r="N5" s="23">
        <f>AA$6*'Battery Capacity'!N5</f>
        <v>4099.8280257896731</v>
      </c>
      <c r="O5" s="43">
        <f>AB$6*'Battery Capacity'!O5</f>
        <v>3875.3624413776888</v>
      </c>
      <c r="P5" s="29"/>
      <c r="Q5" s="87" t="s">
        <v>64</v>
      </c>
      <c r="R5" s="117" t="s">
        <v>65</v>
      </c>
      <c r="S5" s="117" t="s">
        <v>156</v>
      </c>
      <c r="T5" s="117" t="s">
        <v>157</v>
      </c>
      <c r="U5" s="117" t="s">
        <v>158</v>
      </c>
      <c r="V5" s="117" t="s">
        <v>159</v>
      </c>
      <c r="W5" s="117" t="s">
        <v>160</v>
      </c>
      <c r="X5" s="117" t="s">
        <v>161</v>
      </c>
      <c r="Y5" s="117" t="s">
        <v>162</v>
      </c>
      <c r="Z5" s="117" t="s">
        <v>163</v>
      </c>
      <c r="AA5" s="117" t="s">
        <v>164</v>
      </c>
      <c r="AB5" s="117" t="s">
        <v>165</v>
      </c>
      <c r="AF5" s="3"/>
      <c r="AG5" s="3"/>
      <c r="AH5" s="3"/>
      <c r="AI5" s="3"/>
      <c r="AJ5" s="3"/>
      <c r="AK5" s="3"/>
      <c r="AL5" s="3"/>
      <c r="AM5" s="3"/>
      <c r="AN5" s="3"/>
      <c r="AO5" s="3"/>
      <c r="AP5" s="3"/>
    </row>
    <row r="6" spans="1:42" x14ac:dyDescent="0.3">
      <c r="A6" s="16" t="str">
        <f t="shared" si="0"/>
        <v>MedCarBaseBEV300</v>
      </c>
      <c r="B6" s="79" t="str">
        <f>'Vehicle Attributes - Base Year'!B3</f>
        <v>SmallCar</v>
      </c>
      <c r="C6" s="68" t="str">
        <f>'Vehicle Attributes - Base Year'!C3</f>
        <v>Premium</v>
      </c>
      <c r="D6" s="68" t="str">
        <f>'Vehicle Attributes - Base Year'!D3</f>
        <v>BEV400</v>
      </c>
      <c r="E6" s="23">
        <f>R$6*'Battery Capacity'!E6</f>
        <v>10142.105263157895</v>
      </c>
      <c r="F6" s="23">
        <f>S$6*'Battery Capacity'!F6</f>
        <v>9384.997105263159</v>
      </c>
      <c r="G6" s="23">
        <f>T$6*'Battery Capacity'!G6</f>
        <v>8684.4070713552646</v>
      </c>
      <c r="H6" s="23">
        <f>U$6*'Battery Capacity'!H6</f>
        <v>8036.1160834785933</v>
      </c>
      <c r="I6" s="23">
        <f>V$6*'Battery Capacity'!I6</f>
        <v>7436.2200178469147</v>
      </c>
      <c r="J6" s="23">
        <f>W$6*'Battery Capacity'!J6</f>
        <v>6996.1265816058703</v>
      </c>
      <c r="K6" s="23">
        <f>X$6*'Battery Capacity'!K6</f>
        <v>6613.0886512629504</v>
      </c>
      <c r="L6" s="23">
        <f>Y$6*'Battery Capacity'!L6</f>
        <v>6251.0220476063014</v>
      </c>
      <c r="M6" s="23">
        <f>Z$6*'Battery Capacity'!M6</f>
        <v>5908.7785904998564</v>
      </c>
      <c r="N6" s="23">
        <f>AA$6*'Battery Capacity'!N6</f>
        <v>5585.2729626699902</v>
      </c>
      <c r="O6" s="43">
        <f>AB$6*'Battery Capacity'!O6</f>
        <v>5279.4792679638076</v>
      </c>
      <c r="P6" s="29"/>
      <c r="Q6" s="118" t="s">
        <v>171</v>
      </c>
      <c r="R6" s="119">
        <v>102.5</v>
      </c>
      <c r="S6" s="119">
        <f>R6*0.93</f>
        <v>95.325000000000003</v>
      </c>
      <c r="T6" s="119">
        <f t="shared" ref="T6:V6" si="1">S6*0.93</f>
        <v>88.652250000000009</v>
      </c>
      <c r="U6" s="119">
        <f t="shared" si="1"/>
        <v>82.446592500000008</v>
      </c>
      <c r="V6" s="119">
        <f t="shared" si="1"/>
        <v>76.675331025000006</v>
      </c>
      <c r="W6" s="119">
        <v>72.5</v>
      </c>
      <c r="X6" s="119">
        <f t="shared" ref="X6" si="2">W6*0.95</f>
        <v>68.875</v>
      </c>
      <c r="Y6" s="119">
        <f t="shared" ref="Y6" si="3">X6*0.95</f>
        <v>65.431249999999991</v>
      </c>
      <c r="Z6" s="119">
        <f t="shared" ref="Z6" si="4">Y6*0.95</f>
        <v>62.15968749999999</v>
      </c>
      <c r="AA6" s="119">
        <f t="shared" ref="AA6" si="5">Z6*0.95</f>
        <v>59.051703124999989</v>
      </c>
      <c r="AB6" s="119">
        <f t="shared" ref="AB6" si="6">AA6*0.95</f>
        <v>56.099117968749987</v>
      </c>
      <c r="AF6" s="3"/>
      <c r="AG6" s="3"/>
      <c r="AH6" s="3"/>
      <c r="AI6" s="3"/>
      <c r="AJ6" s="3"/>
      <c r="AK6" s="3"/>
      <c r="AL6" s="3"/>
      <c r="AM6" s="3"/>
      <c r="AN6" s="3"/>
      <c r="AO6" s="3"/>
      <c r="AP6" s="3"/>
    </row>
    <row r="7" spans="1:42" x14ac:dyDescent="0.3">
      <c r="A7" t="str">
        <f t="shared" si="0"/>
        <v>MedCarPremiumBEV400</v>
      </c>
      <c r="B7" s="79" t="str">
        <f>'Vehicle Attributes - Base Year'!B4</f>
        <v>MedCar</v>
      </c>
      <c r="C7" s="68" t="str">
        <f>'Vehicle Attributes - Base Year'!C4</f>
        <v>Base</v>
      </c>
      <c r="D7" s="68" t="str">
        <f>'Vehicle Attributes - Base Year'!D4</f>
        <v>BEV300</v>
      </c>
      <c r="E7" s="23">
        <f>R$6*'Battery Capacity'!E7</f>
        <v>7768.4210526315801</v>
      </c>
      <c r="F7" s="23">
        <f>S$6*'Battery Capacity'!F7</f>
        <v>7188.5084210526329</v>
      </c>
      <c r="G7" s="23">
        <f>T$6*'Battery Capacity'!G7</f>
        <v>6651.8862674210541</v>
      </c>
      <c r="H7" s="23">
        <f>U$6*'Battery Capacity'!H7</f>
        <v>6155.3229575580726</v>
      </c>
      <c r="I7" s="23">
        <f>V$6*'Battery Capacity'!I7</f>
        <v>5695.8280987763619</v>
      </c>
      <c r="J7" s="23">
        <f>W$6*'Battery Capacity'!J7</f>
        <v>5358.7352539959875</v>
      </c>
      <c r="K7" s="23">
        <f>X$6*'Battery Capacity'!K7</f>
        <v>5065.3444988397077</v>
      </c>
      <c r="L7" s="23">
        <f>Y$6*'Battery Capacity'!L7</f>
        <v>4788.0168875282334</v>
      </c>
      <c r="M7" s="23">
        <f>Z$6*'Battery Capacity'!M7</f>
        <v>4525.8729629360623</v>
      </c>
      <c r="N7" s="23">
        <f>AA$6*'Battery Capacity'!N7</f>
        <v>4278.0814182153126</v>
      </c>
      <c r="O7" s="43">
        <f>AB$6*'Battery Capacity'!O7</f>
        <v>4043.856460568024</v>
      </c>
      <c r="P7" s="29"/>
      <c r="Q7" s="87" t="s">
        <v>172</v>
      </c>
      <c r="R7" s="117">
        <f t="shared" ref="R7:AB7" si="7">R6*1.4</f>
        <v>143.5</v>
      </c>
      <c r="S7" s="117">
        <f t="shared" si="7"/>
        <v>133.45499999999998</v>
      </c>
      <c r="T7" s="117">
        <f t="shared" si="7"/>
        <v>124.11315</v>
      </c>
      <c r="U7" s="117">
        <f t="shared" si="7"/>
        <v>115.4252295</v>
      </c>
      <c r="V7" s="117">
        <f t="shared" si="7"/>
        <v>107.345463435</v>
      </c>
      <c r="W7" s="117">
        <f t="shared" si="7"/>
        <v>101.5</v>
      </c>
      <c r="X7" s="117">
        <f t="shared" si="7"/>
        <v>96.424999999999997</v>
      </c>
      <c r="Y7" s="117">
        <f t="shared" si="7"/>
        <v>91.603749999999977</v>
      </c>
      <c r="Z7" s="117">
        <f t="shared" si="7"/>
        <v>87.023562499999983</v>
      </c>
      <c r="AA7" s="117">
        <f t="shared" si="7"/>
        <v>82.672384374999979</v>
      </c>
      <c r="AB7" s="117">
        <f t="shared" si="7"/>
        <v>78.53876515624998</v>
      </c>
    </row>
    <row r="8" spans="1:42" x14ac:dyDescent="0.3">
      <c r="A8" s="16" t="str">
        <f t="shared" si="0"/>
        <v>SmallSUVBaseBEV300</v>
      </c>
      <c r="B8" s="79" t="str">
        <f>'Vehicle Attributes - Base Year'!B5</f>
        <v>MedCar</v>
      </c>
      <c r="C8" s="68" t="str">
        <f>'Vehicle Attributes - Base Year'!C5</f>
        <v>Premium</v>
      </c>
      <c r="D8" s="68" t="str">
        <f>'Vehicle Attributes - Base Year'!D5</f>
        <v>BEV400</v>
      </c>
      <c r="E8" s="23">
        <f>R$6*'Battery Capacity'!E8</f>
        <v>10875.78947368421</v>
      </c>
      <c r="F8" s="23">
        <f>S$6*'Battery Capacity'!F8</f>
        <v>10063.911789473686</v>
      </c>
      <c r="G8" s="23">
        <f>T$6*'Battery Capacity'!G8</f>
        <v>9312.6407743894761</v>
      </c>
      <c r="H8" s="23">
        <f>U$6*'Battery Capacity'!H8</f>
        <v>8617.4521405812993</v>
      </c>
      <c r="I8" s="23">
        <f>V$6*'Battery Capacity'!I8</f>
        <v>7974.1593382869059</v>
      </c>
      <c r="J8" s="23">
        <f>W$6*'Battery Capacity'!J8</f>
        <v>7502.2293555943825</v>
      </c>
      <c r="K8" s="23">
        <f>X$6*'Battery Capacity'!K8</f>
        <v>7091.4822983755894</v>
      </c>
      <c r="L8" s="23">
        <f>Y$6*'Battery Capacity'!L8</f>
        <v>6703.2236425395258</v>
      </c>
      <c r="M8" s="23">
        <f>Z$6*'Battery Capacity'!M8</f>
        <v>6336.2221481104853</v>
      </c>
      <c r="N8" s="23">
        <f>AA$6*'Battery Capacity'!N8</f>
        <v>5989.3139855014379</v>
      </c>
      <c r="O8" s="43">
        <f>AB$6*'Battery Capacity'!O8</f>
        <v>5661.3990447952337</v>
      </c>
      <c r="P8" s="29"/>
      <c r="Q8" s="87" t="s">
        <v>173</v>
      </c>
      <c r="R8" s="117">
        <v>841.22857025068015</v>
      </c>
      <c r="S8" s="117">
        <v>832.81628454817337</v>
      </c>
      <c r="T8" s="117">
        <v>824.48812170269173</v>
      </c>
      <c r="U8" s="117">
        <v>816.24324048566473</v>
      </c>
      <c r="V8" s="117">
        <v>808.08080808080808</v>
      </c>
      <c r="W8" s="117">
        <v>800</v>
      </c>
      <c r="X8" s="117">
        <v>792</v>
      </c>
      <c r="Y8" s="117">
        <v>784.07999999999993</v>
      </c>
      <c r="Z8" s="117">
        <v>776.23919999999998</v>
      </c>
      <c r="AA8" s="117">
        <v>768.47680799999989</v>
      </c>
      <c r="AB8" s="117">
        <v>760.79203991999987</v>
      </c>
    </row>
    <row r="9" spans="1:42" x14ac:dyDescent="0.3">
      <c r="A9" t="str">
        <f t="shared" si="0"/>
        <v>SmallSUVPremiumBEV400</v>
      </c>
      <c r="B9" s="79" t="str">
        <f>'Vehicle Attributes - Base Year'!B6</f>
        <v>SmallSUV</v>
      </c>
      <c r="C9" s="68" t="str">
        <f>'Vehicle Attributes - Base Year'!C6</f>
        <v>Base</v>
      </c>
      <c r="D9" s="68" t="str">
        <f>'Vehicle Attributes - Base Year'!D6</f>
        <v>BEV300</v>
      </c>
      <c r="E9" s="23">
        <f>R$6*'Battery Capacity'!E9</f>
        <v>7930.2631578947376</v>
      </c>
      <c r="F9" s="23">
        <f>S$6*'Battery Capacity'!F9</f>
        <v>7338.2690131578947</v>
      </c>
      <c r="G9" s="23">
        <f>T$6*'Battery Capacity'!G9</f>
        <v>6790.4672313256597</v>
      </c>
      <c r="H9" s="23">
        <f>U$6*'Battery Capacity'!H9</f>
        <v>6283.5588525071989</v>
      </c>
      <c r="I9" s="23">
        <f>V$6*'Battery Capacity'!I9</f>
        <v>5814.4911841675357</v>
      </c>
      <c r="J9" s="23">
        <f>W$6*'Battery Capacity'!J9</f>
        <v>5470.3755717875702</v>
      </c>
      <c r="K9" s="23">
        <f>X$6*'Battery Capacity'!K9</f>
        <v>5170.8725092322011</v>
      </c>
      <c r="L9" s="23">
        <f>Y$6*'Battery Capacity'!L9</f>
        <v>4887.7672393517369</v>
      </c>
      <c r="M9" s="23">
        <f>Z$6*'Battery Capacity'!M9</f>
        <v>4620.1619829972296</v>
      </c>
      <c r="N9" s="23">
        <f>AA$6*'Battery Capacity'!N9</f>
        <v>4367.208114428131</v>
      </c>
      <c r="O9" s="43">
        <f>AB$6*'Battery Capacity'!O9</f>
        <v>4128.1034701631907</v>
      </c>
      <c r="P9" s="29"/>
    </row>
    <row r="10" spans="1:42" x14ac:dyDescent="0.3">
      <c r="A10" s="16" t="str">
        <f t="shared" si="0"/>
        <v>MedSUVBaseBEV300</v>
      </c>
      <c r="B10" s="79" t="str">
        <f>'Vehicle Attributes - Base Year'!B7</f>
        <v>SmallSUV</v>
      </c>
      <c r="C10" s="68" t="str">
        <f>'Vehicle Attributes - Base Year'!C7</f>
        <v>Premium</v>
      </c>
      <c r="D10" s="68" t="str">
        <f>'Vehicle Attributes - Base Year'!D7</f>
        <v>BEV400</v>
      </c>
      <c r="E10" s="23">
        <f>R$6*'Battery Capacity'!E10</f>
        <v>11091.578947368422</v>
      </c>
      <c r="F10" s="23">
        <f>S$6*'Battery Capacity'!F10</f>
        <v>10263.592578947369</v>
      </c>
      <c r="G10" s="23">
        <f>T$6*'Battery Capacity'!G10</f>
        <v>9497.4153929289496</v>
      </c>
      <c r="H10" s="23">
        <f>U$6*'Battery Capacity'!H10</f>
        <v>8788.4333338468041</v>
      </c>
      <c r="I10" s="23">
        <f>V$6*'Battery Capacity'!I10</f>
        <v>8132.3767854751386</v>
      </c>
      <c r="J10" s="23">
        <f>W$6*'Battery Capacity'!J10</f>
        <v>7651.0831126498269</v>
      </c>
      <c r="K10" s="23">
        <f>X$6*'Battery Capacity'!K10</f>
        <v>7232.1863122322484</v>
      </c>
      <c r="L10" s="23">
        <f>Y$6*'Battery Capacity'!L10</f>
        <v>6836.2241116375317</v>
      </c>
      <c r="M10" s="23">
        <f>Z$6*'Battery Capacity'!M10</f>
        <v>6461.9408415253783</v>
      </c>
      <c r="N10" s="23">
        <f>AA$6*'Battery Capacity'!N10</f>
        <v>6108.1495804518627</v>
      </c>
      <c r="O10" s="43">
        <f>AB$6*'Battery Capacity'!O10</f>
        <v>5773.7283909221233</v>
      </c>
      <c r="P10" s="29"/>
    </row>
    <row r="11" spans="1:42" x14ac:dyDescent="0.3">
      <c r="A11" t="str">
        <f t="shared" si="0"/>
        <v>MedSUVPremiumBEV400</v>
      </c>
      <c r="B11" s="79" t="str">
        <f>'Vehicle Attributes - Base Year'!B8</f>
        <v>MedSUV</v>
      </c>
      <c r="C11" s="68" t="str">
        <f>'Vehicle Attributes - Base Year'!C8</f>
        <v>Base</v>
      </c>
      <c r="D11" s="68" t="str">
        <f>'Vehicle Attributes - Base Year'!D8</f>
        <v>BEV300</v>
      </c>
      <c r="E11" s="23">
        <f>R$6*'Battery Capacity'!E11</f>
        <v>9613.4210526315783</v>
      </c>
      <c r="F11" s="23">
        <f>S$6*'Battery Capacity'!F11</f>
        <v>8895.7791710526326</v>
      </c>
      <c r="G11" s="23">
        <f>T$6*'Battery Capacity'!G11</f>
        <v>8231.7092559335542</v>
      </c>
      <c r="H11" s="23">
        <f>U$6*'Battery Capacity'!H11</f>
        <v>7617.212159978114</v>
      </c>
      <c r="I11" s="23">
        <f>V$6*'Battery Capacity'!I11</f>
        <v>7048.5872722357462</v>
      </c>
      <c r="J11" s="23">
        <f>W$6*'Battery Capacity'!J11</f>
        <v>6631.4348768200325</v>
      </c>
      <c r="K11" s="23">
        <f>X$6*'Battery Capacity'!K11</f>
        <v>6268.3638173141353</v>
      </c>
      <c r="L11" s="23">
        <f>Y$6*'Battery Capacity'!L11</f>
        <v>5925.1708983161852</v>
      </c>
      <c r="M11" s="23">
        <f>Z$6*'Battery Capacity'!M11</f>
        <v>5600.7677916333751</v>
      </c>
      <c r="N11" s="23">
        <f>AA$6*'Battery Capacity'!N11</f>
        <v>5294.1257550414475</v>
      </c>
      <c r="O11" s="43">
        <f>AB$6*'Battery Capacity'!O11</f>
        <v>5004.272369952927</v>
      </c>
      <c r="P11" s="29"/>
    </row>
    <row r="12" spans="1:42" x14ac:dyDescent="0.3">
      <c r="A12" s="16" t="str">
        <f t="shared" si="0"/>
        <v>PickupBaseBEV300</v>
      </c>
      <c r="B12" s="79" t="str">
        <f>'Vehicle Attributes - Base Year'!B9</f>
        <v>MedSUV</v>
      </c>
      <c r="C12" s="68" t="str">
        <f>'Vehicle Attributes - Base Year'!C9</f>
        <v>Premium</v>
      </c>
      <c r="D12" s="68" t="str">
        <f>'Vehicle Attributes - Base Year'!D9</f>
        <v>BEV400</v>
      </c>
      <c r="E12" s="23">
        <f>R$6*'Battery Capacity'!E12</f>
        <v>13465.263157894738</v>
      </c>
      <c r="F12" s="23">
        <f>S$6*'Battery Capacity'!F12</f>
        <v>12460.081263157896</v>
      </c>
      <c r="G12" s="23">
        <f>T$6*'Battery Capacity'!G12</f>
        <v>11529.936196863158</v>
      </c>
      <c r="H12" s="23">
        <f>U$6*'Battery Capacity'!H12</f>
        <v>10669.226459767324</v>
      </c>
      <c r="I12" s="23">
        <f>V$6*'Battery Capacity'!I12</f>
        <v>9872.7687045456914</v>
      </c>
      <c r="J12" s="23">
        <f>W$6*'Battery Capacity'!J12</f>
        <v>9288.4744402597098</v>
      </c>
      <c r="K12" s="23">
        <f>X$6*'Battery Capacity'!K12</f>
        <v>8779.9304646554901</v>
      </c>
      <c r="L12" s="23">
        <f>Y$6*'Battery Capacity'!L12</f>
        <v>8299.2292717156015</v>
      </c>
      <c r="M12" s="23">
        <f>Z$6*'Battery Capacity'!M12</f>
        <v>7844.8464690891706</v>
      </c>
      <c r="N12" s="23">
        <f>AA$6*'Battery Capacity'!N12</f>
        <v>7415.3411249065393</v>
      </c>
      <c r="O12" s="43">
        <f>AB$6*'Battery Capacity'!O12</f>
        <v>7009.351198317906</v>
      </c>
      <c r="P12" s="29"/>
      <c r="AF12" s="3"/>
      <c r="AG12" s="3"/>
      <c r="AH12" s="3"/>
      <c r="AI12" s="3"/>
      <c r="AJ12" s="3"/>
      <c r="AK12" s="3"/>
      <c r="AL12" s="3"/>
      <c r="AM12" s="3"/>
      <c r="AN12" s="3"/>
      <c r="AO12" s="3"/>
      <c r="AP12" s="3"/>
    </row>
    <row r="13" spans="1:42" x14ac:dyDescent="0.3">
      <c r="A13" t="str">
        <f t="shared" si="0"/>
        <v>PickupHTBEV400</v>
      </c>
      <c r="B13" s="79" t="str">
        <f>'Vehicle Attributes - Base Year'!B10</f>
        <v>Pickup</v>
      </c>
      <c r="C13" s="68" t="str">
        <f>'Vehicle Attributes - Base Year'!C10</f>
        <v>Base</v>
      </c>
      <c r="D13" s="68" t="str">
        <f>'Vehicle Attributes - Base Year'!D10</f>
        <v>BEV300</v>
      </c>
      <c r="E13" s="23">
        <f>R$6*'Battery Capacity'!E13</f>
        <v>11523.157894736842</v>
      </c>
      <c r="F13" s="23">
        <f>S$6*'Battery Capacity'!F13</f>
        <v>10662.954157894736</v>
      </c>
      <c r="G13" s="23">
        <f>T$6*'Battery Capacity'!G13</f>
        <v>9866.9646300078966</v>
      </c>
      <c r="H13" s="23">
        <f>U$6*'Battery Capacity'!H13</f>
        <v>9130.3957203778064</v>
      </c>
      <c r="I13" s="23">
        <f>V$6*'Battery Capacity'!I13</f>
        <v>8448.8116798516039</v>
      </c>
      <c r="J13" s="23">
        <f>W$6*'Battery Capacity'!J13</f>
        <v>7948.790626760715</v>
      </c>
      <c r="K13" s="23">
        <f>X$6*'Battery Capacity'!K13</f>
        <v>7513.5943399455646</v>
      </c>
      <c r="L13" s="23">
        <f>Y$6*'Battery Capacity'!L13</f>
        <v>7102.2250498335443</v>
      </c>
      <c r="M13" s="23">
        <f>Z$6*'Battery Capacity'!M13</f>
        <v>6713.3782283551591</v>
      </c>
      <c r="N13" s="23">
        <f>AA$6*'Battery Capacity'!N13</f>
        <v>6345.8207703527123</v>
      </c>
      <c r="O13" s="43">
        <f>AB$6*'Battery Capacity'!O13</f>
        <v>5998.3870831759014</v>
      </c>
      <c r="P13" s="29"/>
      <c r="AF13" s="3"/>
      <c r="AG13" s="3"/>
      <c r="AH13" s="3"/>
      <c r="AI13" s="3"/>
      <c r="AJ13" s="3"/>
      <c r="AK13" s="3"/>
      <c r="AL13" s="3"/>
      <c r="AM13" s="3"/>
      <c r="AN13" s="3"/>
      <c r="AO13" s="3"/>
      <c r="AP13" s="3"/>
    </row>
    <row r="14" spans="1:42" x14ac:dyDescent="0.3">
      <c r="A14" s="16" t="str">
        <f t="shared" si="0"/>
        <v>SmallCarBasePHEV50</v>
      </c>
      <c r="B14" s="79" t="str">
        <f>'Vehicle Attributes - Base Year'!B11</f>
        <v>Pickup</v>
      </c>
      <c r="C14" s="68" t="str">
        <f>'Vehicle Attributes - Base Year'!C11</f>
        <v>HT</v>
      </c>
      <c r="D14" s="68" t="str">
        <f>'Vehicle Attributes - Base Year'!D11</f>
        <v>BEV400</v>
      </c>
      <c r="E14" s="23">
        <f>R$6*'Battery Capacity'!E14</f>
        <v>16141.052631578948</v>
      </c>
      <c r="F14" s="23">
        <f>S$6*'Battery Capacity'!F14</f>
        <v>14936.123052631581</v>
      </c>
      <c r="G14" s="23">
        <f>T$6*'Battery Capacity'!G14</f>
        <v>13821.141466752633</v>
      </c>
      <c r="H14" s="23">
        <f>U$6*'Battery Capacity'!H14</f>
        <v>12789.393256259547</v>
      </c>
      <c r="I14" s="23">
        <f>V$6*'Battery Capacity'!I14</f>
        <v>11834.665049679772</v>
      </c>
      <c r="J14" s="23">
        <f>W$6*'Battery Capacity'!J14</f>
        <v>11134.261027747218</v>
      </c>
      <c r="K14" s="23">
        <f>X$6*'Battery Capacity'!K14</f>
        <v>10524.660236478057</v>
      </c>
      <c r="L14" s="23">
        <f>Y$6*'Battery Capacity'!L14</f>
        <v>9948.4350885308813</v>
      </c>
      <c r="M14" s="23">
        <f>Z$6*'Battery Capacity'!M14</f>
        <v>9403.7582674338155</v>
      </c>
      <c r="N14" s="23">
        <f>AA$6*'Battery Capacity'!N14</f>
        <v>8888.902502291814</v>
      </c>
      <c r="O14" s="43">
        <f>AB$6*'Battery Capacity'!O14</f>
        <v>8402.2350902913367</v>
      </c>
      <c r="P14" s="29"/>
    </row>
    <row r="15" spans="1:42" x14ac:dyDescent="0.3">
      <c r="A15" t="str">
        <f t="shared" si="0"/>
        <v>SmallCarPremiumPHEV50</v>
      </c>
      <c r="B15" s="79" t="str">
        <f>'Vehicle Attributes - Base Year'!B12</f>
        <v>SmallCar</v>
      </c>
      <c r="C15" s="68" t="str">
        <f>'Vehicle Attributes - Base Year'!C12</f>
        <v>Base</v>
      </c>
      <c r="D15" s="68" t="str">
        <f>'Vehicle Attributes - Base Year'!D12</f>
        <v>PHEV50</v>
      </c>
      <c r="E15" s="23">
        <f>R$7*'Battery Capacity'!E15</f>
        <v>2456.3823529411766</v>
      </c>
      <c r="F15" s="23">
        <f>S$7*'Battery Capacity'!F15</f>
        <v>2273.0134102941174</v>
      </c>
      <c r="G15" s="23">
        <f>T$7*'Battery Capacity'!G15</f>
        <v>2103.332959215662</v>
      </c>
      <c r="H15" s="23">
        <f>U$7*'Battery Capacity'!H15</f>
        <v>1946.319153810213</v>
      </c>
      <c r="I15" s="23">
        <f>V$7*'Battery Capacity'!I15</f>
        <v>1801.0264289782808</v>
      </c>
      <c r="J15" s="23">
        <f>W$7*'Battery Capacity'!J15</f>
        <v>1694.4373409755451</v>
      </c>
      <c r="K15" s="23">
        <f>X$7*'Battery Capacity'!K15</f>
        <v>1601.6668965571339</v>
      </c>
      <c r="L15" s="23">
        <f>Y$7*'Battery Capacity'!L15</f>
        <v>1513.9756339706305</v>
      </c>
      <c r="M15" s="23">
        <f>Z$7*'Battery Capacity'!M15</f>
        <v>1431.0854680107386</v>
      </c>
      <c r="N15" s="23">
        <f>AA$7*'Battery Capacity'!N15</f>
        <v>1352.7335386371508</v>
      </c>
      <c r="O15" s="43">
        <f>AB$7*'Battery Capacity'!O15</f>
        <v>1278.6713773967665</v>
      </c>
      <c r="P15" s="29"/>
    </row>
    <row r="16" spans="1:42" x14ac:dyDescent="0.3">
      <c r="A16" s="16" t="str">
        <f t="shared" si="0"/>
        <v>MedCarBasePHEV50</v>
      </c>
      <c r="B16" s="79" t="str">
        <f>'Vehicle Attributes - Base Year'!B13</f>
        <v>SmallCar</v>
      </c>
      <c r="C16" s="68" t="str">
        <f>'Vehicle Attributes - Base Year'!C13</f>
        <v>Premium</v>
      </c>
      <c r="D16" s="68" t="str">
        <f>'Vehicle Attributes - Base Year'!D13</f>
        <v>PHEV50</v>
      </c>
      <c r="E16" s="23">
        <f>R$7*'Battery Capacity'!E16</f>
        <v>2456.3823529411766</v>
      </c>
      <c r="F16" s="23">
        <f>S$7*'Battery Capacity'!F16</f>
        <v>2273.0134102941174</v>
      </c>
      <c r="G16" s="23">
        <f>T$7*'Battery Capacity'!G16</f>
        <v>2103.332959215662</v>
      </c>
      <c r="H16" s="23">
        <f>U$7*'Battery Capacity'!H16</f>
        <v>1946.319153810213</v>
      </c>
      <c r="I16" s="23">
        <f>V$7*'Battery Capacity'!I16</f>
        <v>1801.0264289782808</v>
      </c>
      <c r="J16" s="23">
        <f>W$7*'Battery Capacity'!J16</f>
        <v>1694.4373409755451</v>
      </c>
      <c r="K16" s="23">
        <f>X$7*'Battery Capacity'!K16</f>
        <v>1601.6668965571339</v>
      </c>
      <c r="L16" s="23">
        <f>Y$7*'Battery Capacity'!L16</f>
        <v>1513.9756339706305</v>
      </c>
      <c r="M16" s="23">
        <f>Z$7*'Battery Capacity'!M16</f>
        <v>1431.0854680107386</v>
      </c>
      <c r="N16" s="23">
        <f>AA$7*'Battery Capacity'!N16</f>
        <v>1352.7335386371508</v>
      </c>
      <c r="O16" s="43">
        <f>AB$7*'Battery Capacity'!O16</f>
        <v>1278.6713773967665</v>
      </c>
      <c r="P16" s="29"/>
    </row>
    <row r="17" spans="1:42" x14ac:dyDescent="0.3">
      <c r="A17" t="str">
        <f t="shared" si="0"/>
        <v>MedCarPremiumPHEV50</v>
      </c>
      <c r="B17" s="79" t="str">
        <f>'Vehicle Attributes - Base Year'!B14</f>
        <v>MedCar</v>
      </c>
      <c r="C17" s="68" t="str">
        <f>'Vehicle Attributes - Base Year'!C14</f>
        <v>Base</v>
      </c>
      <c r="D17" s="68" t="str">
        <f>'Vehicle Attributes - Base Year'!D14</f>
        <v>PHEV50</v>
      </c>
      <c r="E17" s="23">
        <f>R$7*'Battery Capacity'!E17</f>
        <v>2633.6470588235293</v>
      </c>
      <c r="F17" s="23">
        <f>S$7*'Battery Capacity'!F17</f>
        <v>2437.0453058823527</v>
      </c>
      <c r="G17" s="23">
        <f>T$7*'Battery Capacity'!G17</f>
        <v>2255.1198737982354</v>
      </c>
      <c r="H17" s="23">
        <f>U$7*'Battery Capacity'!H17</f>
        <v>2086.7751752191971</v>
      </c>
      <c r="I17" s="23">
        <f>V$7*'Battery Capacity'!I17</f>
        <v>1930.9974083890836</v>
      </c>
      <c r="J17" s="23">
        <f>W$7*'Battery Capacity'!J17</f>
        <v>1816.7163243449138</v>
      </c>
      <c r="K17" s="23">
        <f>X$7*'Battery Capacity'!K17</f>
        <v>1717.2511055870298</v>
      </c>
      <c r="L17" s="23">
        <f>Y$7*'Battery Capacity'!L17</f>
        <v>1623.2316075561394</v>
      </c>
      <c r="M17" s="23">
        <f>Z$7*'Battery Capacity'!M17</f>
        <v>1534.3596770424408</v>
      </c>
      <c r="N17" s="23">
        <f>AA$7*'Battery Capacity'!N17</f>
        <v>1450.353484724367</v>
      </c>
      <c r="O17" s="43">
        <f>AB$7*'Battery Capacity'!O17</f>
        <v>1370.946631435708</v>
      </c>
      <c r="P17" s="29"/>
    </row>
    <row r="18" spans="1:42" x14ac:dyDescent="0.3">
      <c r="A18" s="16" t="str">
        <f t="shared" si="0"/>
        <v>SmallSUVBasePHEV50</v>
      </c>
      <c r="B18" s="79" t="str">
        <f>'Vehicle Attributes - Base Year'!B15</f>
        <v>MedCar</v>
      </c>
      <c r="C18" s="68" t="str">
        <f>'Vehicle Attributes - Base Year'!C15</f>
        <v>Premium</v>
      </c>
      <c r="D18" s="68" t="str">
        <f>'Vehicle Attributes - Base Year'!D15</f>
        <v>PHEV50</v>
      </c>
      <c r="E18" s="23">
        <f>R$7*'Battery Capacity'!E18</f>
        <v>2633.6470588235293</v>
      </c>
      <c r="F18" s="23">
        <f>S$7*'Battery Capacity'!F18</f>
        <v>2437.0453058823527</v>
      </c>
      <c r="G18" s="23">
        <f>T$7*'Battery Capacity'!G18</f>
        <v>2255.1198737982354</v>
      </c>
      <c r="H18" s="23">
        <f>U$7*'Battery Capacity'!H18</f>
        <v>2086.7751752191971</v>
      </c>
      <c r="I18" s="23">
        <f>V$7*'Battery Capacity'!I18</f>
        <v>1930.9974083890836</v>
      </c>
      <c r="J18" s="23">
        <f>W$7*'Battery Capacity'!J18</f>
        <v>1816.7163243449138</v>
      </c>
      <c r="K18" s="23">
        <f>X$7*'Battery Capacity'!K18</f>
        <v>1717.2511055870298</v>
      </c>
      <c r="L18" s="23">
        <f>Y$7*'Battery Capacity'!L18</f>
        <v>1623.2316075561394</v>
      </c>
      <c r="M18" s="23">
        <f>Z$7*'Battery Capacity'!M18</f>
        <v>1534.3596770424408</v>
      </c>
      <c r="N18" s="23">
        <f>AA$7*'Battery Capacity'!N18</f>
        <v>1450.353484724367</v>
      </c>
      <c r="O18" s="43">
        <f>AB$7*'Battery Capacity'!O18</f>
        <v>1370.946631435708</v>
      </c>
      <c r="P18" s="29"/>
    </row>
    <row r="19" spans="1:42" x14ac:dyDescent="0.3">
      <c r="A19" t="str">
        <f t="shared" si="0"/>
        <v>SmallSUVPremiumPHEV50</v>
      </c>
      <c r="B19" s="79" t="str">
        <f>'Vehicle Attributes - Base Year'!B16</f>
        <v>SmallSUV</v>
      </c>
      <c r="C19" s="68" t="str">
        <f>'Vehicle Attributes - Base Year'!C16</f>
        <v>Base</v>
      </c>
      <c r="D19" s="68" t="str">
        <f>'Vehicle Attributes - Base Year'!D16</f>
        <v>PHEV50</v>
      </c>
      <c r="E19" s="23">
        <f>R$7*'Battery Capacity'!E19</f>
        <v>3021.9411764705883</v>
      </c>
      <c r="F19" s="23">
        <f>S$7*'Battery Capacity'!F19</f>
        <v>2796.3532676470591</v>
      </c>
      <c r="G19" s="23">
        <f>T$7*'Battery Capacity'!G19</f>
        <v>2587.6054962172061</v>
      </c>
      <c r="H19" s="23">
        <f>U$7*'Battery Capacity'!H19</f>
        <v>2394.4407459245913</v>
      </c>
      <c r="I19" s="23">
        <f>V$7*'Battery Capacity'!I19</f>
        <v>2215.6957442413204</v>
      </c>
      <c r="J19" s="23">
        <f>W$7*'Battery Capacity'!J19</f>
        <v>2084.5655260111512</v>
      </c>
      <c r="K19" s="23">
        <f>X$7*'Battery Capacity'!K19</f>
        <v>1970.4355634620406</v>
      </c>
      <c r="L19" s="23">
        <f>Y$7*'Battery Capacity'!L19</f>
        <v>1862.5542163624937</v>
      </c>
      <c r="M19" s="23">
        <f>Z$7*'Battery Capacity'!M19</f>
        <v>1760.5793730166474</v>
      </c>
      <c r="N19" s="23">
        <f>AA$7*'Battery Capacity'!N19</f>
        <v>1664.1876523439855</v>
      </c>
      <c r="O19" s="43">
        <f>AB$7*'Battery Capacity'!O19</f>
        <v>1573.0733783781525</v>
      </c>
      <c r="P19" s="29"/>
      <c r="AF19" s="3"/>
      <c r="AG19" s="3"/>
      <c r="AH19" s="3"/>
      <c r="AI19" s="3"/>
      <c r="AJ19" s="3"/>
      <c r="AK19" s="3"/>
      <c r="AL19" s="3"/>
      <c r="AM19" s="3"/>
      <c r="AN19" s="3"/>
      <c r="AO19" s="3"/>
      <c r="AP19" s="3"/>
    </row>
    <row r="20" spans="1:42" x14ac:dyDescent="0.3">
      <c r="A20" s="16" t="str">
        <f t="shared" si="0"/>
        <v>MedSUVBasePHEV50</v>
      </c>
      <c r="B20" s="79" t="str">
        <f>'Vehicle Attributes - Base Year'!B17</f>
        <v>SmallSUV</v>
      </c>
      <c r="C20" s="68" t="str">
        <f>'Vehicle Attributes - Base Year'!C17</f>
        <v>Premium</v>
      </c>
      <c r="D20" s="68" t="str">
        <f>'Vehicle Attributes - Base Year'!D17</f>
        <v>PHEV50</v>
      </c>
      <c r="E20" s="23">
        <f>R$7*'Battery Capacity'!E20</f>
        <v>3021.9411764705883</v>
      </c>
      <c r="F20" s="23">
        <f>S$7*'Battery Capacity'!F20</f>
        <v>2796.3532676470591</v>
      </c>
      <c r="G20" s="23">
        <f>T$7*'Battery Capacity'!G20</f>
        <v>2587.6054962172061</v>
      </c>
      <c r="H20" s="23">
        <f>U$7*'Battery Capacity'!H20</f>
        <v>2394.4407459245913</v>
      </c>
      <c r="I20" s="23">
        <f>V$7*'Battery Capacity'!I20</f>
        <v>2215.6957442413204</v>
      </c>
      <c r="J20" s="23">
        <f>W$7*'Battery Capacity'!J20</f>
        <v>2084.5655260111512</v>
      </c>
      <c r="K20" s="23">
        <f>X$7*'Battery Capacity'!K20</f>
        <v>1970.4355634620406</v>
      </c>
      <c r="L20" s="23">
        <f>Y$7*'Battery Capacity'!L20</f>
        <v>1862.5542163624937</v>
      </c>
      <c r="M20" s="23">
        <f>Z$7*'Battery Capacity'!M20</f>
        <v>1760.5793730166474</v>
      </c>
      <c r="N20" s="23">
        <f>AA$7*'Battery Capacity'!N20</f>
        <v>1664.1876523439855</v>
      </c>
      <c r="O20" s="43">
        <f>AB$7*'Battery Capacity'!O20</f>
        <v>1573.0733783781525</v>
      </c>
      <c r="P20" s="29"/>
      <c r="AF20" s="3"/>
      <c r="AG20" s="3"/>
      <c r="AH20" s="3"/>
      <c r="AI20" s="3"/>
      <c r="AJ20" s="3"/>
      <c r="AK20" s="3"/>
      <c r="AL20" s="3"/>
      <c r="AM20" s="3"/>
      <c r="AN20" s="3"/>
      <c r="AO20" s="3"/>
      <c r="AP20" s="3"/>
    </row>
    <row r="21" spans="1:42" x14ac:dyDescent="0.3">
      <c r="A21" t="str">
        <f t="shared" si="0"/>
        <v>MedSUVPremiumPHEV50</v>
      </c>
      <c r="B21" s="79" t="str">
        <f>'Vehicle Attributes - Base Year'!B18</f>
        <v>MedSUV</v>
      </c>
      <c r="C21" s="68" t="str">
        <f>'Vehicle Attributes - Base Year'!C18</f>
        <v>Base</v>
      </c>
      <c r="D21" s="68" t="str">
        <f>'Vehicle Attributes - Base Year'!D18</f>
        <v>PHEV50</v>
      </c>
      <c r="E21" s="23">
        <f>R$7*'Battery Capacity'!E21</f>
        <v>3258.294117647059</v>
      </c>
      <c r="F21" s="23">
        <f>S$7*'Battery Capacity'!F21</f>
        <v>3015.0624617647054</v>
      </c>
      <c r="G21" s="23">
        <f>T$7*'Battery Capacity'!G21</f>
        <v>2789.988048993971</v>
      </c>
      <c r="H21" s="23">
        <f>U$7*'Battery Capacity'!H21</f>
        <v>2581.7154411365709</v>
      </c>
      <c r="I21" s="23">
        <f>V$7*'Battery Capacity'!I21</f>
        <v>2388.9903834557258</v>
      </c>
      <c r="J21" s="23">
        <f>W$7*'Battery Capacity'!J21</f>
        <v>2247.6041705036441</v>
      </c>
      <c r="K21" s="23">
        <f>X$7*'Battery Capacity'!K21</f>
        <v>2124.5478421685693</v>
      </c>
      <c r="L21" s="23">
        <f>Y$7*'Battery Capacity'!L21</f>
        <v>2008.2288478098399</v>
      </c>
      <c r="M21" s="23">
        <f>Z$7*'Battery Capacity'!M21</f>
        <v>1898.2783183922509</v>
      </c>
      <c r="N21" s="23">
        <f>AA$7*'Battery Capacity'!N21</f>
        <v>1794.3475804602751</v>
      </c>
      <c r="O21" s="43">
        <f>AB$7*'Battery Capacity'!O21</f>
        <v>1696.1070504300751</v>
      </c>
      <c r="P21" s="29"/>
    </row>
    <row r="22" spans="1:42" x14ac:dyDescent="0.3">
      <c r="A22" s="16" t="str">
        <f t="shared" si="0"/>
        <v>PickupBasePHEV50</v>
      </c>
      <c r="B22" s="79" t="str">
        <f>'Vehicle Attributes - Base Year'!B19</f>
        <v>MedSUV</v>
      </c>
      <c r="C22" s="68" t="str">
        <f>'Vehicle Attributes - Base Year'!C19</f>
        <v>Premium</v>
      </c>
      <c r="D22" s="68" t="str">
        <f>'Vehicle Attributes - Base Year'!D19</f>
        <v>PHEV50</v>
      </c>
      <c r="E22" s="23">
        <f>R$7*'Battery Capacity'!E22</f>
        <v>3258.294117647059</v>
      </c>
      <c r="F22" s="23">
        <f>S$7*'Battery Capacity'!F22</f>
        <v>3015.0624617647054</v>
      </c>
      <c r="G22" s="23">
        <f>T$7*'Battery Capacity'!G22</f>
        <v>2789.988048993971</v>
      </c>
      <c r="H22" s="23">
        <f>U$7*'Battery Capacity'!H22</f>
        <v>2581.7154411365709</v>
      </c>
      <c r="I22" s="23">
        <f>V$7*'Battery Capacity'!I22</f>
        <v>2388.9903834557258</v>
      </c>
      <c r="J22" s="23">
        <f>W$7*'Battery Capacity'!J22</f>
        <v>2247.6041705036441</v>
      </c>
      <c r="K22" s="23">
        <f>X$7*'Battery Capacity'!K22</f>
        <v>2124.5478421685693</v>
      </c>
      <c r="L22" s="23">
        <f>Y$7*'Battery Capacity'!L22</f>
        <v>2008.2288478098399</v>
      </c>
      <c r="M22" s="23">
        <f>Z$7*'Battery Capacity'!M22</f>
        <v>1898.2783183922509</v>
      </c>
      <c r="N22" s="23">
        <f>AA$7*'Battery Capacity'!N22</f>
        <v>1794.3475804602751</v>
      </c>
      <c r="O22" s="43">
        <f>AB$7*'Battery Capacity'!O22</f>
        <v>1696.1070504300751</v>
      </c>
      <c r="P22" s="29"/>
    </row>
    <row r="23" spans="1:42" x14ac:dyDescent="0.3">
      <c r="A23" t="str">
        <f t="shared" si="0"/>
        <v>PickupHTPHEV50</v>
      </c>
      <c r="B23" s="79" t="str">
        <f>'Vehicle Attributes - Base Year'!B20</f>
        <v>Pickup</v>
      </c>
      <c r="C23" s="68" t="str">
        <f>'Vehicle Attributes - Base Year'!C20</f>
        <v>Base</v>
      </c>
      <c r="D23" s="68" t="str">
        <f>'Vehicle Attributes - Base Year'!D20</f>
        <v>PHEV50</v>
      </c>
      <c r="E23" s="23">
        <f>R$7*'Battery Capacity'!E23</f>
        <v>3908.2647058823527</v>
      </c>
      <c r="F23" s="23">
        <f>S$7*'Battery Capacity'!F23</f>
        <v>3616.5127455882352</v>
      </c>
      <c r="G23" s="23">
        <f>T$7*'Battery Capacity'!G23</f>
        <v>3346.5400691300738</v>
      </c>
      <c r="H23" s="23">
        <f>U$7*'Battery Capacity'!H23</f>
        <v>3096.7208529695135</v>
      </c>
      <c r="I23" s="23">
        <f>V$7*'Battery Capacity'!I23</f>
        <v>2865.5506412953396</v>
      </c>
      <c r="J23" s="23">
        <f>W$7*'Battery Capacity'!J23</f>
        <v>2695.9604428579974</v>
      </c>
      <c r="K23" s="23">
        <f>X$7*'Battery Capacity'!K23</f>
        <v>2548.356608611522</v>
      </c>
      <c r="L23" s="23">
        <f>Y$7*'Battery Capacity'!L23</f>
        <v>2408.8340842900402</v>
      </c>
      <c r="M23" s="23">
        <f>Z$7*'Battery Capacity'!M23</f>
        <v>2276.9504181751604</v>
      </c>
      <c r="N23" s="23">
        <f>AA$7*'Battery Capacity'!N23</f>
        <v>2152.2873827800704</v>
      </c>
      <c r="O23" s="43">
        <f>AB$7*'Battery Capacity'!O23</f>
        <v>2034.4496485728614</v>
      </c>
      <c r="P23" s="29"/>
    </row>
    <row r="24" spans="1:42" x14ac:dyDescent="0.3">
      <c r="A24" s="16" t="str">
        <f t="shared" si="0"/>
        <v>SmallCarBaseFCEV320</v>
      </c>
      <c r="B24" s="79" t="str">
        <f>'Vehicle Attributes - Base Year'!B21</f>
        <v>Pickup</v>
      </c>
      <c r="C24" s="68" t="str">
        <f>'Vehicle Attributes - Base Year'!C21</f>
        <v>HT</v>
      </c>
      <c r="D24" s="68" t="str">
        <f>'Vehicle Attributes - Base Year'!D21</f>
        <v>PHEV50</v>
      </c>
      <c r="E24" s="23">
        <f>R$7*'Battery Capacity'!E24</f>
        <v>3908.2647058823527</v>
      </c>
      <c r="F24" s="23">
        <f>S$7*'Battery Capacity'!F24</f>
        <v>3616.5127455882352</v>
      </c>
      <c r="G24" s="23">
        <f>T$7*'Battery Capacity'!G24</f>
        <v>3346.5400691300738</v>
      </c>
      <c r="H24" s="23">
        <f>U$7*'Battery Capacity'!H24</f>
        <v>3096.7208529695135</v>
      </c>
      <c r="I24" s="23">
        <f>V$7*'Battery Capacity'!I24</f>
        <v>2865.5506412953396</v>
      </c>
      <c r="J24" s="23">
        <f>W$7*'Battery Capacity'!J24</f>
        <v>2695.9604428579974</v>
      </c>
      <c r="K24" s="23">
        <f>X$7*'Battery Capacity'!K24</f>
        <v>2548.356608611522</v>
      </c>
      <c r="L24" s="23">
        <f>Y$7*'Battery Capacity'!L24</f>
        <v>2408.8340842900402</v>
      </c>
      <c r="M24" s="23">
        <f>Z$7*'Battery Capacity'!M24</f>
        <v>2276.9504181751604</v>
      </c>
      <c r="N24" s="23">
        <f>AA$7*'Battery Capacity'!N24</f>
        <v>2152.2873827800704</v>
      </c>
      <c r="O24" s="43">
        <f>AB$7*'Battery Capacity'!O24</f>
        <v>2034.4496485728614</v>
      </c>
      <c r="P24" s="29"/>
    </row>
    <row r="25" spans="1:42" x14ac:dyDescent="0.3">
      <c r="A25" t="str">
        <f t="shared" si="0"/>
        <v>SmallCarPremiumFCEV320</v>
      </c>
      <c r="B25" s="79" t="str">
        <f>'Vehicle Attributes - Base Year'!B22</f>
        <v>SmallCar</v>
      </c>
      <c r="C25" s="68" t="str">
        <f>'Vehicle Attributes - Base Year'!C22</f>
        <v>Base</v>
      </c>
      <c r="D25" s="68" t="str">
        <f>'Vehicle Attributes - Base Year'!D22</f>
        <v>FCEV320</v>
      </c>
      <c r="E25" s="23">
        <f>R$8*'Battery Capacity'!E25</f>
        <v>1181.0849126319549</v>
      </c>
      <c r="F25" s="23">
        <f>S$8*'Battery Capacity'!F25</f>
        <v>1169.2740635056352</v>
      </c>
      <c r="G25" s="23">
        <f>T$8*'Battery Capacity'!G25</f>
        <v>1157.581322870579</v>
      </c>
      <c r="H25" s="23">
        <f>U$8*'Battery Capacity'!H25</f>
        <v>1146.0055096418732</v>
      </c>
      <c r="I25" s="23">
        <f>V$8*'Battery Capacity'!I25</f>
        <v>1134.5454545454545</v>
      </c>
      <c r="J25" s="23">
        <f>W$8*'Battery Capacity'!J25</f>
        <v>1123.1999999999998</v>
      </c>
      <c r="K25" s="23">
        <f>X$8*'Battery Capacity'!K25</f>
        <v>1089.7286399999998</v>
      </c>
      <c r="L25" s="23">
        <f>Y$8*'Battery Capacity'!L25</f>
        <v>1056.8143871999998</v>
      </c>
      <c r="M25" s="23">
        <f>Z$8*'Battery Capacity'!M25</f>
        <v>1024.4494465919997</v>
      </c>
      <c r="N25" s="23">
        <f>AA$8*'Battery Capacity'!N25</f>
        <v>992.62612335743984</v>
      </c>
      <c r="O25" s="43">
        <f>AB$8*'Battery Capacity'!O25</f>
        <v>961.33682164291167</v>
      </c>
      <c r="P25" s="29"/>
    </row>
    <row r="26" spans="1:42" x14ac:dyDescent="0.3">
      <c r="A26" s="16" t="str">
        <f t="shared" si="0"/>
        <v>MedCarBaseFCEV320</v>
      </c>
      <c r="B26" s="79" t="str">
        <f>'Vehicle Attributes - Base Year'!B23</f>
        <v>SmallCar</v>
      </c>
      <c r="C26" s="68" t="str">
        <f>'Vehicle Attributes - Base Year'!C23</f>
        <v>Premium</v>
      </c>
      <c r="D26" s="68" t="str">
        <f>'Vehicle Attributes - Base Year'!D23</f>
        <v>FCEV320</v>
      </c>
      <c r="E26" s="23">
        <f>R$8*'Battery Capacity'!E26</f>
        <v>1181.0849126319549</v>
      </c>
      <c r="F26" s="23">
        <f>S$8*'Battery Capacity'!F26</f>
        <v>1169.2740635056352</v>
      </c>
      <c r="G26" s="23">
        <f>T$8*'Battery Capacity'!G26</f>
        <v>1157.581322870579</v>
      </c>
      <c r="H26" s="23">
        <f>U$8*'Battery Capacity'!H26</f>
        <v>1146.0055096418732</v>
      </c>
      <c r="I26" s="23">
        <f>V$8*'Battery Capacity'!I26</f>
        <v>1134.5454545454545</v>
      </c>
      <c r="J26" s="23">
        <f>W$8*'Battery Capacity'!J26</f>
        <v>1123.1999999999998</v>
      </c>
      <c r="K26" s="23">
        <f>X$8*'Battery Capacity'!K26</f>
        <v>1089.7286399999998</v>
      </c>
      <c r="L26" s="23">
        <f>Y$8*'Battery Capacity'!L26</f>
        <v>1056.8143871999998</v>
      </c>
      <c r="M26" s="23">
        <f>Z$8*'Battery Capacity'!M26</f>
        <v>1024.4494465919997</v>
      </c>
      <c r="N26" s="23">
        <f>AA$8*'Battery Capacity'!N26</f>
        <v>992.62612335743984</v>
      </c>
      <c r="O26" s="43">
        <f>AB$8*'Battery Capacity'!O26</f>
        <v>961.33682164291167</v>
      </c>
      <c r="P26" s="29"/>
    </row>
    <row r="27" spans="1:42" x14ac:dyDescent="0.3">
      <c r="A27" t="str">
        <f t="shared" si="0"/>
        <v>MedCarPremiumFCEV320</v>
      </c>
      <c r="B27" s="79" t="str">
        <f>'Vehicle Attributes - Base Year'!B24</f>
        <v>MedCar</v>
      </c>
      <c r="C27" s="68" t="str">
        <f>'Vehicle Attributes - Base Year'!C24</f>
        <v>Base</v>
      </c>
      <c r="D27" s="68" t="str">
        <f>'Vehicle Attributes - Base Year'!D24</f>
        <v>FCEV320</v>
      </c>
      <c r="E27" s="23">
        <f>R$8*'Battery Capacity'!E27</f>
        <v>1417.3018951583458</v>
      </c>
      <c r="F27" s="23">
        <f>S$8*'Battery Capacity'!F27</f>
        <v>1379.7433949366498</v>
      </c>
      <c r="G27" s="23">
        <f>T$8*'Battery Capacity'!G27</f>
        <v>1342.7943345298718</v>
      </c>
      <c r="H27" s="23">
        <f>U$8*'Battery Capacity'!H27</f>
        <v>1306.4462809917354</v>
      </c>
      <c r="I27" s="23">
        <f>V$8*'Battery Capacity'!I27</f>
        <v>1270.6909090909089</v>
      </c>
      <c r="J27" s="23">
        <f>W$8*'Battery Capacity'!J27</f>
        <v>1235.52</v>
      </c>
      <c r="K27" s="23">
        <f>X$8*'Battery Capacity'!K27</f>
        <v>1200.92544</v>
      </c>
      <c r="L27" s="23">
        <f>Y$8*'Battery Capacity'!L27</f>
        <v>1166.8992191999998</v>
      </c>
      <c r="M27" s="23">
        <f>Z$8*'Battery Capacity'!M27</f>
        <v>1133.4334302719999</v>
      </c>
      <c r="N27" s="23">
        <f>AA$8*'Battery Capacity'!N27</f>
        <v>1100.5202672006399</v>
      </c>
      <c r="O27" s="43">
        <f>AB$8*'Battery Capacity'!O27</f>
        <v>1068.1520240476798</v>
      </c>
      <c r="P27" s="29"/>
    </row>
    <row r="28" spans="1:42" x14ac:dyDescent="0.3">
      <c r="A28" s="16" t="str">
        <f t="shared" si="0"/>
        <v>SmallSUVBaseFCEV320</v>
      </c>
      <c r="B28" s="79" t="str">
        <f>'Vehicle Attributes - Base Year'!B25</f>
        <v>MedCar</v>
      </c>
      <c r="C28" s="68" t="str">
        <f>'Vehicle Attributes - Base Year'!C25</f>
        <v>Premium</v>
      </c>
      <c r="D28" s="68" t="str">
        <f>'Vehicle Attributes - Base Year'!D25</f>
        <v>FCEV320</v>
      </c>
      <c r="E28" s="23">
        <f>R$8*'Battery Capacity'!E28</f>
        <v>1417.3018951583458</v>
      </c>
      <c r="F28" s="23">
        <f>S$8*'Battery Capacity'!F28</f>
        <v>1379.7433949366498</v>
      </c>
      <c r="G28" s="23">
        <f>T$8*'Battery Capacity'!G28</f>
        <v>1342.7943345298718</v>
      </c>
      <c r="H28" s="23">
        <f>U$8*'Battery Capacity'!H28</f>
        <v>1306.4462809917354</v>
      </c>
      <c r="I28" s="23">
        <f>V$8*'Battery Capacity'!I28</f>
        <v>1270.6909090909089</v>
      </c>
      <c r="J28" s="23">
        <f>W$8*'Battery Capacity'!J28</f>
        <v>1235.52</v>
      </c>
      <c r="K28" s="23">
        <f>X$8*'Battery Capacity'!K28</f>
        <v>1200.92544</v>
      </c>
      <c r="L28" s="23">
        <f>Y$8*'Battery Capacity'!L28</f>
        <v>1166.8992191999998</v>
      </c>
      <c r="M28" s="23">
        <f>Z$8*'Battery Capacity'!M28</f>
        <v>1133.4334302719999</v>
      </c>
      <c r="N28" s="23">
        <f>AA$8*'Battery Capacity'!N28</f>
        <v>1100.5202672006399</v>
      </c>
      <c r="O28" s="43">
        <f>AB$8*'Battery Capacity'!O28</f>
        <v>1068.1520240476798</v>
      </c>
      <c r="P28" s="29"/>
    </row>
    <row r="29" spans="1:42" x14ac:dyDescent="0.3">
      <c r="A29" t="str">
        <f t="shared" si="0"/>
        <v>SmallSUVPremiumFCEV320</v>
      </c>
      <c r="B29" s="79" t="str">
        <f>'Vehicle Attributes - Base Year'!B26</f>
        <v>SmallSUV</v>
      </c>
      <c r="C29" s="68" t="str">
        <f>'Vehicle Attributes - Base Year'!C26</f>
        <v>Base</v>
      </c>
      <c r="D29" s="68" t="str">
        <f>'Vehicle Attributes - Base Year'!D26</f>
        <v>FCEV320</v>
      </c>
      <c r="E29" s="23">
        <f>R$8*'Battery Capacity'!E29</f>
        <v>1417.3018951583458</v>
      </c>
      <c r="F29" s="23">
        <f>S$8*'Battery Capacity'!F29</f>
        <v>1379.7433949366498</v>
      </c>
      <c r="G29" s="23">
        <f>T$8*'Battery Capacity'!G29</f>
        <v>1342.7943345298718</v>
      </c>
      <c r="H29" s="23">
        <f>U$8*'Battery Capacity'!H29</f>
        <v>1306.4462809917354</v>
      </c>
      <c r="I29" s="23">
        <f>V$8*'Battery Capacity'!I29</f>
        <v>1270.6909090909089</v>
      </c>
      <c r="J29" s="23">
        <f>W$8*'Battery Capacity'!J29</f>
        <v>1235.52</v>
      </c>
      <c r="K29" s="23">
        <f>X$8*'Battery Capacity'!K29</f>
        <v>1223.1648</v>
      </c>
      <c r="L29" s="23">
        <f>Y$8*'Battery Capacity'!L29</f>
        <v>1210.9331519999998</v>
      </c>
      <c r="M29" s="23">
        <f>Z$8*'Battery Capacity'!M29</f>
        <v>1198.82382048</v>
      </c>
      <c r="N29" s="23">
        <f>AA$8*'Battery Capacity'!N29</f>
        <v>1186.8355822751998</v>
      </c>
      <c r="O29" s="43">
        <f>AB$8*'Battery Capacity'!O29</f>
        <v>1174.9672264524477</v>
      </c>
      <c r="P29" s="29"/>
    </row>
    <row r="30" spans="1:42" x14ac:dyDescent="0.3">
      <c r="A30" s="16" t="str">
        <f t="shared" si="0"/>
        <v>MedSUVBaseFCEV320</v>
      </c>
      <c r="B30" s="79" t="str">
        <f>'Vehicle Attributes - Base Year'!B27</f>
        <v>SmallSUV</v>
      </c>
      <c r="C30" s="68" t="str">
        <f>'Vehicle Attributes - Base Year'!C27</f>
        <v>Premium</v>
      </c>
      <c r="D30" s="68" t="str">
        <f>'Vehicle Attributes - Base Year'!D27</f>
        <v>FCEV320</v>
      </c>
      <c r="E30" s="23">
        <f>R$8*'Battery Capacity'!E30</f>
        <v>1417.3018951583458</v>
      </c>
      <c r="F30" s="23">
        <f>S$8*'Battery Capacity'!F30</f>
        <v>1379.7433949366498</v>
      </c>
      <c r="G30" s="23">
        <f>T$8*'Battery Capacity'!G30</f>
        <v>1342.7943345298718</v>
      </c>
      <c r="H30" s="23">
        <f>U$8*'Battery Capacity'!H30</f>
        <v>1306.4462809917354</v>
      </c>
      <c r="I30" s="23">
        <f>V$8*'Battery Capacity'!I30</f>
        <v>1270.6909090909089</v>
      </c>
      <c r="J30" s="23">
        <f>W$8*'Battery Capacity'!J30</f>
        <v>1235.52</v>
      </c>
      <c r="K30" s="23">
        <f>X$8*'Battery Capacity'!K30</f>
        <v>1223.1648</v>
      </c>
      <c r="L30" s="23">
        <f>Y$8*'Battery Capacity'!L30</f>
        <v>1210.9331519999998</v>
      </c>
      <c r="M30" s="23">
        <f>Z$8*'Battery Capacity'!M30</f>
        <v>1198.82382048</v>
      </c>
      <c r="N30" s="23">
        <f>AA$8*'Battery Capacity'!N30</f>
        <v>1186.8355822751998</v>
      </c>
      <c r="O30" s="43">
        <f>AB$8*'Battery Capacity'!O30</f>
        <v>1174.9672264524477</v>
      </c>
      <c r="P30" s="29"/>
    </row>
    <row r="31" spans="1:42" x14ac:dyDescent="0.3">
      <c r="A31" t="str">
        <f t="shared" si="0"/>
        <v>MedSUVPremiumFCEV320</v>
      </c>
      <c r="B31" s="79" t="str">
        <f>'Vehicle Attributes - Base Year'!B28</f>
        <v>MedSUV</v>
      </c>
      <c r="C31" s="68" t="str">
        <f>'Vehicle Attributes - Base Year'!C28</f>
        <v>Base</v>
      </c>
      <c r="D31" s="68" t="str">
        <f>'Vehicle Attributes - Base Year'!D28</f>
        <v>FCEV320</v>
      </c>
      <c r="E31" s="23">
        <f>R$8*'Battery Capacity'!E31</f>
        <v>1653.5188776847369</v>
      </c>
      <c r="F31" s="23">
        <f>S$8*'Battery Capacity'!F31</f>
        <v>1613.598207637777</v>
      </c>
      <c r="G31" s="23">
        <f>T$8*'Battery Capacity'!G31</f>
        <v>1574.3105991039877</v>
      </c>
      <c r="H31" s="23">
        <f>U$8*'Battery Capacity'!H31</f>
        <v>1535.6473829201102</v>
      </c>
      <c r="I31" s="23">
        <f>V$8*'Battery Capacity'!I31</f>
        <v>1497.6000000000001</v>
      </c>
      <c r="J31" s="23">
        <f>W$8*'Battery Capacity'!J31</f>
        <v>1460.16</v>
      </c>
      <c r="K31" s="23">
        <f>X$8*'Battery Capacity'!K31</f>
        <v>1423.3190400000001</v>
      </c>
      <c r="L31" s="23">
        <f>Y$8*'Battery Capacity'!L31</f>
        <v>1387.0688831999998</v>
      </c>
      <c r="M31" s="23">
        <f>Z$8*'Battery Capacity'!M31</f>
        <v>1351.401397632</v>
      </c>
      <c r="N31" s="23">
        <f>AA$8*'Battery Capacity'!N31</f>
        <v>1316.3085548870397</v>
      </c>
      <c r="O31" s="43">
        <f>AB$8*'Battery Capacity'!O31</f>
        <v>1281.7824288572156</v>
      </c>
      <c r="P31" s="29"/>
    </row>
    <row r="32" spans="1:42" x14ac:dyDescent="0.3">
      <c r="A32" s="16" t="str">
        <f t="shared" si="0"/>
        <v>PickupBaseFCEV320</v>
      </c>
      <c r="B32" s="79" t="str">
        <f>'Vehicle Attributes - Base Year'!B29</f>
        <v>MedSUV</v>
      </c>
      <c r="C32" s="68" t="str">
        <f>'Vehicle Attributes - Base Year'!C29</f>
        <v>Premium</v>
      </c>
      <c r="D32" s="68" t="str">
        <f>'Vehicle Attributes - Base Year'!D29</f>
        <v>FCEV320</v>
      </c>
      <c r="E32" s="23">
        <f>R$8*'Battery Capacity'!E32</f>
        <v>1653.5188776847369</v>
      </c>
      <c r="F32" s="23">
        <f>S$8*'Battery Capacity'!F32</f>
        <v>1613.598207637777</v>
      </c>
      <c r="G32" s="23">
        <f>T$8*'Battery Capacity'!G32</f>
        <v>1574.3105991039877</v>
      </c>
      <c r="H32" s="23">
        <f>U$8*'Battery Capacity'!H32</f>
        <v>1535.6473829201102</v>
      </c>
      <c r="I32" s="23">
        <f>V$8*'Battery Capacity'!I32</f>
        <v>1497.6000000000001</v>
      </c>
      <c r="J32" s="23">
        <f>W$8*'Battery Capacity'!J32</f>
        <v>1460.16</v>
      </c>
      <c r="K32" s="23">
        <f>X$8*'Battery Capacity'!K32</f>
        <v>1423.3190400000001</v>
      </c>
      <c r="L32" s="23">
        <f>Y$8*'Battery Capacity'!L32</f>
        <v>1387.0688831999998</v>
      </c>
      <c r="M32" s="23">
        <f>Z$8*'Battery Capacity'!M32</f>
        <v>1351.401397632</v>
      </c>
      <c r="N32" s="23">
        <f>AA$8*'Battery Capacity'!N32</f>
        <v>1316.3085548870397</v>
      </c>
      <c r="O32" s="43">
        <f>AB$8*'Battery Capacity'!O32</f>
        <v>1281.7824288572156</v>
      </c>
      <c r="P32" s="29"/>
    </row>
    <row r="33" spans="1:16" x14ac:dyDescent="0.3">
      <c r="A33" t="str">
        <f t="shared" si="0"/>
        <v>PickupHTFCEV320</v>
      </c>
      <c r="B33" s="79" t="str">
        <f>'Vehicle Attributes - Base Year'!B30</f>
        <v>Pickup</v>
      </c>
      <c r="C33" s="68" t="str">
        <f>'Vehicle Attributes - Base Year'!C30</f>
        <v>Base</v>
      </c>
      <c r="D33" s="68" t="str">
        <f>'Vehicle Attributes - Base Year'!D30</f>
        <v>FCEV320</v>
      </c>
      <c r="E33" s="23">
        <f>R$8*'Battery Capacity'!E33</f>
        <v>1889.7358602111278</v>
      </c>
      <c r="F33" s="23">
        <f>S$8*'Battery Capacity'!F33</f>
        <v>1824.0675390687913</v>
      </c>
      <c r="G33" s="23">
        <f>T$8*'Battery Capacity'!G33</f>
        <v>1759.5236107632804</v>
      </c>
      <c r="H33" s="23">
        <f>U$8*'Battery Capacity'!H33</f>
        <v>1696.0881542699722</v>
      </c>
      <c r="I33" s="23">
        <f>V$8*'Battery Capacity'!I33</f>
        <v>1633.7454545454545</v>
      </c>
      <c r="J33" s="23">
        <f>W$8*'Battery Capacity'!J33</f>
        <v>1572.48</v>
      </c>
      <c r="K33" s="23">
        <f>X$8*'Battery Capacity'!K33</f>
        <v>1556.7552000000001</v>
      </c>
      <c r="L33" s="23">
        <f>Y$8*'Battery Capacity'!L33</f>
        <v>1541.1876479999999</v>
      </c>
      <c r="M33" s="23">
        <f>Z$8*'Battery Capacity'!M33</f>
        <v>1525.77577152</v>
      </c>
      <c r="N33" s="23">
        <f>AA$8*'Battery Capacity'!N33</f>
        <v>1510.5180138047997</v>
      </c>
      <c r="O33" s="43">
        <f>AB$8*'Battery Capacity'!O33</f>
        <v>1495.4128336667518</v>
      </c>
      <c r="P33" s="29"/>
    </row>
    <row r="34" spans="1:16" x14ac:dyDescent="0.3">
      <c r="B34" s="79" t="str">
        <f>'Vehicle Attributes - Base Year'!B31</f>
        <v>Pickup</v>
      </c>
      <c r="C34" s="68" t="str">
        <f>'Vehicle Attributes - Base Year'!C31</f>
        <v>HT</v>
      </c>
      <c r="D34" s="68" t="str">
        <f>'Vehicle Attributes - Base Year'!D31</f>
        <v>FCEV320</v>
      </c>
      <c r="E34" s="23">
        <f>R$8*'Battery Capacity'!E34</f>
        <v>1889.7358602111278</v>
      </c>
      <c r="F34" s="23">
        <f>S$8*'Battery Capacity'!F34</f>
        <v>1824.0675390687913</v>
      </c>
      <c r="G34" s="23">
        <f>T$8*'Battery Capacity'!G34</f>
        <v>1759.5236107632804</v>
      </c>
      <c r="H34" s="23">
        <f>U$8*'Battery Capacity'!H34</f>
        <v>1696.0881542699722</v>
      </c>
      <c r="I34" s="23">
        <f>V$8*'Battery Capacity'!I34</f>
        <v>1633.7454545454545</v>
      </c>
      <c r="J34" s="23">
        <f>W$8*'Battery Capacity'!J34</f>
        <v>1572.48</v>
      </c>
      <c r="K34" s="23">
        <f>X$8*'Battery Capacity'!K34</f>
        <v>1556.7552000000001</v>
      </c>
      <c r="L34" s="23">
        <f>Y$8*'Battery Capacity'!L34</f>
        <v>1541.1876479999999</v>
      </c>
      <c r="M34" s="23">
        <f>Z$8*'Battery Capacity'!M34</f>
        <v>1525.77577152</v>
      </c>
      <c r="N34" s="23">
        <f>AA$8*'Battery Capacity'!N34</f>
        <v>1510.5180138047997</v>
      </c>
      <c r="O34" s="43">
        <f>AB$8*'Battery Capacity'!O34</f>
        <v>1495.4128336667518</v>
      </c>
    </row>
  </sheetData>
  <mergeCells count="4">
    <mergeCell ref="Q2:AB2"/>
    <mergeCell ref="R3:AB3"/>
    <mergeCell ref="E2:O2"/>
    <mergeCell ref="B1:O1"/>
  </mergeCells>
  <dataValidations disablePrompts="1" count="1">
    <dataValidation type="list" allowBlank="1" showInputMessage="1" showErrorMessage="1" sqref="S1" xr:uid="{00000000-0002-0000-0700-000000000000}">
      <formula1>$AR$1:$AR$3</formula1>
    </dataValidation>
  </dataValidations>
  <pageMargins left="0.7" right="0.7" top="0.75" bottom="0.75" header="0.3" footer="0.3"/>
  <pageSetup orientation="portrait" r:id="rId1"/>
  <drawing r:id="rId2"/>
  <tableParts count="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0597B"/>
  </sheetPr>
  <dimension ref="A1:O34"/>
  <sheetViews>
    <sheetView topLeftCell="B4" workbookViewId="0">
      <selection activeCell="N36" sqref="N36"/>
    </sheetView>
  </sheetViews>
  <sheetFormatPr defaultRowHeight="14.4" x14ac:dyDescent="0.3"/>
  <cols>
    <col min="1" max="1" width="0" hidden="1" customWidth="1"/>
    <col min="2" max="2" width="12.5546875" bestFit="1" customWidth="1"/>
    <col min="3" max="3" width="12.44140625" bestFit="1" customWidth="1"/>
    <col min="4" max="10" width="11" customWidth="1"/>
    <col min="11" max="15" width="12" customWidth="1"/>
  </cols>
  <sheetData>
    <row r="1" spans="1:15" x14ac:dyDescent="0.3">
      <c r="B1" s="170" t="s">
        <v>174</v>
      </c>
      <c r="C1" s="175"/>
      <c r="D1" s="175"/>
      <c r="E1" s="175"/>
      <c r="F1" s="175"/>
      <c r="G1" s="175"/>
      <c r="H1" s="175"/>
      <c r="I1" s="175"/>
      <c r="J1" s="175"/>
      <c r="K1" s="175"/>
      <c r="L1" s="175"/>
      <c r="M1" s="175"/>
      <c r="N1" s="175"/>
      <c r="O1" s="171"/>
    </row>
    <row r="2" spans="1:15" x14ac:dyDescent="0.3">
      <c r="B2" s="73"/>
      <c r="C2" s="73"/>
      <c r="D2" s="74"/>
      <c r="E2" s="195" t="s">
        <v>155</v>
      </c>
      <c r="F2" s="195"/>
      <c r="G2" s="195"/>
      <c r="H2" s="195"/>
      <c r="I2" s="195"/>
      <c r="J2" s="195"/>
      <c r="K2" s="195"/>
      <c r="L2" s="195"/>
      <c r="M2" s="195"/>
      <c r="N2" s="195"/>
      <c r="O2" s="196"/>
    </row>
    <row r="3" spans="1:15" x14ac:dyDescent="0.3">
      <c r="B3" s="75" t="s">
        <v>100</v>
      </c>
      <c r="C3" s="75" t="s">
        <v>101</v>
      </c>
      <c r="D3" s="76" t="s">
        <v>67</v>
      </c>
      <c r="E3" s="77">
        <v>2025</v>
      </c>
      <c r="F3" s="78">
        <v>2026</v>
      </c>
      <c r="G3" s="78">
        <v>2027</v>
      </c>
      <c r="H3" s="78">
        <v>2028</v>
      </c>
      <c r="I3" s="78">
        <v>2029</v>
      </c>
      <c r="J3" s="78">
        <v>2030</v>
      </c>
      <c r="K3" s="78">
        <v>2031</v>
      </c>
      <c r="L3" s="78">
        <v>2032</v>
      </c>
      <c r="M3" s="78">
        <v>2033</v>
      </c>
      <c r="N3" s="78">
        <v>2034</v>
      </c>
      <c r="O3" s="148">
        <v>2035</v>
      </c>
    </row>
    <row r="4" spans="1:15" x14ac:dyDescent="0.3">
      <c r="A4" s="16" t="str">
        <f t="shared" ref="A4:A33" si="0">CONCATENATE(B5,C5,D5)</f>
        <v>SmallCarBaseBEV300</v>
      </c>
      <c r="B4" s="79" t="s">
        <v>64</v>
      </c>
      <c r="C4" s="68" t="s">
        <v>65</v>
      </c>
      <c r="D4" s="68" t="s">
        <v>156</v>
      </c>
      <c r="E4" s="23" t="s">
        <v>157</v>
      </c>
      <c r="F4" s="23" t="s">
        <v>158</v>
      </c>
      <c r="G4" s="23" t="s">
        <v>159</v>
      </c>
      <c r="H4" s="23" t="s">
        <v>160</v>
      </c>
      <c r="I4" s="23" t="s">
        <v>161</v>
      </c>
      <c r="J4" s="23" t="s">
        <v>162</v>
      </c>
      <c r="K4" s="23" t="s">
        <v>163</v>
      </c>
      <c r="L4" s="23" t="s">
        <v>164</v>
      </c>
      <c r="M4" s="23" t="s">
        <v>165</v>
      </c>
      <c r="N4" s="23" t="s">
        <v>166</v>
      </c>
      <c r="O4" s="43" t="s">
        <v>167</v>
      </c>
    </row>
    <row r="5" spans="1:15" x14ac:dyDescent="0.3">
      <c r="A5" t="str">
        <f t="shared" si="0"/>
        <v>SmallCarPremiumBEV400</v>
      </c>
      <c r="B5" s="79" t="str">
        <f>'Vehicle Attributes - Base Year'!B2</f>
        <v>SmallCar</v>
      </c>
      <c r="C5" s="68" t="str">
        <f>'Vehicle Attributes - Base Year'!C2</f>
        <v>Base</v>
      </c>
      <c r="D5" s="68" t="str">
        <f>'Vehicle Attributes - Base Year'!D2</f>
        <v>BEV300</v>
      </c>
      <c r="E5" s="23">
        <f>BEV!E57</f>
        <v>108</v>
      </c>
      <c r="F5" s="23">
        <f>BEV!F57</f>
        <v>107.46</v>
      </c>
      <c r="G5" s="23">
        <f>BEV!G57</f>
        <v>106.92269999999999</v>
      </c>
      <c r="H5" s="23">
        <f>BEV!H57</f>
        <v>106.38808649999999</v>
      </c>
      <c r="I5" s="23">
        <f>BEV!I57</f>
        <v>105.85614606749999</v>
      </c>
      <c r="J5" s="23">
        <f>BEV!J57</f>
        <v>105.32686533716249</v>
      </c>
      <c r="K5" s="23">
        <f>BEV!K57</f>
        <v>104.80023101047668</v>
      </c>
      <c r="L5" s="23">
        <f>BEV!L57</f>
        <v>104.27622985542429</v>
      </c>
      <c r="M5" s="23">
        <f>BEV!M57</f>
        <v>103.75484870614717</v>
      </c>
      <c r="N5" s="23">
        <f>BEV!N57</f>
        <v>103.23607446261643</v>
      </c>
      <c r="O5" s="43">
        <f>BEV!O57</f>
        <v>102.71989409030334</v>
      </c>
    </row>
    <row r="6" spans="1:15" x14ac:dyDescent="0.3">
      <c r="A6" s="16" t="str">
        <f t="shared" si="0"/>
        <v>MedCarBaseBEV300</v>
      </c>
      <c r="B6" s="79" t="str">
        <f>'Vehicle Attributes - Base Year'!B3</f>
        <v>SmallCar</v>
      </c>
      <c r="C6" s="68" t="str">
        <f>'Vehicle Attributes - Base Year'!C3</f>
        <v>Premium</v>
      </c>
      <c r="D6" s="68" t="str">
        <f>'Vehicle Attributes - Base Year'!D3</f>
        <v>BEV400</v>
      </c>
      <c r="E6" s="23">
        <f>BEV!E58</f>
        <v>130</v>
      </c>
      <c r="F6" s="23">
        <f>BEV!F58</f>
        <v>129.35</v>
      </c>
      <c r="G6" s="23">
        <f>BEV!G58</f>
        <v>128.70325</v>
      </c>
      <c r="H6" s="23">
        <f>BEV!H58</f>
        <v>128.05973374999999</v>
      </c>
      <c r="I6" s="23">
        <f>BEV!I58</f>
        <v>127.41943508124999</v>
      </c>
      <c r="J6" s="23">
        <f>BEV!J58</f>
        <v>126.78233790584373</v>
      </c>
      <c r="K6" s="23">
        <f>BEV!K58</f>
        <v>126.14842621631452</v>
      </c>
      <c r="L6" s="23">
        <f>BEV!L58</f>
        <v>125.51768408523294</v>
      </c>
      <c r="M6" s="23">
        <f>BEV!M58</f>
        <v>124.89009566480678</v>
      </c>
      <c r="N6" s="23">
        <f>BEV!N58</f>
        <v>124.26564518648274</v>
      </c>
      <c r="O6" s="43">
        <f>BEV!O58</f>
        <v>123.64431696055033</v>
      </c>
    </row>
    <row r="7" spans="1:15" x14ac:dyDescent="0.3">
      <c r="A7" t="str">
        <f t="shared" si="0"/>
        <v>MedCarPremiumBEV400</v>
      </c>
      <c r="B7" s="79" t="str">
        <f>'Vehicle Attributes - Base Year'!B4</f>
        <v>MedCar</v>
      </c>
      <c r="C7" s="68" t="str">
        <f>'Vehicle Attributes - Base Year'!C4</f>
        <v>Base</v>
      </c>
      <c r="D7" s="68" t="str">
        <f>'Vehicle Attributes - Base Year'!D4</f>
        <v>BEV300</v>
      </c>
      <c r="E7" s="23">
        <f>BEV!E59</f>
        <v>144</v>
      </c>
      <c r="F7" s="23">
        <f>BEV!F59</f>
        <v>143.28</v>
      </c>
      <c r="G7" s="23">
        <f>BEV!G59</f>
        <v>142.56360000000001</v>
      </c>
      <c r="H7" s="23">
        <f>BEV!H59</f>
        <v>141.85078200000001</v>
      </c>
      <c r="I7" s="23">
        <f>BEV!I59</f>
        <v>141.14152809000001</v>
      </c>
      <c r="J7" s="23">
        <f>BEV!J59</f>
        <v>140.43582044955002</v>
      </c>
      <c r="K7" s="23">
        <f>BEV!K59</f>
        <v>139.73364134730227</v>
      </c>
      <c r="L7" s="23">
        <f>BEV!L59</f>
        <v>139.03497314056577</v>
      </c>
      <c r="M7" s="23">
        <f>BEV!M59</f>
        <v>138.33979827486294</v>
      </c>
      <c r="N7" s="23">
        <f>BEV!N59</f>
        <v>137.64809928348862</v>
      </c>
      <c r="O7" s="43">
        <f>BEV!O59</f>
        <v>136.95985878707117</v>
      </c>
    </row>
    <row r="8" spans="1:15" x14ac:dyDescent="0.3">
      <c r="A8" s="16" t="str">
        <f t="shared" si="0"/>
        <v>SmallSUVBaseBEV300</v>
      </c>
      <c r="B8" s="79" t="str">
        <f>'Vehicle Attributes - Base Year'!B5</f>
        <v>MedCar</v>
      </c>
      <c r="C8" s="68" t="str">
        <f>'Vehicle Attributes - Base Year'!C5</f>
        <v>Premium</v>
      </c>
      <c r="D8" s="68" t="str">
        <f>'Vehicle Attributes - Base Year'!D5</f>
        <v>BEV400</v>
      </c>
      <c r="E8" s="23">
        <f>BEV!E60</f>
        <v>180</v>
      </c>
      <c r="F8" s="23">
        <f>BEV!F60</f>
        <v>179.1</v>
      </c>
      <c r="G8" s="23">
        <f>BEV!G60</f>
        <v>178.2045</v>
      </c>
      <c r="H8" s="23">
        <f>BEV!H60</f>
        <v>177.3134775</v>
      </c>
      <c r="I8" s="23">
        <f>BEV!I60</f>
        <v>176.4269101125</v>
      </c>
      <c r="J8" s="23">
        <f>BEV!J60</f>
        <v>175.54477556193748</v>
      </c>
      <c r="K8" s="23">
        <f>BEV!K60</f>
        <v>174.66705168412778</v>
      </c>
      <c r="L8" s="23">
        <f>BEV!L60</f>
        <v>173.79371642570715</v>
      </c>
      <c r="M8" s="23">
        <f>BEV!M60</f>
        <v>172.92474784357861</v>
      </c>
      <c r="N8" s="23">
        <f>BEV!N60</f>
        <v>172.06012410436071</v>
      </c>
      <c r="O8" s="43">
        <f>BEV!O60</f>
        <v>171.19982348383891</v>
      </c>
    </row>
    <row r="9" spans="1:15" x14ac:dyDescent="0.3">
      <c r="A9" t="str">
        <f t="shared" si="0"/>
        <v>SmallSUVPremiumBEV400</v>
      </c>
      <c r="B9" s="79" t="str">
        <f>'Vehicle Attributes - Base Year'!B6</f>
        <v>SmallSUV</v>
      </c>
      <c r="C9" s="68" t="str">
        <f>'Vehicle Attributes - Base Year'!C6</f>
        <v>Base</v>
      </c>
      <c r="D9" s="68" t="str">
        <f>'Vehicle Attributes - Base Year'!D6</f>
        <v>BEV300</v>
      </c>
      <c r="E9" s="23">
        <f>BEV!E61</f>
        <v>117</v>
      </c>
      <c r="F9" s="23">
        <f>BEV!F61</f>
        <v>116.41500000000001</v>
      </c>
      <c r="G9" s="23">
        <f>BEV!G61</f>
        <v>115.832925</v>
      </c>
      <c r="H9" s="23">
        <f>BEV!H61</f>
        <v>115.253760375</v>
      </c>
      <c r="I9" s="23">
        <f>BEV!I61</f>
        <v>114.677491573125</v>
      </c>
      <c r="J9" s="23">
        <f>BEV!J61</f>
        <v>114.10410411525937</v>
      </c>
      <c r="K9" s="23">
        <f>BEV!K61</f>
        <v>113.53358359468308</v>
      </c>
      <c r="L9" s="23">
        <f>BEV!L61</f>
        <v>112.96591567670967</v>
      </c>
      <c r="M9" s="23">
        <f>BEV!M61</f>
        <v>112.40108609832612</v>
      </c>
      <c r="N9" s="23">
        <f>BEV!N61</f>
        <v>111.83908066783448</v>
      </c>
      <c r="O9" s="43">
        <f>BEV!O61</f>
        <v>111.27988526449531</v>
      </c>
    </row>
    <row r="10" spans="1:15" x14ac:dyDescent="0.3">
      <c r="A10" s="16" t="str">
        <f t="shared" si="0"/>
        <v>MedSUVBaseBEV300</v>
      </c>
      <c r="B10" s="79" t="str">
        <f>'Vehicle Attributes - Base Year'!B7</f>
        <v>SmallSUV</v>
      </c>
      <c r="C10" s="68" t="str">
        <f>'Vehicle Attributes - Base Year'!C7</f>
        <v>Premium</v>
      </c>
      <c r="D10" s="68" t="str">
        <f>'Vehicle Attributes - Base Year'!D7</f>
        <v>BEV400</v>
      </c>
      <c r="E10" s="23">
        <f>BEV!E62</f>
        <v>144</v>
      </c>
      <c r="F10" s="23">
        <f>BEV!F62</f>
        <v>143.28</v>
      </c>
      <c r="G10" s="23">
        <f>BEV!G62</f>
        <v>142.56360000000001</v>
      </c>
      <c r="H10" s="23">
        <f>BEV!H62</f>
        <v>141.85078200000001</v>
      </c>
      <c r="I10" s="23">
        <f>BEV!I62</f>
        <v>141.14152809000001</v>
      </c>
      <c r="J10" s="23">
        <f>BEV!J62</f>
        <v>140.43582044955002</v>
      </c>
      <c r="K10" s="23">
        <f>BEV!K62</f>
        <v>139.73364134730227</v>
      </c>
      <c r="L10" s="23">
        <f>BEV!L62</f>
        <v>139.03497314056577</v>
      </c>
      <c r="M10" s="23">
        <f>BEV!M62</f>
        <v>138.33979827486294</v>
      </c>
      <c r="N10" s="23">
        <f>BEV!N62</f>
        <v>137.64809928348862</v>
      </c>
      <c r="O10" s="43">
        <f>BEV!O62</f>
        <v>136.95985878707117</v>
      </c>
    </row>
    <row r="11" spans="1:15" x14ac:dyDescent="0.3">
      <c r="A11" t="str">
        <f t="shared" si="0"/>
        <v>MedSUVPremiumBEV400</v>
      </c>
      <c r="B11" s="79" t="str">
        <f>'Vehicle Attributes - Base Year'!B8</f>
        <v>MedSUV</v>
      </c>
      <c r="C11" s="68" t="str">
        <f>'Vehicle Attributes - Base Year'!C8</f>
        <v>Base</v>
      </c>
      <c r="D11" s="68" t="str">
        <f>'Vehicle Attributes - Base Year'!D8</f>
        <v>BEV300</v>
      </c>
      <c r="E11" s="23">
        <f>BEV!E63</f>
        <v>190</v>
      </c>
      <c r="F11" s="23">
        <f>BEV!F63</f>
        <v>189.05</v>
      </c>
      <c r="G11" s="23">
        <f>BEV!G63</f>
        <v>188.10475000000002</v>
      </c>
      <c r="H11" s="23">
        <f>BEV!H63</f>
        <v>187.16422625000001</v>
      </c>
      <c r="I11" s="23">
        <f>BEV!I63</f>
        <v>186.22840511875</v>
      </c>
      <c r="J11" s="23">
        <f>BEV!J63</f>
        <v>185.29726309315626</v>
      </c>
      <c r="K11" s="23">
        <f>BEV!K63</f>
        <v>184.37077677769048</v>
      </c>
      <c r="L11" s="23">
        <f>BEV!L63</f>
        <v>183.44892289380203</v>
      </c>
      <c r="M11" s="23">
        <f>BEV!M63</f>
        <v>182.53167827933302</v>
      </c>
      <c r="N11" s="23">
        <f>BEV!N63</f>
        <v>181.61901988793636</v>
      </c>
      <c r="O11" s="43">
        <f>BEV!O63</f>
        <v>180.71092478849667</v>
      </c>
    </row>
    <row r="12" spans="1:15" x14ac:dyDescent="0.3">
      <c r="A12" s="16" t="str">
        <f t="shared" si="0"/>
        <v>PickupBaseBEV300</v>
      </c>
      <c r="B12" s="79" t="str">
        <f>'Vehicle Attributes - Base Year'!B9</f>
        <v>MedSUV</v>
      </c>
      <c r="C12" s="68" t="str">
        <f>'Vehicle Attributes - Base Year'!C9</f>
        <v>Premium</v>
      </c>
      <c r="D12" s="68" t="str">
        <f>'Vehicle Attributes - Base Year'!D9</f>
        <v>BEV400</v>
      </c>
      <c r="E12" s="23">
        <f>BEV!E64</f>
        <v>225</v>
      </c>
      <c r="F12" s="23">
        <f>BEV!F64</f>
        <v>223.875</v>
      </c>
      <c r="G12" s="23">
        <f>BEV!G64</f>
        <v>222.75562500000001</v>
      </c>
      <c r="H12" s="23">
        <f>BEV!H64</f>
        <v>221.641846875</v>
      </c>
      <c r="I12" s="23">
        <f>BEV!I64</f>
        <v>220.53363764062499</v>
      </c>
      <c r="J12" s="23">
        <f>BEV!J64</f>
        <v>219.43096945242186</v>
      </c>
      <c r="K12" s="23">
        <f>BEV!K64</f>
        <v>218.33381460515974</v>
      </c>
      <c r="L12" s="23">
        <f>BEV!L64</f>
        <v>217.24214553213395</v>
      </c>
      <c r="M12" s="23">
        <f>BEV!M64</f>
        <v>216.15593480447328</v>
      </c>
      <c r="N12" s="23">
        <f>BEV!N64</f>
        <v>215.0751551304509</v>
      </c>
      <c r="O12" s="43">
        <f>BEV!O64</f>
        <v>213.99977935479865</v>
      </c>
    </row>
    <row r="13" spans="1:15" x14ac:dyDescent="0.3">
      <c r="A13" t="str">
        <f t="shared" si="0"/>
        <v>PickupHTBEV400</v>
      </c>
      <c r="B13" s="79" t="str">
        <f>'Vehicle Attributes - Base Year'!B10</f>
        <v>Pickup</v>
      </c>
      <c r="C13" s="68" t="str">
        <f>'Vehicle Attributes - Base Year'!C10</f>
        <v>Base</v>
      </c>
      <c r="D13" s="68" t="str">
        <f>'Vehicle Attributes - Base Year'!D10</f>
        <v>BEV300</v>
      </c>
      <c r="E13" s="23">
        <f>BEV!E65</f>
        <v>220.61111111111111</v>
      </c>
      <c r="F13" s="23">
        <f>BEV!F65</f>
        <v>219.50805555555556</v>
      </c>
      <c r="G13" s="23">
        <f>BEV!G65</f>
        <v>218.41051527777779</v>
      </c>
      <c r="H13" s="23">
        <f>BEV!H65</f>
        <v>217.31846270138891</v>
      </c>
      <c r="I13" s="23">
        <f>BEV!I65</f>
        <v>216.23187038788197</v>
      </c>
      <c r="J13" s="23">
        <f>BEV!J65</f>
        <v>215.15071103594255</v>
      </c>
      <c r="K13" s="23">
        <f>BEV!K65</f>
        <v>214.07495748076283</v>
      </c>
      <c r="L13" s="23">
        <f>BEV!L65</f>
        <v>213.00458269335903</v>
      </c>
      <c r="M13" s="23">
        <f>BEV!M65</f>
        <v>211.93955977989222</v>
      </c>
      <c r="N13" s="23">
        <f>BEV!N65</f>
        <v>210.87986198099276</v>
      </c>
      <c r="O13" s="43">
        <f>BEV!O65</f>
        <v>209.82546267108779</v>
      </c>
    </row>
    <row r="14" spans="1:15" x14ac:dyDescent="0.3">
      <c r="A14" s="16" t="str">
        <f t="shared" si="0"/>
        <v>SmallCarBasePHEV50</v>
      </c>
      <c r="B14" s="79" t="str">
        <f>'Vehicle Attributes - Base Year'!B11</f>
        <v>Pickup</v>
      </c>
      <c r="C14" s="68" t="str">
        <f>'Vehicle Attributes - Base Year'!C11</f>
        <v>HT</v>
      </c>
      <c r="D14" s="68" t="str">
        <f>'Vehicle Attributes - Base Year'!D11</f>
        <v>BEV400</v>
      </c>
      <c r="E14" s="23">
        <f>BEV!E66</f>
        <v>241</v>
      </c>
      <c r="F14" s="23">
        <f>BEV!F66</f>
        <v>239.79499999999999</v>
      </c>
      <c r="G14" s="23">
        <f>BEV!G66</f>
        <v>238.596025</v>
      </c>
      <c r="H14" s="23">
        <f>BEV!H66</f>
        <v>237.40304487500001</v>
      </c>
      <c r="I14" s="23">
        <f>BEV!I66</f>
        <v>236.21602965062502</v>
      </c>
      <c r="J14" s="23">
        <f>BEV!J66</f>
        <v>235.03494950237189</v>
      </c>
      <c r="K14" s="23">
        <f>BEV!K66</f>
        <v>233.85977475486004</v>
      </c>
      <c r="L14" s="23">
        <f>BEV!L66</f>
        <v>232.69047588108575</v>
      </c>
      <c r="M14" s="23">
        <f>BEV!M66</f>
        <v>231.5270235016803</v>
      </c>
      <c r="N14" s="23">
        <f>BEV!N66</f>
        <v>230.36938838417191</v>
      </c>
      <c r="O14" s="43">
        <f>BEV!O66</f>
        <v>229.21754144225105</v>
      </c>
    </row>
    <row r="15" spans="1:15" x14ac:dyDescent="0.3">
      <c r="A15" t="str">
        <f t="shared" si="0"/>
        <v>SmallCarPremiumPHEV50</v>
      </c>
      <c r="B15" s="79" t="str">
        <f>'Vehicle Attributes - Base Year'!B12</f>
        <v>SmallCar</v>
      </c>
      <c r="C15" s="68" t="str">
        <f>'Vehicle Attributes - Base Year'!C12</f>
        <v>Base</v>
      </c>
      <c r="D15" s="68" t="str">
        <f>'Vehicle Attributes - Base Year'!D12</f>
        <v>PHEV50</v>
      </c>
      <c r="E15" s="23">
        <f>PHEV!E57</f>
        <v>96</v>
      </c>
      <c r="F15" s="23">
        <f>PHEV!F57</f>
        <v>95.52</v>
      </c>
      <c r="G15" s="23">
        <f>PHEV!G57</f>
        <v>95.042400000000001</v>
      </c>
      <c r="H15" s="23">
        <f>PHEV!H57</f>
        <v>94.567188000000002</v>
      </c>
      <c r="I15" s="23">
        <f>PHEV!I57</f>
        <v>94.094352060000006</v>
      </c>
      <c r="J15" s="23">
        <f>PHEV!J57</f>
        <v>93.623880299700005</v>
      </c>
      <c r="K15" s="23">
        <f>PHEV!K57</f>
        <v>93.155760898201507</v>
      </c>
      <c r="L15" s="23">
        <f>PHEV!L57</f>
        <v>92.689982093710498</v>
      </c>
      <c r="M15" s="23">
        <f>PHEV!M57</f>
        <v>92.226532183241943</v>
      </c>
      <c r="N15" s="23">
        <f>PHEV!N57</f>
        <v>91.765399522325737</v>
      </c>
      <c r="O15" s="43">
        <f>PHEV!O57</f>
        <v>91.306572524714113</v>
      </c>
    </row>
    <row r="16" spans="1:15" x14ac:dyDescent="0.3">
      <c r="A16" s="16" t="str">
        <f t="shared" si="0"/>
        <v>MedCarBasePHEV50</v>
      </c>
      <c r="B16" s="79" t="str">
        <f>'Vehicle Attributes - Base Year'!B13</f>
        <v>SmallCar</v>
      </c>
      <c r="C16" s="68" t="str">
        <f>'Vehicle Attributes - Base Year'!C13</f>
        <v>Premium</v>
      </c>
      <c r="D16" s="68" t="str">
        <f>'Vehicle Attributes - Base Year'!D13</f>
        <v>PHEV50</v>
      </c>
      <c r="E16" s="23">
        <f>PHEV!E58</f>
        <v>96</v>
      </c>
      <c r="F16" s="23">
        <f>PHEV!F58</f>
        <v>95.52</v>
      </c>
      <c r="G16" s="23">
        <f>PHEV!G58</f>
        <v>95.042400000000001</v>
      </c>
      <c r="H16" s="23">
        <f>PHEV!H58</f>
        <v>94.567188000000002</v>
      </c>
      <c r="I16" s="23">
        <f>PHEV!I58</f>
        <v>94.094352060000006</v>
      </c>
      <c r="J16" s="23">
        <f>PHEV!J58</f>
        <v>93.623880299700005</v>
      </c>
      <c r="K16" s="23">
        <f>PHEV!K58</f>
        <v>93.155760898201507</v>
      </c>
      <c r="L16" s="23">
        <f>PHEV!L58</f>
        <v>92.689982093710498</v>
      </c>
      <c r="M16" s="23">
        <f>PHEV!M58</f>
        <v>92.226532183241943</v>
      </c>
      <c r="N16" s="23">
        <f>PHEV!N58</f>
        <v>91.765399522325737</v>
      </c>
      <c r="O16" s="43">
        <f>PHEV!O58</f>
        <v>91.306572524714113</v>
      </c>
    </row>
    <row r="17" spans="1:15" x14ac:dyDescent="0.3">
      <c r="A17" t="str">
        <f t="shared" si="0"/>
        <v>MedCarPremiumPHEV50</v>
      </c>
      <c r="B17" s="79" t="str">
        <f>'Vehicle Attributes - Base Year'!B14</f>
        <v>MedCar</v>
      </c>
      <c r="C17" s="68" t="str">
        <f>'Vehicle Attributes - Base Year'!C14</f>
        <v>Base</v>
      </c>
      <c r="D17" s="68" t="str">
        <f>'Vehicle Attributes - Base Year'!D14</f>
        <v>PHEV50</v>
      </c>
      <c r="E17" s="23">
        <f>PHEV!E59</f>
        <v>128.9082479638009</v>
      </c>
      <c r="F17" s="23">
        <f>PHEV!F59</f>
        <v>128.2637067239819</v>
      </c>
      <c r="G17" s="23">
        <f>PHEV!G59</f>
        <v>127.62238819036199</v>
      </c>
      <c r="H17" s="23">
        <f>PHEV!H59</f>
        <v>126.98427624941017</v>
      </c>
      <c r="I17" s="23">
        <f>PHEV!I59</f>
        <v>126.34935486816312</v>
      </c>
      <c r="J17" s="23">
        <f>PHEV!J59</f>
        <v>125.71760809382231</v>
      </c>
      <c r="K17" s="23">
        <f>PHEV!K59</f>
        <v>125.0890200533532</v>
      </c>
      <c r="L17" s="23">
        <f>PHEV!L59</f>
        <v>124.46357495308642</v>
      </c>
      <c r="M17" s="23">
        <f>PHEV!M59</f>
        <v>123.84125707832099</v>
      </c>
      <c r="N17" s="23">
        <f>PHEV!N59</f>
        <v>123.22205079292939</v>
      </c>
      <c r="O17" s="43">
        <f>PHEV!O59</f>
        <v>122.60594053896475</v>
      </c>
    </row>
    <row r="18" spans="1:15" x14ac:dyDescent="0.3">
      <c r="A18" s="16" t="str">
        <f t="shared" si="0"/>
        <v>SmallSUVBasePHEV50</v>
      </c>
      <c r="B18" s="79" t="str">
        <f>'Vehicle Attributes - Base Year'!B15</f>
        <v>MedCar</v>
      </c>
      <c r="C18" s="68" t="str">
        <f>'Vehicle Attributes - Base Year'!C15</f>
        <v>Premium</v>
      </c>
      <c r="D18" s="68" t="str">
        <f>'Vehicle Attributes - Base Year'!D15</f>
        <v>PHEV50</v>
      </c>
      <c r="E18" s="23">
        <f>PHEV!E60</f>
        <v>128.9082479638009</v>
      </c>
      <c r="F18" s="23">
        <f>PHEV!F60</f>
        <v>128.2637067239819</v>
      </c>
      <c r="G18" s="23">
        <f>PHEV!G60</f>
        <v>127.62238819036199</v>
      </c>
      <c r="H18" s="23">
        <f>PHEV!H60</f>
        <v>126.98427624941017</v>
      </c>
      <c r="I18" s="23">
        <f>PHEV!I60</f>
        <v>126.34935486816312</v>
      </c>
      <c r="J18" s="23">
        <f>PHEV!J60</f>
        <v>125.71760809382231</v>
      </c>
      <c r="K18" s="23">
        <f>PHEV!K60</f>
        <v>125.0890200533532</v>
      </c>
      <c r="L18" s="23">
        <f>PHEV!L60</f>
        <v>124.46357495308642</v>
      </c>
      <c r="M18" s="23">
        <f>PHEV!M60</f>
        <v>123.84125707832099</v>
      </c>
      <c r="N18" s="23">
        <f>PHEV!N60</f>
        <v>123.22205079292939</v>
      </c>
      <c r="O18" s="43">
        <f>PHEV!O60</f>
        <v>122.60594053896475</v>
      </c>
    </row>
    <row r="19" spans="1:15" x14ac:dyDescent="0.3">
      <c r="A19" t="str">
        <f t="shared" si="0"/>
        <v>SmallSUVPremiumPHEV50</v>
      </c>
      <c r="B19" s="79" t="str">
        <f>'Vehicle Attributes - Base Year'!B16</f>
        <v>SmallSUV</v>
      </c>
      <c r="C19" s="68" t="str">
        <f>'Vehicle Attributes - Base Year'!C16</f>
        <v>Base</v>
      </c>
      <c r="D19" s="68" t="str">
        <f>'Vehicle Attributes - Base Year'!D16</f>
        <v>PHEV50</v>
      </c>
      <c r="E19" s="23">
        <f>PHEV!E61</f>
        <v>132.83308867924529</v>
      </c>
      <c r="F19" s="23">
        <f>PHEV!F61</f>
        <v>132.16892323584906</v>
      </c>
      <c r="G19" s="23">
        <f>PHEV!G61</f>
        <v>131.50807861966982</v>
      </c>
      <c r="H19" s="23">
        <f>PHEV!H61</f>
        <v>130.85053822657147</v>
      </c>
      <c r="I19" s="23">
        <f>PHEV!I61</f>
        <v>130.19628553543862</v>
      </c>
      <c r="J19" s="23">
        <f>PHEV!J61</f>
        <v>129.54530410776144</v>
      </c>
      <c r="K19" s="23">
        <f>PHEV!K61</f>
        <v>128.89757758722263</v>
      </c>
      <c r="L19" s="23">
        <f>PHEV!L61</f>
        <v>128.25308969928651</v>
      </c>
      <c r="M19" s="23">
        <f>PHEV!M61</f>
        <v>127.61182425079008</v>
      </c>
      <c r="N19" s="23">
        <f>PHEV!N61</f>
        <v>126.97376512953613</v>
      </c>
      <c r="O19" s="43">
        <f>PHEV!O61</f>
        <v>126.33889630388845</v>
      </c>
    </row>
    <row r="20" spans="1:15" x14ac:dyDescent="0.3">
      <c r="A20" s="16" t="str">
        <f t="shared" si="0"/>
        <v>MedSUVBasePHEV50</v>
      </c>
      <c r="B20" s="79" t="str">
        <f>'Vehicle Attributes - Base Year'!B17</f>
        <v>SmallSUV</v>
      </c>
      <c r="C20" s="68" t="str">
        <f>'Vehicle Attributes - Base Year'!C17</f>
        <v>Premium</v>
      </c>
      <c r="D20" s="68" t="str">
        <f>'Vehicle Attributes - Base Year'!D17</f>
        <v>PHEV50</v>
      </c>
      <c r="E20" s="23">
        <f>PHEV!E62</f>
        <v>132.83308867924529</v>
      </c>
      <c r="F20" s="23">
        <f>PHEV!F62</f>
        <v>132.16892323584906</v>
      </c>
      <c r="G20" s="23">
        <f>PHEV!G62</f>
        <v>131.50807861966982</v>
      </c>
      <c r="H20" s="23">
        <f>PHEV!H62</f>
        <v>130.85053822657147</v>
      </c>
      <c r="I20" s="23">
        <f>PHEV!I62</f>
        <v>130.19628553543862</v>
      </c>
      <c r="J20" s="23">
        <f>PHEV!J62</f>
        <v>129.54530410776144</v>
      </c>
      <c r="K20" s="23">
        <f>PHEV!K62</f>
        <v>128.89757758722263</v>
      </c>
      <c r="L20" s="23">
        <f>PHEV!L62</f>
        <v>128.25308969928651</v>
      </c>
      <c r="M20" s="23">
        <f>PHEV!M62</f>
        <v>127.61182425079008</v>
      </c>
      <c r="N20" s="23">
        <f>PHEV!N62</f>
        <v>126.97376512953613</v>
      </c>
      <c r="O20" s="43">
        <f>PHEV!O62</f>
        <v>126.33889630388845</v>
      </c>
    </row>
    <row r="21" spans="1:15" x14ac:dyDescent="0.3">
      <c r="A21" t="str">
        <f t="shared" si="0"/>
        <v>MedSUVPremiumPHEV50</v>
      </c>
      <c r="B21" s="79" t="str">
        <f>'Vehicle Attributes - Base Year'!B18</f>
        <v>MedSUV</v>
      </c>
      <c r="C21" s="68" t="str">
        <f>'Vehicle Attributes - Base Year'!C18</f>
        <v>Base</v>
      </c>
      <c r="D21" s="68" t="str">
        <f>'Vehicle Attributes - Base Year'!D18</f>
        <v>PHEV50</v>
      </c>
      <c r="E21" s="23">
        <f>PHEV!E63</f>
        <v>159.39828092105262</v>
      </c>
      <c r="F21" s="23">
        <f>PHEV!F63</f>
        <v>158.60128951644737</v>
      </c>
      <c r="G21" s="23">
        <f>PHEV!G63</f>
        <v>157.80828306886514</v>
      </c>
      <c r="H21" s="23">
        <f>PHEV!H63</f>
        <v>157.01924165352082</v>
      </c>
      <c r="I21" s="23">
        <f>PHEV!I63</f>
        <v>156.2341454452532</v>
      </c>
      <c r="J21" s="23">
        <f>PHEV!J63</f>
        <v>155.45297471802695</v>
      </c>
      <c r="K21" s="23">
        <f>PHEV!K63</f>
        <v>154.67570984443682</v>
      </c>
      <c r="L21" s="23">
        <f>PHEV!L63</f>
        <v>153.90233129521465</v>
      </c>
      <c r="M21" s="23">
        <f>PHEV!M63</f>
        <v>153.13281963873857</v>
      </c>
      <c r="N21" s="23">
        <f>PHEV!N63</f>
        <v>152.36715554054487</v>
      </c>
      <c r="O21" s="43">
        <f>PHEV!O63</f>
        <v>151.60531976284216</v>
      </c>
    </row>
    <row r="22" spans="1:15" x14ac:dyDescent="0.3">
      <c r="A22" s="16" t="str">
        <f t="shared" si="0"/>
        <v>PickupBasePHEV50</v>
      </c>
      <c r="B22" s="79" t="str">
        <f>'Vehicle Attributes - Base Year'!B19</f>
        <v>MedSUV</v>
      </c>
      <c r="C22" s="68" t="str">
        <f>'Vehicle Attributes - Base Year'!C19</f>
        <v>Premium</v>
      </c>
      <c r="D22" s="68" t="str">
        <f>'Vehicle Attributes - Base Year'!D19</f>
        <v>PHEV50</v>
      </c>
      <c r="E22" s="23">
        <f>PHEV!E64</f>
        <v>159.39828092105262</v>
      </c>
      <c r="F22" s="23">
        <f>PHEV!F64</f>
        <v>158.60128951644737</v>
      </c>
      <c r="G22" s="23">
        <f>PHEV!G64</f>
        <v>157.80828306886514</v>
      </c>
      <c r="H22" s="23">
        <f>PHEV!H64</f>
        <v>157.01924165352082</v>
      </c>
      <c r="I22" s="23">
        <f>PHEV!I64</f>
        <v>156.2341454452532</v>
      </c>
      <c r="J22" s="23">
        <f>PHEV!J64</f>
        <v>155.45297471802695</v>
      </c>
      <c r="K22" s="23">
        <f>PHEV!K64</f>
        <v>154.67570984443682</v>
      </c>
      <c r="L22" s="23">
        <f>PHEV!L64</f>
        <v>153.90233129521465</v>
      </c>
      <c r="M22" s="23">
        <f>PHEV!M64</f>
        <v>153.13281963873857</v>
      </c>
      <c r="N22" s="23">
        <f>PHEV!N64</f>
        <v>152.36715554054487</v>
      </c>
      <c r="O22" s="43">
        <f>PHEV!O64</f>
        <v>151.60531976284216</v>
      </c>
    </row>
    <row r="23" spans="1:15" x14ac:dyDescent="0.3">
      <c r="A23" t="str">
        <f t="shared" si="0"/>
        <v>PickupHTPHEV50</v>
      </c>
      <c r="B23" s="79" t="str">
        <f>'Vehicle Attributes - Base Year'!B20</f>
        <v>Pickup</v>
      </c>
      <c r="C23" s="68" t="str">
        <f>'Vehicle Attributes - Base Year'!C20</f>
        <v>Base</v>
      </c>
      <c r="D23" s="68" t="str">
        <f>'Vehicle Attributes - Base Year'!D20</f>
        <v>PHEV50</v>
      </c>
      <c r="E23" s="23">
        <f>PHEV!E65</f>
        <v>207.35573371428572</v>
      </c>
      <c r="F23" s="23">
        <f>PHEV!F65</f>
        <v>206.31895504571429</v>
      </c>
      <c r="G23" s="23">
        <f>PHEV!G65</f>
        <v>205.28736027048572</v>
      </c>
      <c r="H23" s="23">
        <f>PHEV!H65</f>
        <v>204.2609234691333</v>
      </c>
      <c r="I23" s="23">
        <f>PHEV!I65</f>
        <v>203.23961885178764</v>
      </c>
      <c r="J23" s="23">
        <f>PHEV!J65</f>
        <v>202.22342075752871</v>
      </c>
      <c r="K23" s="23">
        <f>PHEV!K65</f>
        <v>201.21230365374106</v>
      </c>
      <c r="L23" s="23">
        <f>PHEV!L65</f>
        <v>200.20624213547237</v>
      </c>
      <c r="M23" s="23">
        <f>PHEV!M65</f>
        <v>199.20521092479501</v>
      </c>
      <c r="N23" s="23">
        <f>PHEV!N65</f>
        <v>198.20918487017104</v>
      </c>
      <c r="O23" s="43">
        <f>PHEV!O65</f>
        <v>197.21813894582019</v>
      </c>
    </row>
    <row r="24" spans="1:15" x14ac:dyDescent="0.3">
      <c r="A24" s="16" t="str">
        <f t="shared" si="0"/>
        <v>SmallCarBaseFCEV320</v>
      </c>
      <c r="B24" s="79" t="str">
        <f>'Vehicle Attributes - Base Year'!B21</f>
        <v>Pickup</v>
      </c>
      <c r="C24" s="68" t="str">
        <f>'Vehicle Attributes - Base Year'!C21</f>
        <v>HT</v>
      </c>
      <c r="D24" s="68" t="str">
        <f>'Vehicle Attributes - Base Year'!D21</f>
        <v>PHEV50</v>
      </c>
      <c r="E24" s="23">
        <f>PHEV!E66</f>
        <v>207.35573371428572</v>
      </c>
      <c r="F24" s="23">
        <f>PHEV!F66</f>
        <v>206.31895504571429</v>
      </c>
      <c r="G24" s="23">
        <f>PHEV!G66</f>
        <v>205.28736027048572</v>
      </c>
      <c r="H24" s="23">
        <f>PHEV!H66</f>
        <v>204.2609234691333</v>
      </c>
      <c r="I24" s="23">
        <f>PHEV!I66</f>
        <v>203.23961885178764</v>
      </c>
      <c r="J24" s="23">
        <f>PHEV!J66</f>
        <v>202.22342075752871</v>
      </c>
      <c r="K24" s="23">
        <f>PHEV!K66</f>
        <v>201.21230365374106</v>
      </c>
      <c r="L24" s="23">
        <f>PHEV!L66</f>
        <v>200.20624213547237</v>
      </c>
      <c r="M24" s="23">
        <f>PHEV!M66</f>
        <v>199.20521092479501</v>
      </c>
      <c r="N24" s="23">
        <f>PHEV!N66</f>
        <v>198.20918487017104</v>
      </c>
      <c r="O24" s="43">
        <f>PHEV!O66</f>
        <v>197.21813894582019</v>
      </c>
    </row>
    <row r="25" spans="1:15" x14ac:dyDescent="0.3">
      <c r="A25" t="str">
        <f t="shared" si="0"/>
        <v>SmallCarPremiumFCEV320</v>
      </c>
      <c r="B25" s="79" t="str">
        <f>'Vehicle Attributes - Base Year'!B22</f>
        <v>SmallCar</v>
      </c>
      <c r="C25" s="68" t="str">
        <f>'Vehicle Attributes - Base Year'!C22</f>
        <v>Base</v>
      </c>
      <c r="D25" s="68" t="str">
        <f>'Vehicle Attributes - Base Year'!D22</f>
        <v>FCEV320</v>
      </c>
      <c r="E25" s="23">
        <f>FCEV!E84</f>
        <v>96.299000000000007</v>
      </c>
      <c r="F25" s="23">
        <f>FCEV!F84</f>
        <v>94.997200000000007</v>
      </c>
      <c r="G25" s="23">
        <f>FCEV!G84</f>
        <v>93.695400000000006</v>
      </c>
      <c r="H25" s="23">
        <f>FCEV!H84</f>
        <v>92.393600000000006</v>
      </c>
      <c r="I25" s="23">
        <f>FCEV!I84</f>
        <v>91.091800000000006</v>
      </c>
      <c r="J25" s="23">
        <f>FCEV!J84</f>
        <v>89.79</v>
      </c>
      <c r="K25" s="23">
        <f>FCEV!K84</f>
        <v>89.143000000000001</v>
      </c>
      <c r="L25" s="23">
        <f>FCEV!L84</f>
        <v>88.496000000000009</v>
      </c>
      <c r="M25" s="23">
        <f>FCEV!M84</f>
        <v>87.849000000000004</v>
      </c>
      <c r="N25" s="23">
        <f>FCEV!N84</f>
        <v>87.202000000000012</v>
      </c>
      <c r="O25" s="43">
        <f>FCEV!O84</f>
        <v>86.555000000000007</v>
      </c>
    </row>
    <row r="26" spans="1:15" x14ac:dyDescent="0.3">
      <c r="A26" s="16" t="str">
        <f t="shared" si="0"/>
        <v>MedCarBaseFCEV320</v>
      </c>
      <c r="B26" s="79" t="str">
        <f>'Vehicle Attributes - Base Year'!B23</f>
        <v>SmallCar</v>
      </c>
      <c r="C26" s="68" t="str">
        <f>'Vehicle Attributes - Base Year'!C23</f>
        <v>Premium</v>
      </c>
      <c r="D26" s="68" t="str">
        <f>'Vehicle Attributes - Base Year'!D23</f>
        <v>FCEV320</v>
      </c>
      <c r="E26" s="23">
        <f>FCEV!E85</f>
        <v>96.299000000000007</v>
      </c>
      <c r="F26" s="23">
        <f>FCEV!F85</f>
        <v>94.997200000000007</v>
      </c>
      <c r="G26" s="23">
        <f>FCEV!G85</f>
        <v>93.695400000000006</v>
      </c>
      <c r="H26" s="23">
        <f>FCEV!H85</f>
        <v>92.393600000000006</v>
      </c>
      <c r="I26" s="23">
        <f>FCEV!I85</f>
        <v>91.091800000000006</v>
      </c>
      <c r="J26" s="23">
        <f>FCEV!J85</f>
        <v>89.79</v>
      </c>
      <c r="K26" s="23">
        <f>FCEV!K85</f>
        <v>89.143000000000001</v>
      </c>
      <c r="L26" s="23">
        <f>FCEV!L85</f>
        <v>88.496000000000009</v>
      </c>
      <c r="M26" s="23">
        <f>FCEV!M85</f>
        <v>87.849000000000004</v>
      </c>
      <c r="N26" s="23">
        <f>FCEV!N85</f>
        <v>87.202000000000012</v>
      </c>
      <c r="O26" s="43">
        <f>FCEV!O85</f>
        <v>86.555000000000007</v>
      </c>
    </row>
    <row r="27" spans="1:15" x14ac:dyDescent="0.3">
      <c r="A27" t="str">
        <f t="shared" si="0"/>
        <v>MedCarPremiumFCEV320</v>
      </c>
      <c r="B27" s="79" t="str">
        <f>'Vehicle Attributes - Base Year'!B24</f>
        <v>MedCar</v>
      </c>
      <c r="C27" s="68" t="str">
        <f>'Vehicle Attributes - Base Year'!C24</f>
        <v>Base</v>
      </c>
      <c r="D27" s="68" t="str">
        <f>'Vehicle Attributes - Base Year'!D24</f>
        <v>FCEV320</v>
      </c>
      <c r="E27" s="23">
        <f>FCEV!E86</f>
        <v>144.613</v>
      </c>
      <c r="F27" s="23">
        <f>FCEV!F86</f>
        <v>141.39080000000001</v>
      </c>
      <c r="G27" s="23">
        <f>FCEV!G86</f>
        <v>138.1686</v>
      </c>
      <c r="H27" s="23">
        <f>FCEV!H86</f>
        <v>134.94640000000001</v>
      </c>
      <c r="I27" s="23">
        <f>FCEV!I86</f>
        <v>131.7242</v>
      </c>
      <c r="J27" s="23">
        <f>FCEV!J86</f>
        <v>128.50200000000001</v>
      </c>
      <c r="K27" s="23">
        <f>FCEV!K86</f>
        <v>126.70400000000001</v>
      </c>
      <c r="L27" s="23">
        <f>FCEV!L86</f>
        <v>124.90600000000001</v>
      </c>
      <c r="M27" s="23">
        <f>FCEV!M86</f>
        <v>123.108</v>
      </c>
      <c r="N27" s="23">
        <f>FCEV!N86</f>
        <v>121.31</v>
      </c>
      <c r="O27" s="43">
        <f>FCEV!O86</f>
        <v>119.512</v>
      </c>
    </row>
    <row r="28" spans="1:15" x14ac:dyDescent="0.3">
      <c r="A28" s="16" t="str">
        <f t="shared" si="0"/>
        <v>SmallSUVBaseFCEV320</v>
      </c>
      <c r="B28" s="79" t="str">
        <f>'Vehicle Attributes - Base Year'!B25</f>
        <v>MedCar</v>
      </c>
      <c r="C28" s="68" t="str">
        <f>'Vehicle Attributes - Base Year'!C25</f>
        <v>Premium</v>
      </c>
      <c r="D28" s="68" t="str">
        <f>'Vehicle Attributes - Base Year'!D25</f>
        <v>FCEV320</v>
      </c>
      <c r="E28" s="23">
        <f>FCEV!E87</f>
        <v>144.613</v>
      </c>
      <c r="F28" s="23">
        <f>FCEV!F87</f>
        <v>141.39080000000001</v>
      </c>
      <c r="G28" s="23">
        <f>FCEV!G87</f>
        <v>138.1686</v>
      </c>
      <c r="H28" s="23">
        <f>FCEV!H87</f>
        <v>134.94640000000001</v>
      </c>
      <c r="I28" s="23">
        <f>FCEV!I87</f>
        <v>131.7242</v>
      </c>
      <c r="J28" s="23">
        <f>FCEV!J87</f>
        <v>128.50200000000001</v>
      </c>
      <c r="K28" s="23">
        <f>FCEV!K87</f>
        <v>126.70400000000001</v>
      </c>
      <c r="L28" s="23">
        <f>FCEV!L87</f>
        <v>124.90600000000001</v>
      </c>
      <c r="M28" s="23">
        <f>FCEV!M87</f>
        <v>123.108</v>
      </c>
      <c r="N28" s="23">
        <f>FCEV!N87</f>
        <v>121.31</v>
      </c>
      <c r="O28" s="43">
        <f>FCEV!O87</f>
        <v>119.512</v>
      </c>
    </row>
    <row r="29" spans="1:15" x14ac:dyDescent="0.3">
      <c r="A29" t="str">
        <f t="shared" si="0"/>
        <v>SmallSUVPremiumFCEV320</v>
      </c>
      <c r="B29" s="79" t="str">
        <f>'Vehicle Attributes - Base Year'!B26</f>
        <v>SmallSUV</v>
      </c>
      <c r="C29" s="68" t="str">
        <f>'Vehicle Attributes - Base Year'!C26</f>
        <v>Base</v>
      </c>
      <c r="D29" s="68" t="str">
        <f>'Vehicle Attributes - Base Year'!D26</f>
        <v>FCEV320</v>
      </c>
      <c r="E29" s="23">
        <f>FCEV!E88</f>
        <v>139.22399999999999</v>
      </c>
      <c r="F29" s="23">
        <f>FCEV!F88</f>
        <v>137.1172</v>
      </c>
      <c r="G29" s="23">
        <f>FCEV!G88</f>
        <v>135.0104</v>
      </c>
      <c r="H29" s="23">
        <f>FCEV!H88</f>
        <v>132.90359999999998</v>
      </c>
      <c r="I29" s="23">
        <f>FCEV!I88</f>
        <v>130.79679999999999</v>
      </c>
      <c r="J29" s="23">
        <f>FCEV!J88</f>
        <v>128.69</v>
      </c>
      <c r="K29" s="23">
        <f>FCEV!K88</f>
        <v>127.0986</v>
      </c>
      <c r="L29" s="23">
        <f>FCEV!L88</f>
        <v>125.5072</v>
      </c>
      <c r="M29" s="23">
        <f>FCEV!M88</f>
        <v>123.9158</v>
      </c>
      <c r="N29" s="23">
        <f>FCEV!N88</f>
        <v>122.3244</v>
      </c>
      <c r="O29" s="43">
        <f>FCEV!O88</f>
        <v>120.733</v>
      </c>
    </row>
    <row r="30" spans="1:15" x14ac:dyDescent="0.3">
      <c r="A30" s="16" t="str">
        <f t="shared" si="0"/>
        <v>MedSUVBaseFCEV320</v>
      </c>
      <c r="B30" s="79" t="str">
        <f>'Vehicle Attributes - Base Year'!B27</f>
        <v>SmallSUV</v>
      </c>
      <c r="C30" s="68" t="str">
        <f>'Vehicle Attributes - Base Year'!C27</f>
        <v>Premium</v>
      </c>
      <c r="D30" s="68" t="str">
        <f>'Vehicle Attributes - Base Year'!D27</f>
        <v>FCEV320</v>
      </c>
      <c r="E30" s="23">
        <f>FCEV!E89</f>
        <v>139.22399999999999</v>
      </c>
      <c r="F30" s="23">
        <f>FCEV!F89</f>
        <v>137.1172</v>
      </c>
      <c r="G30" s="23">
        <f>FCEV!G89</f>
        <v>135.0104</v>
      </c>
      <c r="H30" s="23">
        <f>FCEV!H89</f>
        <v>132.90359999999998</v>
      </c>
      <c r="I30" s="23">
        <f>FCEV!I89</f>
        <v>130.79679999999999</v>
      </c>
      <c r="J30" s="23">
        <f>FCEV!J89</f>
        <v>128.69</v>
      </c>
      <c r="K30" s="23">
        <f>FCEV!K89</f>
        <v>127.0986</v>
      </c>
      <c r="L30" s="23">
        <f>FCEV!L89</f>
        <v>125.5072</v>
      </c>
      <c r="M30" s="23">
        <f>FCEV!M89</f>
        <v>123.9158</v>
      </c>
      <c r="N30" s="23">
        <f>FCEV!N89</f>
        <v>122.3244</v>
      </c>
      <c r="O30" s="43">
        <f>FCEV!O89</f>
        <v>120.733</v>
      </c>
    </row>
    <row r="31" spans="1:15" x14ac:dyDescent="0.3">
      <c r="A31" t="str">
        <f t="shared" si="0"/>
        <v>MedSUVPremiumFCEV320</v>
      </c>
      <c r="B31" s="79" t="str">
        <f>'Vehicle Attributes - Base Year'!B28</f>
        <v>MedSUV</v>
      </c>
      <c r="C31" s="68" t="str">
        <f>'Vehicle Attributes - Base Year'!C28</f>
        <v>Base</v>
      </c>
      <c r="D31" s="68" t="str">
        <f>'Vehicle Attributes - Base Year'!D28</f>
        <v>FCEV320</v>
      </c>
      <c r="E31" s="23">
        <f>FCEV!E90</f>
        <v>157.345</v>
      </c>
      <c r="F31" s="23">
        <f>FCEV!F90</f>
        <v>155.02199999999999</v>
      </c>
      <c r="G31" s="23">
        <f>FCEV!G90</f>
        <v>152.69899999999998</v>
      </c>
      <c r="H31" s="23">
        <f>FCEV!H90</f>
        <v>150.376</v>
      </c>
      <c r="I31" s="23">
        <f>FCEV!I90</f>
        <v>148.053</v>
      </c>
      <c r="J31" s="23">
        <f>FCEV!J90</f>
        <v>145.72999999999999</v>
      </c>
      <c r="K31" s="23">
        <f>FCEV!K90</f>
        <v>143.99419999999998</v>
      </c>
      <c r="L31" s="23">
        <f>FCEV!L90</f>
        <v>142.25839999999999</v>
      </c>
      <c r="M31" s="23">
        <f>FCEV!M90</f>
        <v>140.52259999999998</v>
      </c>
      <c r="N31" s="23">
        <f>FCEV!N90</f>
        <v>138.7868</v>
      </c>
      <c r="O31" s="43">
        <f>FCEV!O90</f>
        <v>137.05099999999999</v>
      </c>
    </row>
    <row r="32" spans="1:15" x14ac:dyDescent="0.3">
      <c r="A32" s="16" t="str">
        <f t="shared" si="0"/>
        <v>PickupBaseFCEV320</v>
      </c>
      <c r="B32" s="79" t="str">
        <f>'Vehicle Attributes - Base Year'!B29</f>
        <v>MedSUV</v>
      </c>
      <c r="C32" s="68" t="str">
        <f>'Vehicle Attributes - Base Year'!C29</f>
        <v>Premium</v>
      </c>
      <c r="D32" s="68" t="str">
        <f>'Vehicle Attributes - Base Year'!D29</f>
        <v>FCEV320</v>
      </c>
      <c r="E32" s="23">
        <f>FCEV!E91</f>
        <v>157.345</v>
      </c>
      <c r="F32" s="23">
        <f>FCEV!F91</f>
        <v>155.02199999999999</v>
      </c>
      <c r="G32" s="23">
        <f>FCEV!G91</f>
        <v>152.69899999999998</v>
      </c>
      <c r="H32" s="23">
        <f>FCEV!H91</f>
        <v>150.376</v>
      </c>
      <c r="I32" s="23">
        <f>FCEV!I91</f>
        <v>148.053</v>
      </c>
      <c r="J32" s="23">
        <f>FCEV!J91</f>
        <v>145.72999999999999</v>
      </c>
      <c r="K32" s="23">
        <f>FCEV!K91</f>
        <v>143.99419999999998</v>
      </c>
      <c r="L32" s="23">
        <f>FCEV!L91</f>
        <v>142.25839999999999</v>
      </c>
      <c r="M32" s="23">
        <f>FCEV!M91</f>
        <v>140.52259999999998</v>
      </c>
      <c r="N32" s="23">
        <f>FCEV!N91</f>
        <v>138.7868</v>
      </c>
      <c r="O32" s="43">
        <f>FCEV!O91</f>
        <v>137.05099999999999</v>
      </c>
    </row>
    <row r="33" spans="1:15" x14ac:dyDescent="0.3">
      <c r="A33" t="str">
        <f t="shared" si="0"/>
        <v>PickupHTFCEV320</v>
      </c>
      <c r="B33" s="79" t="str">
        <f>'Vehicle Attributes - Base Year'!B30</f>
        <v>Pickup</v>
      </c>
      <c r="C33" s="68" t="str">
        <f>'Vehicle Attributes - Base Year'!C30</f>
        <v>Base</v>
      </c>
      <c r="D33" s="68" t="str">
        <f>'Vehicle Attributes - Base Year'!D30</f>
        <v>FCEV320</v>
      </c>
      <c r="E33" s="23">
        <f>FCEV!E92</f>
        <v>185.68100000000001</v>
      </c>
      <c r="F33" s="23">
        <f>FCEV!F92</f>
        <v>182.0112</v>
      </c>
      <c r="G33" s="23">
        <f>FCEV!G92</f>
        <v>178.34139999999999</v>
      </c>
      <c r="H33" s="23">
        <f>FCEV!H92</f>
        <v>174.67160000000001</v>
      </c>
      <c r="I33" s="23">
        <f>FCEV!I92</f>
        <v>171.0018</v>
      </c>
      <c r="J33" s="23">
        <f>FCEV!J92</f>
        <v>167.33199999999999</v>
      </c>
      <c r="K33" s="23">
        <f>FCEV!K92</f>
        <v>165.52179999999998</v>
      </c>
      <c r="L33" s="23">
        <f>FCEV!L92</f>
        <v>163.7116</v>
      </c>
      <c r="M33" s="23">
        <f>FCEV!M92</f>
        <v>161.9014</v>
      </c>
      <c r="N33" s="23">
        <f>FCEV!N92</f>
        <v>160.09120000000001</v>
      </c>
      <c r="O33" s="43">
        <f>FCEV!O92</f>
        <v>158.28100000000001</v>
      </c>
    </row>
    <row r="34" spans="1:15" x14ac:dyDescent="0.3">
      <c r="B34" s="79" t="str">
        <f>'Vehicle Attributes - Base Year'!B31</f>
        <v>Pickup</v>
      </c>
      <c r="C34" s="68" t="str">
        <f>'Vehicle Attributes - Base Year'!C31</f>
        <v>HT</v>
      </c>
      <c r="D34" s="68" t="str">
        <f>'Vehicle Attributes - Base Year'!D31</f>
        <v>FCEV320</v>
      </c>
      <c r="E34" s="23">
        <f>FCEV!E93</f>
        <v>185.68100000000001</v>
      </c>
      <c r="F34" s="23">
        <f>FCEV!F93</f>
        <v>182.0112</v>
      </c>
      <c r="G34" s="23">
        <f>FCEV!G93</f>
        <v>178.34139999999999</v>
      </c>
      <c r="H34" s="23">
        <f>FCEV!H93</f>
        <v>174.67160000000001</v>
      </c>
      <c r="I34" s="23">
        <f>FCEV!I93</f>
        <v>171.0018</v>
      </c>
      <c r="J34" s="23">
        <f>FCEV!J93</f>
        <v>167.33199999999999</v>
      </c>
      <c r="K34" s="23">
        <f>FCEV!K93</f>
        <v>165.52179999999998</v>
      </c>
      <c r="L34" s="23">
        <f>FCEV!L93</f>
        <v>163.7116</v>
      </c>
      <c r="M34" s="23">
        <f>FCEV!M93</f>
        <v>161.9014</v>
      </c>
      <c r="N34" s="23">
        <f>FCEV!N93</f>
        <v>160.09120000000001</v>
      </c>
      <c r="O34" s="43">
        <f>FCEV!O93</f>
        <v>158.28100000000001</v>
      </c>
    </row>
  </sheetData>
  <mergeCells count="2">
    <mergeCell ref="E2:O2"/>
    <mergeCell ref="B1:O1"/>
  </mergeCells>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36A393"/>
  </sheetPr>
  <dimension ref="A1:K20"/>
  <sheetViews>
    <sheetView zoomScaleNormal="100" workbookViewId="0">
      <selection activeCell="H13" sqref="H13"/>
    </sheetView>
  </sheetViews>
  <sheetFormatPr defaultRowHeight="14.4" x14ac:dyDescent="0.3"/>
  <cols>
    <col min="1" max="1" width="31.44140625" bestFit="1" customWidth="1"/>
    <col min="2" max="2" width="33" bestFit="1" customWidth="1"/>
    <col min="3" max="6" width="12.88671875" customWidth="1"/>
    <col min="7" max="8" width="11" customWidth="1"/>
    <col min="9" max="9" width="11" bestFit="1" customWidth="1"/>
    <col min="10" max="10" width="52.5546875" bestFit="1" customWidth="1"/>
    <col min="11" max="11" width="110.44140625" bestFit="1" customWidth="1"/>
  </cols>
  <sheetData>
    <row r="1" spans="1:11" ht="15" thickBot="1" x14ac:dyDescent="0.35">
      <c r="A1" s="199" t="s">
        <v>175</v>
      </c>
      <c r="B1" s="200"/>
      <c r="C1" s="200"/>
      <c r="D1" s="200"/>
      <c r="E1" s="200"/>
      <c r="F1" s="200"/>
      <c r="G1" s="200"/>
      <c r="H1" s="200"/>
      <c r="I1" s="200"/>
      <c r="J1" s="200"/>
      <c r="K1" s="200"/>
    </row>
    <row r="2" spans="1:11" x14ac:dyDescent="0.3">
      <c r="A2" s="204" t="s">
        <v>176</v>
      </c>
      <c r="B2" s="206" t="s">
        <v>177</v>
      </c>
      <c r="C2" s="201" t="s">
        <v>178</v>
      </c>
      <c r="D2" s="202"/>
      <c r="E2" s="202"/>
      <c r="F2" s="203"/>
      <c r="G2" s="206" t="s">
        <v>179</v>
      </c>
      <c r="H2" s="206" t="s">
        <v>180</v>
      </c>
      <c r="I2" s="206" t="s">
        <v>181</v>
      </c>
      <c r="J2" s="208" t="s">
        <v>11</v>
      </c>
      <c r="K2" s="197" t="s">
        <v>251</v>
      </c>
    </row>
    <row r="3" spans="1:11" ht="29.4" thickBot="1" x14ac:dyDescent="0.35">
      <c r="A3" s="205"/>
      <c r="B3" s="207"/>
      <c r="C3" s="25" t="s">
        <v>171</v>
      </c>
      <c r="D3" s="24" t="s">
        <v>182</v>
      </c>
      <c r="E3" s="24" t="s">
        <v>183</v>
      </c>
      <c r="F3" s="26" t="s">
        <v>173</v>
      </c>
      <c r="G3" s="207"/>
      <c r="H3" s="207"/>
      <c r="I3" s="207"/>
      <c r="J3" s="209"/>
      <c r="K3" s="198"/>
    </row>
    <row r="4" spans="1:11" ht="15" thickBot="1" x14ac:dyDescent="0.35">
      <c r="A4" s="87" t="s">
        <v>64</v>
      </c>
      <c r="B4" s="45" t="s">
        <v>65</v>
      </c>
      <c r="C4" s="123" t="s">
        <v>156</v>
      </c>
      <c r="D4" s="124" t="s">
        <v>157</v>
      </c>
      <c r="E4" s="124" t="s">
        <v>158</v>
      </c>
      <c r="F4" s="125" t="s">
        <v>159</v>
      </c>
      <c r="G4" s="45" t="s">
        <v>160</v>
      </c>
      <c r="H4" s="45" t="s">
        <v>161</v>
      </c>
      <c r="I4" s="45" t="s">
        <v>162</v>
      </c>
      <c r="J4" s="126" t="s">
        <v>163</v>
      </c>
      <c r="K4" s="45" t="s">
        <v>164</v>
      </c>
    </row>
    <row r="5" spans="1:11" x14ac:dyDescent="0.3">
      <c r="A5" s="104" t="s">
        <v>184</v>
      </c>
      <c r="B5" s="63" t="s">
        <v>185</v>
      </c>
      <c r="C5" s="127" t="s">
        <v>76</v>
      </c>
      <c r="D5" s="128" t="s">
        <v>76</v>
      </c>
      <c r="E5" s="128" t="s">
        <v>76</v>
      </c>
      <c r="F5" s="129" t="s">
        <v>76</v>
      </c>
      <c r="G5" s="63">
        <v>3.6</v>
      </c>
      <c r="H5" s="63"/>
      <c r="I5" s="63" t="s">
        <v>186</v>
      </c>
      <c r="J5" s="130"/>
      <c r="K5" s="45" t="s">
        <v>260</v>
      </c>
    </row>
    <row r="6" spans="1:11" x14ac:dyDescent="0.3">
      <c r="A6" s="87" t="s">
        <v>187</v>
      </c>
      <c r="B6" s="45"/>
      <c r="C6" s="123" t="s">
        <v>76</v>
      </c>
      <c r="D6" s="124" t="s">
        <v>76</v>
      </c>
      <c r="E6" s="124" t="s">
        <v>77</v>
      </c>
      <c r="F6" s="125" t="s">
        <v>76</v>
      </c>
      <c r="G6" s="45">
        <v>2.1</v>
      </c>
      <c r="H6" s="45"/>
      <c r="I6" s="45" t="s">
        <v>186</v>
      </c>
      <c r="J6" s="126"/>
      <c r="K6" s="45" t="s">
        <v>261</v>
      </c>
    </row>
    <row r="7" spans="1:11" x14ac:dyDescent="0.3">
      <c r="A7" s="87" t="s">
        <v>188</v>
      </c>
      <c r="B7" s="45" t="s">
        <v>189</v>
      </c>
      <c r="C7" s="123" t="s">
        <v>76</v>
      </c>
      <c r="D7" s="124" t="s">
        <v>190</v>
      </c>
      <c r="E7" s="124" t="s">
        <v>190</v>
      </c>
      <c r="F7" s="125" t="s">
        <v>76</v>
      </c>
      <c r="G7" s="45"/>
      <c r="H7" s="45">
        <v>1.1000000000000001</v>
      </c>
      <c r="I7" s="45" t="s">
        <v>191</v>
      </c>
      <c r="J7" s="126"/>
      <c r="K7" s="45" t="s">
        <v>261</v>
      </c>
    </row>
    <row r="8" spans="1:11" x14ac:dyDescent="0.3">
      <c r="A8" s="87" t="s">
        <v>192</v>
      </c>
      <c r="B8" s="45"/>
      <c r="C8" s="123" t="s">
        <v>76</v>
      </c>
      <c r="D8" s="124" t="s">
        <v>190</v>
      </c>
      <c r="E8" s="124" t="s">
        <v>77</v>
      </c>
      <c r="F8" s="125" t="s">
        <v>76</v>
      </c>
      <c r="G8" s="45"/>
      <c r="H8" s="45">
        <v>1.3</v>
      </c>
      <c r="I8" s="45" t="s">
        <v>191</v>
      </c>
      <c r="J8" s="126"/>
      <c r="K8" s="45" t="s">
        <v>261</v>
      </c>
    </row>
    <row r="9" spans="1:11" x14ac:dyDescent="0.3">
      <c r="A9" s="87" t="s">
        <v>193</v>
      </c>
      <c r="B9" s="45" t="s">
        <v>194</v>
      </c>
      <c r="C9" s="123" t="s">
        <v>76</v>
      </c>
      <c r="D9" s="124" t="s">
        <v>195</v>
      </c>
      <c r="E9" s="124" t="s">
        <v>77</v>
      </c>
      <c r="F9" s="125" t="s">
        <v>76</v>
      </c>
      <c r="G9" s="45"/>
      <c r="H9" s="45">
        <v>400</v>
      </c>
      <c r="I9" s="45" t="s">
        <v>196</v>
      </c>
      <c r="J9" s="126"/>
      <c r="K9" s="45" t="s">
        <v>261</v>
      </c>
    </row>
    <row r="10" spans="1:11" x14ac:dyDescent="0.3">
      <c r="A10" s="87" t="s">
        <v>197</v>
      </c>
      <c r="B10" s="45" t="s">
        <v>198</v>
      </c>
      <c r="C10" s="123" t="s">
        <v>77</v>
      </c>
      <c r="D10" s="124" t="s">
        <v>76</v>
      </c>
      <c r="E10" s="124" t="s">
        <v>77</v>
      </c>
      <c r="F10" s="125" t="s">
        <v>77</v>
      </c>
      <c r="G10" s="45">
        <v>2.5</v>
      </c>
      <c r="H10" s="45"/>
      <c r="I10" s="45" t="s">
        <v>186</v>
      </c>
      <c r="J10" s="126" t="s">
        <v>199</v>
      </c>
      <c r="K10" s="45" t="s">
        <v>262</v>
      </c>
    </row>
    <row r="11" spans="1:11" x14ac:dyDescent="0.3">
      <c r="A11" s="87" t="s">
        <v>200</v>
      </c>
      <c r="B11" s="45"/>
      <c r="C11" s="123" t="s">
        <v>76</v>
      </c>
      <c r="D11" s="124" t="s">
        <v>77</v>
      </c>
      <c r="E11" s="124" t="s">
        <v>77</v>
      </c>
      <c r="F11" s="125" t="s">
        <v>76</v>
      </c>
      <c r="G11" s="45">
        <v>3.8</v>
      </c>
      <c r="H11" s="45"/>
      <c r="I11" s="45" t="s">
        <v>186</v>
      </c>
      <c r="J11" s="126" t="s">
        <v>199</v>
      </c>
      <c r="K11" s="45" t="s">
        <v>263</v>
      </c>
    </row>
    <row r="12" spans="1:11" ht="57.6" x14ac:dyDescent="0.3">
      <c r="A12" s="87" t="s">
        <v>201</v>
      </c>
      <c r="B12" s="45" t="s">
        <v>202</v>
      </c>
      <c r="C12" s="123" t="s">
        <v>76</v>
      </c>
      <c r="D12" s="124" t="s">
        <v>76</v>
      </c>
      <c r="E12" s="124" t="s">
        <v>76</v>
      </c>
      <c r="F12" s="125" t="s">
        <v>77</v>
      </c>
      <c r="G12" s="45"/>
      <c r="H12" s="45">
        <v>200</v>
      </c>
      <c r="I12" s="45" t="s">
        <v>196</v>
      </c>
      <c r="J12" s="126" t="s">
        <v>203</v>
      </c>
      <c r="K12" s="168" t="s">
        <v>266</v>
      </c>
    </row>
    <row r="13" spans="1:11" x14ac:dyDescent="0.3">
      <c r="A13" s="87" t="s">
        <v>204</v>
      </c>
      <c r="B13" s="45" t="s">
        <v>205</v>
      </c>
      <c r="C13" s="123" t="s">
        <v>76</v>
      </c>
      <c r="D13" s="124" t="s">
        <v>76</v>
      </c>
      <c r="E13" s="124" t="s">
        <v>76</v>
      </c>
      <c r="F13" s="125" t="s">
        <v>77</v>
      </c>
      <c r="G13" s="45">
        <v>62</v>
      </c>
      <c r="H13" s="45">
        <v>765</v>
      </c>
      <c r="I13" s="45" t="s">
        <v>206</v>
      </c>
      <c r="J13" s="126" t="s">
        <v>207</v>
      </c>
      <c r="K13" s="45" t="s">
        <v>265</v>
      </c>
    </row>
    <row r="14" spans="1:11" x14ac:dyDescent="0.3">
      <c r="A14" s="87" t="s">
        <v>208</v>
      </c>
      <c r="B14" s="45" t="s">
        <v>205</v>
      </c>
      <c r="C14" s="123" t="s">
        <v>76</v>
      </c>
      <c r="D14" s="124" t="s">
        <v>77</v>
      </c>
      <c r="E14" s="124" t="s">
        <v>77</v>
      </c>
      <c r="F14" s="125" t="s">
        <v>77</v>
      </c>
      <c r="G14" s="45"/>
      <c r="H14" s="45">
        <v>150</v>
      </c>
      <c r="I14" s="45" t="s">
        <v>196</v>
      </c>
      <c r="J14" s="126" t="s">
        <v>209</v>
      </c>
      <c r="K14" s="45" t="s">
        <v>265</v>
      </c>
    </row>
    <row r="15" spans="1:11" x14ac:dyDescent="0.3">
      <c r="A15" s="87" t="s">
        <v>210</v>
      </c>
      <c r="B15" s="45" t="s">
        <v>205</v>
      </c>
      <c r="C15" s="123" t="s">
        <v>76</v>
      </c>
      <c r="D15" s="124" t="s">
        <v>76</v>
      </c>
      <c r="E15" s="124" t="s">
        <v>76</v>
      </c>
      <c r="F15" s="125" t="s">
        <v>76</v>
      </c>
      <c r="G15" s="45"/>
      <c r="H15" s="45">
        <v>405</v>
      </c>
      <c r="I15" s="45" t="s">
        <v>196</v>
      </c>
      <c r="J15" s="126" t="s">
        <v>211</v>
      </c>
      <c r="K15" s="45" t="s">
        <v>265</v>
      </c>
    </row>
    <row r="16" spans="1:11" x14ac:dyDescent="0.3">
      <c r="A16" s="87" t="s">
        <v>212</v>
      </c>
      <c r="B16" s="45" t="s">
        <v>213</v>
      </c>
      <c r="C16" s="123" t="s">
        <v>76</v>
      </c>
      <c r="D16" s="124" t="s">
        <v>76</v>
      </c>
      <c r="E16" s="124" t="s">
        <v>76</v>
      </c>
      <c r="F16" s="125" t="s">
        <v>76</v>
      </c>
      <c r="G16" s="45"/>
      <c r="H16" s="45">
        <v>65</v>
      </c>
      <c r="I16" s="45" t="s">
        <v>196</v>
      </c>
      <c r="J16" s="126"/>
      <c r="K16" s="45" t="s">
        <v>265</v>
      </c>
    </row>
    <row r="17" spans="1:11" x14ac:dyDescent="0.3">
      <c r="A17" s="87" t="s">
        <v>214</v>
      </c>
      <c r="B17" s="45" t="s">
        <v>215</v>
      </c>
      <c r="C17" s="123" t="s">
        <v>76</v>
      </c>
      <c r="D17" s="124" t="s">
        <v>76</v>
      </c>
      <c r="E17" s="124" t="s">
        <v>76</v>
      </c>
      <c r="F17" s="125" t="s">
        <v>76</v>
      </c>
      <c r="G17" s="45"/>
      <c r="H17" s="45">
        <v>185</v>
      </c>
      <c r="I17" s="45" t="s">
        <v>196</v>
      </c>
      <c r="J17" s="126"/>
      <c r="K17" s="45" t="s">
        <v>265</v>
      </c>
    </row>
    <row r="18" spans="1:11" x14ac:dyDescent="0.3">
      <c r="A18" s="87" t="s">
        <v>216</v>
      </c>
      <c r="B18" s="45" t="s">
        <v>217</v>
      </c>
      <c r="C18" s="123" t="s">
        <v>76</v>
      </c>
      <c r="D18" s="124" t="s">
        <v>76</v>
      </c>
      <c r="E18" s="124" t="s">
        <v>76</v>
      </c>
      <c r="F18" s="125" t="s">
        <v>76</v>
      </c>
      <c r="G18" s="45"/>
      <c r="H18" s="45">
        <v>180</v>
      </c>
      <c r="I18" s="45" t="s">
        <v>196</v>
      </c>
      <c r="J18" s="126" t="s">
        <v>218</v>
      </c>
      <c r="K18" s="45" t="s">
        <v>265</v>
      </c>
    </row>
    <row r="19" spans="1:11" x14ac:dyDescent="0.3">
      <c r="A19" s="87" t="s">
        <v>219</v>
      </c>
      <c r="B19" s="45" t="s">
        <v>220</v>
      </c>
      <c r="C19" s="123" t="s">
        <v>76</v>
      </c>
      <c r="D19" s="124" t="s">
        <v>76</v>
      </c>
      <c r="E19" s="124" t="s">
        <v>76</v>
      </c>
      <c r="F19" s="125" t="s">
        <v>76</v>
      </c>
      <c r="G19" s="45"/>
      <c r="H19" s="45">
        <v>300</v>
      </c>
      <c r="I19" s="45" t="s">
        <v>221</v>
      </c>
      <c r="J19" s="126"/>
      <c r="K19" s="45" t="s">
        <v>265</v>
      </c>
    </row>
    <row r="20" spans="1:11" x14ac:dyDescent="0.3">
      <c r="A20" s="87" t="s">
        <v>222</v>
      </c>
      <c r="B20" s="45" t="s">
        <v>223</v>
      </c>
      <c r="C20" s="123" t="s">
        <v>76</v>
      </c>
      <c r="D20" s="124" t="s">
        <v>76</v>
      </c>
      <c r="E20" s="124" t="s">
        <v>77</v>
      </c>
      <c r="F20" s="125" t="s">
        <v>76</v>
      </c>
      <c r="G20" s="45"/>
      <c r="H20" s="45">
        <v>25</v>
      </c>
      <c r="I20" s="45"/>
      <c r="J20" s="126"/>
      <c r="K20" s="45" t="s">
        <v>265</v>
      </c>
    </row>
  </sheetData>
  <mergeCells count="9">
    <mergeCell ref="K2:K3"/>
    <mergeCell ref="A1:K1"/>
    <mergeCell ref="C2:F2"/>
    <mergeCell ref="A2:A3"/>
    <mergeCell ref="B2:B3"/>
    <mergeCell ref="G2:G3"/>
    <mergeCell ref="H2:H3"/>
    <mergeCell ref="I2:I3"/>
    <mergeCell ref="J2:J3"/>
  </mergeCells>
  <phoneticPr fontId="6" type="noConversion"/>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36A393"/>
  </sheetPr>
  <dimension ref="A1:O34"/>
  <sheetViews>
    <sheetView topLeftCell="B1" workbookViewId="0"/>
  </sheetViews>
  <sheetFormatPr defaultRowHeight="14.4" x14ac:dyDescent="0.3"/>
  <cols>
    <col min="1" max="1" width="0" hidden="1" customWidth="1"/>
    <col min="2" max="2" width="12.5546875" bestFit="1" customWidth="1"/>
    <col min="3" max="3" width="12.44140625" bestFit="1" customWidth="1"/>
    <col min="4" max="10" width="11" customWidth="1"/>
    <col min="11" max="15" width="12" customWidth="1"/>
  </cols>
  <sheetData>
    <row r="1" spans="1:15" x14ac:dyDescent="0.3">
      <c r="B1" s="170" t="s">
        <v>224</v>
      </c>
      <c r="C1" s="175"/>
      <c r="D1" s="175"/>
      <c r="E1" s="175"/>
      <c r="F1" s="175"/>
      <c r="G1" s="175"/>
      <c r="H1" s="175"/>
      <c r="I1" s="175"/>
      <c r="J1" s="175"/>
      <c r="K1" s="175"/>
      <c r="L1" s="175"/>
      <c r="M1" s="175"/>
      <c r="N1" s="175"/>
      <c r="O1" s="171"/>
    </row>
    <row r="2" spans="1:15" x14ac:dyDescent="0.3">
      <c r="B2" s="55"/>
      <c r="C2" s="55"/>
      <c r="D2" s="56"/>
      <c r="E2" s="210" t="s">
        <v>155</v>
      </c>
      <c r="F2" s="210"/>
      <c r="G2" s="210"/>
      <c r="H2" s="210"/>
      <c r="I2" s="210"/>
      <c r="J2" s="210"/>
      <c r="K2" s="210"/>
      <c r="L2" s="210"/>
      <c r="M2" s="210"/>
      <c r="N2" s="210"/>
      <c r="O2" s="211"/>
    </row>
    <row r="3" spans="1:15" x14ac:dyDescent="0.3">
      <c r="B3" s="57" t="s">
        <v>100</v>
      </c>
      <c r="C3" s="57" t="s">
        <v>101</v>
      </c>
      <c r="D3" s="58" t="s">
        <v>67</v>
      </c>
      <c r="E3" s="59">
        <v>2025</v>
      </c>
      <c r="F3" s="60">
        <v>2026</v>
      </c>
      <c r="G3" s="60">
        <v>2027</v>
      </c>
      <c r="H3" s="60">
        <v>2028</v>
      </c>
      <c r="I3" s="60">
        <v>2029</v>
      </c>
      <c r="J3" s="60">
        <v>2030</v>
      </c>
      <c r="K3" s="60">
        <v>2031</v>
      </c>
      <c r="L3" s="60">
        <v>2032</v>
      </c>
      <c r="M3" s="60">
        <v>2033</v>
      </c>
      <c r="N3" s="60">
        <v>2034</v>
      </c>
      <c r="O3" s="61">
        <v>2035</v>
      </c>
    </row>
    <row r="4" spans="1:15" x14ac:dyDescent="0.3">
      <c r="A4" s="16" t="str">
        <f t="shared" ref="A4:A33" si="0">CONCATENATE(B5,C5,D5)</f>
        <v>SmallCarBaseBEV300</v>
      </c>
      <c r="B4" s="79" t="s">
        <v>64</v>
      </c>
      <c r="C4" s="68" t="s">
        <v>65</v>
      </c>
      <c r="D4" s="68" t="s">
        <v>156</v>
      </c>
      <c r="E4" s="23" t="s">
        <v>157</v>
      </c>
      <c r="F4" s="23" t="s">
        <v>158</v>
      </c>
      <c r="G4" s="23" t="s">
        <v>159</v>
      </c>
      <c r="H4" s="23" t="s">
        <v>160</v>
      </c>
      <c r="I4" s="23" t="s">
        <v>161</v>
      </c>
      <c r="J4" s="23" t="s">
        <v>162</v>
      </c>
      <c r="K4" s="23" t="s">
        <v>163</v>
      </c>
      <c r="L4" s="23" t="s">
        <v>164</v>
      </c>
      <c r="M4" s="23" t="s">
        <v>165</v>
      </c>
      <c r="N4" s="23" t="s">
        <v>166</v>
      </c>
      <c r="O4" s="43" t="s">
        <v>167</v>
      </c>
    </row>
    <row r="5" spans="1:15" x14ac:dyDescent="0.3">
      <c r="A5" t="str">
        <f t="shared" si="0"/>
        <v>SmallCarPremiumBEV400</v>
      </c>
      <c r="B5" s="79" t="str">
        <f>'Vehicle Attributes - Base Year'!B2</f>
        <v>SmallCar</v>
      </c>
      <c r="C5" s="68" t="str">
        <f>'Vehicle Attributes - Base Year'!C2</f>
        <v>Base</v>
      </c>
      <c r="D5" s="68" t="str">
        <f>'Vehicle Attributes - Base Year'!D2</f>
        <v>BEV300</v>
      </c>
      <c r="E5" s="23">
        <f>'Vehicle Attributes - Base Year'!Y2</f>
        <v>4022.83</v>
      </c>
      <c r="F5" s="23">
        <f t="shared" ref="F5:O5" si="1">E5*(1-Non_Battery_Annual_Cost_Reduction)</f>
        <v>3982.6016999999997</v>
      </c>
      <c r="G5" s="23">
        <f t="shared" si="1"/>
        <v>3942.7756829999998</v>
      </c>
      <c r="H5" s="23">
        <f t="shared" si="1"/>
        <v>3903.3479261699999</v>
      </c>
      <c r="I5" s="23">
        <f t="shared" si="1"/>
        <v>3864.3144469082999</v>
      </c>
      <c r="J5" s="23">
        <f t="shared" si="1"/>
        <v>3825.671302439217</v>
      </c>
      <c r="K5" s="23">
        <f t="shared" si="1"/>
        <v>3787.4145894148246</v>
      </c>
      <c r="L5" s="23">
        <f t="shared" si="1"/>
        <v>3749.5404435206765</v>
      </c>
      <c r="M5" s="23">
        <f t="shared" si="1"/>
        <v>3712.0450390854699</v>
      </c>
      <c r="N5" s="23">
        <f t="shared" si="1"/>
        <v>3674.9245886946151</v>
      </c>
      <c r="O5" s="43">
        <f t="shared" si="1"/>
        <v>3638.175342807669</v>
      </c>
    </row>
    <row r="6" spans="1:15" x14ac:dyDescent="0.3">
      <c r="A6" s="16" t="str">
        <f t="shared" si="0"/>
        <v>MedCarBaseBEV300</v>
      </c>
      <c r="B6" s="79" t="str">
        <f>'Vehicle Attributes - Base Year'!B3</f>
        <v>SmallCar</v>
      </c>
      <c r="C6" s="68" t="str">
        <f>'Vehicle Attributes - Base Year'!C3</f>
        <v>Premium</v>
      </c>
      <c r="D6" s="68" t="str">
        <f>'Vehicle Attributes - Base Year'!D3</f>
        <v>BEV400</v>
      </c>
      <c r="E6" s="23">
        <f>'Vehicle Attributes - Base Year'!Y3</f>
        <v>4387.3</v>
      </c>
      <c r="F6" s="23">
        <f t="shared" ref="F6:O6" si="2">E6*(1-Non_Battery_Annual_Cost_Reduction)</f>
        <v>4343.4270000000006</v>
      </c>
      <c r="G6" s="23">
        <f t="shared" si="2"/>
        <v>4299.9927300000008</v>
      </c>
      <c r="H6" s="23">
        <f t="shared" si="2"/>
        <v>4256.9928027000005</v>
      </c>
      <c r="I6" s="23">
        <f t="shared" si="2"/>
        <v>4214.4228746730005</v>
      </c>
      <c r="J6" s="23">
        <f t="shared" si="2"/>
        <v>4172.2786459262707</v>
      </c>
      <c r="K6" s="23">
        <f t="shared" si="2"/>
        <v>4130.5558594670083</v>
      </c>
      <c r="L6" s="23">
        <f t="shared" si="2"/>
        <v>4089.2503008723384</v>
      </c>
      <c r="M6" s="23">
        <f t="shared" si="2"/>
        <v>4048.3577978636149</v>
      </c>
      <c r="N6" s="23">
        <f t="shared" si="2"/>
        <v>4007.8742198849786</v>
      </c>
      <c r="O6" s="43">
        <f t="shared" si="2"/>
        <v>3967.7954776861288</v>
      </c>
    </row>
    <row r="7" spans="1:15" x14ac:dyDescent="0.3">
      <c r="A7" t="str">
        <f t="shared" si="0"/>
        <v>MedCarPremiumBEV400</v>
      </c>
      <c r="B7" s="79" t="str">
        <f>'Vehicle Attributes - Base Year'!B4</f>
        <v>MedCar</v>
      </c>
      <c r="C7" s="68" t="str">
        <f>'Vehicle Attributes - Base Year'!C4</f>
        <v>Base</v>
      </c>
      <c r="D7" s="68" t="str">
        <f>'Vehicle Attributes - Base Year'!D4</f>
        <v>BEV300</v>
      </c>
      <c r="E7" s="23">
        <f>'Vehicle Attributes - Base Year'!Y4</f>
        <v>4325.4400000000005</v>
      </c>
      <c r="F7" s="23">
        <f t="shared" ref="F7:O7" si="3">E7*(1-Non_Battery_Annual_Cost_Reduction)</f>
        <v>4282.1856000000007</v>
      </c>
      <c r="G7" s="23">
        <f t="shared" si="3"/>
        <v>4239.3637440000002</v>
      </c>
      <c r="H7" s="23">
        <f t="shared" si="3"/>
        <v>4196.9701065600002</v>
      </c>
      <c r="I7" s="23">
        <f t="shared" si="3"/>
        <v>4155.0004054944002</v>
      </c>
      <c r="J7" s="23">
        <f t="shared" si="3"/>
        <v>4113.4504014394561</v>
      </c>
      <c r="K7" s="23">
        <f t="shared" si="3"/>
        <v>4072.3158974250614</v>
      </c>
      <c r="L7" s="23">
        <f t="shared" si="3"/>
        <v>4031.5927384508109</v>
      </c>
      <c r="M7" s="23">
        <f t="shared" si="3"/>
        <v>3991.2768110663028</v>
      </c>
      <c r="N7" s="23">
        <f t="shared" si="3"/>
        <v>3951.3640429556399</v>
      </c>
      <c r="O7" s="43">
        <f t="shared" si="3"/>
        <v>3911.8504025260836</v>
      </c>
    </row>
    <row r="8" spans="1:15" x14ac:dyDescent="0.3">
      <c r="A8" s="16" t="str">
        <f t="shared" si="0"/>
        <v>SmallSUVBaseBEV300</v>
      </c>
      <c r="B8" s="79" t="str">
        <f>'Vehicle Attributes - Base Year'!B5</f>
        <v>MedCar</v>
      </c>
      <c r="C8" s="68" t="str">
        <f>'Vehicle Attributes - Base Year'!C5</f>
        <v>Premium</v>
      </c>
      <c r="D8" s="68" t="str">
        <f>'Vehicle Attributes - Base Year'!D5</f>
        <v>BEV400</v>
      </c>
      <c r="E8" s="23">
        <f>'Vehicle Attributes - Base Year'!Y5</f>
        <v>4828</v>
      </c>
      <c r="F8" s="23">
        <f t="shared" ref="F8:O8" si="4">E8*(1-Non_Battery_Annual_Cost_Reduction)</f>
        <v>4779.72</v>
      </c>
      <c r="G8" s="23">
        <f t="shared" si="4"/>
        <v>4731.9228000000003</v>
      </c>
      <c r="H8" s="23">
        <f t="shared" si="4"/>
        <v>4684.603572</v>
      </c>
      <c r="I8" s="23">
        <f t="shared" si="4"/>
        <v>4637.7575362799998</v>
      </c>
      <c r="J8" s="23">
        <f t="shared" si="4"/>
        <v>4591.3799609172002</v>
      </c>
      <c r="K8" s="23">
        <f t="shared" si="4"/>
        <v>4545.4661613080279</v>
      </c>
      <c r="L8" s="23">
        <f t="shared" si="4"/>
        <v>4500.0114996949478</v>
      </c>
      <c r="M8" s="23">
        <f t="shared" si="4"/>
        <v>4455.0113846979984</v>
      </c>
      <c r="N8" s="23">
        <f t="shared" si="4"/>
        <v>4410.4612708510185</v>
      </c>
      <c r="O8" s="43">
        <f t="shared" si="4"/>
        <v>4366.3566581425084</v>
      </c>
    </row>
    <row r="9" spans="1:15" x14ac:dyDescent="0.3">
      <c r="A9" t="str">
        <f t="shared" si="0"/>
        <v>SmallSUVPremiumBEV400</v>
      </c>
      <c r="B9" s="79" t="str">
        <f>'Vehicle Attributes - Base Year'!B6</f>
        <v>SmallSUV</v>
      </c>
      <c r="C9" s="68" t="str">
        <f>'Vehicle Attributes - Base Year'!C6</f>
        <v>Base</v>
      </c>
      <c r="D9" s="68" t="str">
        <f>'Vehicle Attributes - Base Year'!D6</f>
        <v>BEV300</v>
      </c>
      <c r="E9" s="23">
        <f>'Vehicle Attributes - Base Year'!Y6</f>
        <v>4127.5450000000001</v>
      </c>
      <c r="F9" s="23">
        <f t="shared" ref="F9:O9" si="5">E9*(1-Non_Battery_Annual_Cost_Reduction)</f>
        <v>4086.26955</v>
      </c>
      <c r="G9" s="23">
        <f t="shared" si="5"/>
        <v>4045.4068545</v>
      </c>
      <c r="H9" s="23">
        <f t="shared" si="5"/>
        <v>4004.9527859549999</v>
      </c>
      <c r="I9" s="23">
        <f t="shared" si="5"/>
        <v>3964.9032580954499</v>
      </c>
      <c r="J9" s="23">
        <f t="shared" si="5"/>
        <v>3925.2542255144954</v>
      </c>
      <c r="K9" s="23">
        <f t="shared" si="5"/>
        <v>3886.0016832593506</v>
      </c>
      <c r="L9" s="23">
        <f t="shared" si="5"/>
        <v>3847.1416664267572</v>
      </c>
      <c r="M9" s="23">
        <f t="shared" si="5"/>
        <v>3808.6702497624897</v>
      </c>
      <c r="N9" s="23">
        <f t="shared" si="5"/>
        <v>3770.5835472648646</v>
      </c>
      <c r="O9" s="43">
        <f t="shared" si="5"/>
        <v>3732.8777117922159</v>
      </c>
    </row>
    <row r="10" spans="1:15" x14ac:dyDescent="0.3">
      <c r="A10" s="16" t="str">
        <f t="shared" si="0"/>
        <v>MedSUVBaseBEV300</v>
      </c>
      <c r="B10" s="79" t="str">
        <f>'Vehicle Attributes - Base Year'!B7</f>
        <v>SmallSUV</v>
      </c>
      <c r="C10" s="68" t="str">
        <f>'Vehicle Attributes - Base Year'!C7</f>
        <v>Premium</v>
      </c>
      <c r="D10" s="68" t="str">
        <f>'Vehicle Attributes - Base Year'!D7</f>
        <v>BEV400</v>
      </c>
      <c r="E10" s="23">
        <f>'Vehicle Attributes - Base Year'!Y7</f>
        <v>4564.1399999999994</v>
      </c>
      <c r="F10" s="23">
        <f t="shared" ref="F10:O10" si="6">E10*(1-Non_Battery_Annual_Cost_Reduction)</f>
        <v>4518.498599999999</v>
      </c>
      <c r="G10" s="23">
        <f t="shared" si="6"/>
        <v>4473.3136139999988</v>
      </c>
      <c r="H10" s="23">
        <f t="shared" si="6"/>
        <v>4428.5804778599986</v>
      </c>
      <c r="I10" s="23">
        <f t="shared" si="6"/>
        <v>4384.2946730813983</v>
      </c>
      <c r="J10" s="23">
        <f t="shared" si="6"/>
        <v>4340.4517263505841</v>
      </c>
      <c r="K10" s="23">
        <f t="shared" si="6"/>
        <v>4297.047209087078</v>
      </c>
      <c r="L10" s="23">
        <f t="shared" si="6"/>
        <v>4254.0767369962068</v>
      </c>
      <c r="M10" s="23">
        <f t="shared" si="6"/>
        <v>4211.5359696262449</v>
      </c>
      <c r="N10" s="23">
        <f t="shared" si="6"/>
        <v>4169.4206099299827</v>
      </c>
      <c r="O10" s="43">
        <f t="shared" si="6"/>
        <v>4127.726403830683</v>
      </c>
    </row>
    <row r="11" spans="1:15" x14ac:dyDescent="0.3">
      <c r="A11" t="str">
        <f t="shared" si="0"/>
        <v>MedSUVPremiumBEV400</v>
      </c>
      <c r="B11" s="79" t="str">
        <f>'Vehicle Attributes - Base Year'!B8</f>
        <v>MedSUV</v>
      </c>
      <c r="C11" s="68" t="str">
        <f>'Vehicle Attributes - Base Year'!C8</f>
        <v>Base</v>
      </c>
      <c r="D11" s="68" t="str">
        <f>'Vehicle Attributes - Base Year'!D8</f>
        <v>BEV300</v>
      </c>
      <c r="E11" s="23">
        <f>'Vehicle Attributes - Base Year'!Y8</f>
        <v>4814.9250000000002</v>
      </c>
      <c r="F11" s="23">
        <f t="shared" ref="F11:O11" si="7">E11*(1-Non_Battery_Annual_Cost_Reduction)</f>
        <v>4766.7757499999998</v>
      </c>
      <c r="G11" s="23">
        <f t="shared" si="7"/>
        <v>4719.1079924999995</v>
      </c>
      <c r="H11" s="23">
        <f t="shared" si="7"/>
        <v>4671.9169125749995</v>
      </c>
      <c r="I11" s="23">
        <f t="shared" si="7"/>
        <v>4625.1977434492492</v>
      </c>
      <c r="J11" s="23">
        <f t="shared" si="7"/>
        <v>4578.9457660147564</v>
      </c>
      <c r="K11" s="23">
        <f t="shared" si="7"/>
        <v>4533.1563083546089</v>
      </c>
      <c r="L11" s="23">
        <f t="shared" si="7"/>
        <v>4487.824745271063</v>
      </c>
      <c r="M11" s="23">
        <f t="shared" si="7"/>
        <v>4442.9464978183523</v>
      </c>
      <c r="N11" s="23">
        <f t="shared" si="7"/>
        <v>4398.5170328401691</v>
      </c>
      <c r="O11" s="43">
        <f t="shared" si="7"/>
        <v>4354.531862511767</v>
      </c>
    </row>
    <row r="12" spans="1:15" x14ac:dyDescent="0.3">
      <c r="A12" s="16" t="str">
        <f t="shared" si="0"/>
        <v>PickupBaseBEV300</v>
      </c>
      <c r="B12" s="79" t="str">
        <f>'Vehicle Attributes - Base Year'!B9</f>
        <v>MedSUV</v>
      </c>
      <c r="C12" s="68" t="str">
        <f>'Vehicle Attributes - Base Year'!C9</f>
        <v>Premium</v>
      </c>
      <c r="D12" s="68" t="str">
        <f>'Vehicle Attributes - Base Year'!D9</f>
        <v>BEV400</v>
      </c>
      <c r="E12" s="23">
        <f>'Vehicle Attributes - Base Year'!Y9</f>
        <v>5363.2</v>
      </c>
      <c r="F12" s="23">
        <f t="shared" ref="F12:O12" si="8">E12*(1-Non_Battery_Annual_Cost_Reduction)</f>
        <v>5309.5680000000002</v>
      </c>
      <c r="G12" s="23">
        <f t="shared" si="8"/>
        <v>5256.4723199999999</v>
      </c>
      <c r="H12" s="23">
        <f t="shared" si="8"/>
        <v>5203.9075967999997</v>
      </c>
      <c r="I12" s="23">
        <f t="shared" si="8"/>
        <v>5151.8685208319994</v>
      </c>
      <c r="J12" s="23">
        <f t="shared" si="8"/>
        <v>5100.3498356236796</v>
      </c>
      <c r="K12" s="23">
        <f t="shared" si="8"/>
        <v>5049.3463372674423</v>
      </c>
      <c r="L12" s="23">
        <f t="shared" si="8"/>
        <v>4998.852873894768</v>
      </c>
      <c r="M12" s="23">
        <f t="shared" si="8"/>
        <v>4948.86434515582</v>
      </c>
      <c r="N12" s="23">
        <f t="shared" si="8"/>
        <v>4899.3757017042617</v>
      </c>
      <c r="O12" s="43">
        <f t="shared" si="8"/>
        <v>4850.3819446872194</v>
      </c>
    </row>
    <row r="13" spans="1:15" x14ac:dyDescent="0.3">
      <c r="A13" t="str">
        <f t="shared" si="0"/>
        <v>PickupHTBEV400</v>
      </c>
      <c r="B13" s="79" t="str">
        <f>'Vehicle Attributes - Base Year'!B10</f>
        <v>Pickup</v>
      </c>
      <c r="C13" s="68" t="str">
        <f>'Vehicle Attributes - Base Year'!C10</f>
        <v>Base</v>
      </c>
      <c r="D13" s="68" t="str">
        <f>'Vehicle Attributes - Base Year'!D10</f>
        <v>BEV300</v>
      </c>
      <c r="E13" s="23">
        <f>'Vehicle Attributes - Base Year'!Y10</f>
        <v>5189.6422222222227</v>
      </c>
      <c r="F13" s="23">
        <f t="shared" ref="F13:O13" si="9">E13*(1-Non_Battery_Annual_Cost_Reduction)</f>
        <v>5137.7458000000006</v>
      </c>
      <c r="G13" s="23">
        <f t="shared" si="9"/>
        <v>5086.3683420000007</v>
      </c>
      <c r="H13" s="23">
        <f t="shared" si="9"/>
        <v>5035.504658580001</v>
      </c>
      <c r="I13" s="23">
        <f t="shared" si="9"/>
        <v>4985.1496119942012</v>
      </c>
      <c r="J13" s="23">
        <f t="shared" si="9"/>
        <v>4935.2981158742596</v>
      </c>
      <c r="K13" s="23">
        <f t="shared" si="9"/>
        <v>4885.9451347155173</v>
      </c>
      <c r="L13" s="23">
        <f t="shared" si="9"/>
        <v>4837.085683368362</v>
      </c>
      <c r="M13" s="23">
        <f t="shared" si="9"/>
        <v>4788.7148265346787</v>
      </c>
      <c r="N13" s="23">
        <f t="shared" si="9"/>
        <v>4740.827678269332</v>
      </c>
      <c r="O13" s="43">
        <f t="shared" si="9"/>
        <v>4693.4194014866389</v>
      </c>
    </row>
    <row r="14" spans="1:15" x14ac:dyDescent="0.3">
      <c r="A14" s="16" t="str">
        <f t="shared" si="0"/>
        <v>SmallCarBasePHEV50</v>
      </c>
      <c r="B14" s="79" t="str">
        <f>'Vehicle Attributes - Base Year'!B11</f>
        <v>Pickup</v>
      </c>
      <c r="C14" s="68" t="str">
        <f>'Vehicle Attributes - Base Year'!C11</f>
        <v>HT</v>
      </c>
      <c r="D14" s="68" t="str">
        <f>'Vehicle Attributes - Base Year'!D11</f>
        <v>BEV400</v>
      </c>
      <c r="E14" s="23">
        <f>'Vehicle Attributes - Base Year'!Y11</f>
        <v>5679.5599999999995</v>
      </c>
      <c r="F14" s="23">
        <f t="shared" ref="F14:O14" si="10">E14*(1-Non_Battery_Annual_Cost_Reduction)</f>
        <v>5622.7643999999991</v>
      </c>
      <c r="G14" s="23">
        <f t="shared" si="10"/>
        <v>5566.5367559999995</v>
      </c>
      <c r="H14" s="23">
        <f t="shared" si="10"/>
        <v>5510.8713884399995</v>
      </c>
      <c r="I14" s="23">
        <f t="shared" si="10"/>
        <v>5455.762674555599</v>
      </c>
      <c r="J14" s="23">
        <f t="shared" si="10"/>
        <v>5401.2050478100427</v>
      </c>
      <c r="K14" s="23">
        <f t="shared" si="10"/>
        <v>5347.192997331942</v>
      </c>
      <c r="L14" s="23">
        <f t="shared" si="10"/>
        <v>5293.7210673586223</v>
      </c>
      <c r="M14" s="23">
        <f t="shared" si="10"/>
        <v>5240.783856685036</v>
      </c>
      <c r="N14" s="23">
        <f t="shared" si="10"/>
        <v>5188.3760181181851</v>
      </c>
      <c r="O14" s="43">
        <f t="shared" si="10"/>
        <v>5136.4922579370032</v>
      </c>
    </row>
    <row r="15" spans="1:15" x14ac:dyDescent="0.3">
      <c r="A15" t="str">
        <f t="shared" si="0"/>
        <v>SmallCarPremiumPHEV50</v>
      </c>
      <c r="B15" s="79" t="str">
        <f>'Vehicle Attributes - Base Year'!B12</f>
        <v>SmallCar</v>
      </c>
      <c r="C15" s="68" t="str">
        <f>'Vehicle Attributes - Base Year'!C12</f>
        <v>Base</v>
      </c>
      <c r="D15" s="68" t="str">
        <f>'Vehicle Attributes - Base Year'!D12</f>
        <v>PHEV50</v>
      </c>
      <c r="E15" s="23">
        <f>'Vehicle Attributes - Base Year'!Y12</f>
        <v>2354.3625000000002</v>
      </c>
      <c r="F15" s="23">
        <f t="shared" ref="F15:O15" si="11">E15*(1-Non_Battery_Annual_Cost_Reduction)</f>
        <v>2330.8188749999999</v>
      </c>
      <c r="G15" s="23">
        <f t="shared" si="11"/>
        <v>2307.5106862499997</v>
      </c>
      <c r="H15" s="23">
        <f t="shared" si="11"/>
        <v>2284.4355793874997</v>
      </c>
      <c r="I15" s="23">
        <f t="shared" si="11"/>
        <v>2261.5912235936248</v>
      </c>
      <c r="J15" s="23">
        <f t="shared" si="11"/>
        <v>2238.9753113576885</v>
      </c>
      <c r="K15" s="23">
        <f t="shared" si="11"/>
        <v>2216.5855582441118</v>
      </c>
      <c r="L15" s="23">
        <f t="shared" si="11"/>
        <v>2194.4197026616707</v>
      </c>
      <c r="M15" s="23">
        <f t="shared" si="11"/>
        <v>2172.4755056350541</v>
      </c>
      <c r="N15" s="23">
        <f t="shared" si="11"/>
        <v>2150.7507505787034</v>
      </c>
      <c r="O15" s="43">
        <f t="shared" si="11"/>
        <v>2129.2432430729164</v>
      </c>
    </row>
    <row r="16" spans="1:15" x14ac:dyDescent="0.3">
      <c r="A16" s="16" t="str">
        <f t="shared" si="0"/>
        <v>MedCarBasePHEV50</v>
      </c>
      <c r="B16" s="79" t="str">
        <f>'Vehicle Attributes - Base Year'!B13</f>
        <v>SmallCar</v>
      </c>
      <c r="C16" s="68" t="str">
        <f>'Vehicle Attributes - Base Year'!C13</f>
        <v>Premium</v>
      </c>
      <c r="D16" s="68" t="str">
        <f>'Vehicle Attributes - Base Year'!D13</f>
        <v>PHEV50</v>
      </c>
      <c r="E16" s="23">
        <f>'Vehicle Attributes - Base Year'!Y13</f>
        <v>2354.3625000000002</v>
      </c>
      <c r="F16" s="23">
        <f t="shared" ref="F16:O16" si="12">E16*(1-Non_Battery_Annual_Cost_Reduction)</f>
        <v>2330.8188749999999</v>
      </c>
      <c r="G16" s="23">
        <f t="shared" si="12"/>
        <v>2307.5106862499997</v>
      </c>
      <c r="H16" s="23">
        <f t="shared" si="12"/>
        <v>2284.4355793874997</v>
      </c>
      <c r="I16" s="23">
        <f t="shared" si="12"/>
        <v>2261.5912235936248</v>
      </c>
      <c r="J16" s="23">
        <f t="shared" si="12"/>
        <v>2238.9753113576885</v>
      </c>
      <c r="K16" s="23">
        <f t="shared" si="12"/>
        <v>2216.5855582441118</v>
      </c>
      <c r="L16" s="23">
        <f t="shared" si="12"/>
        <v>2194.4197026616707</v>
      </c>
      <c r="M16" s="23">
        <f t="shared" si="12"/>
        <v>2172.4755056350541</v>
      </c>
      <c r="N16" s="23">
        <f t="shared" si="12"/>
        <v>2150.7507505787034</v>
      </c>
      <c r="O16" s="43">
        <f t="shared" si="12"/>
        <v>2129.2432430729164</v>
      </c>
    </row>
    <row r="17" spans="1:15" x14ac:dyDescent="0.3">
      <c r="A17" t="str">
        <f t="shared" si="0"/>
        <v>MedCarPremiumPHEV50</v>
      </c>
      <c r="B17" s="79" t="str">
        <f>'Vehicle Attributes - Base Year'!B14</f>
        <v>MedCar</v>
      </c>
      <c r="C17" s="68" t="str">
        <f>'Vehicle Attributes - Base Year'!C14</f>
        <v>Base</v>
      </c>
      <c r="D17" s="68" t="str">
        <f>'Vehicle Attributes - Base Year'!D14</f>
        <v>PHEV50</v>
      </c>
      <c r="E17" s="23">
        <f>'Vehicle Attributes - Base Year'!Y14</f>
        <v>2513.8779406334843</v>
      </c>
      <c r="F17" s="23">
        <f t="shared" ref="F17:O17" si="13">E17*(1-Non_Battery_Annual_Cost_Reduction)</f>
        <v>2488.7391612271495</v>
      </c>
      <c r="G17" s="23">
        <f t="shared" si="13"/>
        <v>2463.8517696148779</v>
      </c>
      <c r="H17" s="23">
        <f t="shared" si="13"/>
        <v>2439.2132519187289</v>
      </c>
      <c r="I17" s="23">
        <f t="shared" si="13"/>
        <v>2414.8211193995417</v>
      </c>
      <c r="J17" s="23">
        <f t="shared" si="13"/>
        <v>2390.6729082055463</v>
      </c>
      <c r="K17" s="23">
        <f t="shared" si="13"/>
        <v>2366.7661791234909</v>
      </c>
      <c r="L17" s="23">
        <f t="shared" si="13"/>
        <v>2343.0985173322561</v>
      </c>
      <c r="M17" s="23">
        <f t="shared" si="13"/>
        <v>2319.6675321589337</v>
      </c>
      <c r="N17" s="23">
        <f t="shared" si="13"/>
        <v>2296.4708568373444</v>
      </c>
      <c r="O17" s="43">
        <f t="shared" si="13"/>
        <v>2273.5061482689707</v>
      </c>
    </row>
    <row r="18" spans="1:15" x14ac:dyDescent="0.3">
      <c r="A18" s="16" t="str">
        <f t="shared" si="0"/>
        <v>SmallSUVBasePHEV50</v>
      </c>
      <c r="B18" s="79" t="str">
        <f>'Vehicle Attributes - Base Year'!B15</f>
        <v>MedCar</v>
      </c>
      <c r="C18" s="68" t="str">
        <f>'Vehicle Attributes - Base Year'!C15</f>
        <v>Premium</v>
      </c>
      <c r="D18" s="68" t="str">
        <f>'Vehicle Attributes - Base Year'!D15</f>
        <v>PHEV50</v>
      </c>
      <c r="E18" s="23">
        <f>'Vehicle Attributes - Base Year'!Y15</f>
        <v>2513.8779406334843</v>
      </c>
      <c r="F18" s="23">
        <f t="shared" ref="F18:O18" si="14">E18*(1-Non_Battery_Annual_Cost_Reduction)</f>
        <v>2488.7391612271495</v>
      </c>
      <c r="G18" s="23">
        <f t="shared" si="14"/>
        <v>2463.8517696148779</v>
      </c>
      <c r="H18" s="23">
        <f t="shared" si="14"/>
        <v>2439.2132519187289</v>
      </c>
      <c r="I18" s="23">
        <f t="shared" si="14"/>
        <v>2414.8211193995417</v>
      </c>
      <c r="J18" s="23">
        <f t="shared" si="14"/>
        <v>2390.6729082055463</v>
      </c>
      <c r="K18" s="23">
        <f t="shared" si="14"/>
        <v>2366.7661791234909</v>
      </c>
      <c r="L18" s="23">
        <f t="shared" si="14"/>
        <v>2343.0985173322561</v>
      </c>
      <c r="M18" s="23">
        <f t="shared" si="14"/>
        <v>2319.6675321589337</v>
      </c>
      <c r="N18" s="23">
        <f t="shared" si="14"/>
        <v>2296.4708568373444</v>
      </c>
      <c r="O18" s="43">
        <f t="shared" si="14"/>
        <v>2273.5061482689707</v>
      </c>
    </row>
    <row r="19" spans="1:15" x14ac:dyDescent="0.3">
      <c r="A19" t="str">
        <f t="shared" si="0"/>
        <v>SmallSUVPremiumPHEV50</v>
      </c>
      <c r="B19" s="79" t="str">
        <f>'Vehicle Attributes - Base Year'!B16</f>
        <v>SmallSUV</v>
      </c>
      <c r="C19" s="68" t="str">
        <f>'Vehicle Attributes - Base Year'!C16</f>
        <v>Base</v>
      </c>
      <c r="D19" s="68" t="str">
        <f>'Vehicle Attributes - Base Year'!D16</f>
        <v>PHEV50</v>
      </c>
      <c r="E19" s="23">
        <f>'Vehicle Attributes - Base Year'!Y16</f>
        <v>2549.7572079245283</v>
      </c>
      <c r="F19" s="23">
        <f t="shared" ref="F19:O19" si="15">E19*(1-Non_Battery_Annual_Cost_Reduction)</f>
        <v>2524.2596358452829</v>
      </c>
      <c r="G19" s="23">
        <f t="shared" si="15"/>
        <v>2499.0170394868301</v>
      </c>
      <c r="H19" s="23">
        <f t="shared" si="15"/>
        <v>2474.0268690919615</v>
      </c>
      <c r="I19" s="23">
        <f t="shared" si="15"/>
        <v>2449.2866004010421</v>
      </c>
      <c r="J19" s="23">
        <f t="shared" si="15"/>
        <v>2424.7937343970316</v>
      </c>
      <c r="K19" s="23">
        <f t="shared" si="15"/>
        <v>2400.5457970530611</v>
      </c>
      <c r="L19" s="23">
        <f t="shared" si="15"/>
        <v>2376.5403390825304</v>
      </c>
      <c r="M19" s="23">
        <f t="shared" si="15"/>
        <v>2352.7749356917052</v>
      </c>
      <c r="N19" s="23">
        <f t="shared" si="15"/>
        <v>2329.2471863347882</v>
      </c>
      <c r="O19" s="43">
        <f t="shared" si="15"/>
        <v>2305.9547144714402</v>
      </c>
    </row>
    <row r="20" spans="1:15" x14ac:dyDescent="0.3">
      <c r="A20" s="16" t="str">
        <f t="shared" si="0"/>
        <v>MedSUVBasePHEV50</v>
      </c>
      <c r="B20" s="79" t="str">
        <f>'Vehicle Attributes - Base Year'!B17</f>
        <v>SmallSUV</v>
      </c>
      <c r="C20" s="68" t="str">
        <f>'Vehicle Attributes - Base Year'!C17</f>
        <v>Premium</v>
      </c>
      <c r="D20" s="68" t="str">
        <f>'Vehicle Attributes - Base Year'!D17</f>
        <v>PHEV50</v>
      </c>
      <c r="E20" s="23">
        <f>'Vehicle Attributes - Base Year'!Y17</f>
        <v>2549.7572079245283</v>
      </c>
      <c r="F20" s="23">
        <f t="shared" ref="F20:O20" si="16">E20*(1-Non_Battery_Annual_Cost_Reduction)</f>
        <v>2524.2596358452829</v>
      </c>
      <c r="G20" s="23">
        <f t="shared" si="16"/>
        <v>2499.0170394868301</v>
      </c>
      <c r="H20" s="23">
        <f t="shared" si="16"/>
        <v>2474.0268690919615</v>
      </c>
      <c r="I20" s="23">
        <f t="shared" si="16"/>
        <v>2449.2866004010421</v>
      </c>
      <c r="J20" s="23">
        <f t="shared" si="16"/>
        <v>2424.7937343970316</v>
      </c>
      <c r="K20" s="23">
        <f t="shared" si="16"/>
        <v>2400.5457970530611</v>
      </c>
      <c r="L20" s="23">
        <f t="shared" si="16"/>
        <v>2376.5403390825304</v>
      </c>
      <c r="M20" s="23">
        <f t="shared" si="16"/>
        <v>2352.7749356917052</v>
      </c>
      <c r="N20" s="23">
        <f t="shared" si="16"/>
        <v>2329.2471863347882</v>
      </c>
      <c r="O20" s="43">
        <f t="shared" si="16"/>
        <v>2305.9547144714402</v>
      </c>
    </row>
    <row r="21" spans="1:15" x14ac:dyDescent="0.3">
      <c r="A21" t="str">
        <f t="shared" si="0"/>
        <v>MedSUVPremiumPHEV50</v>
      </c>
      <c r="B21" s="79" t="str">
        <f>'Vehicle Attributes - Base Year'!B18</f>
        <v>MedSUV</v>
      </c>
      <c r="C21" s="68" t="str">
        <f>'Vehicle Attributes - Base Year'!C18</f>
        <v>Base</v>
      </c>
      <c r="D21" s="68" t="str">
        <f>'Vehicle Attributes - Base Year'!D18</f>
        <v>PHEV50</v>
      </c>
      <c r="E21" s="23">
        <f>'Vehicle Attributes - Base Year'!Y18</f>
        <v>2682.8070922368424</v>
      </c>
      <c r="F21" s="23">
        <f t="shared" ref="F21:O21" si="17">E21*(1-Non_Battery_Annual_Cost_Reduction)</f>
        <v>2655.9790213144738</v>
      </c>
      <c r="G21" s="23">
        <f t="shared" si="17"/>
        <v>2629.4192311013289</v>
      </c>
      <c r="H21" s="23">
        <f t="shared" si="17"/>
        <v>2603.1250387903156</v>
      </c>
      <c r="I21" s="23">
        <f t="shared" si="17"/>
        <v>2577.0937884024124</v>
      </c>
      <c r="J21" s="23">
        <f t="shared" si="17"/>
        <v>2551.3228505183883</v>
      </c>
      <c r="K21" s="23">
        <f t="shared" si="17"/>
        <v>2525.8096220132043</v>
      </c>
      <c r="L21" s="23">
        <f t="shared" si="17"/>
        <v>2500.5515257930724</v>
      </c>
      <c r="M21" s="23">
        <f t="shared" si="17"/>
        <v>2475.5460105351417</v>
      </c>
      <c r="N21" s="23">
        <f t="shared" si="17"/>
        <v>2450.7905504297901</v>
      </c>
      <c r="O21" s="43">
        <f t="shared" si="17"/>
        <v>2426.2826449254921</v>
      </c>
    </row>
    <row r="22" spans="1:15" x14ac:dyDescent="0.3">
      <c r="A22" s="16" t="str">
        <f t="shared" si="0"/>
        <v>PickupBasePHEV50</v>
      </c>
      <c r="B22" s="79" t="str">
        <f>'Vehicle Attributes - Base Year'!B19</f>
        <v>MedSUV</v>
      </c>
      <c r="C22" s="68" t="str">
        <f>'Vehicle Attributes - Base Year'!C19</f>
        <v>Premium</v>
      </c>
      <c r="D22" s="68" t="str">
        <f>'Vehicle Attributes - Base Year'!D19</f>
        <v>PHEV50</v>
      </c>
      <c r="E22" s="23">
        <f>'Vehicle Attributes - Base Year'!Y19</f>
        <v>2682.8070922368424</v>
      </c>
      <c r="F22" s="23">
        <f t="shared" ref="F22:O22" si="18">E22*(1-Non_Battery_Annual_Cost_Reduction)</f>
        <v>2655.9790213144738</v>
      </c>
      <c r="G22" s="23">
        <f t="shared" si="18"/>
        <v>2629.4192311013289</v>
      </c>
      <c r="H22" s="23">
        <f t="shared" si="18"/>
        <v>2603.1250387903156</v>
      </c>
      <c r="I22" s="23">
        <f t="shared" si="18"/>
        <v>2577.0937884024124</v>
      </c>
      <c r="J22" s="23">
        <f t="shared" si="18"/>
        <v>2551.3228505183883</v>
      </c>
      <c r="K22" s="23">
        <f t="shared" si="18"/>
        <v>2525.8096220132043</v>
      </c>
      <c r="L22" s="23">
        <f t="shared" si="18"/>
        <v>2500.5515257930724</v>
      </c>
      <c r="M22" s="23">
        <f t="shared" si="18"/>
        <v>2475.5460105351417</v>
      </c>
      <c r="N22" s="23">
        <f t="shared" si="18"/>
        <v>2450.7905504297901</v>
      </c>
      <c r="O22" s="43">
        <f t="shared" si="18"/>
        <v>2426.2826449254921</v>
      </c>
    </row>
    <row r="23" spans="1:15" x14ac:dyDescent="0.3">
      <c r="A23" t="str">
        <f t="shared" si="0"/>
        <v>PickupHTPHEV50</v>
      </c>
      <c r="B23" s="79" t="str">
        <f>'Vehicle Attributes - Base Year'!B20</f>
        <v>Pickup</v>
      </c>
      <c r="C23" s="68" t="str">
        <f>'Vehicle Attributes - Base Year'!C20</f>
        <v>Base</v>
      </c>
      <c r="D23" s="68" t="str">
        <f>'Vehicle Attributes - Base Year'!D20</f>
        <v>PHEV50</v>
      </c>
      <c r="E23" s="23">
        <f>'Vehicle Attributes - Base Year'!Y20</f>
        <v>2933.2488750857142</v>
      </c>
      <c r="F23" s="23">
        <f t="shared" ref="F23:O23" si="19">E23*(1-Non_Battery_Annual_Cost_Reduction)</f>
        <v>2903.9163863348572</v>
      </c>
      <c r="G23" s="23">
        <f t="shared" si="19"/>
        <v>2874.8772224715085</v>
      </c>
      <c r="H23" s="23">
        <f t="shared" si="19"/>
        <v>2846.1284502467934</v>
      </c>
      <c r="I23" s="23">
        <f t="shared" si="19"/>
        <v>2817.6671657443253</v>
      </c>
      <c r="J23" s="23">
        <f t="shared" si="19"/>
        <v>2789.4904940868819</v>
      </c>
      <c r="K23" s="23">
        <f t="shared" si="19"/>
        <v>2761.595589146013</v>
      </c>
      <c r="L23" s="23">
        <f t="shared" si="19"/>
        <v>2733.9796332545529</v>
      </c>
      <c r="M23" s="23">
        <f t="shared" si="19"/>
        <v>2706.6398369220074</v>
      </c>
      <c r="N23" s="23">
        <f t="shared" si="19"/>
        <v>2679.5734385527871</v>
      </c>
      <c r="O23" s="43">
        <f t="shared" si="19"/>
        <v>2652.7777041672593</v>
      </c>
    </row>
    <row r="24" spans="1:15" x14ac:dyDescent="0.3">
      <c r="A24" s="16" t="str">
        <f t="shared" si="0"/>
        <v>SmallCarBaseFCEV320</v>
      </c>
      <c r="B24" s="79" t="str">
        <f>'Vehicle Attributes - Base Year'!B21</f>
        <v>Pickup</v>
      </c>
      <c r="C24" s="68" t="str">
        <f>'Vehicle Attributes - Base Year'!C21</f>
        <v>HT</v>
      </c>
      <c r="D24" s="68" t="str">
        <f>'Vehicle Attributes - Base Year'!D21</f>
        <v>PHEV50</v>
      </c>
      <c r="E24" s="23">
        <f>'Vehicle Attributes - Base Year'!Y21</f>
        <v>2933.2488750857142</v>
      </c>
      <c r="F24" s="23">
        <f t="shared" ref="F24:O24" si="20">E24*(1-Non_Battery_Annual_Cost_Reduction)</f>
        <v>2903.9163863348572</v>
      </c>
      <c r="G24" s="23">
        <f t="shared" si="20"/>
        <v>2874.8772224715085</v>
      </c>
      <c r="H24" s="23">
        <f t="shared" si="20"/>
        <v>2846.1284502467934</v>
      </c>
      <c r="I24" s="23">
        <f t="shared" si="20"/>
        <v>2817.6671657443253</v>
      </c>
      <c r="J24" s="23">
        <f t="shared" si="20"/>
        <v>2789.4904940868819</v>
      </c>
      <c r="K24" s="23">
        <f t="shared" si="20"/>
        <v>2761.595589146013</v>
      </c>
      <c r="L24" s="23">
        <f t="shared" si="20"/>
        <v>2733.9796332545529</v>
      </c>
      <c r="M24" s="23">
        <f t="shared" si="20"/>
        <v>2706.6398369220074</v>
      </c>
      <c r="N24" s="23">
        <f t="shared" si="20"/>
        <v>2679.5734385527871</v>
      </c>
      <c r="O24" s="43">
        <f t="shared" si="20"/>
        <v>2652.7777041672593</v>
      </c>
    </row>
    <row r="25" spans="1:15" x14ac:dyDescent="0.3">
      <c r="A25" t="str">
        <f t="shared" si="0"/>
        <v>SmallCarPremiumFCEV320</v>
      </c>
      <c r="B25" s="79" t="str">
        <f>'Vehicle Attributes - Base Year'!B22</f>
        <v>SmallCar</v>
      </c>
      <c r="C25" s="68" t="str">
        <f>'Vehicle Attributes - Base Year'!C22</f>
        <v>Base</v>
      </c>
      <c r="D25" s="68" t="str">
        <f>'Vehicle Attributes - Base Year'!D22</f>
        <v>FCEV320</v>
      </c>
      <c r="E25" s="23">
        <f>'Vehicle Attributes - Base Year'!Y22</f>
        <v>2282.28024</v>
      </c>
      <c r="F25" s="23">
        <f t="shared" ref="F25:O25" si="21">E25*(1-Non_Battery_Annual_Cost_Reduction)</f>
        <v>2259.4574376</v>
      </c>
      <c r="G25" s="23">
        <f t="shared" si="21"/>
        <v>2236.8628632240002</v>
      </c>
      <c r="H25" s="23">
        <f t="shared" si="21"/>
        <v>2214.4942345917602</v>
      </c>
      <c r="I25" s="23">
        <f t="shared" si="21"/>
        <v>2192.3492922458427</v>
      </c>
      <c r="J25" s="23">
        <f t="shared" si="21"/>
        <v>2170.4257993233841</v>
      </c>
      <c r="K25" s="23">
        <f t="shared" si="21"/>
        <v>2148.7215413301501</v>
      </c>
      <c r="L25" s="23">
        <f t="shared" si="21"/>
        <v>2127.2343259168488</v>
      </c>
      <c r="M25" s="23">
        <f t="shared" si="21"/>
        <v>2105.9619826576804</v>
      </c>
      <c r="N25" s="23">
        <f t="shared" si="21"/>
        <v>2084.9023628311038</v>
      </c>
      <c r="O25" s="43">
        <f t="shared" si="21"/>
        <v>2064.0533392027928</v>
      </c>
    </row>
    <row r="26" spans="1:15" x14ac:dyDescent="0.3">
      <c r="A26" s="16" t="str">
        <f t="shared" si="0"/>
        <v>MedCarBaseFCEV320</v>
      </c>
      <c r="B26" s="79" t="str">
        <f>'Vehicle Attributes - Base Year'!B23</f>
        <v>SmallCar</v>
      </c>
      <c r="C26" s="68" t="str">
        <f>'Vehicle Attributes - Base Year'!C23</f>
        <v>Premium</v>
      </c>
      <c r="D26" s="68" t="str">
        <f>'Vehicle Attributes - Base Year'!D23</f>
        <v>FCEV320</v>
      </c>
      <c r="E26" s="23">
        <f>'Vehicle Attributes - Base Year'!Y23</f>
        <v>2282.28024</v>
      </c>
      <c r="F26" s="23">
        <f t="shared" ref="F26:O26" si="22">E26*(1-Non_Battery_Annual_Cost_Reduction)</f>
        <v>2259.4574376</v>
      </c>
      <c r="G26" s="23">
        <f t="shared" si="22"/>
        <v>2236.8628632240002</v>
      </c>
      <c r="H26" s="23">
        <f t="shared" si="22"/>
        <v>2214.4942345917602</v>
      </c>
      <c r="I26" s="23">
        <f t="shared" si="22"/>
        <v>2192.3492922458427</v>
      </c>
      <c r="J26" s="23">
        <f t="shared" si="22"/>
        <v>2170.4257993233841</v>
      </c>
      <c r="K26" s="23">
        <f t="shared" si="22"/>
        <v>2148.7215413301501</v>
      </c>
      <c r="L26" s="23">
        <f t="shared" si="22"/>
        <v>2127.2343259168488</v>
      </c>
      <c r="M26" s="23">
        <f t="shared" si="22"/>
        <v>2105.9619826576804</v>
      </c>
      <c r="N26" s="23">
        <f t="shared" si="22"/>
        <v>2084.9023628311038</v>
      </c>
      <c r="O26" s="43">
        <f t="shared" si="22"/>
        <v>2064.0533392027928</v>
      </c>
    </row>
    <row r="27" spans="1:15" x14ac:dyDescent="0.3">
      <c r="A27" t="str">
        <f t="shared" si="0"/>
        <v>MedCarPremiumFCEV320</v>
      </c>
      <c r="B27" s="79" t="str">
        <f>'Vehicle Attributes - Base Year'!B24</f>
        <v>MedCar</v>
      </c>
      <c r="C27" s="68" t="str">
        <f>'Vehicle Attributes - Base Year'!C24</f>
        <v>Base</v>
      </c>
      <c r="D27" s="68" t="str">
        <f>'Vehicle Attributes - Base Year'!D24</f>
        <v>FCEV320</v>
      </c>
      <c r="E27" s="23">
        <f>'Vehicle Attributes - Base Year'!Y24</f>
        <v>2657.19688</v>
      </c>
      <c r="F27" s="23">
        <f t="shared" ref="F27:O27" si="23">E27*(1-Non_Battery_Annual_Cost_Reduction)</f>
        <v>2630.6249112</v>
      </c>
      <c r="G27" s="23">
        <f t="shared" si="23"/>
        <v>2604.3186620880001</v>
      </c>
      <c r="H27" s="23">
        <f t="shared" si="23"/>
        <v>2578.27547546712</v>
      </c>
      <c r="I27" s="23">
        <f t="shared" si="23"/>
        <v>2552.4927207124488</v>
      </c>
      <c r="J27" s="23">
        <f t="shared" si="23"/>
        <v>2526.9677935053242</v>
      </c>
      <c r="K27" s="23">
        <f t="shared" si="23"/>
        <v>2501.6981155702711</v>
      </c>
      <c r="L27" s="23">
        <f t="shared" si="23"/>
        <v>2476.6811344145685</v>
      </c>
      <c r="M27" s="23">
        <f t="shared" si="23"/>
        <v>2451.9143230704231</v>
      </c>
      <c r="N27" s="23">
        <f t="shared" si="23"/>
        <v>2427.3951798397188</v>
      </c>
      <c r="O27" s="43">
        <f t="shared" si="23"/>
        <v>2403.1212280413215</v>
      </c>
    </row>
    <row r="28" spans="1:15" x14ac:dyDescent="0.3">
      <c r="A28" s="16" t="str">
        <f t="shared" si="0"/>
        <v>SmallSUVBaseFCEV320</v>
      </c>
      <c r="B28" s="79" t="str">
        <f>'Vehicle Attributes - Base Year'!B25</f>
        <v>MedCar</v>
      </c>
      <c r="C28" s="68" t="str">
        <f>'Vehicle Attributes - Base Year'!C25</f>
        <v>Premium</v>
      </c>
      <c r="D28" s="68" t="str">
        <f>'Vehicle Attributes - Base Year'!D25</f>
        <v>FCEV320</v>
      </c>
      <c r="E28" s="23">
        <f>'Vehicle Attributes - Base Year'!Y25</f>
        <v>2657.19688</v>
      </c>
      <c r="F28" s="23">
        <f t="shared" ref="F28:O28" si="24">E28*(1-Non_Battery_Annual_Cost_Reduction)</f>
        <v>2630.6249112</v>
      </c>
      <c r="G28" s="23">
        <f t="shared" si="24"/>
        <v>2604.3186620880001</v>
      </c>
      <c r="H28" s="23">
        <f t="shared" si="24"/>
        <v>2578.27547546712</v>
      </c>
      <c r="I28" s="23">
        <f t="shared" si="24"/>
        <v>2552.4927207124488</v>
      </c>
      <c r="J28" s="23">
        <f t="shared" si="24"/>
        <v>2526.9677935053242</v>
      </c>
      <c r="K28" s="23">
        <f t="shared" si="24"/>
        <v>2501.6981155702711</v>
      </c>
      <c r="L28" s="23">
        <f t="shared" si="24"/>
        <v>2476.6811344145685</v>
      </c>
      <c r="M28" s="23">
        <f t="shared" si="24"/>
        <v>2451.9143230704231</v>
      </c>
      <c r="N28" s="23">
        <f t="shared" si="24"/>
        <v>2427.3951798397188</v>
      </c>
      <c r="O28" s="43">
        <f t="shared" si="24"/>
        <v>2403.1212280413215</v>
      </c>
    </row>
    <row r="29" spans="1:15" x14ac:dyDescent="0.3">
      <c r="A29" t="str">
        <f t="shared" si="0"/>
        <v>SmallSUVPremiumFCEV320</v>
      </c>
      <c r="B29" s="79" t="str">
        <f>'Vehicle Attributes - Base Year'!B26</f>
        <v>SmallSUV</v>
      </c>
      <c r="C29" s="68" t="str">
        <f>'Vehicle Attributes - Base Year'!C26</f>
        <v>Base</v>
      </c>
      <c r="D29" s="68" t="str">
        <f>'Vehicle Attributes - Base Year'!D26</f>
        <v>FCEV320</v>
      </c>
      <c r="E29" s="23">
        <f>'Vehicle Attributes - Base Year'!Y26</f>
        <v>2615.37824</v>
      </c>
      <c r="F29" s="23">
        <f t="shared" ref="F29:O29" si="25">E29*(1-Non_Battery_Annual_Cost_Reduction)</f>
        <v>2589.2244575999998</v>
      </c>
      <c r="G29" s="23">
        <f t="shared" si="25"/>
        <v>2563.3322130239999</v>
      </c>
      <c r="H29" s="23">
        <f t="shared" si="25"/>
        <v>2537.6988908937597</v>
      </c>
      <c r="I29" s="23">
        <f t="shared" si="25"/>
        <v>2512.321901984822</v>
      </c>
      <c r="J29" s="23">
        <f t="shared" si="25"/>
        <v>2487.1986829649736</v>
      </c>
      <c r="K29" s="23">
        <f t="shared" si="25"/>
        <v>2462.3266961353238</v>
      </c>
      <c r="L29" s="23">
        <f t="shared" si="25"/>
        <v>2437.7034291739706</v>
      </c>
      <c r="M29" s="23">
        <f t="shared" si="25"/>
        <v>2413.3263948822309</v>
      </c>
      <c r="N29" s="23">
        <f t="shared" si="25"/>
        <v>2389.1931309334086</v>
      </c>
      <c r="O29" s="43">
        <f t="shared" si="25"/>
        <v>2365.3011996240743</v>
      </c>
    </row>
    <row r="30" spans="1:15" x14ac:dyDescent="0.3">
      <c r="A30" s="16" t="str">
        <f t="shared" si="0"/>
        <v>MedSUVBaseFCEV320</v>
      </c>
      <c r="B30" s="79" t="str">
        <f>'Vehicle Attributes - Base Year'!B27</f>
        <v>SmallSUV</v>
      </c>
      <c r="C30" s="68" t="str">
        <f>'Vehicle Attributes - Base Year'!C27</f>
        <v>Premium</v>
      </c>
      <c r="D30" s="68" t="str">
        <f>'Vehicle Attributes - Base Year'!D27</f>
        <v>FCEV320</v>
      </c>
      <c r="E30" s="23">
        <f>'Vehicle Attributes - Base Year'!Y27</f>
        <v>2615.37824</v>
      </c>
      <c r="F30" s="23">
        <f t="shared" ref="F30:O30" si="26">E30*(1-Non_Battery_Annual_Cost_Reduction)</f>
        <v>2589.2244575999998</v>
      </c>
      <c r="G30" s="23">
        <f t="shared" si="26"/>
        <v>2563.3322130239999</v>
      </c>
      <c r="H30" s="23">
        <f t="shared" si="26"/>
        <v>2537.6988908937597</v>
      </c>
      <c r="I30" s="23">
        <f t="shared" si="26"/>
        <v>2512.321901984822</v>
      </c>
      <c r="J30" s="23">
        <f t="shared" si="26"/>
        <v>2487.1986829649736</v>
      </c>
      <c r="K30" s="23">
        <f t="shared" si="26"/>
        <v>2462.3266961353238</v>
      </c>
      <c r="L30" s="23">
        <f t="shared" si="26"/>
        <v>2437.7034291739706</v>
      </c>
      <c r="M30" s="23">
        <f t="shared" si="26"/>
        <v>2413.3263948822309</v>
      </c>
      <c r="N30" s="23">
        <f t="shared" si="26"/>
        <v>2389.1931309334086</v>
      </c>
      <c r="O30" s="43">
        <f t="shared" si="26"/>
        <v>2365.3011996240743</v>
      </c>
    </row>
    <row r="31" spans="1:15" x14ac:dyDescent="0.3">
      <c r="A31" t="str">
        <f t="shared" si="0"/>
        <v>MedSUVPremiumFCEV320</v>
      </c>
      <c r="B31" s="79" t="str">
        <f>'Vehicle Attributes - Base Year'!B28</f>
        <v>MedSUV</v>
      </c>
      <c r="C31" s="68" t="str">
        <f>'Vehicle Attributes - Base Year'!C28</f>
        <v>Base</v>
      </c>
      <c r="D31" s="68" t="str">
        <f>'Vehicle Attributes - Base Year'!D28</f>
        <v>FCEV320</v>
      </c>
      <c r="E31" s="23">
        <f>'Vehicle Attributes - Base Year'!Y28</f>
        <v>2755.9971999999998</v>
      </c>
      <c r="F31" s="23">
        <f t="shared" ref="F31:O31" si="27">E31*(1-Non_Battery_Annual_Cost_Reduction)</f>
        <v>2728.4372279999998</v>
      </c>
      <c r="G31" s="23">
        <f t="shared" si="27"/>
        <v>2701.1528557199999</v>
      </c>
      <c r="H31" s="23">
        <f t="shared" si="27"/>
        <v>2674.1413271627998</v>
      </c>
      <c r="I31" s="23">
        <f t="shared" si="27"/>
        <v>2647.3999138911718</v>
      </c>
      <c r="J31" s="23">
        <f t="shared" si="27"/>
        <v>2620.9259147522598</v>
      </c>
      <c r="K31" s="23">
        <f t="shared" si="27"/>
        <v>2594.7166556047373</v>
      </c>
      <c r="L31" s="23">
        <f t="shared" si="27"/>
        <v>2568.76948904869</v>
      </c>
      <c r="M31" s="23">
        <f t="shared" si="27"/>
        <v>2543.0817941582031</v>
      </c>
      <c r="N31" s="23">
        <f t="shared" si="27"/>
        <v>2517.6509762166211</v>
      </c>
      <c r="O31" s="43">
        <f t="shared" si="27"/>
        <v>2492.4744664544551</v>
      </c>
    </row>
    <row r="32" spans="1:15" x14ac:dyDescent="0.3">
      <c r="A32" s="16" t="str">
        <f t="shared" si="0"/>
        <v>PickupBaseFCEV320</v>
      </c>
      <c r="B32" s="79" t="str">
        <f>'Vehicle Attributes - Base Year'!B29</f>
        <v>MedSUV</v>
      </c>
      <c r="C32" s="68" t="str">
        <f>'Vehicle Attributes - Base Year'!C29</f>
        <v>Premium</v>
      </c>
      <c r="D32" s="68" t="str">
        <f>'Vehicle Attributes - Base Year'!D29</f>
        <v>FCEV320</v>
      </c>
      <c r="E32" s="23">
        <f>'Vehicle Attributes - Base Year'!Y29</f>
        <v>2755.9971999999998</v>
      </c>
      <c r="F32" s="23">
        <f t="shared" ref="F32:O32" si="28">E32*(1-Non_Battery_Annual_Cost_Reduction)</f>
        <v>2728.4372279999998</v>
      </c>
      <c r="G32" s="23">
        <f t="shared" si="28"/>
        <v>2701.1528557199999</v>
      </c>
      <c r="H32" s="23">
        <f t="shared" si="28"/>
        <v>2674.1413271627998</v>
      </c>
      <c r="I32" s="23">
        <f t="shared" si="28"/>
        <v>2647.3999138911718</v>
      </c>
      <c r="J32" s="23">
        <f t="shared" si="28"/>
        <v>2620.9259147522598</v>
      </c>
      <c r="K32" s="23">
        <f t="shared" si="28"/>
        <v>2594.7166556047373</v>
      </c>
      <c r="L32" s="23">
        <f t="shared" si="28"/>
        <v>2568.76948904869</v>
      </c>
      <c r="M32" s="23">
        <f t="shared" si="28"/>
        <v>2543.0817941582031</v>
      </c>
      <c r="N32" s="23">
        <f t="shared" si="28"/>
        <v>2517.6509762166211</v>
      </c>
      <c r="O32" s="43">
        <f t="shared" si="28"/>
        <v>2492.4744664544551</v>
      </c>
    </row>
    <row r="33" spans="1:15" x14ac:dyDescent="0.3">
      <c r="A33" t="str">
        <f t="shared" si="0"/>
        <v>PickupHTFCEV320</v>
      </c>
      <c r="B33" s="79" t="str">
        <f>'Vehicle Attributes - Base Year'!B30</f>
        <v>Pickup</v>
      </c>
      <c r="C33" s="68" t="str">
        <f>'Vehicle Attributes - Base Year'!C30</f>
        <v>Base</v>
      </c>
      <c r="D33" s="68" t="str">
        <f>'Vehicle Attributes - Base Year'!D30</f>
        <v>FCEV320</v>
      </c>
      <c r="E33" s="23">
        <f>'Vehicle Attributes - Base Year'!Y30</f>
        <v>2975.8845600000004</v>
      </c>
      <c r="F33" s="23">
        <f t="shared" ref="F33:O33" si="29">E33*(1-Non_Battery_Annual_Cost_Reduction)</f>
        <v>2946.1257144000006</v>
      </c>
      <c r="G33" s="23">
        <f t="shared" si="29"/>
        <v>2916.6644572560003</v>
      </c>
      <c r="H33" s="23">
        <f t="shared" si="29"/>
        <v>2887.4978126834403</v>
      </c>
      <c r="I33" s="23">
        <f t="shared" si="29"/>
        <v>2858.622834556606</v>
      </c>
      <c r="J33" s="23">
        <f t="shared" si="29"/>
        <v>2830.0366062110397</v>
      </c>
      <c r="K33" s="23">
        <f t="shared" si="29"/>
        <v>2801.7362401489295</v>
      </c>
      <c r="L33" s="23">
        <f t="shared" si="29"/>
        <v>2773.7188777474403</v>
      </c>
      <c r="M33" s="23">
        <f t="shared" si="29"/>
        <v>2745.9816889699659</v>
      </c>
      <c r="N33" s="23">
        <f t="shared" si="29"/>
        <v>2718.5218720802663</v>
      </c>
      <c r="O33" s="43">
        <f t="shared" si="29"/>
        <v>2691.3366533594635</v>
      </c>
    </row>
    <row r="34" spans="1:15" x14ac:dyDescent="0.3">
      <c r="B34" s="79" t="str">
        <f>'Vehicle Attributes - Base Year'!B31</f>
        <v>Pickup</v>
      </c>
      <c r="C34" s="68" t="str">
        <f>'Vehicle Attributes - Base Year'!C31</f>
        <v>HT</v>
      </c>
      <c r="D34" s="68" t="str">
        <f>'Vehicle Attributes - Base Year'!D31</f>
        <v>FCEV320</v>
      </c>
      <c r="E34" s="23">
        <f>'Vehicle Attributes - Base Year'!Y31</f>
        <v>2975.8845600000004</v>
      </c>
      <c r="F34" s="23">
        <f t="shared" ref="F34:O34" si="30">E34*(1-Non_Battery_Annual_Cost_Reduction)</f>
        <v>2946.1257144000006</v>
      </c>
      <c r="G34" s="23">
        <f t="shared" si="30"/>
        <v>2916.6644572560003</v>
      </c>
      <c r="H34" s="23">
        <f t="shared" si="30"/>
        <v>2887.4978126834403</v>
      </c>
      <c r="I34" s="23">
        <f t="shared" si="30"/>
        <v>2858.622834556606</v>
      </c>
      <c r="J34" s="23">
        <f t="shared" si="30"/>
        <v>2830.0366062110397</v>
      </c>
      <c r="K34" s="23">
        <f t="shared" si="30"/>
        <v>2801.7362401489295</v>
      </c>
      <c r="L34" s="23">
        <f t="shared" si="30"/>
        <v>2773.7188777474403</v>
      </c>
      <c r="M34" s="23">
        <f t="shared" si="30"/>
        <v>2745.9816889699659</v>
      </c>
      <c r="N34" s="23">
        <f t="shared" si="30"/>
        <v>2718.5218720802663</v>
      </c>
      <c r="O34" s="43">
        <f t="shared" si="30"/>
        <v>2691.3366533594635</v>
      </c>
    </row>
  </sheetData>
  <mergeCells count="2">
    <mergeCell ref="B1:O1"/>
    <mergeCell ref="E2:O2"/>
  </mergeCells>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10597B"/>
  </sheetPr>
  <dimension ref="A1:O34"/>
  <sheetViews>
    <sheetView topLeftCell="B1" workbookViewId="0">
      <selection activeCell="B1" sqref="B1:O1"/>
    </sheetView>
  </sheetViews>
  <sheetFormatPr defaultRowHeight="14.4" x14ac:dyDescent="0.3"/>
  <cols>
    <col min="1" max="1" width="10.109375" hidden="1" customWidth="1"/>
    <col min="2" max="2" width="12.5546875" bestFit="1" customWidth="1"/>
    <col min="3" max="3" width="12.44140625" bestFit="1" customWidth="1"/>
    <col min="4" max="10" width="11" customWidth="1"/>
    <col min="11" max="15" width="12" customWidth="1"/>
  </cols>
  <sheetData>
    <row r="1" spans="1:15" x14ac:dyDescent="0.3">
      <c r="B1" s="170" t="s">
        <v>225</v>
      </c>
      <c r="C1" s="175"/>
      <c r="D1" s="175"/>
      <c r="E1" s="175"/>
      <c r="F1" s="175"/>
      <c r="G1" s="175"/>
      <c r="H1" s="175"/>
      <c r="I1" s="175"/>
      <c r="J1" s="175"/>
      <c r="K1" s="175"/>
      <c r="L1" s="175"/>
      <c r="M1" s="175"/>
      <c r="N1" s="175"/>
      <c r="O1" s="171"/>
    </row>
    <row r="2" spans="1:15" x14ac:dyDescent="0.3">
      <c r="B2" s="73"/>
      <c r="C2" s="73"/>
      <c r="D2" s="74"/>
      <c r="E2" s="195" t="s">
        <v>155</v>
      </c>
      <c r="F2" s="195"/>
      <c r="G2" s="195"/>
      <c r="H2" s="195"/>
      <c r="I2" s="195"/>
      <c r="J2" s="195"/>
      <c r="K2" s="195"/>
      <c r="L2" s="195"/>
      <c r="M2" s="195"/>
      <c r="N2" s="195"/>
      <c r="O2" s="196"/>
    </row>
    <row r="3" spans="1:15" x14ac:dyDescent="0.3">
      <c r="B3" s="75" t="s">
        <v>100</v>
      </c>
      <c r="C3" s="75" t="s">
        <v>101</v>
      </c>
      <c r="D3" s="76" t="s">
        <v>67</v>
      </c>
      <c r="E3" s="77">
        <v>2025</v>
      </c>
      <c r="F3" s="78">
        <v>2026</v>
      </c>
      <c r="G3" s="78">
        <v>2027</v>
      </c>
      <c r="H3" s="78">
        <v>2028</v>
      </c>
      <c r="I3" s="78">
        <v>2029</v>
      </c>
      <c r="J3" s="78">
        <v>2030</v>
      </c>
      <c r="K3" s="78">
        <v>2031</v>
      </c>
      <c r="L3" s="78">
        <v>2032</v>
      </c>
      <c r="M3" s="78">
        <v>2033</v>
      </c>
      <c r="N3" s="78">
        <v>2034</v>
      </c>
      <c r="O3" s="148">
        <v>2035</v>
      </c>
    </row>
    <row r="4" spans="1:15" x14ac:dyDescent="0.3">
      <c r="A4" s="16" t="str">
        <f t="shared" ref="A4:A33" si="0">CONCATENATE(B5,C5,D5)</f>
        <v>SmallCarBaseBEV300</v>
      </c>
      <c r="B4" s="79" t="s">
        <v>64</v>
      </c>
      <c r="C4" s="68" t="s">
        <v>65</v>
      </c>
      <c r="D4" s="68" t="s">
        <v>156</v>
      </c>
      <c r="E4" s="27" t="s">
        <v>157</v>
      </c>
      <c r="F4" s="27" t="s">
        <v>158</v>
      </c>
      <c r="G4" s="27" t="s">
        <v>159</v>
      </c>
      <c r="H4" s="27" t="s">
        <v>160</v>
      </c>
      <c r="I4" s="27" t="s">
        <v>161</v>
      </c>
      <c r="J4" s="27" t="s">
        <v>162</v>
      </c>
      <c r="K4" s="27" t="s">
        <v>163</v>
      </c>
      <c r="L4" s="27" t="s">
        <v>164</v>
      </c>
      <c r="M4" s="27" t="s">
        <v>165</v>
      </c>
      <c r="N4" s="27" t="s">
        <v>166</v>
      </c>
      <c r="O4" s="44" t="s">
        <v>167</v>
      </c>
    </row>
    <row r="5" spans="1:15" x14ac:dyDescent="0.3">
      <c r="A5" t="str">
        <f t="shared" si="0"/>
        <v>SmallCarPremiumBEV400</v>
      </c>
      <c r="B5" s="79" t="str">
        <f>'Vehicle Attributes - Base Year'!B2</f>
        <v>SmallCar</v>
      </c>
      <c r="C5" s="68" t="str">
        <f>'Vehicle Attributes - Base Year'!C2</f>
        <v>Base</v>
      </c>
      <c r="D5" s="68" t="str">
        <f>'Vehicle Attributes - Base Year'!D2</f>
        <v>BEV300</v>
      </c>
      <c r="E5" s="27">
        <v>0</v>
      </c>
      <c r="F5" s="27">
        <v>0</v>
      </c>
      <c r="G5" s="27">
        <v>0</v>
      </c>
      <c r="H5" s="27">
        <v>0</v>
      </c>
      <c r="I5" s="27">
        <v>0</v>
      </c>
      <c r="J5" s="27">
        <v>0</v>
      </c>
      <c r="K5" s="27">
        <v>0</v>
      </c>
      <c r="L5" s="27">
        <v>0</v>
      </c>
      <c r="M5" s="27">
        <v>0</v>
      </c>
      <c r="N5" s="27">
        <v>0</v>
      </c>
      <c r="O5" s="44">
        <v>0</v>
      </c>
    </row>
    <row r="6" spans="1:15" x14ac:dyDescent="0.3">
      <c r="A6" s="16" t="str">
        <f t="shared" si="0"/>
        <v>MedCarBaseBEV300</v>
      </c>
      <c r="B6" s="79" t="str">
        <f>'Vehicle Attributes - Base Year'!B3</f>
        <v>SmallCar</v>
      </c>
      <c r="C6" s="68" t="str">
        <f>'Vehicle Attributes - Base Year'!C3</f>
        <v>Premium</v>
      </c>
      <c r="D6" s="68" t="str">
        <f>'Vehicle Attributes - Base Year'!D3</f>
        <v>BEV400</v>
      </c>
      <c r="E6" s="27">
        <v>0</v>
      </c>
      <c r="F6" s="27">
        <v>0</v>
      </c>
      <c r="G6" s="27">
        <v>0</v>
      </c>
      <c r="H6" s="27">
        <v>0</v>
      </c>
      <c r="I6" s="27">
        <v>0</v>
      </c>
      <c r="J6" s="27">
        <v>0</v>
      </c>
      <c r="K6" s="27">
        <v>0</v>
      </c>
      <c r="L6" s="27">
        <v>0</v>
      </c>
      <c r="M6" s="27">
        <v>0</v>
      </c>
      <c r="N6" s="27">
        <v>0</v>
      </c>
      <c r="O6" s="44">
        <v>0</v>
      </c>
    </row>
    <row r="7" spans="1:15" x14ac:dyDescent="0.3">
      <c r="A7" t="str">
        <f t="shared" si="0"/>
        <v>MedCarPremiumBEV400</v>
      </c>
      <c r="B7" s="79" t="str">
        <f>'Vehicle Attributes - Base Year'!B4</f>
        <v>MedCar</v>
      </c>
      <c r="C7" s="68" t="str">
        <f>'Vehicle Attributes - Base Year'!C4</f>
        <v>Base</v>
      </c>
      <c r="D7" s="68" t="str">
        <f>'Vehicle Attributes - Base Year'!D4</f>
        <v>BEV300</v>
      </c>
      <c r="E7" s="27">
        <v>0</v>
      </c>
      <c r="F7" s="27">
        <v>0</v>
      </c>
      <c r="G7" s="27">
        <v>0</v>
      </c>
      <c r="H7" s="27">
        <v>0</v>
      </c>
      <c r="I7" s="27">
        <v>0</v>
      </c>
      <c r="J7" s="27">
        <v>0</v>
      </c>
      <c r="K7" s="27">
        <v>0</v>
      </c>
      <c r="L7" s="27">
        <v>0</v>
      </c>
      <c r="M7" s="27">
        <v>0</v>
      </c>
      <c r="N7" s="27">
        <v>0</v>
      </c>
      <c r="O7" s="44">
        <v>0</v>
      </c>
    </row>
    <row r="8" spans="1:15" x14ac:dyDescent="0.3">
      <c r="A8" s="16" t="str">
        <f t="shared" si="0"/>
        <v>SmallSUVBaseBEV300</v>
      </c>
      <c r="B8" s="79" t="str">
        <f>'Vehicle Attributes - Base Year'!B5</f>
        <v>MedCar</v>
      </c>
      <c r="C8" s="68" t="str">
        <f>'Vehicle Attributes - Base Year'!C5</f>
        <v>Premium</v>
      </c>
      <c r="D8" s="68" t="str">
        <f>'Vehicle Attributes - Base Year'!D5</f>
        <v>BEV400</v>
      </c>
      <c r="E8" s="27">
        <v>0</v>
      </c>
      <c r="F8" s="27">
        <v>0</v>
      </c>
      <c r="G8" s="27">
        <v>0</v>
      </c>
      <c r="H8" s="27">
        <v>0</v>
      </c>
      <c r="I8" s="27">
        <v>0</v>
      </c>
      <c r="J8" s="27">
        <v>0</v>
      </c>
      <c r="K8" s="27">
        <v>0</v>
      </c>
      <c r="L8" s="27">
        <v>0</v>
      </c>
      <c r="M8" s="27">
        <v>0</v>
      </c>
      <c r="N8" s="27">
        <v>0</v>
      </c>
      <c r="O8" s="44">
        <v>0</v>
      </c>
    </row>
    <row r="9" spans="1:15" x14ac:dyDescent="0.3">
      <c r="A9" t="str">
        <f t="shared" si="0"/>
        <v>SmallSUVPremiumBEV400</v>
      </c>
      <c r="B9" s="79" t="str">
        <f>'Vehicle Attributes - Base Year'!B6</f>
        <v>SmallSUV</v>
      </c>
      <c r="C9" s="68" t="str">
        <f>'Vehicle Attributes - Base Year'!C6</f>
        <v>Base</v>
      </c>
      <c r="D9" s="68" t="str">
        <f>'Vehicle Attributes - Base Year'!D6</f>
        <v>BEV300</v>
      </c>
      <c r="E9" s="27">
        <v>0</v>
      </c>
      <c r="F9" s="27">
        <v>0</v>
      </c>
      <c r="G9" s="27">
        <v>0</v>
      </c>
      <c r="H9" s="27">
        <v>0</v>
      </c>
      <c r="I9" s="27">
        <v>0</v>
      </c>
      <c r="J9" s="27">
        <v>0</v>
      </c>
      <c r="K9" s="27">
        <v>0</v>
      </c>
      <c r="L9" s="27">
        <v>0</v>
      </c>
      <c r="M9" s="27">
        <v>0</v>
      </c>
      <c r="N9" s="27">
        <v>0</v>
      </c>
      <c r="O9" s="44">
        <v>0</v>
      </c>
    </row>
    <row r="10" spans="1:15" x14ac:dyDescent="0.3">
      <c r="A10" s="16" t="str">
        <f t="shared" si="0"/>
        <v>MedSUVBaseBEV300</v>
      </c>
      <c r="B10" s="79" t="str">
        <f>'Vehicle Attributes - Base Year'!B7</f>
        <v>SmallSUV</v>
      </c>
      <c r="C10" s="68" t="str">
        <f>'Vehicle Attributes - Base Year'!C7</f>
        <v>Premium</v>
      </c>
      <c r="D10" s="68" t="str">
        <f>'Vehicle Attributes - Base Year'!D7</f>
        <v>BEV400</v>
      </c>
      <c r="E10" s="27">
        <v>0</v>
      </c>
      <c r="F10" s="27">
        <v>0</v>
      </c>
      <c r="G10" s="27">
        <v>0</v>
      </c>
      <c r="H10" s="27">
        <v>0</v>
      </c>
      <c r="I10" s="27">
        <v>0</v>
      </c>
      <c r="J10" s="27">
        <v>0</v>
      </c>
      <c r="K10" s="27">
        <v>0</v>
      </c>
      <c r="L10" s="27">
        <v>0</v>
      </c>
      <c r="M10" s="27">
        <v>0</v>
      </c>
      <c r="N10" s="27">
        <v>0</v>
      </c>
      <c r="O10" s="44">
        <v>0</v>
      </c>
    </row>
    <row r="11" spans="1:15" x14ac:dyDescent="0.3">
      <c r="A11" t="str">
        <f t="shared" si="0"/>
        <v>MedSUVPremiumBEV400</v>
      </c>
      <c r="B11" s="79" t="str">
        <f>'Vehicle Attributes - Base Year'!B8</f>
        <v>MedSUV</v>
      </c>
      <c r="C11" s="68" t="str">
        <f>'Vehicle Attributes - Base Year'!C8</f>
        <v>Base</v>
      </c>
      <c r="D11" s="68" t="str">
        <f>'Vehicle Attributes - Base Year'!D8</f>
        <v>BEV300</v>
      </c>
      <c r="E11" s="27">
        <v>0</v>
      </c>
      <c r="F11" s="27">
        <v>0</v>
      </c>
      <c r="G11" s="27">
        <v>0</v>
      </c>
      <c r="H11" s="27">
        <v>0</v>
      </c>
      <c r="I11" s="27">
        <v>0</v>
      </c>
      <c r="J11" s="27">
        <v>0</v>
      </c>
      <c r="K11" s="27">
        <v>0</v>
      </c>
      <c r="L11" s="27">
        <v>0</v>
      </c>
      <c r="M11" s="27">
        <v>0</v>
      </c>
      <c r="N11" s="27">
        <v>0</v>
      </c>
      <c r="O11" s="44">
        <v>0</v>
      </c>
    </row>
    <row r="12" spans="1:15" x14ac:dyDescent="0.3">
      <c r="A12" s="16" t="str">
        <f t="shared" si="0"/>
        <v>PickupBaseBEV300</v>
      </c>
      <c r="B12" s="79" t="str">
        <f>'Vehicle Attributes - Base Year'!B9</f>
        <v>MedSUV</v>
      </c>
      <c r="C12" s="68" t="str">
        <f>'Vehicle Attributes - Base Year'!C9</f>
        <v>Premium</v>
      </c>
      <c r="D12" s="68" t="str">
        <f>'Vehicle Attributes - Base Year'!D9</f>
        <v>BEV400</v>
      </c>
      <c r="E12" s="27">
        <v>0</v>
      </c>
      <c r="F12" s="27">
        <v>0</v>
      </c>
      <c r="G12" s="27">
        <v>0</v>
      </c>
      <c r="H12" s="27">
        <v>0</v>
      </c>
      <c r="I12" s="27">
        <v>0</v>
      </c>
      <c r="J12" s="27">
        <v>0</v>
      </c>
      <c r="K12" s="27">
        <v>0</v>
      </c>
      <c r="L12" s="27">
        <v>0</v>
      </c>
      <c r="M12" s="27">
        <v>0</v>
      </c>
      <c r="N12" s="27">
        <v>0</v>
      </c>
      <c r="O12" s="44">
        <v>0</v>
      </c>
    </row>
    <row r="13" spans="1:15" x14ac:dyDescent="0.3">
      <c r="A13" t="str">
        <f t="shared" si="0"/>
        <v>PickupHTBEV400</v>
      </c>
      <c r="B13" s="79" t="str">
        <f>'Vehicle Attributes - Base Year'!B10</f>
        <v>Pickup</v>
      </c>
      <c r="C13" s="68" t="str">
        <f>'Vehicle Attributes - Base Year'!C10</f>
        <v>Base</v>
      </c>
      <c r="D13" s="68" t="str">
        <f>'Vehicle Attributes - Base Year'!D10</f>
        <v>BEV300</v>
      </c>
      <c r="E13" s="27">
        <v>0</v>
      </c>
      <c r="F13" s="27">
        <v>0</v>
      </c>
      <c r="G13" s="27">
        <v>0</v>
      </c>
      <c r="H13" s="27">
        <v>0</v>
      </c>
      <c r="I13" s="27">
        <v>0</v>
      </c>
      <c r="J13" s="27">
        <v>0</v>
      </c>
      <c r="K13" s="27">
        <v>0</v>
      </c>
      <c r="L13" s="27">
        <v>0</v>
      </c>
      <c r="M13" s="27">
        <v>0</v>
      </c>
      <c r="N13" s="27">
        <v>0</v>
      </c>
      <c r="O13" s="44">
        <v>0</v>
      </c>
    </row>
    <row r="14" spans="1:15" x14ac:dyDescent="0.3">
      <c r="A14" s="16" t="str">
        <f t="shared" si="0"/>
        <v>SmallCarBasePHEV50</v>
      </c>
      <c r="B14" s="79" t="str">
        <f>'Vehicle Attributes - Base Year'!B11</f>
        <v>Pickup</v>
      </c>
      <c r="C14" s="68" t="str">
        <f>'Vehicle Attributes - Base Year'!C11</f>
        <v>HT</v>
      </c>
      <c r="D14" s="68" t="str">
        <f>'Vehicle Attributes - Base Year'!D11</f>
        <v>BEV400</v>
      </c>
      <c r="E14" s="27">
        <v>0</v>
      </c>
      <c r="F14" s="27">
        <v>0</v>
      </c>
      <c r="G14" s="27">
        <v>0</v>
      </c>
      <c r="H14" s="27">
        <v>0</v>
      </c>
      <c r="I14" s="27">
        <v>0</v>
      </c>
      <c r="J14" s="27">
        <v>0</v>
      </c>
      <c r="K14" s="27">
        <v>0</v>
      </c>
      <c r="L14" s="27">
        <v>0</v>
      </c>
      <c r="M14" s="27">
        <v>0</v>
      </c>
      <c r="N14" s="27">
        <v>0</v>
      </c>
      <c r="O14" s="44">
        <v>0</v>
      </c>
    </row>
    <row r="15" spans="1:15" x14ac:dyDescent="0.3">
      <c r="A15" t="str">
        <f t="shared" si="0"/>
        <v>SmallCarPremiumPHEV50</v>
      </c>
      <c r="B15" s="79" t="str">
        <f>'Vehicle Attributes - Base Year'!B12</f>
        <v>SmallCar</v>
      </c>
      <c r="C15" s="68" t="str">
        <f>'Vehicle Attributes - Base Year'!C12</f>
        <v>Base</v>
      </c>
      <c r="D15" s="68" t="str">
        <f>'Vehicle Attributes - Base Year'!D12</f>
        <v>PHEV50</v>
      </c>
      <c r="E15" s="27">
        <v>0</v>
      </c>
      <c r="F15" s="27">
        <v>0</v>
      </c>
      <c r="G15" s="27">
        <v>0</v>
      </c>
      <c r="H15" s="27">
        <v>0</v>
      </c>
      <c r="I15" s="27">
        <v>0</v>
      </c>
      <c r="J15" s="27">
        <v>0</v>
      </c>
      <c r="K15" s="27">
        <v>0</v>
      </c>
      <c r="L15" s="27">
        <v>0</v>
      </c>
      <c r="M15" s="27">
        <v>0</v>
      </c>
      <c r="N15" s="27">
        <v>0</v>
      </c>
      <c r="O15" s="44">
        <v>0</v>
      </c>
    </row>
    <row r="16" spans="1:15" x14ac:dyDescent="0.3">
      <c r="A16" s="16" t="str">
        <f t="shared" si="0"/>
        <v>MedCarBasePHEV50</v>
      </c>
      <c r="B16" s="79" t="str">
        <f>'Vehicle Attributes - Base Year'!B13</f>
        <v>SmallCar</v>
      </c>
      <c r="C16" s="68" t="str">
        <f>'Vehicle Attributes - Base Year'!C13</f>
        <v>Premium</v>
      </c>
      <c r="D16" s="68" t="str">
        <f>'Vehicle Attributes - Base Year'!D13</f>
        <v>PHEV50</v>
      </c>
      <c r="E16" s="27">
        <v>0</v>
      </c>
      <c r="F16" s="27">
        <v>0</v>
      </c>
      <c r="G16" s="27">
        <v>0</v>
      </c>
      <c r="H16" s="27">
        <v>0</v>
      </c>
      <c r="I16" s="27">
        <v>0</v>
      </c>
      <c r="J16" s="27">
        <v>0</v>
      </c>
      <c r="K16" s="27">
        <v>0</v>
      </c>
      <c r="L16" s="27">
        <v>0</v>
      </c>
      <c r="M16" s="27">
        <v>0</v>
      </c>
      <c r="N16" s="27">
        <v>0</v>
      </c>
      <c r="O16" s="44">
        <v>0</v>
      </c>
    </row>
    <row r="17" spans="1:15" x14ac:dyDescent="0.3">
      <c r="A17" t="str">
        <f t="shared" si="0"/>
        <v>MedCarPremiumPHEV50</v>
      </c>
      <c r="B17" s="79" t="str">
        <f>'Vehicle Attributes - Base Year'!B14</f>
        <v>MedCar</v>
      </c>
      <c r="C17" s="68" t="str">
        <f>'Vehicle Attributes - Base Year'!C14</f>
        <v>Base</v>
      </c>
      <c r="D17" s="68" t="str">
        <f>'Vehicle Attributes - Base Year'!D14</f>
        <v>PHEV50</v>
      </c>
      <c r="E17" s="27">
        <v>0</v>
      </c>
      <c r="F17" s="27">
        <v>0</v>
      </c>
      <c r="G17" s="27">
        <v>0</v>
      </c>
      <c r="H17" s="27">
        <v>0</v>
      </c>
      <c r="I17" s="27">
        <v>0</v>
      </c>
      <c r="J17" s="27">
        <v>0</v>
      </c>
      <c r="K17" s="27">
        <v>0</v>
      </c>
      <c r="L17" s="27">
        <v>0</v>
      </c>
      <c r="M17" s="27">
        <v>0</v>
      </c>
      <c r="N17" s="27">
        <v>0</v>
      </c>
      <c r="O17" s="44">
        <v>0</v>
      </c>
    </row>
    <row r="18" spans="1:15" x14ac:dyDescent="0.3">
      <c r="A18" s="16" t="str">
        <f t="shared" si="0"/>
        <v>SmallSUVBasePHEV50</v>
      </c>
      <c r="B18" s="79" t="str">
        <f>'Vehicle Attributes - Base Year'!B15</f>
        <v>MedCar</v>
      </c>
      <c r="C18" s="68" t="str">
        <f>'Vehicle Attributes - Base Year'!C15</f>
        <v>Premium</v>
      </c>
      <c r="D18" s="68" t="str">
        <f>'Vehicle Attributes - Base Year'!D15</f>
        <v>PHEV50</v>
      </c>
      <c r="E18" s="27">
        <v>0</v>
      </c>
      <c r="F18" s="27">
        <v>0</v>
      </c>
      <c r="G18" s="27">
        <v>0</v>
      </c>
      <c r="H18" s="27">
        <v>0</v>
      </c>
      <c r="I18" s="27">
        <v>0</v>
      </c>
      <c r="J18" s="27">
        <v>0</v>
      </c>
      <c r="K18" s="27">
        <v>0</v>
      </c>
      <c r="L18" s="27">
        <v>0</v>
      </c>
      <c r="M18" s="27">
        <v>0</v>
      </c>
      <c r="N18" s="27">
        <v>0</v>
      </c>
      <c r="O18" s="44">
        <v>0</v>
      </c>
    </row>
    <row r="19" spans="1:15" x14ac:dyDescent="0.3">
      <c r="A19" t="str">
        <f t="shared" si="0"/>
        <v>SmallSUVPremiumPHEV50</v>
      </c>
      <c r="B19" s="79" t="str">
        <f>'Vehicle Attributes - Base Year'!B16</f>
        <v>SmallSUV</v>
      </c>
      <c r="C19" s="68" t="str">
        <f>'Vehicle Attributes - Base Year'!C16</f>
        <v>Base</v>
      </c>
      <c r="D19" s="68" t="str">
        <f>'Vehicle Attributes - Base Year'!D16</f>
        <v>PHEV50</v>
      </c>
      <c r="E19" s="27">
        <v>0</v>
      </c>
      <c r="F19" s="27">
        <v>0</v>
      </c>
      <c r="G19" s="27">
        <v>0</v>
      </c>
      <c r="H19" s="27">
        <v>0</v>
      </c>
      <c r="I19" s="27">
        <v>0</v>
      </c>
      <c r="J19" s="27">
        <v>0</v>
      </c>
      <c r="K19" s="27">
        <v>0</v>
      </c>
      <c r="L19" s="27">
        <v>0</v>
      </c>
      <c r="M19" s="27">
        <v>0</v>
      </c>
      <c r="N19" s="27">
        <v>0</v>
      </c>
      <c r="O19" s="44">
        <v>0</v>
      </c>
    </row>
    <row r="20" spans="1:15" x14ac:dyDescent="0.3">
      <c r="A20" s="16" t="str">
        <f t="shared" si="0"/>
        <v>MedSUVBasePHEV50</v>
      </c>
      <c r="B20" s="79" t="str">
        <f>'Vehicle Attributes - Base Year'!B17</f>
        <v>SmallSUV</v>
      </c>
      <c r="C20" s="68" t="str">
        <f>'Vehicle Attributes - Base Year'!C17</f>
        <v>Premium</v>
      </c>
      <c r="D20" s="68" t="str">
        <f>'Vehicle Attributes - Base Year'!D17</f>
        <v>PHEV50</v>
      </c>
      <c r="E20" s="27">
        <v>0</v>
      </c>
      <c r="F20" s="27">
        <v>0</v>
      </c>
      <c r="G20" s="27">
        <v>0</v>
      </c>
      <c r="H20" s="27">
        <v>0</v>
      </c>
      <c r="I20" s="27">
        <v>0</v>
      </c>
      <c r="J20" s="27">
        <v>0</v>
      </c>
      <c r="K20" s="27">
        <v>0</v>
      </c>
      <c r="L20" s="27">
        <v>0</v>
      </c>
      <c r="M20" s="27">
        <v>0</v>
      </c>
      <c r="N20" s="27">
        <v>0</v>
      </c>
      <c r="O20" s="44">
        <v>0</v>
      </c>
    </row>
    <row r="21" spans="1:15" x14ac:dyDescent="0.3">
      <c r="A21" t="str">
        <f t="shared" si="0"/>
        <v>MedSUVPremiumPHEV50</v>
      </c>
      <c r="B21" s="79" t="str">
        <f>'Vehicle Attributes - Base Year'!B18</f>
        <v>MedSUV</v>
      </c>
      <c r="C21" s="68" t="str">
        <f>'Vehicle Attributes - Base Year'!C18</f>
        <v>Base</v>
      </c>
      <c r="D21" s="68" t="str">
        <f>'Vehicle Attributes - Base Year'!D18</f>
        <v>PHEV50</v>
      </c>
      <c r="E21" s="27">
        <v>0</v>
      </c>
      <c r="F21" s="27">
        <v>0</v>
      </c>
      <c r="G21" s="27">
        <v>0</v>
      </c>
      <c r="H21" s="27">
        <v>0</v>
      </c>
      <c r="I21" s="27">
        <v>0</v>
      </c>
      <c r="J21" s="27">
        <v>0</v>
      </c>
      <c r="K21" s="27">
        <v>0</v>
      </c>
      <c r="L21" s="27">
        <v>0</v>
      </c>
      <c r="M21" s="27">
        <v>0</v>
      </c>
      <c r="N21" s="27">
        <v>0</v>
      </c>
      <c r="O21" s="44">
        <v>0</v>
      </c>
    </row>
    <row r="22" spans="1:15" x14ac:dyDescent="0.3">
      <c r="A22" s="16" t="str">
        <f t="shared" si="0"/>
        <v>PickupBasePHEV50</v>
      </c>
      <c r="B22" s="79" t="str">
        <f>'Vehicle Attributes - Base Year'!B19</f>
        <v>MedSUV</v>
      </c>
      <c r="C22" s="68" t="str">
        <f>'Vehicle Attributes - Base Year'!C19</f>
        <v>Premium</v>
      </c>
      <c r="D22" s="68" t="str">
        <f>'Vehicle Attributes - Base Year'!D19</f>
        <v>PHEV50</v>
      </c>
      <c r="E22" s="27">
        <v>0</v>
      </c>
      <c r="F22" s="27">
        <v>0</v>
      </c>
      <c r="G22" s="27">
        <v>0</v>
      </c>
      <c r="H22" s="27">
        <v>0</v>
      </c>
      <c r="I22" s="27">
        <v>0</v>
      </c>
      <c r="J22" s="27">
        <v>0</v>
      </c>
      <c r="K22" s="27">
        <v>0</v>
      </c>
      <c r="L22" s="27">
        <v>0</v>
      </c>
      <c r="M22" s="27">
        <v>0</v>
      </c>
      <c r="N22" s="27">
        <v>0</v>
      </c>
      <c r="O22" s="44">
        <v>0</v>
      </c>
    </row>
    <row r="23" spans="1:15" x14ac:dyDescent="0.3">
      <c r="A23" t="str">
        <f t="shared" si="0"/>
        <v>PickupHTPHEV50</v>
      </c>
      <c r="B23" s="79" t="str">
        <f>'Vehicle Attributes - Base Year'!B20</f>
        <v>Pickup</v>
      </c>
      <c r="C23" s="68" t="str">
        <f>'Vehicle Attributes - Base Year'!C20</f>
        <v>Base</v>
      </c>
      <c r="D23" s="68" t="str">
        <f>'Vehicle Attributes - Base Year'!D20</f>
        <v>PHEV50</v>
      </c>
      <c r="E23" s="27">
        <v>0</v>
      </c>
      <c r="F23" s="27">
        <v>0</v>
      </c>
      <c r="G23" s="27">
        <v>0</v>
      </c>
      <c r="H23" s="27">
        <v>0</v>
      </c>
      <c r="I23" s="27">
        <v>0</v>
      </c>
      <c r="J23" s="27">
        <v>0</v>
      </c>
      <c r="K23" s="27">
        <v>0</v>
      </c>
      <c r="L23" s="27">
        <v>0</v>
      </c>
      <c r="M23" s="27">
        <v>0</v>
      </c>
      <c r="N23" s="27">
        <v>0</v>
      </c>
      <c r="O23" s="44">
        <v>0</v>
      </c>
    </row>
    <row r="24" spans="1:15" x14ac:dyDescent="0.3">
      <c r="A24" s="16" t="str">
        <f t="shared" si="0"/>
        <v>SmallCarBaseFCEV320</v>
      </c>
      <c r="B24" s="79" t="str">
        <f>'Vehicle Attributes - Base Year'!B21</f>
        <v>Pickup</v>
      </c>
      <c r="C24" s="68" t="str">
        <f>'Vehicle Attributes - Base Year'!C21</f>
        <v>HT</v>
      </c>
      <c r="D24" s="68" t="str">
        <f>'Vehicle Attributes - Base Year'!D21</f>
        <v>PHEV50</v>
      </c>
      <c r="E24" s="27">
        <v>0</v>
      </c>
      <c r="F24" s="27">
        <v>0</v>
      </c>
      <c r="G24" s="27">
        <v>0</v>
      </c>
      <c r="H24" s="27">
        <v>0</v>
      </c>
      <c r="I24" s="27">
        <v>0</v>
      </c>
      <c r="J24" s="27">
        <v>0</v>
      </c>
      <c r="K24" s="27">
        <v>0</v>
      </c>
      <c r="L24" s="27">
        <v>0</v>
      </c>
      <c r="M24" s="27">
        <v>0</v>
      </c>
      <c r="N24" s="27">
        <v>0</v>
      </c>
      <c r="O24" s="44">
        <v>0</v>
      </c>
    </row>
    <row r="25" spans="1:15" x14ac:dyDescent="0.3">
      <c r="A25" t="str">
        <f t="shared" si="0"/>
        <v>SmallCarPremiumFCEV320</v>
      </c>
      <c r="B25" s="79" t="str">
        <f>'Vehicle Attributes - Base Year'!B22</f>
        <v>SmallCar</v>
      </c>
      <c r="C25" s="68" t="str">
        <f>'Vehicle Attributes - Base Year'!C22</f>
        <v>Base</v>
      </c>
      <c r="D25" s="68" t="str">
        <f>'Vehicle Attributes - Base Year'!D22</f>
        <v>FCEV320</v>
      </c>
      <c r="E25" s="27">
        <f>FCEV!E32</f>
        <v>4.4379999999999997</v>
      </c>
      <c r="F25" s="27">
        <f>FCEV!F32</f>
        <v>4.3779599999999999</v>
      </c>
      <c r="G25" s="27">
        <f>FCEV!G32</f>
        <v>4.31792</v>
      </c>
      <c r="H25" s="27">
        <f>FCEV!H32</f>
        <v>4.2578800000000001</v>
      </c>
      <c r="I25" s="27">
        <f>FCEV!I32</f>
        <v>4.1978400000000002</v>
      </c>
      <c r="J25" s="27">
        <f>FCEV!J32</f>
        <v>4.1378000000000004</v>
      </c>
      <c r="K25" s="27">
        <f>FCEV!K32</f>
        <v>4.0334000000000003</v>
      </c>
      <c r="L25" s="27">
        <f>FCEV!L32</f>
        <v>3.9290000000000003</v>
      </c>
      <c r="M25" s="27">
        <f>FCEV!M32</f>
        <v>3.8246000000000002</v>
      </c>
      <c r="N25" s="27">
        <f>FCEV!N32</f>
        <v>3.7202000000000002</v>
      </c>
      <c r="O25" s="44">
        <f>FCEV!O32</f>
        <v>3.6158000000000001</v>
      </c>
    </row>
    <row r="26" spans="1:15" x14ac:dyDescent="0.3">
      <c r="A26" s="16" t="str">
        <f t="shared" si="0"/>
        <v>MedCarBaseFCEV320</v>
      </c>
      <c r="B26" s="79" t="str">
        <f>'Vehicle Attributes - Base Year'!B23</f>
        <v>SmallCar</v>
      </c>
      <c r="C26" s="68" t="str">
        <f>'Vehicle Attributes - Base Year'!C23</f>
        <v>Premium</v>
      </c>
      <c r="D26" s="68" t="str">
        <f>'Vehicle Attributes - Base Year'!D23</f>
        <v>FCEV320</v>
      </c>
      <c r="E26" s="27">
        <f>FCEV!E33</f>
        <v>4.4379999999999997</v>
      </c>
      <c r="F26" s="27">
        <f>FCEV!F33</f>
        <v>4.3779599999999999</v>
      </c>
      <c r="G26" s="27">
        <f>FCEV!G33</f>
        <v>4.31792</v>
      </c>
      <c r="H26" s="27">
        <f>FCEV!H33</f>
        <v>4.2578800000000001</v>
      </c>
      <c r="I26" s="27">
        <f>FCEV!I33</f>
        <v>4.1978400000000002</v>
      </c>
      <c r="J26" s="27">
        <f>FCEV!J33</f>
        <v>4.1378000000000004</v>
      </c>
      <c r="K26" s="27">
        <f>FCEV!K33</f>
        <v>4.0334000000000003</v>
      </c>
      <c r="L26" s="27">
        <f>FCEV!L33</f>
        <v>3.9290000000000003</v>
      </c>
      <c r="M26" s="27">
        <f>FCEV!M33</f>
        <v>3.8246000000000002</v>
      </c>
      <c r="N26" s="27">
        <f>FCEV!N33</f>
        <v>3.7202000000000002</v>
      </c>
      <c r="O26" s="44">
        <f>FCEV!O33</f>
        <v>3.6158000000000001</v>
      </c>
    </row>
    <row r="27" spans="1:15" x14ac:dyDescent="0.3">
      <c r="A27" t="str">
        <f t="shared" si="0"/>
        <v>MedCarPremiumFCEV320</v>
      </c>
      <c r="B27" s="79" t="str">
        <f>'Vehicle Attributes - Base Year'!B24</f>
        <v>MedCar</v>
      </c>
      <c r="C27" s="68" t="str">
        <f>'Vehicle Attributes - Base Year'!C24</f>
        <v>Base</v>
      </c>
      <c r="D27" s="68" t="str">
        <f>'Vehicle Attributes - Base Year'!D24</f>
        <v>FCEV320</v>
      </c>
      <c r="E27" s="27">
        <f>FCEV!E34</f>
        <v>5.1093999999999999</v>
      </c>
      <c r="F27" s="27">
        <f>FCEV!F34</f>
        <v>5.0152999999999999</v>
      </c>
      <c r="G27" s="27">
        <f>FCEV!G34</f>
        <v>4.9211999999999998</v>
      </c>
      <c r="H27" s="27">
        <f>FCEV!H34</f>
        <v>4.8270999999999997</v>
      </c>
      <c r="I27" s="27">
        <f>FCEV!I34</f>
        <v>4.7329999999999997</v>
      </c>
      <c r="J27" s="27">
        <f>FCEV!J34</f>
        <v>4.6388999999999996</v>
      </c>
      <c r="K27" s="27">
        <f>FCEV!K34</f>
        <v>4.5028999999999995</v>
      </c>
      <c r="L27" s="27">
        <f>FCEV!L34</f>
        <v>4.3668999999999993</v>
      </c>
      <c r="M27" s="27">
        <f>FCEV!M34</f>
        <v>4.2309000000000001</v>
      </c>
      <c r="N27" s="27">
        <f>FCEV!N34</f>
        <v>4.0949</v>
      </c>
      <c r="O27" s="44">
        <f>FCEV!O34</f>
        <v>3.9588999999999999</v>
      </c>
    </row>
    <row r="28" spans="1:15" x14ac:dyDescent="0.3">
      <c r="A28" s="16" t="str">
        <f t="shared" si="0"/>
        <v>SmallSUVBaseFCEV320</v>
      </c>
      <c r="B28" s="79" t="str">
        <f>'Vehicle Attributes - Base Year'!B25</f>
        <v>MedCar</v>
      </c>
      <c r="C28" s="68" t="str">
        <f>'Vehicle Attributes - Base Year'!C25</f>
        <v>Premium</v>
      </c>
      <c r="D28" s="68" t="str">
        <f>'Vehicle Attributes - Base Year'!D25</f>
        <v>FCEV320</v>
      </c>
      <c r="E28" s="27">
        <f>FCEV!E35</f>
        <v>5.1093999999999999</v>
      </c>
      <c r="F28" s="27">
        <f>FCEV!F35</f>
        <v>5.0152999999999999</v>
      </c>
      <c r="G28" s="27">
        <f>FCEV!G35</f>
        <v>4.9211999999999998</v>
      </c>
      <c r="H28" s="27">
        <f>FCEV!H35</f>
        <v>4.8270999999999997</v>
      </c>
      <c r="I28" s="27">
        <f>FCEV!I35</f>
        <v>4.7329999999999997</v>
      </c>
      <c r="J28" s="27">
        <f>FCEV!J35</f>
        <v>4.6388999999999996</v>
      </c>
      <c r="K28" s="27">
        <f>FCEV!K35</f>
        <v>4.5028999999999995</v>
      </c>
      <c r="L28" s="27">
        <f>FCEV!L35</f>
        <v>4.3668999999999993</v>
      </c>
      <c r="M28" s="27">
        <f>FCEV!M35</f>
        <v>4.2309000000000001</v>
      </c>
      <c r="N28" s="27">
        <f>FCEV!N35</f>
        <v>4.0949</v>
      </c>
      <c r="O28" s="44">
        <f>FCEV!O35</f>
        <v>3.9588999999999999</v>
      </c>
    </row>
    <row r="29" spans="1:15" x14ac:dyDescent="0.3">
      <c r="A29" t="str">
        <f t="shared" si="0"/>
        <v>SmallSUVPremiumFCEV320</v>
      </c>
      <c r="B29" s="79" t="str">
        <f>'Vehicle Attributes - Base Year'!B26</f>
        <v>SmallSUV</v>
      </c>
      <c r="C29" s="68" t="str">
        <f>'Vehicle Attributes - Base Year'!C26</f>
        <v>Base</v>
      </c>
      <c r="D29" s="68" t="str">
        <f>'Vehicle Attributes - Base Year'!D26</f>
        <v>FCEV320</v>
      </c>
      <c r="E29" s="27">
        <f>FCEV!E36</f>
        <v>5.6304999999999996</v>
      </c>
      <c r="F29" s="27">
        <f>FCEV!F36</f>
        <v>5.5510799999999998</v>
      </c>
      <c r="G29" s="27">
        <f>FCEV!G36</f>
        <v>5.47166</v>
      </c>
      <c r="H29" s="27">
        <f>FCEV!H36</f>
        <v>5.3922399999999993</v>
      </c>
      <c r="I29" s="27">
        <f>FCEV!I36</f>
        <v>5.3128199999999994</v>
      </c>
      <c r="J29" s="27">
        <f>FCEV!J36</f>
        <v>5.2333999999999996</v>
      </c>
      <c r="K29" s="27">
        <f>FCEV!K36</f>
        <v>5.0880399999999995</v>
      </c>
      <c r="L29" s="27">
        <f>FCEV!L36</f>
        <v>4.9426799999999993</v>
      </c>
      <c r="M29" s="27">
        <f>FCEV!M36</f>
        <v>4.79732</v>
      </c>
      <c r="N29" s="27">
        <f>FCEV!N36</f>
        <v>4.6519599999999999</v>
      </c>
      <c r="O29" s="44">
        <f>FCEV!O36</f>
        <v>4.5065999999999997</v>
      </c>
    </row>
    <row r="30" spans="1:15" x14ac:dyDescent="0.3">
      <c r="A30" s="16" t="str">
        <f t="shared" si="0"/>
        <v>MedSUVBaseFCEV320</v>
      </c>
      <c r="B30" s="79" t="str">
        <f>'Vehicle Attributes - Base Year'!B27</f>
        <v>SmallSUV</v>
      </c>
      <c r="C30" s="68" t="str">
        <f>'Vehicle Attributes - Base Year'!C27</f>
        <v>Premium</v>
      </c>
      <c r="D30" s="68" t="str">
        <f>'Vehicle Attributes - Base Year'!D27</f>
        <v>FCEV320</v>
      </c>
      <c r="E30" s="27">
        <f>FCEV!E37</f>
        <v>5.6304999999999996</v>
      </c>
      <c r="F30" s="27">
        <f>FCEV!F37</f>
        <v>5.5510799999999998</v>
      </c>
      <c r="G30" s="27">
        <f>FCEV!G37</f>
        <v>5.47166</v>
      </c>
      <c r="H30" s="27">
        <f>FCEV!H37</f>
        <v>5.3922399999999993</v>
      </c>
      <c r="I30" s="27">
        <f>FCEV!I37</f>
        <v>5.3128199999999994</v>
      </c>
      <c r="J30" s="27">
        <f>FCEV!J37</f>
        <v>5.2333999999999996</v>
      </c>
      <c r="K30" s="27">
        <f>FCEV!K37</f>
        <v>5.0880399999999995</v>
      </c>
      <c r="L30" s="27">
        <f>FCEV!L37</f>
        <v>4.9426799999999993</v>
      </c>
      <c r="M30" s="27">
        <f>FCEV!M37</f>
        <v>4.79732</v>
      </c>
      <c r="N30" s="27">
        <f>FCEV!N37</f>
        <v>4.6519599999999999</v>
      </c>
      <c r="O30" s="44">
        <f>FCEV!O37</f>
        <v>4.5065999999999997</v>
      </c>
    </row>
    <row r="31" spans="1:15" x14ac:dyDescent="0.3">
      <c r="A31" t="str">
        <f t="shared" si="0"/>
        <v>MedSUVPremiumFCEV320</v>
      </c>
      <c r="B31" s="79" t="str">
        <f>'Vehicle Attributes - Base Year'!B28</f>
        <v>MedSUV</v>
      </c>
      <c r="C31" s="68" t="str">
        <f>'Vehicle Attributes - Base Year'!C28</f>
        <v>Base</v>
      </c>
      <c r="D31" s="68" t="str">
        <f>'Vehicle Attributes - Base Year'!D28</f>
        <v>FCEV320</v>
      </c>
      <c r="E31" s="27">
        <f>FCEV!E38</f>
        <v>6.3269000000000002</v>
      </c>
      <c r="F31" s="27">
        <f>FCEV!F38</f>
        <v>6.2323000000000004</v>
      </c>
      <c r="G31" s="27">
        <f>FCEV!G38</f>
        <v>6.1377000000000006</v>
      </c>
      <c r="H31" s="27">
        <f>FCEV!H38</f>
        <v>6.0430999999999999</v>
      </c>
      <c r="I31" s="27">
        <f>FCEV!I38</f>
        <v>5.9485000000000001</v>
      </c>
      <c r="J31" s="27">
        <f>FCEV!J38</f>
        <v>5.8539000000000003</v>
      </c>
      <c r="K31" s="27">
        <f>FCEV!K38</f>
        <v>5.68642</v>
      </c>
      <c r="L31" s="27">
        <f>FCEV!L38</f>
        <v>5.5189399999999997</v>
      </c>
      <c r="M31" s="27">
        <f>FCEV!M38</f>
        <v>5.3514599999999994</v>
      </c>
      <c r="N31" s="27">
        <f>FCEV!N38</f>
        <v>5.18398</v>
      </c>
      <c r="O31" s="44">
        <f>FCEV!O38</f>
        <v>5.0164999999999997</v>
      </c>
    </row>
    <row r="32" spans="1:15" x14ac:dyDescent="0.3">
      <c r="A32" s="16" t="str">
        <f t="shared" si="0"/>
        <v>PickupBaseFCEV320</v>
      </c>
      <c r="B32" s="79" t="str">
        <f>'Vehicle Attributes - Base Year'!B29</f>
        <v>MedSUV</v>
      </c>
      <c r="C32" s="68" t="str">
        <f>'Vehicle Attributes - Base Year'!C29</f>
        <v>Premium</v>
      </c>
      <c r="D32" s="68" t="str">
        <f>'Vehicle Attributes - Base Year'!D29</f>
        <v>FCEV320</v>
      </c>
      <c r="E32" s="27">
        <f>FCEV!E39</f>
        <v>6.3269000000000002</v>
      </c>
      <c r="F32" s="27">
        <f>FCEV!F39</f>
        <v>6.2323000000000004</v>
      </c>
      <c r="G32" s="27">
        <f>FCEV!G39</f>
        <v>6.1377000000000006</v>
      </c>
      <c r="H32" s="27">
        <f>FCEV!H39</f>
        <v>6.0430999999999999</v>
      </c>
      <c r="I32" s="27">
        <f>FCEV!I39</f>
        <v>5.9485000000000001</v>
      </c>
      <c r="J32" s="27">
        <f>FCEV!J39</f>
        <v>5.8539000000000003</v>
      </c>
      <c r="K32" s="27">
        <f>FCEV!K39</f>
        <v>5.68642</v>
      </c>
      <c r="L32" s="27">
        <f>FCEV!L39</f>
        <v>5.5189399999999997</v>
      </c>
      <c r="M32" s="27">
        <f>FCEV!M39</f>
        <v>5.3514599999999994</v>
      </c>
      <c r="N32" s="27">
        <f>FCEV!N39</f>
        <v>5.18398</v>
      </c>
      <c r="O32" s="44">
        <f>FCEV!O39</f>
        <v>5.0164999999999997</v>
      </c>
    </row>
    <row r="33" spans="1:15" x14ac:dyDescent="0.3">
      <c r="A33" t="str">
        <f t="shared" si="0"/>
        <v>PickupHTFCEV320</v>
      </c>
      <c r="B33" s="79" t="str">
        <f>'Vehicle Attributes - Base Year'!B30</f>
        <v>Pickup</v>
      </c>
      <c r="C33" s="68" t="str">
        <f>'Vehicle Attributes - Base Year'!C30</f>
        <v>Base</v>
      </c>
      <c r="D33" s="68" t="str">
        <f>'Vehicle Attributes - Base Year'!D30</f>
        <v>FCEV320</v>
      </c>
      <c r="E33" s="27">
        <f>FCEV!E40</f>
        <v>7.4734999999999996</v>
      </c>
      <c r="F33" s="27">
        <f>FCEV!F40</f>
        <v>7.3476599999999994</v>
      </c>
      <c r="G33" s="27">
        <f>FCEV!G40</f>
        <v>7.2218199999999992</v>
      </c>
      <c r="H33" s="27">
        <f>FCEV!H40</f>
        <v>7.09598</v>
      </c>
      <c r="I33" s="27">
        <f>FCEV!I40</f>
        <v>6.9701399999999998</v>
      </c>
      <c r="J33" s="27">
        <f>FCEV!J40</f>
        <v>6.8442999999999996</v>
      </c>
      <c r="K33" s="27">
        <f>FCEV!K40</f>
        <v>6.6513200000000001</v>
      </c>
      <c r="L33" s="27">
        <f>FCEV!L40</f>
        <v>6.4583399999999997</v>
      </c>
      <c r="M33" s="27">
        <f>FCEV!M40</f>
        <v>6.2653600000000003</v>
      </c>
      <c r="N33" s="27">
        <f>FCEV!N40</f>
        <v>6.0723799999999999</v>
      </c>
      <c r="O33" s="44">
        <f>FCEV!O40</f>
        <v>5.8794000000000004</v>
      </c>
    </row>
    <row r="34" spans="1:15" x14ac:dyDescent="0.3">
      <c r="B34" s="79" t="str">
        <f>'Vehicle Attributes - Base Year'!B31</f>
        <v>Pickup</v>
      </c>
      <c r="C34" s="68" t="str">
        <f>'Vehicle Attributes - Base Year'!C31</f>
        <v>HT</v>
      </c>
      <c r="D34" s="68" t="str">
        <f>'Vehicle Attributes - Base Year'!D31</f>
        <v>FCEV320</v>
      </c>
      <c r="E34" s="27">
        <f>FCEV!E41</f>
        <v>7.4734999999999996</v>
      </c>
      <c r="F34" s="27">
        <f>FCEV!F41</f>
        <v>7.3476599999999994</v>
      </c>
      <c r="G34" s="27">
        <f>FCEV!G41</f>
        <v>7.2218199999999992</v>
      </c>
      <c r="H34" s="27">
        <f>FCEV!H41</f>
        <v>7.09598</v>
      </c>
      <c r="I34" s="27">
        <f>FCEV!I41</f>
        <v>6.9701399999999998</v>
      </c>
      <c r="J34" s="27">
        <f>FCEV!J41</f>
        <v>6.8442999999999996</v>
      </c>
      <c r="K34" s="27">
        <f>FCEV!K41</f>
        <v>6.6513200000000001</v>
      </c>
      <c r="L34" s="27">
        <f>FCEV!L41</f>
        <v>6.4583399999999997</v>
      </c>
      <c r="M34" s="27">
        <f>FCEV!M41</f>
        <v>6.2653600000000003</v>
      </c>
      <c r="N34" s="27">
        <f>FCEV!N41</f>
        <v>6.0723799999999999</v>
      </c>
      <c r="O34" s="44">
        <f>FCEV!O41</f>
        <v>5.8794000000000004</v>
      </c>
    </row>
  </sheetData>
  <mergeCells count="2">
    <mergeCell ref="E2:O2"/>
    <mergeCell ref="B1:O1"/>
  </mergeCells>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36A393"/>
  </sheetPr>
  <dimension ref="A1:O34"/>
  <sheetViews>
    <sheetView topLeftCell="B1" zoomScaleNormal="100" workbookViewId="0">
      <selection activeCell="B1" sqref="B1:O1"/>
    </sheetView>
  </sheetViews>
  <sheetFormatPr defaultRowHeight="14.4" x14ac:dyDescent="0.3"/>
  <cols>
    <col min="1" max="1" width="0" hidden="1" customWidth="1"/>
    <col min="2" max="2" width="12.5546875" bestFit="1" customWidth="1"/>
    <col min="3" max="3" width="12.44140625" bestFit="1" customWidth="1"/>
    <col min="4" max="10" width="11" customWidth="1"/>
    <col min="11" max="15" width="12" customWidth="1"/>
    <col min="18" max="18" width="26" bestFit="1" customWidth="1"/>
  </cols>
  <sheetData>
    <row r="1" spans="1:15" x14ac:dyDescent="0.3">
      <c r="B1" s="170" t="s">
        <v>226</v>
      </c>
      <c r="C1" s="175"/>
      <c r="D1" s="175"/>
      <c r="E1" s="175"/>
      <c r="F1" s="175"/>
      <c r="G1" s="175"/>
      <c r="H1" s="175"/>
      <c r="I1" s="175"/>
      <c r="J1" s="175"/>
      <c r="K1" s="175"/>
      <c r="L1" s="175"/>
      <c r="M1" s="175"/>
      <c r="N1" s="175"/>
      <c r="O1" s="171"/>
    </row>
    <row r="2" spans="1:15" x14ac:dyDescent="0.3">
      <c r="B2" s="55"/>
      <c r="C2" s="55"/>
      <c r="D2" s="56"/>
      <c r="E2" s="210" t="s">
        <v>155</v>
      </c>
      <c r="F2" s="210"/>
      <c r="G2" s="210"/>
      <c r="H2" s="210"/>
      <c r="I2" s="210"/>
      <c r="J2" s="210"/>
      <c r="K2" s="210"/>
      <c r="L2" s="210"/>
      <c r="M2" s="210"/>
      <c r="N2" s="210"/>
      <c r="O2" s="211"/>
    </row>
    <row r="3" spans="1:15" x14ac:dyDescent="0.3">
      <c r="B3" s="57" t="s">
        <v>100</v>
      </c>
      <c r="C3" s="57" t="s">
        <v>101</v>
      </c>
      <c r="D3" s="58" t="s">
        <v>67</v>
      </c>
      <c r="E3" s="59">
        <v>2025</v>
      </c>
      <c r="F3" s="60">
        <v>2026</v>
      </c>
      <c r="G3" s="60">
        <v>2027</v>
      </c>
      <c r="H3" s="60">
        <v>2028</v>
      </c>
      <c r="I3" s="60">
        <v>2029</v>
      </c>
      <c r="J3" s="60">
        <v>2030</v>
      </c>
      <c r="K3" s="60">
        <v>2031</v>
      </c>
      <c r="L3" s="60">
        <v>2032</v>
      </c>
      <c r="M3" s="60">
        <v>2033</v>
      </c>
      <c r="N3" s="60">
        <v>2034</v>
      </c>
      <c r="O3" s="61">
        <v>2035</v>
      </c>
    </row>
    <row r="4" spans="1:15" x14ac:dyDescent="0.3">
      <c r="A4" s="16" t="str">
        <f t="shared" ref="A4:A33" si="0">CONCATENATE(B5,C5,D5,)</f>
        <v>SmallCarBaseBEV300</v>
      </c>
      <c r="B4" s="79" t="s">
        <v>64</v>
      </c>
      <c r="C4" s="68" t="s">
        <v>65</v>
      </c>
      <c r="D4" s="68" t="s">
        <v>156</v>
      </c>
      <c r="E4" s="23" t="s">
        <v>157</v>
      </c>
      <c r="F4" s="23" t="s">
        <v>158</v>
      </c>
      <c r="G4" s="23" t="s">
        <v>159</v>
      </c>
      <c r="H4" s="23" t="s">
        <v>160</v>
      </c>
      <c r="I4" s="23" t="s">
        <v>161</v>
      </c>
      <c r="J4" s="23" t="s">
        <v>162</v>
      </c>
      <c r="K4" s="23" t="s">
        <v>163</v>
      </c>
      <c r="L4" s="23" t="s">
        <v>164</v>
      </c>
      <c r="M4" s="23" t="s">
        <v>165</v>
      </c>
      <c r="N4" s="23" t="s">
        <v>166</v>
      </c>
      <c r="O4" s="43" t="s">
        <v>167</v>
      </c>
    </row>
    <row r="5" spans="1:15" x14ac:dyDescent="0.3">
      <c r="A5" t="str">
        <f t="shared" si="0"/>
        <v>SmallCarPremiumBEV400</v>
      </c>
      <c r="B5" s="79" t="str">
        <f>'Vehicle Attributes - Base Year'!B2</f>
        <v>SmallCar</v>
      </c>
      <c r="C5" s="68" t="str">
        <f>'Vehicle Attributes - Base Year'!C2</f>
        <v>Base</v>
      </c>
      <c r="D5" s="68" t="str">
        <f>'Vehicle Attributes - Base Year'!D2</f>
        <v>BEV300</v>
      </c>
      <c r="E5" s="23">
        <v>0</v>
      </c>
      <c r="F5" s="23">
        <v>0</v>
      </c>
      <c r="G5" s="23">
        <v>0</v>
      </c>
      <c r="H5" s="23">
        <v>0</v>
      </c>
      <c r="I5" s="23">
        <v>0</v>
      </c>
      <c r="J5" s="23">
        <v>0</v>
      </c>
      <c r="K5" s="23">
        <v>0</v>
      </c>
      <c r="L5" s="23">
        <v>0</v>
      </c>
      <c r="M5" s="23">
        <v>0</v>
      </c>
      <c r="N5" s="23">
        <v>0</v>
      </c>
      <c r="O5" s="43">
        <v>0</v>
      </c>
    </row>
    <row r="6" spans="1:15" x14ac:dyDescent="0.3">
      <c r="A6" s="16" t="str">
        <f t="shared" si="0"/>
        <v>MedCarBaseBEV300</v>
      </c>
      <c r="B6" s="79" t="str">
        <f>'Vehicle Attributes - Base Year'!B3</f>
        <v>SmallCar</v>
      </c>
      <c r="C6" s="68" t="str">
        <f>'Vehicle Attributes - Base Year'!C3</f>
        <v>Premium</v>
      </c>
      <c r="D6" s="68" t="str">
        <f>'Vehicle Attributes - Base Year'!D3</f>
        <v>BEV400</v>
      </c>
      <c r="E6" s="23">
        <v>0</v>
      </c>
      <c r="F6" s="23">
        <v>0</v>
      </c>
      <c r="G6" s="23">
        <v>0</v>
      </c>
      <c r="H6" s="23">
        <v>0</v>
      </c>
      <c r="I6" s="23">
        <v>0</v>
      </c>
      <c r="J6" s="23">
        <v>0</v>
      </c>
      <c r="K6" s="23">
        <v>0</v>
      </c>
      <c r="L6" s="23">
        <v>0</v>
      </c>
      <c r="M6" s="23">
        <v>0</v>
      </c>
      <c r="N6" s="23">
        <v>0</v>
      </c>
      <c r="O6" s="43">
        <v>0</v>
      </c>
    </row>
    <row r="7" spans="1:15" x14ac:dyDescent="0.3">
      <c r="A7" t="str">
        <f t="shared" si="0"/>
        <v>MedCarPremiumBEV400</v>
      </c>
      <c r="B7" s="79" t="str">
        <f>'Vehicle Attributes - Base Year'!B4</f>
        <v>MedCar</v>
      </c>
      <c r="C7" s="68" t="str">
        <f>'Vehicle Attributes - Base Year'!C4</f>
        <v>Base</v>
      </c>
      <c r="D7" s="68" t="str">
        <f>'Vehicle Attributes - Base Year'!D4</f>
        <v>BEV300</v>
      </c>
      <c r="E7" s="23">
        <v>0</v>
      </c>
      <c r="F7" s="23">
        <v>0</v>
      </c>
      <c r="G7" s="23">
        <v>0</v>
      </c>
      <c r="H7" s="23">
        <v>0</v>
      </c>
      <c r="I7" s="23">
        <v>0</v>
      </c>
      <c r="J7" s="23">
        <v>0</v>
      </c>
      <c r="K7" s="23">
        <v>0</v>
      </c>
      <c r="L7" s="23">
        <v>0</v>
      </c>
      <c r="M7" s="23">
        <v>0</v>
      </c>
      <c r="N7" s="23">
        <v>0</v>
      </c>
      <c r="O7" s="43">
        <v>0</v>
      </c>
    </row>
    <row r="8" spans="1:15" x14ac:dyDescent="0.3">
      <c r="A8" s="16" t="str">
        <f t="shared" si="0"/>
        <v>SmallSUVBaseBEV300</v>
      </c>
      <c r="B8" s="79" t="str">
        <f>'Vehicle Attributes - Base Year'!B5</f>
        <v>MedCar</v>
      </c>
      <c r="C8" s="68" t="str">
        <f>'Vehicle Attributes - Base Year'!C5</f>
        <v>Premium</v>
      </c>
      <c r="D8" s="68" t="str">
        <f>'Vehicle Attributes - Base Year'!D5</f>
        <v>BEV400</v>
      </c>
      <c r="E8" s="23">
        <v>0</v>
      </c>
      <c r="F8" s="23">
        <v>0</v>
      </c>
      <c r="G8" s="23">
        <v>0</v>
      </c>
      <c r="H8" s="23">
        <v>0</v>
      </c>
      <c r="I8" s="23">
        <v>0</v>
      </c>
      <c r="J8" s="23">
        <v>0</v>
      </c>
      <c r="K8" s="23">
        <v>0</v>
      </c>
      <c r="L8" s="23">
        <v>0</v>
      </c>
      <c r="M8" s="23">
        <v>0</v>
      </c>
      <c r="N8" s="23">
        <v>0</v>
      </c>
      <c r="O8" s="43">
        <v>0</v>
      </c>
    </row>
    <row r="9" spans="1:15" x14ac:dyDescent="0.3">
      <c r="A9" t="str">
        <f t="shared" si="0"/>
        <v>SmallSUVPremiumBEV400</v>
      </c>
      <c r="B9" s="79" t="str">
        <f>'Vehicle Attributes - Base Year'!B6</f>
        <v>SmallSUV</v>
      </c>
      <c r="C9" s="68" t="str">
        <f>'Vehicle Attributes - Base Year'!C6</f>
        <v>Base</v>
      </c>
      <c r="D9" s="68" t="str">
        <f>'Vehicle Attributes - Base Year'!D6</f>
        <v>BEV300</v>
      </c>
      <c r="E9" s="23">
        <v>0</v>
      </c>
      <c r="F9" s="23">
        <v>0</v>
      </c>
      <c r="G9" s="23">
        <v>0</v>
      </c>
      <c r="H9" s="23">
        <v>0</v>
      </c>
      <c r="I9" s="23">
        <v>0</v>
      </c>
      <c r="J9" s="23">
        <v>0</v>
      </c>
      <c r="K9" s="23">
        <v>0</v>
      </c>
      <c r="L9" s="23">
        <v>0</v>
      </c>
      <c r="M9" s="23">
        <v>0</v>
      </c>
      <c r="N9" s="23">
        <v>0</v>
      </c>
      <c r="O9" s="43">
        <v>0</v>
      </c>
    </row>
    <row r="10" spans="1:15" x14ac:dyDescent="0.3">
      <c r="A10" s="16" t="str">
        <f t="shared" si="0"/>
        <v>MedSUVBaseBEV300</v>
      </c>
      <c r="B10" s="79" t="str">
        <f>'Vehicle Attributes - Base Year'!B7</f>
        <v>SmallSUV</v>
      </c>
      <c r="C10" s="68" t="str">
        <f>'Vehicle Attributes - Base Year'!C7</f>
        <v>Premium</v>
      </c>
      <c r="D10" s="68" t="str">
        <f>'Vehicle Attributes - Base Year'!D7</f>
        <v>BEV400</v>
      </c>
      <c r="E10" s="23">
        <v>0</v>
      </c>
      <c r="F10" s="23">
        <v>0</v>
      </c>
      <c r="G10" s="23">
        <v>0</v>
      </c>
      <c r="H10" s="23">
        <v>0</v>
      </c>
      <c r="I10" s="23">
        <v>0</v>
      </c>
      <c r="J10" s="23">
        <v>0</v>
      </c>
      <c r="K10" s="23">
        <v>0</v>
      </c>
      <c r="L10" s="23">
        <v>0</v>
      </c>
      <c r="M10" s="23">
        <v>0</v>
      </c>
      <c r="N10" s="23">
        <v>0</v>
      </c>
      <c r="O10" s="43">
        <v>0</v>
      </c>
    </row>
    <row r="11" spans="1:15" x14ac:dyDescent="0.3">
      <c r="A11" t="str">
        <f t="shared" si="0"/>
        <v>MedSUVPremiumBEV400</v>
      </c>
      <c r="B11" s="79" t="str">
        <f>'Vehicle Attributes - Base Year'!B8</f>
        <v>MedSUV</v>
      </c>
      <c r="C11" s="68" t="str">
        <f>'Vehicle Attributes - Base Year'!C8</f>
        <v>Base</v>
      </c>
      <c r="D11" s="68" t="str">
        <f>'Vehicle Attributes - Base Year'!D8</f>
        <v>BEV300</v>
      </c>
      <c r="E11" s="23">
        <v>0</v>
      </c>
      <c r="F11" s="23">
        <v>0</v>
      </c>
      <c r="G11" s="23">
        <v>0</v>
      </c>
      <c r="H11" s="23">
        <v>0</v>
      </c>
      <c r="I11" s="23">
        <v>0</v>
      </c>
      <c r="J11" s="23">
        <v>0</v>
      </c>
      <c r="K11" s="23">
        <v>0</v>
      </c>
      <c r="L11" s="23">
        <v>0</v>
      </c>
      <c r="M11" s="23">
        <v>0</v>
      </c>
      <c r="N11" s="23">
        <v>0</v>
      </c>
      <c r="O11" s="43">
        <v>0</v>
      </c>
    </row>
    <row r="12" spans="1:15" x14ac:dyDescent="0.3">
      <c r="A12" s="16" t="str">
        <f t="shared" si="0"/>
        <v>PickupBaseBEV300</v>
      </c>
      <c r="B12" s="79" t="str">
        <f>'Vehicle Attributes - Base Year'!B9</f>
        <v>MedSUV</v>
      </c>
      <c r="C12" s="68" t="str">
        <f>'Vehicle Attributes - Base Year'!C9</f>
        <v>Premium</v>
      </c>
      <c r="D12" s="68" t="str">
        <f>'Vehicle Attributes - Base Year'!D9</f>
        <v>BEV400</v>
      </c>
      <c r="E12" s="23">
        <v>0</v>
      </c>
      <c r="F12" s="23">
        <v>0</v>
      </c>
      <c r="G12" s="23">
        <v>0</v>
      </c>
      <c r="H12" s="23">
        <v>0</v>
      </c>
      <c r="I12" s="23">
        <v>0</v>
      </c>
      <c r="J12" s="23">
        <v>0</v>
      </c>
      <c r="K12" s="23">
        <v>0</v>
      </c>
      <c r="L12" s="23">
        <v>0</v>
      </c>
      <c r="M12" s="23">
        <v>0</v>
      </c>
      <c r="N12" s="23">
        <v>0</v>
      </c>
      <c r="O12" s="43">
        <v>0</v>
      </c>
    </row>
    <row r="13" spans="1:15" x14ac:dyDescent="0.3">
      <c r="A13" t="str">
        <f t="shared" si="0"/>
        <v>PickupHTBEV400</v>
      </c>
      <c r="B13" s="79" t="str">
        <f>'Vehicle Attributes - Base Year'!B10</f>
        <v>Pickup</v>
      </c>
      <c r="C13" s="68" t="str">
        <f>'Vehicle Attributes - Base Year'!C10</f>
        <v>Base</v>
      </c>
      <c r="D13" s="68" t="str">
        <f>'Vehicle Attributes - Base Year'!D10</f>
        <v>BEV300</v>
      </c>
      <c r="E13" s="23">
        <v>0</v>
      </c>
      <c r="F13" s="23">
        <v>0</v>
      </c>
      <c r="G13" s="23">
        <v>0</v>
      </c>
      <c r="H13" s="23">
        <v>0</v>
      </c>
      <c r="I13" s="23">
        <v>0</v>
      </c>
      <c r="J13" s="23">
        <v>0</v>
      </c>
      <c r="K13" s="23">
        <v>0</v>
      </c>
      <c r="L13" s="23">
        <v>0</v>
      </c>
      <c r="M13" s="23">
        <v>0</v>
      </c>
      <c r="N13" s="23">
        <v>0</v>
      </c>
      <c r="O13" s="43">
        <v>0</v>
      </c>
    </row>
    <row r="14" spans="1:15" x14ac:dyDescent="0.3">
      <c r="A14" s="16" t="str">
        <f t="shared" si="0"/>
        <v>SmallCarBasePHEV50</v>
      </c>
      <c r="B14" s="79" t="str">
        <f>'Vehicle Attributes - Base Year'!B11</f>
        <v>Pickup</v>
      </c>
      <c r="C14" s="68" t="str">
        <f>'Vehicle Attributes - Base Year'!C11</f>
        <v>HT</v>
      </c>
      <c r="D14" s="68" t="str">
        <f>'Vehicle Attributes - Base Year'!D11</f>
        <v>BEV400</v>
      </c>
      <c r="E14" s="23">
        <v>0</v>
      </c>
      <c r="F14" s="23">
        <v>0</v>
      </c>
      <c r="G14" s="23">
        <v>0</v>
      </c>
      <c r="H14" s="23">
        <v>0</v>
      </c>
      <c r="I14" s="23">
        <v>0</v>
      </c>
      <c r="J14" s="23">
        <v>0</v>
      </c>
      <c r="K14" s="23">
        <v>0</v>
      </c>
      <c r="L14" s="23">
        <v>0</v>
      </c>
      <c r="M14" s="23">
        <v>0</v>
      </c>
      <c r="N14" s="23">
        <v>0</v>
      </c>
      <c r="O14" s="43">
        <v>0</v>
      </c>
    </row>
    <row r="15" spans="1:15" x14ac:dyDescent="0.3">
      <c r="A15" t="str">
        <f t="shared" si="0"/>
        <v>SmallCarPremiumPHEV50</v>
      </c>
      <c r="B15" s="79" t="str">
        <f>'Vehicle Attributes - Base Year'!B12</f>
        <v>SmallCar</v>
      </c>
      <c r="C15" s="68" t="str">
        <f>'Vehicle Attributes - Base Year'!C12</f>
        <v>Base</v>
      </c>
      <c r="D15" s="68" t="str">
        <f>'Vehicle Attributes - Base Year'!D12</f>
        <v>PHEV50</v>
      </c>
      <c r="E15" s="23">
        <v>0</v>
      </c>
      <c r="F15" s="23">
        <v>0</v>
      </c>
      <c r="G15" s="23">
        <v>0</v>
      </c>
      <c r="H15" s="23">
        <v>0</v>
      </c>
      <c r="I15" s="23">
        <v>0</v>
      </c>
      <c r="J15" s="23">
        <v>0</v>
      </c>
      <c r="K15" s="23">
        <v>0</v>
      </c>
      <c r="L15" s="23">
        <v>0</v>
      </c>
      <c r="M15" s="23">
        <v>0</v>
      </c>
      <c r="N15" s="23">
        <v>0</v>
      </c>
      <c r="O15" s="43">
        <v>0</v>
      </c>
    </row>
    <row r="16" spans="1:15" x14ac:dyDescent="0.3">
      <c r="A16" s="16" t="str">
        <f t="shared" si="0"/>
        <v>MedCarBasePHEV50</v>
      </c>
      <c r="B16" s="79" t="str">
        <f>'Vehicle Attributes - Base Year'!B13</f>
        <v>SmallCar</v>
      </c>
      <c r="C16" s="68" t="str">
        <f>'Vehicle Attributes - Base Year'!C13</f>
        <v>Premium</v>
      </c>
      <c r="D16" s="68" t="str">
        <f>'Vehicle Attributes - Base Year'!D13</f>
        <v>PHEV50</v>
      </c>
      <c r="E16" s="23">
        <v>0</v>
      </c>
      <c r="F16" s="23">
        <v>0</v>
      </c>
      <c r="G16" s="23">
        <v>0</v>
      </c>
      <c r="H16" s="23">
        <v>0</v>
      </c>
      <c r="I16" s="23">
        <v>0</v>
      </c>
      <c r="J16" s="23">
        <v>0</v>
      </c>
      <c r="K16" s="23">
        <v>0</v>
      </c>
      <c r="L16" s="23">
        <v>0</v>
      </c>
      <c r="M16" s="23">
        <v>0</v>
      </c>
      <c r="N16" s="23">
        <v>0</v>
      </c>
      <c r="O16" s="43">
        <v>0</v>
      </c>
    </row>
    <row r="17" spans="1:15" x14ac:dyDescent="0.3">
      <c r="A17" t="str">
        <f t="shared" si="0"/>
        <v>MedCarPremiumPHEV50</v>
      </c>
      <c r="B17" s="79" t="str">
        <f>'Vehicle Attributes - Base Year'!B14</f>
        <v>MedCar</v>
      </c>
      <c r="C17" s="68" t="str">
        <f>'Vehicle Attributes - Base Year'!C14</f>
        <v>Base</v>
      </c>
      <c r="D17" s="68" t="str">
        <f>'Vehicle Attributes - Base Year'!D14</f>
        <v>PHEV50</v>
      </c>
      <c r="E17" s="23">
        <v>0</v>
      </c>
      <c r="F17" s="23">
        <v>0</v>
      </c>
      <c r="G17" s="23">
        <v>0</v>
      </c>
      <c r="H17" s="23">
        <v>0</v>
      </c>
      <c r="I17" s="23">
        <v>0</v>
      </c>
      <c r="J17" s="23">
        <v>0</v>
      </c>
      <c r="K17" s="23">
        <v>0</v>
      </c>
      <c r="L17" s="23">
        <v>0</v>
      </c>
      <c r="M17" s="23">
        <v>0</v>
      </c>
      <c r="N17" s="23">
        <v>0</v>
      </c>
      <c r="O17" s="43">
        <v>0</v>
      </c>
    </row>
    <row r="18" spans="1:15" x14ac:dyDescent="0.3">
      <c r="A18" s="16" t="str">
        <f t="shared" si="0"/>
        <v>SmallSUVBasePHEV50</v>
      </c>
      <c r="B18" s="79" t="str">
        <f>'Vehicle Attributes - Base Year'!B15</f>
        <v>MedCar</v>
      </c>
      <c r="C18" s="68" t="str">
        <f>'Vehicle Attributes - Base Year'!C15</f>
        <v>Premium</v>
      </c>
      <c r="D18" s="68" t="str">
        <f>'Vehicle Attributes - Base Year'!D15</f>
        <v>PHEV50</v>
      </c>
      <c r="E18" s="23">
        <v>0</v>
      </c>
      <c r="F18" s="23">
        <v>0</v>
      </c>
      <c r="G18" s="23">
        <v>0</v>
      </c>
      <c r="H18" s="23">
        <v>0</v>
      </c>
      <c r="I18" s="23">
        <v>0</v>
      </c>
      <c r="J18" s="23">
        <v>0</v>
      </c>
      <c r="K18" s="23">
        <v>0</v>
      </c>
      <c r="L18" s="23">
        <v>0</v>
      </c>
      <c r="M18" s="23">
        <v>0</v>
      </c>
      <c r="N18" s="23">
        <v>0</v>
      </c>
      <c r="O18" s="43">
        <v>0</v>
      </c>
    </row>
    <row r="19" spans="1:15" x14ac:dyDescent="0.3">
      <c r="A19" t="str">
        <f t="shared" si="0"/>
        <v>SmallSUVPremiumPHEV50</v>
      </c>
      <c r="B19" s="79" t="str">
        <f>'Vehicle Attributes - Base Year'!B16</f>
        <v>SmallSUV</v>
      </c>
      <c r="C19" s="68" t="str">
        <f>'Vehicle Attributes - Base Year'!C16</f>
        <v>Base</v>
      </c>
      <c r="D19" s="68" t="str">
        <f>'Vehicle Attributes - Base Year'!D16</f>
        <v>PHEV50</v>
      </c>
      <c r="E19" s="23">
        <v>0</v>
      </c>
      <c r="F19" s="23">
        <v>0</v>
      </c>
      <c r="G19" s="23">
        <v>0</v>
      </c>
      <c r="H19" s="23">
        <v>0</v>
      </c>
      <c r="I19" s="23">
        <v>0</v>
      </c>
      <c r="J19" s="23">
        <v>0</v>
      </c>
      <c r="K19" s="23">
        <v>0</v>
      </c>
      <c r="L19" s="23">
        <v>0</v>
      </c>
      <c r="M19" s="23">
        <v>0</v>
      </c>
      <c r="N19" s="23">
        <v>0</v>
      </c>
      <c r="O19" s="43">
        <v>0</v>
      </c>
    </row>
    <row r="20" spans="1:15" x14ac:dyDescent="0.3">
      <c r="A20" s="16" t="str">
        <f t="shared" si="0"/>
        <v>MedSUVBasePHEV50</v>
      </c>
      <c r="B20" s="79" t="str">
        <f>'Vehicle Attributes - Base Year'!B17</f>
        <v>SmallSUV</v>
      </c>
      <c r="C20" s="68" t="str">
        <f>'Vehicle Attributes - Base Year'!C17</f>
        <v>Premium</v>
      </c>
      <c r="D20" s="68" t="str">
        <f>'Vehicle Attributes - Base Year'!D17</f>
        <v>PHEV50</v>
      </c>
      <c r="E20" s="23">
        <v>0</v>
      </c>
      <c r="F20" s="23">
        <v>0</v>
      </c>
      <c r="G20" s="23">
        <v>0</v>
      </c>
      <c r="H20" s="23">
        <v>0</v>
      </c>
      <c r="I20" s="23">
        <v>0</v>
      </c>
      <c r="J20" s="23">
        <v>0</v>
      </c>
      <c r="K20" s="23">
        <v>0</v>
      </c>
      <c r="L20" s="23">
        <v>0</v>
      </c>
      <c r="M20" s="23">
        <v>0</v>
      </c>
      <c r="N20" s="23">
        <v>0</v>
      </c>
      <c r="O20" s="43">
        <v>0</v>
      </c>
    </row>
    <row r="21" spans="1:15" x14ac:dyDescent="0.3">
      <c r="A21" t="str">
        <f t="shared" si="0"/>
        <v>MedSUVPremiumPHEV50</v>
      </c>
      <c r="B21" s="79" t="str">
        <f>'Vehicle Attributes - Base Year'!B18</f>
        <v>MedSUV</v>
      </c>
      <c r="C21" s="68" t="str">
        <f>'Vehicle Attributes - Base Year'!C18</f>
        <v>Base</v>
      </c>
      <c r="D21" s="68" t="str">
        <f>'Vehicle Attributes - Base Year'!D18</f>
        <v>PHEV50</v>
      </c>
      <c r="E21" s="23">
        <v>0</v>
      </c>
      <c r="F21" s="23">
        <v>0</v>
      </c>
      <c r="G21" s="23">
        <v>0</v>
      </c>
      <c r="H21" s="23">
        <v>0</v>
      </c>
      <c r="I21" s="23">
        <v>0</v>
      </c>
      <c r="J21" s="23">
        <v>0</v>
      </c>
      <c r="K21" s="23">
        <v>0</v>
      </c>
      <c r="L21" s="23">
        <v>0</v>
      </c>
      <c r="M21" s="23">
        <v>0</v>
      </c>
      <c r="N21" s="23">
        <v>0</v>
      </c>
      <c r="O21" s="43">
        <v>0</v>
      </c>
    </row>
    <row r="22" spans="1:15" x14ac:dyDescent="0.3">
      <c r="A22" s="16" t="str">
        <f t="shared" si="0"/>
        <v>PickupBasePHEV50</v>
      </c>
      <c r="B22" s="79" t="str">
        <f>'Vehicle Attributes - Base Year'!B19</f>
        <v>MedSUV</v>
      </c>
      <c r="C22" s="68" t="str">
        <f>'Vehicle Attributes - Base Year'!C19</f>
        <v>Premium</v>
      </c>
      <c r="D22" s="68" t="str">
        <f>'Vehicle Attributes - Base Year'!D19</f>
        <v>PHEV50</v>
      </c>
      <c r="E22" s="23">
        <v>0</v>
      </c>
      <c r="F22" s="23">
        <v>0</v>
      </c>
      <c r="G22" s="23">
        <v>0</v>
      </c>
      <c r="H22" s="23">
        <v>0</v>
      </c>
      <c r="I22" s="23">
        <v>0</v>
      </c>
      <c r="J22" s="23">
        <v>0</v>
      </c>
      <c r="K22" s="23">
        <v>0</v>
      </c>
      <c r="L22" s="23">
        <v>0</v>
      </c>
      <c r="M22" s="23">
        <v>0</v>
      </c>
      <c r="N22" s="23">
        <v>0</v>
      </c>
      <c r="O22" s="43">
        <v>0</v>
      </c>
    </row>
    <row r="23" spans="1:15" x14ac:dyDescent="0.3">
      <c r="A23" t="str">
        <f t="shared" si="0"/>
        <v>PickupHTPHEV50</v>
      </c>
      <c r="B23" s="79" t="str">
        <f>'Vehicle Attributes - Base Year'!B20</f>
        <v>Pickup</v>
      </c>
      <c r="C23" s="68" t="str">
        <f>'Vehicle Attributes - Base Year'!C20</f>
        <v>Base</v>
      </c>
      <c r="D23" s="68" t="str">
        <f>'Vehicle Attributes - Base Year'!D20</f>
        <v>PHEV50</v>
      </c>
      <c r="E23" s="23">
        <v>0</v>
      </c>
      <c r="F23" s="23">
        <v>0</v>
      </c>
      <c r="G23" s="23">
        <v>0</v>
      </c>
      <c r="H23" s="23">
        <v>0</v>
      </c>
      <c r="I23" s="23">
        <v>0</v>
      </c>
      <c r="J23" s="23">
        <v>0</v>
      </c>
      <c r="K23" s="23">
        <v>0</v>
      </c>
      <c r="L23" s="23">
        <v>0</v>
      </c>
      <c r="M23" s="23">
        <v>0</v>
      </c>
      <c r="N23" s="23">
        <v>0</v>
      </c>
      <c r="O23" s="43">
        <v>0</v>
      </c>
    </row>
    <row r="24" spans="1:15" x14ac:dyDescent="0.3">
      <c r="A24" s="16" t="str">
        <f t="shared" si="0"/>
        <v>SmallCarBaseFCEV320</v>
      </c>
      <c r="B24" s="79" t="str">
        <f>'Vehicle Attributes - Base Year'!B21</f>
        <v>Pickup</v>
      </c>
      <c r="C24" s="68" t="str">
        <f>'Vehicle Attributes - Base Year'!C21</f>
        <v>HT</v>
      </c>
      <c r="D24" s="68" t="str">
        <f>'Vehicle Attributes - Base Year'!D21</f>
        <v>PHEV50</v>
      </c>
      <c r="E24" s="23">
        <v>0</v>
      </c>
      <c r="F24" s="23">
        <v>0</v>
      </c>
      <c r="G24" s="23">
        <v>0</v>
      </c>
      <c r="H24" s="23">
        <v>0</v>
      </c>
      <c r="I24" s="23">
        <v>0</v>
      </c>
      <c r="J24" s="23">
        <v>0</v>
      </c>
      <c r="K24" s="23">
        <v>0</v>
      </c>
      <c r="L24" s="23">
        <v>0</v>
      </c>
      <c r="M24" s="23">
        <v>0</v>
      </c>
      <c r="N24" s="23">
        <v>0</v>
      </c>
      <c r="O24" s="43">
        <v>0</v>
      </c>
    </row>
    <row r="25" spans="1:15" x14ac:dyDescent="0.3">
      <c r="A25" t="str">
        <f t="shared" si="0"/>
        <v>SmallCarPremiumFCEV320</v>
      </c>
      <c r="B25" s="79" t="str">
        <f>'Vehicle Attributes - Base Year'!B22</f>
        <v>SmallCar</v>
      </c>
      <c r="C25" s="68" t="str">
        <f>'Vehicle Attributes - Base Year'!C22</f>
        <v>Base</v>
      </c>
      <c r="D25" s="68" t="str">
        <f>'Vehicle Attributes - Base Year'!D22</f>
        <v>FCEV320</v>
      </c>
      <c r="E25" s="23">
        <v>3071.8022438061298</v>
      </c>
      <c r="F25" s="23">
        <v>2818.4729808427164</v>
      </c>
      <c r="G25" s="23">
        <v>2565.143717879303</v>
      </c>
      <c r="H25" s="23">
        <v>2311.8144549158897</v>
      </c>
      <c r="I25" s="23">
        <v>2058.4851919524758</v>
      </c>
      <c r="J25" s="23">
        <v>1805.1559289890624</v>
      </c>
      <c r="K25" s="23">
        <v>1738.3422954111554</v>
      </c>
      <c r="L25" s="23">
        <v>1671.5286618332484</v>
      </c>
      <c r="M25" s="23">
        <v>1604.7150282553414</v>
      </c>
      <c r="N25" s="23">
        <v>1537.9013946774344</v>
      </c>
      <c r="O25" s="43">
        <v>1471.0877610995274</v>
      </c>
    </row>
    <row r="26" spans="1:15" x14ac:dyDescent="0.3">
      <c r="A26" s="16" t="str">
        <f t="shared" si="0"/>
        <v>MedCarBaseFCEV320</v>
      </c>
      <c r="B26" s="79" t="str">
        <f>'Vehicle Attributes - Base Year'!B23</f>
        <v>SmallCar</v>
      </c>
      <c r="C26" s="68" t="str">
        <f>'Vehicle Attributes - Base Year'!C23</f>
        <v>Premium</v>
      </c>
      <c r="D26" s="68" t="str">
        <f>'Vehicle Attributes - Base Year'!D23</f>
        <v>FCEV320</v>
      </c>
      <c r="E26" s="23">
        <v>3071.8022438061298</v>
      </c>
      <c r="F26" s="23">
        <v>2818.4729808427164</v>
      </c>
      <c r="G26" s="23">
        <v>2565.143717879303</v>
      </c>
      <c r="H26" s="23">
        <v>2311.8144549158897</v>
      </c>
      <c r="I26" s="23">
        <v>2058.4851919524758</v>
      </c>
      <c r="J26" s="23">
        <v>1805.1559289890624</v>
      </c>
      <c r="K26" s="23">
        <v>1738.3422954111554</v>
      </c>
      <c r="L26" s="23">
        <v>1671.5286618332484</v>
      </c>
      <c r="M26" s="23">
        <v>1604.7150282553414</v>
      </c>
      <c r="N26" s="23">
        <v>1537.9013946774344</v>
      </c>
      <c r="O26" s="43">
        <v>1471.0877610995274</v>
      </c>
    </row>
    <row r="27" spans="1:15" x14ac:dyDescent="0.3">
      <c r="A27" t="str">
        <f t="shared" si="0"/>
        <v>MedCarPremiumFCEV320</v>
      </c>
      <c r="B27" s="79" t="str">
        <f>'Vehicle Attributes - Base Year'!B24</f>
        <v>MedCar</v>
      </c>
      <c r="C27" s="68" t="str">
        <f>'Vehicle Attributes - Base Year'!C24</f>
        <v>Base</v>
      </c>
      <c r="D27" s="68" t="str">
        <f>'Vehicle Attributes - Base Year'!D24</f>
        <v>FCEV320</v>
      </c>
      <c r="E27" s="23">
        <v>3318.1260862223253</v>
      </c>
      <c r="F27" s="23">
        <v>3034.773820711388</v>
      </c>
      <c r="G27" s="23">
        <v>2751.4215552004503</v>
      </c>
      <c r="H27" s="23">
        <v>2468.0692896895125</v>
      </c>
      <c r="I27" s="23">
        <v>2184.7170241785752</v>
      </c>
      <c r="J27" s="23">
        <v>1901.3647586676377</v>
      </c>
      <c r="K27" s="23">
        <v>1826.9848778980802</v>
      </c>
      <c r="L27" s="23">
        <v>1752.6049971285227</v>
      </c>
      <c r="M27" s="23">
        <v>1678.2251163589651</v>
      </c>
      <c r="N27" s="23">
        <v>1603.8452355894076</v>
      </c>
      <c r="O27" s="43">
        <v>1529.4653548198501</v>
      </c>
    </row>
    <row r="28" spans="1:15" x14ac:dyDescent="0.3">
      <c r="A28" s="16" t="str">
        <f t="shared" si="0"/>
        <v>SmallSUVBaseFCEV320</v>
      </c>
      <c r="B28" s="79" t="str">
        <f>'Vehicle Attributes - Base Year'!B25</f>
        <v>MedCar</v>
      </c>
      <c r="C28" s="68" t="str">
        <f>'Vehicle Attributes - Base Year'!C25</f>
        <v>Premium</v>
      </c>
      <c r="D28" s="68" t="str">
        <f>'Vehicle Attributes - Base Year'!D25</f>
        <v>FCEV320</v>
      </c>
      <c r="E28" s="23">
        <v>3318.1260862223253</v>
      </c>
      <c r="F28" s="23">
        <v>3034.773820711388</v>
      </c>
      <c r="G28" s="23">
        <v>2751.4215552004503</v>
      </c>
      <c r="H28" s="23">
        <v>2468.0692896895125</v>
      </c>
      <c r="I28" s="23">
        <v>2184.7170241785752</v>
      </c>
      <c r="J28" s="23">
        <v>1901.3647586676377</v>
      </c>
      <c r="K28" s="23">
        <v>1826.9848778980802</v>
      </c>
      <c r="L28" s="23">
        <v>1752.6049971285227</v>
      </c>
      <c r="M28" s="23">
        <v>1678.2251163589651</v>
      </c>
      <c r="N28" s="23">
        <v>1603.8452355894076</v>
      </c>
      <c r="O28" s="43">
        <v>1529.4653548198501</v>
      </c>
    </row>
    <row r="29" spans="1:15" x14ac:dyDescent="0.3">
      <c r="A29" t="str">
        <f t="shared" si="0"/>
        <v>SmallSUVPremiumFCEV320</v>
      </c>
      <c r="B29" s="79" t="str">
        <f>'Vehicle Attributes - Base Year'!B26</f>
        <v>SmallSUV</v>
      </c>
      <c r="C29" s="68" t="str">
        <f>'Vehicle Attributes - Base Year'!C26</f>
        <v>Base</v>
      </c>
      <c r="D29" s="68" t="str">
        <f>'Vehicle Attributes - Base Year'!D26</f>
        <v>FCEV320</v>
      </c>
      <c r="E29" s="23">
        <v>3509.307727990391</v>
      </c>
      <c r="F29" s="23">
        <v>3210.5473717007408</v>
      </c>
      <c r="G29" s="23">
        <v>2911.7870154110906</v>
      </c>
      <c r="H29" s="23">
        <v>2613.0266591214399</v>
      </c>
      <c r="I29" s="23">
        <v>2314.2663028317897</v>
      </c>
      <c r="J29" s="23">
        <v>2015.5059465421396</v>
      </c>
      <c r="K29" s="23">
        <v>1936.9357810281222</v>
      </c>
      <c r="L29" s="23">
        <v>1858.3656155141045</v>
      </c>
      <c r="M29" s="23">
        <v>1779.7954500000872</v>
      </c>
      <c r="N29" s="23">
        <v>1701.2252844860695</v>
      </c>
      <c r="O29" s="43">
        <v>1622.6551189720522</v>
      </c>
    </row>
    <row r="30" spans="1:15" x14ac:dyDescent="0.3">
      <c r="A30" s="16" t="str">
        <f t="shared" si="0"/>
        <v>MedSUVBaseFCEV320</v>
      </c>
      <c r="B30" s="79" t="str">
        <f>'Vehicle Attributes - Base Year'!B27</f>
        <v>SmallSUV</v>
      </c>
      <c r="C30" s="68" t="str">
        <f>'Vehicle Attributes - Base Year'!C27</f>
        <v>Premium</v>
      </c>
      <c r="D30" s="68" t="str">
        <f>'Vehicle Attributes - Base Year'!D27</f>
        <v>FCEV320</v>
      </c>
      <c r="E30" s="23">
        <v>3509.307727990391</v>
      </c>
      <c r="F30" s="23">
        <v>3210.5473717007408</v>
      </c>
      <c r="G30" s="23">
        <v>2911.7870154110906</v>
      </c>
      <c r="H30" s="23">
        <v>2613.0266591214399</v>
      </c>
      <c r="I30" s="23">
        <v>2314.2663028317897</v>
      </c>
      <c r="J30" s="23">
        <v>2015.5059465421396</v>
      </c>
      <c r="K30" s="23">
        <v>1936.9357810281222</v>
      </c>
      <c r="L30" s="23">
        <v>1858.3656155141045</v>
      </c>
      <c r="M30" s="23">
        <v>1779.7954500000872</v>
      </c>
      <c r="N30" s="23">
        <v>1701.2252844860695</v>
      </c>
      <c r="O30" s="43">
        <v>1622.6551189720522</v>
      </c>
    </row>
    <row r="31" spans="1:15" x14ac:dyDescent="0.3">
      <c r="A31" t="str">
        <f t="shared" si="0"/>
        <v>MedSUVPremiumFCEV320</v>
      </c>
      <c r="B31" s="79" t="str">
        <f>'Vehicle Attributes - Base Year'!B28</f>
        <v>MedSUV</v>
      </c>
      <c r="C31" s="68" t="str">
        <f>'Vehicle Attributes - Base Year'!C28</f>
        <v>Base</v>
      </c>
      <c r="D31" s="68" t="str">
        <f>'Vehicle Attributes - Base Year'!D28</f>
        <v>FCEV320</v>
      </c>
      <c r="E31" s="23">
        <v>3764.8035931358163</v>
      </c>
      <c r="F31" s="23">
        <v>3438.7706767947525</v>
      </c>
      <c r="G31" s="23">
        <v>3112.7377604536887</v>
      </c>
      <c r="H31" s="23">
        <v>2786.7048441126244</v>
      </c>
      <c r="I31" s="23">
        <v>2460.6719277715606</v>
      </c>
      <c r="J31" s="23">
        <v>2134.6390114304968</v>
      </c>
      <c r="K31" s="23">
        <v>2049.5938709673665</v>
      </c>
      <c r="L31" s="23">
        <v>1964.5487305042366</v>
      </c>
      <c r="M31" s="23">
        <v>1879.5035900411065</v>
      </c>
      <c r="N31" s="23">
        <v>1794.4584495779764</v>
      </c>
      <c r="O31" s="43">
        <v>1709.4133091148462</v>
      </c>
    </row>
    <row r="32" spans="1:15" x14ac:dyDescent="0.3">
      <c r="A32" s="16" t="str">
        <f t="shared" si="0"/>
        <v>PickupBaseFCEV320</v>
      </c>
      <c r="B32" s="79" t="str">
        <f>'Vehicle Attributes - Base Year'!B29</f>
        <v>MedSUV</v>
      </c>
      <c r="C32" s="68" t="str">
        <f>'Vehicle Attributes - Base Year'!C29</f>
        <v>Premium</v>
      </c>
      <c r="D32" s="68" t="str">
        <f>'Vehicle Attributes - Base Year'!D29</f>
        <v>FCEV320</v>
      </c>
      <c r="E32" s="23">
        <v>3764.8035931358163</v>
      </c>
      <c r="F32" s="23">
        <v>3438.7706767947525</v>
      </c>
      <c r="G32" s="23">
        <v>3112.7377604536887</v>
      </c>
      <c r="H32" s="23">
        <v>2786.7048441126244</v>
      </c>
      <c r="I32" s="23">
        <v>2460.6719277715606</v>
      </c>
      <c r="J32" s="23">
        <v>2134.6390114304968</v>
      </c>
      <c r="K32" s="23">
        <v>2049.5938709673665</v>
      </c>
      <c r="L32" s="23">
        <v>1964.5487305042366</v>
      </c>
      <c r="M32" s="23">
        <v>1879.5035900411065</v>
      </c>
      <c r="N32" s="23">
        <v>1794.4584495779764</v>
      </c>
      <c r="O32" s="43">
        <v>1709.4133091148462</v>
      </c>
    </row>
    <row r="33" spans="1:15" x14ac:dyDescent="0.3">
      <c r="A33" t="str">
        <f t="shared" si="0"/>
        <v>PickupHTFCEV320</v>
      </c>
      <c r="B33" s="79" t="str">
        <f>'Vehicle Attributes - Base Year'!B30</f>
        <v>Pickup</v>
      </c>
      <c r="C33" s="68" t="str">
        <f>'Vehicle Attributes - Base Year'!C30</f>
        <v>Base</v>
      </c>
      <c r="D33" s="68" t="str">
        <f>'Vehicle Attributes - Base Year'!D30</f>
        <v>FCEV320</v>
      </c>
      <c r="E33" s="23">
        <v>4185.4692435892111</v>
      </c>
      <c r="F33" s="23">
        <v>3813.3336201922561</v>
      </c>
      <c r="G33" s="23">
        <v>3441.1979967953012</v>
      </c>
      <c r="H33" s="23">
        <v>3069.0623733983462</v>
      </c>
      <c r="I33" s="23">
        <v>2696.9267500013912</v>
      </c>
      <c r="J33" s="23">
        <v>2324.7911266044362</v>
      </c>
      <c r="K33" s="23">
        <v>2231.079611851063</v>
      </c>
      <c r="L33" s="23">
        <v>2137.3680970976893</v>
      </c>
      <c r="M33" s="23">
        <v>2043.6565823443161</v>
      </c>
      <c r="N33" s="23">
        <v>1949.9450675909427</v>
      </c>
      <c r="O33" s="43">
        <v>1856.2335528375693</v>
      </c>
    </row>
    <row r="34" spans="1:15" x14ac:dyDescent="0.3">
      <c r="B34" s="79" t="str">
        <f>'Vehicle Attributes - Base Year'!B31</f>
        <v>Pickup</v>
      </c>
      <c r="C34" s="68" t="str">
        <f>'Vehicle Attributes - Base Year'!C31</f>
        <v>HT</v>
      </c>
      <c r="D34" s="68" t="str">
        <f>'Vehicle Attributes - Base Year'!D31</f>
        <v>FCEV320</v>
      </c>
      <c r="E34" s="23">
        <v>4185.4692435892111</v>
      </c>
      <c r="F34" s="23">
        <v>3813.3336201922561</v>
      </c>
      <c r="G34" s="23">
        <v>3441.1979967953012</v>
      </c>
      <c r="H34" s="23">
        <v>3069.0623733983462</v>
      </c>
      <c r="I34" s="23">
        <v>2696.9267500013912</v>
      </c>
      <c r="J34" s="23">
        <v>2324.7911266044362</v>
      </c>
      <c r="K34" s="23">
        <v>2231.079611851063</v>
      </c>
      <c r="L34" s="23">
        <v>2137.3680970976893</v>
      </c>
      <c r="M34" s="23">
        <v>2043.6565823443161</v>
      </c>
      <c r="N34" s="23">
        <v>1949.9450675909427</v>
      </c>
      <c r="O34" s="43">
        <v>1856.2335528375693</v>
      </c>
    </row>
  </sheetData>
  <mergeCells count="2">
    <mergeCell ref="E2:O2"/>
    <mergeCell ref="B1:O1"/>
  </mergeCells>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10597B"/>
  </sheetPr>
  <dimension ref="A1:O34"/>
  <sheetViews>
    <sheetView topLeftCell="B1" workbookViewId="0">
      <selection activeCell="L44" sqref="L44"/>
    </sheetView>
  </sheetViews>
  <sheetFormatPr defaultRowHeight="14.4" x14ac:dyDescent="0.3"/>
  <cols>
    <col min="1" max="1" width="0" hidden="1" customWidth="1"/>
    <col min="2" max="2" width="12.5546875" bestFit="1" customWidth="1"/>
    <col min="3" max="3" width="12.44140625" bestFit="1" customWidth="1"/>
    <col min="4" max="10" width="11" customWidth="1"/>
    <col min="11" max="15" width="12" customWidth="1"/>
    <col min="18" max="18" width="25" bestFit="1" customWidth="1"/>
  </cols>
  <sheetData>
    <row r="1" spans="1:15" x14ac:dyDescent="0.3">
      <c r="B1" s="170" t="s">
        <v>135</v>
      </c>
      <c r="C1" s="175"/>
      <c r="D1" s="175"/>
      <c r="E1" s="175"/>
      <c r="F1" s="175"/>
      <c r="G1" s="175"/>
      <c r="H1" s="175"/>
      <c r="I1" s="175"/>
      <c r="J1" s="175"/>
      <c r="K1" s="175"/>
      <c r="L1" s="175"/>
      <c r="M1" s="175"/>
      <c r="N1" s="175"/>
      <c r="O1" s="171"/>
    </row>
    <row r="2" spans="1:15" x14ac:dyDescent="0.3">
      <c r="B2" s="55"/>
      <c r="C2" s="55"/>
      <c r="D2" s="56"/>
      <c r="E2" s="210" t="s">
        <v>155</v>
      </c>
      <c r="F2" s="210"/>
      <c r="G2" s="210"/>
      <c r="H2" s="210"/>
      <c r="I2" s="210"/>
      <c r="J2" s="210"/>
      <c r="K2" s="210"/>
      <c r="L2" s="210"/>
      <c r="M2" s="210"/>
      <c r="N2" s="210"/>
      <c r="O2" s="211"/>
    </row>
    <row r="3" spans="1:15" x14ac:dyDescent="0.3">
      <c r="B3" s="57" t="s">
        <v>100</v>
      </c>
      <c r="C3" s="57" t="s">
        <v>101</v>
      </c>
      <c r="D3" s="58" t="s">
        <v>67</v>
      </c>
      <c r="E3" s="59">
        <v>2025</v>
      </c>
      <c r="F3" s="60">
        <v>2026</v>
      </c>
      <c r="G3" s="60">
        <v>2027</v>
      </c>
      <c r="H3" s="60">
        <v>2028</v>
      </c>
      <c r="I3" s="60">
        <v>2029</v>
      </c>
      <c r="J3" s="60">
        <v>2030</v>
      </c>
      <c r="K3" s="60">
        <v>2031</v>
      </c>
      <c r="L3" s="60">
        <v>2032</v>
      </c>
      <c r="M3" s="60">
        <v>2033</v>
      </c>
      <c r="N3" s="60">
        <v>2034</v>
      </c>
      <c r="O3" s="61">
        <v>2035</v>
      </c>
    </row>
    <row r="4" spans="1:15" x14ac:dyDescent="0.3">
      <c r="A4" s="16" t="str">
        <f t="shared" ref="A4:A33" si="0">CONCATENATE(B5,C5,D5,)</f>
        <v>SmallCarBaseBEV300</v>
      </c>
      <c r="B4" s="79" t="s">
        <v>64</v>
      </c>
      <c r="C4" s="68" t="s">
        <v>65</v>
      </c>
      <c r="D4" s="68" t="s">
        <v>156</v>
      </c>
      <c r="E4" s="23" t="s">
        <v>157</v>
      </c>
      <c r="F4" s="23" t="s">
        <v>158</v>
      </c>
      <c r="G4" s="23" t="s">
        <v>159</v>
      </c>
      <c r="H4" s="23" t="s">
        <v>160</v>
      </c>
      <c r="I4" s="23" t="s">
        <v>161</v>
      </c>
      <c r="J4" s="23" t="s">
        <v>162</v>
      </c>
      <c r="K4" s="23" t="s">
        <v>163</v>
      </c>
      <c r="L4" s="23" t="s">
        <v>164</v>
      </c>
      <c r="M4" s="23" t="s">
        <v>165</v>
      </c>
      <c r="N4" s="23" t="s">
        <v>166</v>
      </c>
      <c r="O4" s="43" t="s">
        <v>167</v>
      </c>
    </row>
    <row r="5" spans="1:15" x14ac:dyDescent="0.3">
      <c r="A5" t="str">
        <f t="shared" si="0"/>
        <v>SmallCarPremiumBEV400</v>
      </c>
      <c r="B5" s="79" t="str">
        <f>'Vehicle Attributes - Base Year'!B2</f>
        <v>SmallCar</v>
      </c>
      <c r="C5" s="68" t="str">
        <f>'Vehicle Attributes - Base Year'!C2</f>
        <v>Base</v>
      </c>
      <c r="D5" s="68" t="str">
        <f>'Vehicle Attributes - Base Year'!D2</f>
        <v>BEV300</v>
      </c>
      <c r="E5" s="23">
        <v>0</v>
      </c>
      <c r="F5" s="23">
        <v>0</v>
      </c>
      <c r="G5" s="23">
        <v>0</v>
      </c>
      <c r="H5" s="23">
        <v>0</v>
      </c>
      <c r="I5" s="23">
        <v>0</v>
      </c>
      <c r="J5" s="23">
        <v>0</v>
      </c>
      <c r="K5" s="23">
        <v>0</v>
      </c>
      <c r="L5" s="23">
        <v>0</v>
      </c>
      <c r="M5" s="23">
        <v>0</v>
      </c>
      <c r="N5" s="23">
        <v>0</v>
      </c>
      <c r="O5" s="43">
        <v>0</v>
      </c>
    </row>
    <row r="6" spans="1:15" x14ac:dyDescent="0.3">
      <c r="A6" s="16" t="str">
        <f t="shared" si="0"/>
        <v>MedCarBaseBEV300</v>
      </c>
      <c r="B6" s="79" t="str">
        <f>'Vehicle Attributes - Base Year'!B3</f>
        <v>SmallCar</v>
      </c>
      <c r="C6" s="68" t="str">
        <f>'Vehicle Attributes - Base Year'!C3</f>
        <v>Premium</v>
      </c>
      <c r="D6" s="68" t="str">
        <f>'Vehicle Attributes - Base Year'!D3</f>
        <v>BEV400</v>
      </c>
      <c r="E6" s="23">
        <v>0</v>
      </c>
      <c r="F6" s="23">
        <v>0</v>
      </c>
      <c r="G6" s="23">
        <v>0</v>
      </c>
      <c r="H6" s="23">
        <v>0</v>
      </c>
      <c r="I6" s="23">
        <v>0</v>
      </c>
      <c r="J6" s="23">
        <v>0</v>
      </c>
      <c r="K6" s="23">
        <v>0</v>
      </c>
      <c r="L6" s="23">
        <v>0</v>
      </c>
      <c r="M6" s="23">
        <v>0</v>
      </c>
      <c r="N6" s="23">
        <v>0</v>
      </c>
      <c r="O6" s="43">
        <v>0</v>
      </c>
    </row>
    <row r="7" spans="1:15" x14ac:dyDescent="0.3">
      <c r="A7" t="str">
        <f t="shared" si="0"/>
        <v>MedCarPremiumBEV400</v>
      </c>
      <c r="B7" s="79" t="str">
        <f>'Vehicle Attributes - Base Year'!B4</f>
        <v>MedCar</v>
      </c>
      <c r="C7" s="68" t="str">
        <f>'Vehicle Attributes - Base Year'!C4</f>
        <v>Base</v>
      </c>
      <c r="D7" s="68" t="str">
        <f>'Vehicle Attributes - Base Year'!D4</f>
        <v>BEV300</v>
      </c>
      <c r="E7" s="23">
        <v>0</v>
      </c>
      <c r="F7" s="23">
        <v>0</v>
      </c>
      <c r="G7" s="23">
        <v>0</v>
      </c>
      <c r="H7" s="23">
        <v>0</v>
      </c>
      <c r="I7" s="23">
        <v>0</v>
      </c>
      <c r="J7" s="23">
        <v>0</v>
      </c>
      <c r="K7" s="23">
        <v>0</v>
      </c>
      <c r="L7" s="23">
        <v>0</v>
      </c>
      <c r="M7" s="23">
        <v>0</v>
      </c>
      <c r="N7" s="23">
        <v>0</v>
      </c>
      <c r="O7" s="43">
        <v>0</v>
      </c>
    </row>
    <row r="8" spans="1:15" x14ac:dyDescent="0.3">
      <c r="A8" s="16" t="str">
        <f t="shared" si="0"/>
        <v>SmallSUVBaseBEV300</v>
      </c>
      <c r="B8" s="79" t="str">
        <f>'Vehicle Attributes - Base Year'!B5</f>
        <v>MedCar</v>
      </c>
      <c r="C8" s="68" t="str">
        <f>'Vehicle Attributes - Base Year'!C5</f>
        <v>Premium</v>
      </c>
      <c r="D8" s="68" t="str">
        <f>'Vehicle Attributes - Base Year'!D5</f>
        <v>BEV400</v>
      </c>
      <c r="E8" s="23">
        <v>0</v>
      </c>
      <c r="F8" s="23">
        <v>0</v>
      </c>
      <c r="G8" s="23">
        <v>0</v>
      </c>
      <c r="H8" s="23">
        <v>0</v>
      </c>
      <c r="I8" s="23">
        <v>0</v>
      </c>
      <c r="J8" s="23">
        <v>0</v>
      </c>
      <c r="K8" s="23">
        <v>0</v>
      </c>
      <c r="L8" s="23">
        <v>0</v>
      </c>
      <c r="M8" s="23">
        <v>0</v>
      </c>
      <c r="N8" s="23">
        <v>0</v>
      </c>
      <c r="O8" s="43">
        <v>0</v>
      </c>
    </row>
    <row r="9" spans="1:15" x14ac:dyDescent="0.3">
      <c r="A9" t="str">
        <f t="shared" si="0"/>
        <v>SmallSUVPremiumBEV400</v>
      </c>
      <c r="B9" s="79" t="str">
        <f>'Vehicle Attributes - Base Year'!B6</f>
        <v>SmallSUV</v>
      </c>
      <c r="C9" s="68" t="str">
        <f>'Vehicle Attributes - Base Year'!C6</f>
        <v>Base</v>
      </c>
      <c r="D9" s="68" t="str">
        <f>'Vehicle Attributes - Base Year'!D6</f>
        <v>BEV300</v>
      </c>
      <c r="E9" s="23">
        <v>0</v>
      </c>
      <c r="F9" s="23">
        <v>0</v>
      </c>
      <c r="G9" s="23">
        <v>0</v>
      </c>
      <c r="H9" s="23">
        <v>0</v>
      </c>
      <c r="I9" s="23">
        <v>0</v>
      </c>
      <c r="J9" s="23">
        <v>0</v>
      </c>
      <c r="K9" s="23">
        <v>0</v>
      </c>
      <c r="L9" s="23">
        <v>0</v>
      </c>
      <c r="M9" s="23">
        <v>0</v>
      </c>
      <c r="N9" s="23">
        <v>0</v>
      </c>
      <c r="O9" s="43">
        <v>0</v>
      </c>
    </row>
    <row r="10" spans="1:15" x14ac:dyDescent="0.3">
      <c r="A10" s="16" t="str">
        <f t="shared" si="0"/>
        <v>MedSUVBaseBEV300</v>
      </c>
      <c r="B10" s="79" t="str">
        <f>'Vehicle Attributes - Base Year'!B7</f>
        <v>SmallSUV</v>
      </c>
      <c r="C10" s="68" t="str">
        <f>'Vehicle Attributes - Base Year'!C7</f>
        <v>Premium</v>
      </c>
      <c r="D10" s="68" t="str">
        <f>'Vehicle Attributes - Base Year'!D7</f>
        <v>BEV400</v>
      </c>
      <c r="E10" s="23">
        <v>0</v>
      </c>
      <c r="F10" s="23">
        <v>0</v>
      </c>
      <c r="G10" s="23">
        <v>0</v>
      </c>
      <c r="H10" s="23">
        <v>0</v>
      </c>
      <c r="I10" s="23">
        <v>0</v>
      </c>
      <c r="J10" s="23">
        <v>0</v>
      </c>
      <c r="K10" s="23">
        <v>0</v>
      </c>
      <c r="L10" s="23">
        <v>0</v>
      </c>
      <c r="M10" s="23">
        <v>0</v>
      </c>
      <c r="N10" s="23">
        <v>0</v>
      </c>
      <c r="O10" s="43">
        <v>0</v>
      </c>
    </row>
    <row r="11" spans="1:15" x14ac:dyDescent="0.3">
      <c r="A11" t="str">
        <f t="shared" si="0"/>
        <v>MedSUVPremiumBEV400</v>
      </c>
      <c r="B11" s="79" t="str">
        <f>'Vehicle Attributes - Base Year'!B8</f>
        <v>MedSUV</v>
      </c>
      <c r="C11" s="68" t="str">
        <f>'Vehicle Attributes - Base Year'!C8</f>
        <v>Base</v>
      </c>
      <c r="D11" s="68" t="str">
        <f>'Vehicle Attributes - Base Year'!D8</f>
        <v>BEV300</v>
      </c>
      <c r="E11" s="23">
        <v>0</v>
      </c>
      <c r="F11" s="23">
        <v>0</v>
      </c>
      <c r="G11" s="23">
        <v>0</v>
      </c>
      <c r="H11" s="23">
        <v>0</v>
      </c>
      <c r="I11" s="23">
        <v>0</v>
      </c>
      <c r="J11" s="23">
        <v>0</v>
      </c>
      <c r="K11" s="23">
        <v>0</v>
      </c>
      <c r="L11" s="23">
        <v>0</v>
      </c>
      <c r="M11" s="23">
        <v>0</v>
      </c>
      <c r="N11" s="23">
        <v>0</v>
      </c>
      <c r="O11" s="43">
        <v>0</v>
      </c>
    </row>
    <row r="12" spans="1:15" x14ac:dyDescent="0.3">
      <c r="A12" s="16" t="str">
        <f t="shared" si="0"/>
        <v>PickupBaseBEV300</v>
      </c>
      <c r="B12" s="79" t="str">
        <f>'Vehicle Attributes - Base Year'!B9</f>
        <v>MedSUV</v>
      </c>
      <c r="C12" s="68" t="str">
        <f>'Vehicle Attributes - Base Year'!C9</f>
        <v>Premium</v>
      </c>
      <c r="D12" s="68" t="str">
        <f>'Vehicle Attributes - Base Year'!D9</f>
        <v>BEV400</v>
      </c>
      <c r="E12" s="23">
        <v>0</v>
      </c>
      <c r="F12" s="23">
        <v>0</v>
      </c>
      <c r="G12" s="23">
        <v>0</v>
      </c>
      <c r="H12" s="23">
        <v>0</v>
      </c>
      <c r="I12" s="23">
        <v>0</v>
      </c>
      <c r="J12" s="23">
        <v>0</v>
      </c>
      <c r="K12" s="23">
        <v>0</v>
      </c>
      <c r="L12" s="23">
        <v>0</v>
      </c>
      <c r="M12" s="23">
        <v>0</v>
      </c>
      <c r="N12" s="23">
        <v>0</v>
      </c>
      <c r="O12" s="43">
        <v>0</v>
      </c>
    </row>
    <row r="13" spans="1:15" x14ac:dyDescent="0.3">
      <c r="A13" t="str">
        <f t="shared" si="0"/>
        <v>PickupHTBEV400</v>
      </c>
      <c r="B13" s="79" t="str">
        <f>'Vehicle Attributes - Base Year'!B10</f>
        <v>Pickup</v>
      </c>
      <c r="C13" s="68" t="str">
        <f>'Vehicle Attributes - Base Year'!C10</f>
        <v>Base</v>
      </c>
      <c r="D13" s="68" t="str">
        <f>'Vehicle Attributes - Base Year'!D10</f>
        <v>BEV300</v>
      </c>
      <c r="E13" s="23">
        <v>0</v>
      </c>
      <c r="F13" s="23">
        <v>0</v>
      </c>
      <c r="G13" s="23">
        <v>0</v>
      </c>
      <c r="H13" s="23">
        <v>0</v>
      </c>
      <c r="I13" s="23">
        <v>0</v>
      </c>
      <c r="J13" s="23">
        <v>0</v>
      </c>
      <c r="K13" s="23">
        <v>0</v>
      </c>
      <c r="L13" s="23">
        <v>0</v>
      </c>
      <c r="M13" s="23">
        <v>0</v>
      </c>
      <c r="N13" s="23">
        <v>0</v>
      </c>
      <c r="O13" s="43">
        <v>0</v>
      </c>
    </row>
    <row r="14" spans="1:15" x14ac:dyDescent="0.3">
      <c r="A14" s="16" t="str">
        <f t="shared" si="0"/>
        <v>SmallCarBasePHEV50</v>
      </c>
      <c r="B14" s="79" t="str">
        <f>'Vehicle Attributes - Base Year'!B11</f>
        <v>Pickup</v>
      </c>
      <c r="C14" s="68" t="str">
        <f>'Vehicle Attributes - Base Year'!C11</f>
        <v>HT</v>
      </c>
      <c r="D14" s="68" t="str">
        <f>'Vehicle Attributes - Base Year'!D11</f>
        <v>BEV400</v>
      </c>
      <c r="E14" s="23">
        <v>0</v>
      </c>
      <c r="F14" s="23">
        <v>0</v>
      </c>
      <c r="G14" s="23">
        <v>0</v>
      </c>
      <c r="H14" s="23">
        <v>0</v>
      </c>
      <c r="I14" s="23">
        <v>0</v>
      </c>
      <c r="J14" s="23">
        <v>0</v>
      </c>
      <c r="K14" s="23">
        <v>0</v>
      </c>
      <c r="L14" s="23">
        <v>0</v>
      </c>
      <c r="M14" s="23">
        <v>0</v>
      </c>
      <c r="N14" s="23">
        <v>0</v>
      </c>
      <c r="O14" s="43">
        <v>0</v>
      </c>
    </row>
    <row r="15" spans="1:15" x14ac:dyDescent="0.3">
      <c r="A15" t="str">
        <f t="shared" si="0"/>
        <v>SmallCarPremiumPHEV50</v>
      </c>
      <c r="B15" s="79" t="str">
        <f>'Vehicle Attributes - Base Year'!B12</f>
        <v>SmallCar</v>
      </c>
      <c r="C15" s="68" t="str">
        <f>'Vehicle Attributes - Base Year'!C12</f>
        <v>Base</v>
      </c>
      <c r="D15" s="68" t="str">
        <f>'Vehicle Attributes - Base Year'!D12</f>
        <v>PHEV50</v>
      </c>
      <c r="E15" s="23">
        <v>0</v>
      </c>
      <c r="F15" s="23">
        <v>0</v>
      </c>
      <c r="G15" s="23">
        <v>0</v>
      </c>
      <c r="H15" s="23">
        <v>0</v>
      </c>
      <c r="I15" s="23">
        <v>0</v>
      </c>
      <c r="J15" s="23">
        <v>0</v>
      </c>
      <c r="K15" s="23">
        <v>0</v>
      </c>
      <c r="L15" s="23">
        <v>0</v>
      </c>
      <c r="M15" s="23">
        <v>0</v>
      </c>
      <c r="N15" s="23">
        <v>0</v>
      </c>
      <c r="O15" s="43">
        <v>0</v>
      </c>
    </row>
    <row r="16" spans="1:15" x14ac:dyDescent="0.3">
      <c r="A16" s="16" t="str">
        <f t="shared" si="0"/>
        <v>MedCarBasePHEV50</v>
      </c>
      <c r="B16" s="79" t="str">
        <f>'Vehicle Attributes - Base Year'!B13</f>
        <v>SmallCar</v>
      </c>
      <c r="C16" s="68" t="str">
        <f>'Vehicle Attributes - Base Year'!C13</f>
        <v>Premium</v>
      </c>
      <c r="D16" s="68" t="str">
        <f>'Vehicle Attributes - Base Year'!D13</f>
        <v>PHEV50</v>
      </c>
      <c r="E16" s="23">
        <v>0</v>
      </c>
      <c r="F16" s="23">
        <v>0</v>
      </c>
      <c r="G16" s="23">
        <v>0</v>
      </c>
      <c r="H16" s="23">
        <v>0</v>
      </c>
      <c r="I16" s="23">
        <v>0</v>
      </c>
      <c r="J16" s="23">
        <v>0</v>
      </c>
      <c r="K16" s="23">
        <v>0</v>
      </c>
      <c r="L16" s="23">
        <v>0</v>
      </c>
      <c r="M16" s="23">
        <v>0</v>
      </c>
      <c r="N16" s="23">
        <v>0</v>
      </c>
      <c r="O16" s="43">
        <v>0</v>
      </c>
    </row>
    <row r="17" spans="1:15" x14ac:dyDescent="0.3">
      <c r="A17" t="str">
        <f t="shared" si="0"/>
        <v>MedCarPremiumPHEV50</v>
      </c>
      <c r="B17" s="79" t="str">
        <f>'Vehicle Attributes - Base Year'!B14</f>
        <v>MedCar</v>
      </c>
      <c r="C17" s="68" t="str">
        <f>'Vehicle Attributes - Base Year'!C14</f>
        <v>Base</v>
      </c>
      <c r="D17" s="68" t="str">
        <f>'Vehicle Attributes - Base Year'!D14</f>
        <v>PHEV50</v>
      </c>
      <c r="E17" s="23">
        <v>0</v>
      </c>
      <c r="F17" s="23">
        <v>0</v>
      </c>
      <c r="G17" s="23">
        <v>0</v>
      </c>
      <c r="H17" s="23">
        <v>0</v>
      </c>
      <c r="I17" s="23">
        <v>0</v>
      </c>
      <c r="J17" s="23">
        <v>0</v>
      </c>
      <c r="K17" s="23">
        <v>0</v>
      </c>
      <c r="L17" s="23">
        <v>0</v>
      </c>
      <c r="M17" s="23">
        <v>0</v>
      </c>
      <c r="N17" s="23">
        <v>0</v>
      </c>
      <c r="O17" s="43">
        <v>0</v>
      </c>
    </row>
    <row r="18" spans="1:15" x14ac:dyDescent="0.3">
      <c r="A18" s="16" t="str">
        <f t="shared" si="0"/>
        <v>SmallSUVBasePHEV50</v>
      </c>
      <c r="B18" s="79" t="str">
        <f>'Vehicle Attributes - Base Year'!B15</f>
        <v>MedCar</v>
      </c>
      <c r="C18" s="68" t="str">
        <f>'Vehicle Attributes - Base Year'!C15</f>
        <v>Premium</v>
      </c>
      <c r="D18" s="68" t="str">
        <f>'Vehicle Attributes - Base Year'!D15</f>
        <v>PHEV50</v>
      </c>
      <c r="E18" s="23">
        <v>0</v>
      </c>
      <c r="F18" s="23">
        <v>0</v>
      </c>
      <c r="G18" s="23">
        <v>0</v>
      </c>
      <c r="H18" s="23">
        <v>0</v>
      </c>
      <c r="I18" s="23">
        <v>0</v>
      </c>
      <c r="J18" s="23">
        <v>0</v>
      </c>
      <c r="K18" s="23">
        <v>0</v>
      </c>
      <c r="L18" s="23">
        <v>0</v>
      </c>
      <c r="M18" s="23">
        <v>0</v>
      </c>
      <c r="N18" s="23">
        <v>0</v>
      </c>
      <c r="O18" s="43">
        <v>0</v>
      </c>
    </row>
    <row r="19" spans="1:15" x14ac:dyDescent="0.3">
      <c r="A19" t="str">
        <f t="shared" si="0"/>
        <v>SmallSUVPremiumPHEV50</v>
      </c>
      <c r="B19" s="79" t="str">
        <f>'Vehicle Attributes - Base Year'!B16</f>
        <v>SmallSUV</v>
      </c>
      <c r="C19" s="68" t="str">
        <f>'Vehicle Attributes - Base Year'!C16</f>
        <v>Base</v>
      </c>
      <c r="D19" s="68" t="str">
        <f>'Vehicle Attributes - Base Year'!D16</f>
        <v>PHEV50</v>
      </c>
      <c r="E19" s="23">
        <v>0</v>
      </c>
      <c r="F19" s="23">
        <v>0</v>
      </c>
      <c r="G19" s="23">
        <v>0</v>
      </c>
      <c r="H19" s="23">
        <v>0</v>
      </c>
      <c r="I19" s="23">
        <v>0</v>
      </c>
      <c r="J19" s="23">
        <v>0</v>
      </c>
      <c r="K19" s="23">
        <v>0</v>
      </c>
      <c r="L19" s="23">
        <v>0</v>
      </c>
      <c r="M19" s="23">
        <v>0</v>
      </c>
      <c r="N19" s="23">
        <v>0</v>
      </c>
      <c r="O19" s="43">
        <v>0</v>
      </c>
    </row>
    <row r="20" spans="1:15" x14ac:dyDescent="0.3">
      <c r="A20" s="16" t="str">
        <f t="shared" si="0"/>
        <v>MedSUVBasePHEV50</v>
      </c>
      <c r="B20" s="79" t="str">
        <f>'Vehicle Attributes - Base Year'!B17</f>
        <v>SmallSUV</v>
      </c>
      <c r="C20" s="68" t="str">
        <f>'Vehicle Attributes - Base Year'!C17</f>
        <v>Premium</v>
      </c>
      <c r="D20" s="68" t="str">
        <f>'Vehicle Attributes - Base Year'!D17</f>
        <v>PHEV50</v>
      </c>
      <c r="E20" s="23">
        <v>0</v>
      </c>
      <c r="F20" s="23">
        <v>0</v>
      </c>
      <c r="G20" s="23">
        <v>0</v>
      </c>
      <c r="H20" s="23">
        <v>0</v>
      </c>
      <c r="I20" s="23">
        <v>0</v>
      </c>
      <c r="J20" s="23">
        <v>0</v>
      </c>
      <c r="K20" s="23">
        <v>0</v>
      </c>
      <c r="L20" s="23">
        <v>0</v>
      </c>
      <c r="M20" s="23">
        <v>0</v>
      </c>
      <c r="N20" s="23">
        <v>0</v>
      </c>
      <c r="O20" s="43">
        <v>0</v>
      </c>
    </row>
    <row r="21" spans="1:15" x14ac:dyDescent="0.3">
      <c r="A21" t="str">
        <f t="shared" si="0"/>
        <v>MedSUVPremiumPHEV50</v>
      </c>
      <c r="B21" s="79" t="str">
        <f>'Vehicle Attributes - Base Year'!B18</f>
        <v>MedSUV</v>
      </c>
      <c r="C21" s="68" t="str">
        <f>'Vehicle Attributes - Base Year'!C18</f>
        <v>Base</v>
      </c>
      <c r="D21" s="68" t="str">
        <f>'Vehicle Attributes - Base Year'!D18</f>
        <v>PHEV50</v>
      </c>
      <c r="E21" s="23">
        <v>0</v>
      </c>
      <c r="F21" s="23">
        <v>0</v>
      </c>
      <c r="G21" s="23">
        <v>0</v>
      </c>
      <c r="H21" s="23">
        <v>0</v>
      </c>
      <c r="I21" s="23">
        <v>0</v>
      </c>
      <c r="J21" s="23">
        <v>0</v>
      </c>
      <c r="K21" s="23">
        <v>0</v>
      </c>
      <c r="L21" s="23">
        <v>0</v>
      </c>
      <c r="M21" s="23">
        <v>0</v>
      </c>
      <c r="N21" s="23">
        <v>0</v>
      </c>
      <c r="O21" s="43">
        <v>0</v>
      </c>
    </row>
    <row r="22" spans="1:15" x14ac:dyDescent="0.3">
      <c r="A22" s="16" t="str">
        <f t="shared" si="0"/>
        <v>PickupBasePHEV50</v>
      </c>
      <c r="B22" s="79" t="str">
        <f>'Vehicle Attributes - Base Year'!B19</f>
        <v>MedSUV</v>
      </c>
      <c r="C22" s="68" t="str">
        <f>'Vehicle Attributes - Base Year'!C19</f>
        <v>Premium</v>
      </c>
      <c r="D22" s="68" t="str">
        <f>'Vehicle Attributes - Base Year'!D19</f>
        <v>PHEV50</v>
      </c>
      <c r="E22" s="23">
        <v>0</v>
      </c>
      <c r="F22" s="23">
        <v>0</v>
      </c>
      <c r="G22" s="23">
        <v>0</v>
      </c>
      <c r="H22" s="23">
        <v>0</v>
      </c>
      <c r="I22" s="23">
        <v>0</v>
      </c>
      <c r="J22" s="23">
        <v>0</v>
      </c>
      <c r="K22" s="23">
        <v>0</v>
      </c>
      <c r="L22" s="23">
        <v>0</v>
      </c>
      <c r="M22" s="23">
        <v>0</v>
      </c>
      <c r="N22" s="23">
        <v>0</v>
      </c>
      <c r="O22" s="43">
        <v>0</v>
      </c>
    </row>
    <row r="23" spans="1:15" x14ac:dyDescent="0.3">
      <c r="A23" t="str">
        <f t="shared" si="0"/>
        <v>PickupHTPHEV50</v>
      </c>
      <c r="B23" s="79" t="str">
        <f>'Vehicle Attributes - Base Year'!B20</f>
        <v>Pickup</v>
      </c>
      <c r="C23" s="68" t="str">
        <f>'Vehicle Attributes - Base Year'!C20</f>
        <v>Base</v>
      </c>
      <c r="D23" s="68" t="str">
        <f>'Vehicle Attributes - Base Year'!D20</f>
        <v>PHEV50</v>
      </c>
      <c r="E23" s="23">
        <v>0</v>
      </c>
      <c r="F23" s="23">
        <v>0</v>
      </c>
      <c r="G23" s="23">
        <v>0</v>
      </c>
      <c r="H23" s="23">
        <v>0</v>
      </c>
      <c r="I23" s="23">
        <v>0</v>
      </c>
      <c r="J23" s="23">
        <v>0</v>
      </c>
      <c r="K23" s="23">
        <v>0</v>
      </c>
      <c r="L23" s="23">
        <v>0</v>
      </c>
      <c r="M23" s="23">
        <v>0</v>
      </c>
      <c r="N23" s="23">
        <v>0</v>
      </c>
      <c r="O23" s="43">
        <v>0</v>
      </c>
    </row>
    <row r="24" spans="1:15" x14ac:dyDescent="0.3">
      <c r="A24" s="16" t="str">
        <f t="shared" si="0"/>
        <v>SmallCarBaseFCEV320</v>
      </c>
      <c r="B24" s="79" t="str">
        <f>'Vehicle Attributes - Base Year'!B21</f>
        <v>Pickup</v>
      </c>
      <c r="C24" s="68" t="str">
        <f>'Vehicle Attributes - Base Year'!C21</f>
        <v>HT</v>
      </c>
      <c r="D24" s="68" t="str">
        <f>'Vehicle Attributes - Base Year'!D21</f>
        <v>PHEV50</v>
      </c>
      <c r="E24" s="23">
        <v>0</v>
      </c>
      <c r="F24" s="23">
        <v>0</v>
      </c>
      <c r="G24" s="23">
        <v>0</v>
      </c>
      <c r="H24" s="23">
        <v>0</v>
      </c>
      <c r="I24" s="23">
        <v>0</v>
      </c>
      <c r="J24" s="23">
        <v>0</v>
      </c>
      <c r="K24" s="23">
        <v>0</v>
      </c>
      <c r="L24" s="23">
        <v>0</v>
      </c>
      <c r="M24" s="23">
        <v>0</v>
      </c>
      <c r="N24" s="23">
        <v>0</v>
      </c>
      <c r="O24" s="43">
        <v>0</v>
      </c>
    </row>
    <row r="25" spans="1:15" x14ac:dyDescent="0.3">
      <c r="A25" t="str">
        <f t="shared" si="0"/>
        <v>SmallCarPremiumFCEV320</v>
      </c>
      <c r="B25" s="79" t="str">
        <f>'Vehicle Attributes - Base Year'!B22</f>
        <v>SmallCar</v>
      </c>
      <c r="C25" s="68" t="str">
        <f>'Vehicle Attributes - Base Year'!C22</f>
        <v>Base</v>
      </c>
      <c r="D25" s="68" t="str">
        <f>'Vehicle Attributes - Base Year'!D22</f>
        <v>FCEV320</v>
      </c>
      <c r="E25" s="23">
        <f>FCEV!E19</f>
        <v>87.918000000000006</v>
      </c>
      <c r="F25" s="23">
        <f>FCEV!F19</f>
        <v>86.790400000000005</v>
      </c>
      <c r="G25" s="23">
        <f>FCEV!G19</f>
        <v>85.662800000000004</v>
      </c>
      <c r="H25" s="23">
        <f>FCEV!H19</f>
        <v>84.535200000000003</v>
      </c>
      <c r="I25" s="23">
        <f>FCEV!I19</f>
        <v>83.407600000000002</v>
      </c>
      <c r="J25" s="23">
        <f>FCEV!J19</f>
        <v>82.28</v>
      </c>
      <c r="K25" s="23">
        <f>FCEV!K19</f>
        <v>81.535399999999996</v>
      </c>
      <c r="L25" s="23">
        <f>FCEV!L19</f>
        <v>80.790800000000004</v>
      </c>
      <c r="M25" s="23">
        <f>FCEV!M19</f>
        <v>80.046199999999999</v>
      </c>
      <c r="N25" s="23">
        <f>FCEV!N19</f>
        <v>79.301600000000008</v>
      </c>
      <c r="O25" s="43">
        <f>FCEV!O19</f>
        <v>78.557000000000002</v>
      </c>
    </row>
    <row r="26" spans="1:15" x14ac:dyDescent="0.3">
      <c r="A26" s="16" t="str">
        <f t="shared" si="0"/>
        <v>MedCarBaseFCEV320</v>
      </c>
      <c r="B26" s="79" t="str">
        <f>'Vehicle Attributes - Base Year'!B23</f>
        <v>SmallCar</v>
      </c>
      <c r="C26" s="68" t="str">
        <f>'Vehicle Attributes - Base Year'!C23</f>
        <v>Premium</v>
      </c>
      <c r="D26" s="68" t="str">
        <f>'Vehicle Attributes - Base Year'!D23</f>
        <v>FCEV320</v>
      </c>
      <c r="E26" s="23">
        <f>FCEV!E20</f>
        <v>87.918000000000006</v>
      </c>
      <c r="F26" s="23">
        <f>FCEV!F20</f>
        <v>86.790400000000005</v>
      </c>
      <c r="G26" s="23">
        <f>FCEV!G20</f>
        <v>85.662800000000004</v>
      </c>
      <c r="H26" s="23">
        <f>FCEV!H20</f>
        <v>84.535200000000003</v>
      </c>
      <c r="I26" s="23">
        <f>FCEV!I20</f>
        <v>83.407600000000002</v>
      </c>
      <c r="J26" s="23">
        <f>FCEV!J20</f>
        <v>82.28</v>
      </c>
      <c r="K26" s="23">
        <f>FCEV!K20</f>
        <v>81.535399999999996</v>
      </c>
      <c r="L26" s="23">
        <f>FCEV!L20</f>
        <v>80.790800000000004</v>
      </c>
      <c r="M26" s="23">
        <f>FCEV!M20</f>
        <v>80.046199999999999</v>
      </c>
      <c r="N26" s="23">
        <f>FCEV!N20</f>
        <v>79.301600000000008</v>
      </c>
      <c r="O26" s="43">
        <f>FCEV!O20</f>
        <v>78.557000000000002</v>
      </c>
    </row>
    <row r="27" spans="1:15" x14ac:dyDescent="0.3">
      <c r="A27" t="str">
        <f t="shared" si="0"/>
        <v>MedCarPremiumFCEV320</v>
      </c>
      <c r="B27" s="79" t="str">
        <f>'Vehicle Attributes - Base Year'!B24</f>
        <v>MedCar</v>
      </c>
      <c r="C27" s="68" t="str">
        <f>'Vehicle Attributes - Base Year'!C24</f>
        <v>Base</v>
      </c>
      <c r="D27" s="68" t="str">
        <f>'Vehicle Attributes - Base Year'!D24</f>
        <v>FCEV320</v>
      </c>
      <c r="E27" s="23">
        <f>FCEV!E21</f>
        <v>131.17099999999999</v>
      </c>
      <c r="F27" s="23">
        <f>FCEV!F21</f>
        <v>128.63059999999999</v>
      </c>
      <c r="G27" s="23">
        <f>FCEV!G21</f>
        <v>126.0902</v>
      </c>
      <c r="H27" s="23">
        <f>FCEV!H21</f>
        <v>123.54979999999999</v>
      </c>
      <c r="I27" s="23">
        <f>FCEV!I21</f>
        <v>121.0094</v>
      </c>
      <c r="J27" s="23">
        <f>FCEV!J21</f>
        <v>118.46899999999999</v>
      </c>
      <c r="K27" s="23">
        <f>FCEV!K21</f>
        <v>116.61699999999999</v>
      </c>
      <c r="L27" s="23">
        <f>FCEV!L21</f>
        <v>114.765</v>
      </c>
      <c r="M27" s="23">
        <f>FCEV!M21</f>
        <v>112.913</v>
      </c>
      <c r="N27" s="23">
        <f>FCEV!N21</f>
        <v>111.06100000000001</v>
      </c>
      <c r="O27" s="43">
        <f>FCEV!O21</f>
        <v>109.209</v>
      </c>
    </row>
    <row r="28" spans="1:15" x14ac:dyDescent="0.3">
      <c r="A28" s="16" t="str">
        <f t="shared" si="0"/>
        <v>SmallSUVBaseFCEV320</v>
      </c>
      <c r="B28" s="79" t="str">
        <f>'Vehicle Attributes - Base Year'!B25</f>
        <v>MedCar</v>
      </c>
      <c r="C28" s="68" t="str">
        <f>'Vehicle Attributes - Base Year'!C25</f>
        <v>Premium</v>
      </c>
      <c r="D28" s="68" t="str">
        <f>'Vehicle Attributes - Base Year'!D25</f>
        <v>FCEV320</v>
      </c>
      <c r="E28" s="23">
        <f>FCEV!E22</f>
        <v>131.17099999999999</v>
      </c>
      <c r="F28" s="23">
        <f>FCEV!F22</f>
        <v>128.63059999999999</v>
      </c>
      <c r="G28" s="23">
        <f>FCEV!G22</f>
        <v>126.0902</v>
      </c>
      <c r="H28" s="23">
        <f>FCEV!H22</f>
        <v>123.54979999999999</v>
      </c>
      <c r="I28" s="23">
        <f>FCEV!I22</f>
        <v>121.0094</v>
      </c>
      <c r="J28" s="23">
        <f>FCEV!J22</f>
        <v>118.46899999999999</v>
      </c>
      <c r="K28" s="23">
        <f>FCEV!K22</f>
        <v>116.61699999999999</v>
      </c>
      <c r="L28" s="23">
        <f>FCEV!L22</f>
        <v>114.765</v>
      </c>
      <c r="M28" s="23">
        <f>FCEV!M22</f>
        <v>112.913</v>
      </c>
      <c r="N28" s="23">
        <f>FCEV!N22</f>
        <v>111.06100000000001</v>
      </c>
      <c r="O28" s="43">
        <f>FCEV!O22</f>
        <v>109.209</v>
      </c>
    </row>
    <row r="29" spans="1:15" x14ac:dyDescent="0.3">
      <c r="A29" t="str">
        <f t="shared" si="0"/>
        <v>SmallSUVPremiumFCEV320</v>
      </c>
      <c r="B29" s="79" t="str">
        <f>'Vehicle Attributes - Base Year'!B26</f>
        <v>SmallSUV</v>
      </c>
      <c r="C29" s="68" t="str">
        <f>'Vehicle Attributes - Base Year'!C26</f>
        <v>Base</v>
      </c>
      <c r="D29" s="68" t="str">
        <f>'Vehicle Attributes - Base Year'!D26</f>
        <v>FCEV320</v>
      </c>
      <c r="E29" s="23">
        <f>FCEV!E23</f>
        <v>122.539</v>
      </c>
      <c r="F29" s="23">
        <f>FCEV!F23</f>
        <v>120.97320000000001</v>
      </c>
      <c r="G29" s="23">
        <f>FCEV!G23</f>
        <v>119.4074</v>
      </c>
      <c r="H29" s="23">
        <f>FCEV!H23</f>
        <v>117.8416</v>
      </c>
      <c r="I29" s="23">
        <f>FCEV!I23</f>
        <v>116.27579999999999</v>
      </c>
      <c r="J29" s="23">
        <f>FCEV!J23</f>
        <v>114.71</v>
      </c>
      <c r="K29" s="23">
        <f>FCEV!K23</f>
        <v>113.1768</v>
      </c>
      <c r="L29" s="23">
        <f>FCEV!L23</f>
        <v>111.64359999999999</v>
      </c>
      <c r="M29" s="23">
        <f>FCEV!M23</f>
        <v>110.1104</v>
      </c>
      <c r="N29" s="23">
        <f>FCEV!N23</f>
        <v>108.57719999999999</v>
      </c>
      <c r="O29" s="43">
        <f>FCEV!O23</f>
        <v>107.044</v>
      </c>
    </row>
    <row r="30" spans="1:15" x14ac:dyDescent="0.3">
      <c r="A30" s="16" t="str">
        <f t="shared" si="0"/>
        <v>MedSUVBaseFCEV320</v>
      </c>
      <c r="B30" s="79" t="str">
        <f>'Vehicle Attributes - Base Year'!B27</f>
        <v>SmallSUV</v>
      </c>
      <c r="C30" s="68" t="str">
        <f>'Vehicle Attributes - Base Year'!C27</f>
        <v>Premium</v>
      </c>
      <c r="D30" s="68" t="str">
        <f>'Vehicle Attributes - Base Year'!D27</f>
        <v>FCEV320</v>
      </c>
      <c r="E30" s="23">
        <f>FCEV!E24</f>
        <v>122.539</v>
      </c>
      <c r="F30" s="23">
        <f>FCEV!F24</f>
        <v>120.97320000000001</v>
      </c>
      <c r="G30" s="23">
        <f>FCEV!G24</f>
        <v>119.4074</v>
      </c>
      <c r="H30" s="23">
        <f>FCEV!H24</f>
        <v>117.8416</v>
      </c>
      <c r="I30" s="23">
        <f>FCEV!I24</f>
        <v>116.27579999999999</v>
      </c>
      <c r="J30" s="23">
        <f>FCEV!J24</f>
        <v>114.71</v>
      </c>
      <c r="K30" s="23">
        <f>FCEV!K24</f>
        <v>113.1768</v>
      </c>
      <c r="L30" s="23">
        <f>FCEV!L24</f>
        <v>111.64359999999999</v>
      </c>
      <c r="M30" s="23">
        <f>FCEV!M24</f>
        <v>110.1104</v>
      </c>
      <c r="N30" s="23">
        <f>FCEV!N24</f>
        <v>108.57719999999999</v>
      </c>
      <c r="O30" s="43">
        <f>FCEV!O24</f>
        <v>107.044</v>
      </c>
    </row>
    <row r="31" spans="1:15" x14ac:dyDescent="0.3">
      <c r="A31" t="str">
        <f t="shared" si="0"/>
        <v>MedSUVPremiumFCEV320</v>
      </c>
      <c r="B31" s="79" t="str">
        <f>'Vehicle Attributes - Base Year'!B28</f>
        <v>MedSUV</v>
      </c>
      <c r="C31" s="68" t="str">
        <f>'Vehicle Attributes - Base Year'!C28</f>
        <v>Base</v>
      </c>
      <c r="D31" s="68" t="str">
        <f>'Vehicle Attributes - Base Year'!D28</f>
        <v>FCEV320</v>
      </c>
      <c r="E31" s="23">
        <f>FCEV!E25</f>
        <v>139.38399999999999</v>
      </c>
      <c r="F31" s="23">
        <f>FCEV!F25</f>
        <v>137.32459999999998</v>
      </c>
      <c r="G31" s="23">
        <f>FCEV!G25</f>
        <v>135.26519999999999</v>
      </c>
      <c r="H31" s="23">
        <f>FCEV!H25</f>
        <v>133.20579999999998</v>
      </c>
      <c r="I31" s="23">
        <f>FCEV!I25</f>
        <v>131.1464</v>
      </c>
      <c r="J31" s="23">
        <f>FCEV!J25</f>
        <v>129.08699999999999</v>
      </c>
      <c r="K31" s="23">
        <f>FCEV!K25</f>
        <v>127.32959999999999</v>
      </c>
      <c r="L31" s="23">
        <f>FCEV!L25</f>
        <v>125.5722</v>
      </c>
      <c r="M31" s="23">
        <f>FCEV!M25</f>
        <v>123.81479999999999</v>
      </c>
      <c r="N31" s="23">
        <f>FCEV!N25</f>
        <v>122.0574</v>
      </c>
      <c r="O31" s="43">
        <f>FCEV!O25</f>
        <v>120.3</v>
      </c>
    </row>
    <row r="32" spans="1:15" x14ac:dyDescent="0.3">
      <c r="A32" s="16" t="str">
        <f t="shared" si="0"/>
        <v>PickupBaseFCEV320</v>
      </c>
      <c r="B32" s="79" t="str">
        <f>'Vehicle Attributes - Base Year'!B29</f>
        <v>MedSUV</v>
      </c>
      <c r="C32" s="68" t="str">
        <f>'Vehicle Attributes - Base Year'!C29</f>
        <v>Premium</v>
      </c>
      <c r="D32" s="68" t="str">
        <f>'Vehicle Attributes - Base Year'!D29</f>
        <v>FCEV320</v>
      </c>
      <c r="E32" s="23">
        <f>FCEV!E26</f>
        <v>139.38399999999999</v>
      </c>
      <c r="F32" s="23">
        <f>FCEV!F26</f>
        <v>137.32459999999998</v>
      </c>
      <c r="G32" s="23">
        <f>FCEV!G26</f>
        <v>135.26519999999999</v>
      </c>
      <c r="H32" s="23">
        <f>FCEV!H26</f>
        <v>133.20579999999998</v>
      </c>
      <c r="I32" s="23">
        <f>FCEV!I26</f>
        <v>131.1464</v>
      </c>
      <c r="J32" s="23">
        <f>FCEV!J26</f>
        <v>129.08699999999999</v>
      </c>
      <c r="K32" s="23">
        <f>FCEV!K26</f>
        <v>127.32959999999999</v>
      </c>
      <c r="L32" s="23">
        <f>FCEV!L26</f>
        <v>125.5722</v>
      </c>
      <c r="M32" s="23">
        <f>FCEV!M26</f>
        <v>123.81479999999999</v>
      </c>
      <c r="N32" s="23">
        <f>FCEV!N26</f>
        <v>122.0574</v>
      </c>
      <c r="O32" s="43">
        <f>FCEV!O26</f>
        <v>120.3</v>
      </c>
    </row>
    <row r="33" spans="1:15" x14ac:dyDescent="0.3">
      <c r="A33" t="str">
        <f t="shared" si="0"/>
        <v>PickupHTFCEV320</v>
      </c>
      <c r="B33" s="79" t="str">
        <f>'Vehicle Attributes - Base Year'!B30</f>
        <v>Pickup</v>
      </c>
      <c r="C33" s="68" t="str">
        <f>'Vehicle Attributes - Base Year'!C30</f>
        <v>Base</v>
      </c>
      <c r="D33" s="68" t="str">
        <f>'Vehicle Attributes - Base Year'!D30</f>
        <v>FCEV320</v>
      </c>
      <c r="E33" s="23">
        <f>FCEV!E27</f>
        <v>162.08099999999999</v>
      </c>
      <c r="F33" s="23">
        <f>FCEV!F27</f>
        <v>159.18379999999999</v>
      </c>
      <c r="G33" s="23">
        <f>FCEV!G27</f>
        <v>156.28659999999999</v>
      </c>
      <c r="H33" s="23">
        <f>FCEV!H27</f>
        <v>153.38939999999999</v>
      </c>
      <c r="I33" s="23">
        <f>FCEV!I27</f>
        <v>150.4922</v>
      </c>
      <c r="J33" s="23">
        <f>FCEV!J27</f>
        <v>147.595</v>
      </c>
      <c r="K33" s="23">
        <f>FCEV!K27</f>
        <v>145.72380000000001</v>
      </c>
      <c r="L33" s="23">
        <f>FCEV!L27</f>
        <v>143.8526</v>
      </c>
      <c r="M33" s="23">
        <f>FCEV!M27</f>
        <v>141.98140000000001</v>
      </c>
      <c r="N33" s="23">
        <f>FCEV!N27</f>
        <v>140.11019999999999</v>
      </c>
      <c r="O33" s="43">
        <f>FCEV!O27</f>
        <v>138.239</v>
      </c>
    </row>
    <row r="34" spans="1:15" x14ac:dyDescent="0.3">
      <c r="B34" s="79" t="str">
        <f>'Vehicle Attributes - Base Year'!B31</f>
        <v>Pickup</v>
      </c>
      <c r="C34" s="68" t="str">
        <f>'Vehicle Attributes - Base Year'!C31</f>
        <v>HT</v>
      </c>
      <c r="D34" s="68" t="str">
        <f>'Vehicle Attributes - Base Year'!D31</f>
        <v>FCEV320</v>
      </c>
      <c r="E34" s="23">
        <f>FCEV!E28</f>
        <v>162.08099999999999</v>
      </c>
      <c r="F34" s="23">
        <f>FCEV!F28</f>
        <v>159.18379999999999</v>
      </c>
      <c r="G34" s="23">
        <f>FCEV!G28</f>
        <v>156.28659999999999</v>
      </c>
      <c r="H34" s="23">
        <f>FCEV!H28</f>
        <v>153.38939999999999</v>
      </c>
      <c r="I34" s="23">
        <f>FCEV!I28</f>
        <v>150.4922</v>
      </c>
      <c r="J34" s="23">
        <f>FCEV!J28</f>
        <v>147.595</v>
      </c>
      <c r="K34" s="23">
        <f>FCEV!K28</f>
        <v>145.72380000000001</v>
      </c>
      <c r="L34" s="23">
        <f>FCEV!L28</f>
        <v>143.8526</v>
      </c>
      <c r="M34" s="23">
        <f>FCEV!M28</f>
        <v>141.98140000000001</v>
      </c>
      <c r="N34" s="23">
        <f>FCEV!N28</f>
        <v>140.11019999999999</v>
      </c>
      <c r="O34" s="43">
        <f>FCEV!O28</f>
        <v>138.239</v>
      </c>
    </row>
  </sheetData>
  <mergeCells count="2">
    <mergeCell ref="E2:O2"/>
    <mergeCell ref="B1:O1"/>
  </mergeCells>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36A393"/>
  </sheetPr>
  <dimension ref="A1:O34"/>
  <sheetViews>
    <sheetView topLeftCell="B1" workbookViewId="0">
      <selection activeCell="B1" sqref="B1:O1"/>
    </sheetView>
  </sheetViews>
  <sheetFormatPr defaultRowHeight="14.4" x14ac:dyDescent="0.3"/>
  <cols>
    <col min="1" max="1" width="0" hidden="1" customWidth="1"/>
    <col min="2" max="2" width="12.5546875" bestFit="1" customWidth="1"/>
    <col min="3" max="3" width="12.44140625" bestFit="1" customWidth="1"/>
    <col min="4" max="10" width="11" customWidth="1"/>
    <col min="11" max="15" width="12" customWidth="1"/>
    <col min="18" max="18" width="25" bestFit="1" customWidth="1"/>
  </cols>
  <sheetData>
    <row r="1" spans="1:15" x14ac:dyDescent="0.3">
      <c r="B1" s="170" t="s">
        <v>227</v>
      </c>
      <c r="C1" s="175"/>
      <c r="D1" s="175"/>
      <c r="E1" s="175"/>
      <c r="F1" s="175"/>
      <c r="G1" s="175"/>
      <c r="H1" s="175"/>
      <c r="I1" s="175"/>
      <c r="J1" s="175"/>
      <c r="K1" s="175"/>
      <c r="L1" s="175"/>
      <c r="M1" s="175"/>
      <c r="N1" s="175"/>
      <c r="O1" s="171"/>
    </row>
    <row r="2" spans="1:15" x14ac:dyDescent="0.3">
      <c r="B2" s="73"/>
      <c r="C2" s="73"/>
      <c r="D2" s="74"/>
      <c r="E2" s="195" t="s">
        <v>155</v>
      </c>
      <c r="F2" s="195"/>
      <c r="G2" s="195"/>
      <c r="H2" s="195"/>
      <c r="I2" s="195"/>
      <c r="J2" s="195"/>
      <c r="K2" s="195"/>
      <c r="L2" s="195"/>
      <c r="M2" s="195"/>
      <c r="N2" s="195"/>
      <c r="O2" s="196"/>
    </row>
    <row r="3" spans="1:15" x14ac:dyDescent="0.3">
      <c r="B3" s="75" t="s">
        <v>100</v>
      </c>
      <c r="C3" s="75" t="s">
        <v>101</v>
      </c>
      <c r="D3" s="76" t="s">
        <v>67</v>
      </c>
      <c r="E3" s="77">
        <v>2025</v>
      </c>
      <c r="F3" s="78">
        <v>2026</v>
      </c>
      <c r="G3" s="78">
        <v>2027</v>
      </c>
      <c r="H3" s="78">
        <v>2028</v>
      </c>
      <c r="I3" s="78">
        <v>2029</v>
      </c>
      <c r="J3" s="78">
        <v>2030</v>
      </c>
      <c r="K3" s="78">
        <v>2031</v>
      </c>
      <c r="L3" s="78">
        <v>2032</v>
      </c>
      <c r="M3" s="78">
        <v>2033</v>
      </c>
      <c r="N3" s="78">
        <v>2034</v>
      </c>
      <c r="O3" s="148">
        <v>2035</v>
      </c>
    </row>
    <row r="4" spans="1:15" x14ac:dyDescent="0.3">
      <c r="A4" s="16" t="str">
        <f t="shared" ref="A4:A33" si="0">CONCATENATE(B5,C5,D5,)</f>
        <v>SmallCarBaseBEV300</v>
      </c>
      <c r="B4" s="79" t="s">
        <v>64</v>
      </c>
      <c r="C4" s="68" t="s">
        <v>65</v>
      </c>
      <c r="D4" s="68" t="s">
        <v>156</v>
      </c>
      <c r="E4" s="23" t="s">
        <v>157</v>
      </c>
      <c r="F4" s="23" t="s">
        <v>158</v>
      </c>
      <c r="G4" s="23" t="s">
        <v>159</v>
      </c>
      <c r="H4" s="23" t="s">
        <v>160</v>
      </c>
      <c r="I4" s="23" t="s">
        <v>161</v>
      </c>
      <c r="J4" s="23" t="s">
        <v>162</v>
      </c>
      <c r="K4" s="23" t="s">
        <v>163</v>
      </c>
      <c r="L4" s="23" t="s">
        <v>164</v>
      </c>
      <c r="M4" s="23" t="s">
        <v>165</v>
      </c>
      <c r="N4" s="23" t="s">
        <v>166</v>
      </c>
      <c r="O4" s="43" t="s">
        <v>167</v>
      </c>
    </row>
    <row r="5" spans="1:15" x14ac:dyDescent="0.3">
      <c r="A5" t="str">
        <f t="shared" si="0"/>
        <v>SmallCarPremiumBEV400</v>
      </c>
      <c r="B5" s="79" t="str">
        <f>'Vehicle Attributes - Base Year'!B2</f>
        <v>SmallCar</v>
      </c>
      <c r="C5" s="68" t="str">
        <f>'Vehicle Attributes - Base Year'!C2</f>
        <v>Base</v>
      </c>
      <c r="D5" s="68" t="str">
        <f>'Vehicle Attributes - Base Year'!D2</f>
        <v>BEV300</v>
      </c>
      <c r="E5" s="23">
        <v>0</v>
      </c>
      <c r="F5" s="23">
        <v>0</v>
      </c>
      <c r="G5" s="23">
        <v>0</v>
      </c>
      <c r="H5" s="23">
        <v>0</v>
      </c>
      <c r="I5" s="23">
        <v>0</v>
      </c>
      <c r="J5" s="23">
        <v>0</v>
      </c>
      <c r="K5" s="23">
        <v>0</v>
      </c>
      <c r="L5" s="23">
        <v>0</v>
      </c>
      <c r="M5" s="23">
        <v>0</v>
      </c>
      <c r="N5" s="23">
        <v>0</v>
      </c>
      <c r="O5" s="43">
        <v>0</v>
      </c>
    </row>
    <row r="6" spans="1:15" x14ac:dyDescent="0.3">
      <c r="A6" s="16" t="str">
        <f t="shared" si="0"/>
        <v>MedCarBaseBEV300</v>
      </c>
      <c r="B6" s="79" t="str">
        <f>'Vehicle Attributes - Base Year'!B3</f>
        <v>SmallCar</v>
      </c>
      <c r="C6" s="68" t="str">
        <f>'Vehicle Attributes - Base Year'!C3</f>
        <v>Premium</v>
      </c>
      <c r="D6" s="68" t="str">
        <f>'Vehicle Attributes - Base Year'!D3</f>
        <v>BEV400</v>
      </c>
      <c r="E6" s="23">
        <v>0</v>
      </c>
      <c r="F6" s="23">
        <v>0</v>
      </c>
      <c r="G6" s="23">
        <v>0</v>
      </c>
      <c r="H6" s="23">
        <v>0</v>
      </c>
      <c r="I6" s="23">
        <v>0</v>
      </c>
      <c r="J6" s="23">
        <v>0</v>
      </c>
      <c r="K6" s="23">
        <v>0</v>
      </c>
      <c r="L6" s="23">
        <v>0</v>
      </c>
      <c r="M6" s="23">
        <v>0</v>
      </c>
      <c r="N6" s="23">
        <v>0</v>
      </c>
      <c r="O6" s="43">
        <v>0</v>
      </c>
    </row>
    <row r="7" spans="1:15" x14ac:dyDescent="0.3">
      <c r="A7" t="str">
        <f t="shared" si="0"/>
        <v>MedCarPremiumBEV400</v>
      </c>
      <c r="B7" s="79" t="str">
        <f>'Vehicle Attributes - Base Year'!B4</f>
        <v>MedCar</v>
      </c>
      <c r="C7" s="68" t="str">
        <f>'Vehicle Attributes - Base Year'!C4</f>
        <v>Base</v>
      </c>
      <c r="D7" s="68" t="str">
        <f>'Vehicle Attributes - Base Year'!D4</f>
        <v>BEV300</v>
      </c>
      <c r="E7" s="23">
        <v>0</v>
      </c>
      <c r="F7" s="23">
        <v>0</v>
      </c>
      <c r="G7" s="23">
        <v>0</v>
      </c>
      <c r="H7" s="23">
        <v>0</v>
      </c>
      <c r="I7" s="23">
        <v>0</v>
      </c>
      <c r="J7" s="23">
        <v>0</v>
      </c>
      <c r="K7" s="23">
        <v>0</v>
      </c>
      <c r="L7" s="23">
        <v>0</v>
      </c>
      <c r="M7" s="23">
        <v>0</v>
      </c>
      <c r="N7" s="23">
        <v>0</v>
      </c>
      <c r="O7" s="43">
        <v>0</v>
      </c>
    </row>
    <row r="8" spans="1:15" x14ac:dyDescent="0.3">
      <c r="A8" s="16" t="str">
        <f t="shared" si="0"/>
        <v>SmallSUVBaseBEV300</v>
      </c>
      <c r="B8" s="79" t="str">
        <f>'Vehicle Attributes - Base Year'!B5</f>
        <v>MedCar</v>
      </c>
      <c r="C8" s="68" t="str">
        <f>'Vehicle Attributes - Base Year'!C5</f>
        <v>Premium</v>
      </c>
      <c r="D8" s="68" t="str">
        <f>'Vehicle Attributes - Base Year'!D5</f>
        <v>BEV400</v>
      </c>
      <c r="E8" s="23">
        <v>0</v>
      </c>
      <c r="F8" s="23">
        <v>0</v>
      </c>
      <c r="G8" s="23">
        <v>0</v>
      </c>
      <c r="H8" s="23">
        <v>0</v>
      </c>
      <c r="I8" s="23">
        <v>0</v>
      </c>
      <c r="J8" s="23">
        <v>0</v>
      </c>
      <c r="K8" s="23">
        <v>0</v>
      </c>
      <c r="L8" s="23">
        <v>0</v>
      </c>
      <c r="M8" s="23">
        <v>0</v>
      </c>
      <c r="N8" s="23">
        <v>0</v>
      </c>
      <c r="O8" s="43">
        <v>0</v>
      </c>
    </row>
    <row r="9" spans="1:15" x14ac:dyDescent="0.3">
      <c r="A9" t="str">
        <f t="shared" si="0"/>
        <v>SmallSUVPremiumBEV400</v>
      </c>
      <c r="B9" s="79" t="str">
        <f>'Vehicle Attributes - Base Year'!B6</f>
        <v>SmallSUV</v>
      </c>
      <c r="C9" s="68" t="str">
        <f>'Vehicle Attributes - Base Year'!C6</f>
        <v>Base</v>
      </c>
      <c r="D9" s="68" t="str">
        <f>'Vehicle Attributes - Base Year'!D6</f>
        <v>BEV300</v>
      </c>
      <c r="E9" s="23">
        <v>0</v>
      </c>
      <c r="F9" s="23">
        <v>0</v>
      </c>
      <c r="G9" s="23">
        <v>0</v>
      </c>
      <c r="H9" s="23">
        <v>0</v>
      </c>
      <c r="I9" s="23">
        <v>0</v>
      </c>
      <c r="J9" s="23">
        <v>0</v>
      </c>
      <c r="K9" s="23">
        <v>0</v>
      </c>
      <c r="L9" s="23">
        <v>0</v>
      </c>
      <c r="M9" s="23">
        <v>0</v>
      </c>
      <c r="N9" s="23">
        <v>0</v>
      </c>
      <c r="O9" s="43">
        <v>0</v>
      </c>
    </row>
    <row r="10" spans="1:15" x14ac:dyDescent="0.3">
      <c r="A10" s="16" t="str">
        <f t="shared" si="0"/>
        <v>MedSUVBaseBEV300</v>
      </c>
      <c r="B10" s="79" t="str">
        <f>'Vehicle Attributes - Base Year'!B7</f>
        <v>SmallSUV</v>
      </c>
      <c r="C10" s="68" t="str">
        <f>'Vehicle Attributes - Base Year'!C7</f>
        <v>Premium</v>
      </c>
      <c r="D10" s="68" t="str">
        <f>'Vehicle Attributes - Base Year'!D7</f>
        <v>BEV400</v>
      </c>
      <c r="E10" s="23">
        <v>0</v>
      </c>
      <c r="F10" s="23">
        <v>0</v>
      </c>
      <c r="G10" s="23">
        <v>0</v>
      </c>
      <c r="H10" s="23">
        <v>0</v>
      </c>
      <c r="I10" s="23">
        <v>0</v>
      </c>
      <c r="J10" s="23">
        <v>0</v>
      </c>
      <c r="K10" s="23">
        <v>0</v>
      </c>
      <c r="L10" s="23">
        <v>0</v>
      </c>
      <c r="M10" s="23">
        <v>0</v>
      </c>
      <c r="N10" s="23">
        <v>0</v>
      </c>
      <c r="O10" s="43">
        <v>0</v>
      </c>
    </row>
    <row r="11" spans="1:15" x14ac:dyDescent="0.3">
      <c r="A11" t="str">
        <f t="shared" si="0"/>
        <v>MedSUVPremiumBEV400</v>
      </c>
      <c r="B11" s="79" t="str">
        <f>'Vehicle Attributes - Base Year'!B8</f>
        <v>MedSUV</v>
      </c>
      <c r="C11" s="68" t="str">
        <f>'Vehicle Attributes - Base Year'!C8</f>
        <v>Base</v>
      </c>
      <c r="D11" s="68" t="str">
        <f>'Vehicle Attributes - Base Year'!D8</f>
        <v>BEV300</v>
      </c>
      <c r="E11" s="23">
        <v>0</v>
      </c>
      <c r="F11" s="23">
        <v>0</v>
      </c>
      <c r="G11" s="23">
        <v>0</v>
      </c>
      <c r="H11" s="23">
        <v>0</v>
      </c>
      <c r="I11" s="23">
        <v>0</v>
      </c>
      <c r="J11" s="23">
        <v>0</v>
      </c>
      <c r="K11" s="23">
        <v>0</v>
      </c>
      <c r="L11" s="23">
        <v>0</v>
      </c>
      <c r="M11" s="23">
        <v>0</v>
      </c>
      <c r="N11" s="23">
        <v>0</v>
      </c>
      <c r="O11" s="43">
        <v>0</v>
      </c>
    </row>
    <row r="12" spans="1:15" x14ac:dyDescent="0.3">
      <c r="A12" s="16" t="str">
        <f t="shared" si="0"/>
        <v>PickupBaseBEV300</v>
      </c>
      <c r="B12" s="79" t="str">
        <f>'Vehicle Attributes - Base Year'!B9</f>
        <v>MedSUV</v>
      </c>
      <c r="C12" s="68" t="str">
        <f>'Vehicle Attributes - Base Year'!C9</f>
        <v>Premium</v>
      </c>
      <c r="D12" s="68" t="str">
        <f>'Vehicle Attributes - Base Year'!D9</f>
        <v>BEV400</v>
      </c>
      <c r="E12" s="23">
        <v>0</v>
      </c>
      <c r="F12" s="23">
        <v>0</v>
      </c>
      <c r="G12" s="23">
        <v>0</v>
      </c>
      <c r="H12" s="23">
        <v>0</v>
      </c>
      <c r="I12" s="23">
        <v>0</v>
      </c>
      <c r="J12" s="23">
        <v>0</v>
      </c>
      <c r="K12" s="23">
        <v>0</v>
      </c>
      <c r="L12" s="23">
        <v>0</v>
      </c>
      <c r="M12" s="23">
        <v>0</v>
      </c>
      <c r="N12" s="23">
        <v>0</v>
      </c>
      <c r="O12" s="43">
        <v>0</v>
      </c>
    </row>
    <row r="13" spans="1:15" x14ac:dyDescent="0.3">
      <c r="A13" t="str">
        <f t="shared" si="0"/>
        <v>PickupHTBEV400</v>
      </c>
      <c r="B13" s="79" t="str">
        <f>'Vehicle Attributes - Base Year'!B10</f>
        <v>Pickup</v>
      </c>
      <c r="C13" s="68" t="str">
        <f>'Vehicle Attributes - Base Year'!C10</f>
        <v>Base</v>
      </c>
      <c r="D13" s="68" t="str">
        <f>'Vehicle Attributes - Base Year'!D10</f>
        <v>BEV300</v>
      </c>
      <c r="E13" s="23">
        <v>0</v>
      </c>
      <c r="F13" s="23">
        <v>0</v>
      </c>
      <c r="G13" s="23">
        <v>0</v>
      </c>
      <c r="H13" s="23">
        <v>0</v>
      </c>
      <c r="I13" s="23">
        <v>0</v>
      </c>
      <c r="J13" s="23">
        <v>0</v>
      </c>
      <c r="K13" s="23">
        <v>0</v>
      </c>
      <c r="L13" s="23">
        <v>0</v>
      </c>
      <c r="M13" s="23">
        <v>0</v>
      </c>
      <c r="N13" s="23">
        <v>0</v>
      </c>
      <c r="O13" s="43">
        <v>0</v>
      </c>
    </row>
    <row r="14" spans="1:15" x14ac:dyDescent="0.3">
      <c r="A14" s="16" t="str">
        <f t="shared" si="0"/>
        <v>SmallCarBasePHEV50</v>
      </c>
      <c r="B14" s="79" t="str">
        <f>'Vehicle Attributes - Base Year'!B11</f>
        <v>Pickup</v>
      </c>
      <c r="C14" s="68" t="str">
        <f>'Vehicle Attributes - Base Year'!C11</f>
        <v>HT</v>
      </c>
      <c r="D14" s="68" t="str">
        <f>'Vehicle Attributes - Base Year'!D11</f>
        <v>BEV400</v>
      </c>
      <c r="E14" s="23">
        <v>0</v>
      </c>
      <c r="F14" s="23">
        <v>0</v>
      </c>
      <c r="G14" s="23">
        <v>0</v>
      </c>
      <c r="H14" s="23">
        <v>0</v>
      </c>
      <c r="I14" s="23">
        <v>0</v>
      </c>
      <c r="J14" s="23">
        <v>0</v>
      </c>
      <c r="K14" s="23">
        <v>0</v>
      </c>
      <c r="L14" s="23">
        <v>0</v>
      </c>
      <c r="M14" s="23">
        <v>0</v>
      </c>
      <c r="N14" s="23">
        <v>0</v>
      </c>
      <c r="O14" s="43">
        <v>0</v>
      </c>
    </row>
    <row r="15" spans="1:15" x14ac:dyDescent="0.3">
      <c r="A15" t="str">
        <f t="shared" si="0"/>
        <v>SmallCarPremiumPHEV50</v>
      </c>
      <c r="B15" s="79" t="str">
        <f>'Vehicle Attributes - Base Year'!B12</f>
        <v>SmallCar</v>
      </c>
      <c r="C15" s="68" t="str">
        <f>'Vehicle Attributes - Base Year'!C12</f>
        <v>Base</v>
      </c>
      <c r="D15" s="68" t="str">
        <f>'Vehicle Attributes - Base Year'!D12</f>
        <v>PHEV50</v>
      </c>
      <c r="E15" s="23">
        <v>0</v>
      </c>
      <c r="F15" s="23">
        <v>0</v>
      </c>
      <c r="G15" s="23">
        <v>0</v>
      </c>
      <c r="H15" s="23">
        <v>0</v>
      </c>
      <c r="I15" s="23">
        <v>0</v>
      </c>
      <c r="J15" s="23">
        <v>0</v>
      </c>
      <c r="K15" s="23">
        <v>0</v>
      </c>
      <c r="L15" s="23">
        <v>0</v>
      </c>
      <c r="M15" s="23">
        <v>0</v>
      </c>
      <c r="N15" s="23">
        <v>0</v>
      </c>
      <c r="O15" s="43">
        <v>0</v>
      </c>
    </row>
    <row r="16" spans="1:15" x14ac:dyDescent="0.3">
      <c r="A16" s="16" t="str">
        <f t="shared" si="0"/>
        <v>MedCarBasePHEV50</v>
      </c>
      <c r="B16" s="79" t="str">
        <f>'Vehicle Attributes - Base Year'!B13</f>
        <v>SmallCar</v>
      </c>
      <c r="C16" s="68" t="str">
        <f>'Vehicle Attributes - Base Year'!C13</f>
        <v>Premium</v>
      </c>
      <c r="D16" s="68" t="str">
        <f>'Vehicle Attributes - Base Year'!D13</f>
        <v>PHEV50</v>
      </c>
      <c r="E16" s="23">
        <v>0</v>
      </c>
      <c r="F16" s="23">
        <v>0</v>
      </c>
      <c r="G16" s="23">
        <v>0</v>
      </c>
      <c r="H16" s="23">
        <v>0</v>
      </c>
      <c r="I16" s="23">
        <v>0</v>
      </c>
      <c r="J16" s="23">
        <v>0</v>
      </c>
      <c r="K16" s="23">
        <v>0</v>
      </c>
      <c r="L16" s="23">
        <v>0</v>
      </c>
      <c r="M16" s="23">
        <v>0</v>
      </c>
      <c r="N16" s="23">
        <v>0</v>
      </c>
      <c r="O16" s="43">
        <v>0</v>
      </c>
    </row>
    <row r="17" spans="1:15" x14ac:dyDescent="0.3">
      <c r="A17" t="str">
        <f t="shared" si="0"/>
        <v>MedCarPremiumPHEV50</v>
      </c>
      <c r="B17" s="79" t="str">
        <f>'Vehicle Attributes - Base Year'!B14</f>
        <v>MedCar</v>
      </c>
      <c r="C17" s="68" t="str">
        <f>'Vehicle Attributes - Base Year'!C14</f>
        <v>Base</v>
      </c>
      <c r="D17" s="68" t="str">
        <f>'Vehicle Attributes - Base Year'!D14</f>
        <v>PHEV50</v>
      </c>
      <c r="E17" s="23">
        <v>0</v>
      </c>
      <c r="F17" s="23">
        <v>0</v>
      </c>
      <c r="G17" s="23">
        <v>0</v>
      </c>
      <c r="H17" s="23">
        <v>0</v>
      </c>
      <c r="I17" s="23">
        <v>0</v>
      </c>
      <c r="J17" s="23">
        <v>0</v>
      </c>
      <c r="K17" s="23">
        <v>0</v>
      </c>
      <c r="L17" s="23">
        <v>0</v>
      </c>
      <c r="M17" s="23">
        <v>0</v>
      </c>
      <c r="N17" s="23">
        <v>0</v>
      </c>
      <c r="O17" s="43">
        <v>0</v>
      </c>
    </row>
    <row r="18" spans="1:15" x14ac:dyDescent="0.3">
      <c r="A18" s="16" t="str">
        <f t="shared" si="0"/>
        <v>SmallSUVBasePHEV50</v>
      </c>
      <c r="B18" s="79" t="str">
        <f>'Vehicle Attributes - Base Year'!B15</f>
        <v>MedCar</v>
      </c>
      <c r="C18" s="68" t="str">
        <f>'Vehicle Attributes - Base Year'!C15</f>
        <v>Premium</v>
      </c>
      <c r="D18" s="68" t="str">
        <f>'Vehicle Attributes - Base Year'!D15</f>
        <v>PHEV50</v>
      </c>
      <c r="E18" s="23">
        <v>0</v>
      </c>
      <c r="F18" s="23">
        <v>0</v>
      </c>
      <c r="G18" s="23">
        <v>0</v>
      </c>
      <c r="H18" s="23">
        <v>0</v>
      </c>
      <c r="I18" s="23">
        <v>0</v>
      </c>
      <c r="J18" s="23">
        <v>0</v>
      </c>
      <c r="K18" s="23">
        <v>0</v>
      </c>
      <c r="L18" s="23">
        <v>0</v>
      </c>
      <c r="M18" s="23">
        <v>0</v>
      </c>
      <c r="N18" s="23">
        <v>0</v>
      </c>
      <c r="O18" s="43">
        <v>0</v>
      </c>
    </row>
    <row r="19" spans="1:15" x14ac:dyDescent="0.3">
      <c r="A19" t="str">
        <f t="shared" si="0"/>
        <v>SmallSUVPremiumPHEV50</v>
      </c>
      <c r="B19" s="79" t="str">
        <f>'Vehicle Attributes - Base Year'!B16</f>
        <v>SmallSUV</v>
      </c>
      <c r="C19" s="68" t="str">
        <f>'Vehicle Attributes - Base Year'!C16</f>
        <v>Base</v>
      </c>
      <c r="D19" s="68" t="str">
        <f>'Vehicle Attributes - Base Year'!D16</f>
        <v>PHEV50</v>
      </c>
      <c r="E19" s="23">
        <v>0</v>
      </c>
      <c r="F19" s="23">
        <v>0</v>
      </c>
      <c r="G19" s="23">
        <v>0</v>
      </c>
      <c r="H19" s="23">
        <v>0</v>
      </c>
      <c r="I19" s="23">
        <v>0</v>
      </c>
      <c r="J19" s="23">
        <v>0</v>
      </c>
      <c r="K19" s="23">
        <v>0</v>
      </c>
      <c r="L19" s="23">
        <v>0</v>
      </c>
      <c r="M19" s="23">
        <v>0</v>
      </c>
      <c r="N19" s="23">
        <v>0</v>
      </c>
      <c r="O19" s="43">
        <v>0</v>
      </c>
    </row>
    <row r="20" spans="1:15" x14ac:dyDescent="0.3">
      <c r="A20" s="16" t="str">
        <f t="shared" si="0"/>
        <v>MedSUVBasePHEV50</v>
      </c>
      <c r="B20" s="79" t="str">
        <f>'Vehicle Attributes - Base Year'!B17</f>
        <v>SmallSUV</v>
      </c>
      <c r="C20" s="68" t="str">
        <f>'Vehicle Attributes - Base Year'!C17</f>
        <v>Premium</v>
      </c>
      <c r="D20" s="68" t="str">
        <f>'Vehicle Attributes - Base Year'!D17</f>
        <v>PHEV50</v>
      </c>
      <c r="E20" s="23">
        <v>0</v>
      </c>
      <c r="F20" s="23">
        <v>0</v>
      </c>
      <c r="G20" s="23">
        <v>0</v>
      </c>
      <c r="H20" s="23">
        <v>0</v>
      </c>
      <c r="I20" s="23">
        <v>0</v>
      </c>
      <c r="J20" s="23">
        <v>0</v>
      </c>
      <c r="K20" s="23">
        <v>0</v>
      </c>
      <c r="L20" s="23">
        <v>0</v>
      </c>
      <c r="M20" s="23">
        <v>0</v>
      </c>
      <c r="N20" s="23">
        <v>0</v>
      </c>
      <c r="O20" s="43">
        <v>0</v>
      </c>
    </row>
    <row r="21" spans="1:15" x14ac:dyDescent="0.3">
      <c r="A21" t="str">
        <f t="shared" si="0"/>
        <v>MedSUVPremiumPHEV50</v>
      </c>
      <c r="B21" s="79" t="str">
        <f>'Vehicle Attributes - Base Year'!B18</f>
        <v>MedSUV</v>
      </c>
      <c r="C21" s="68" t="str">
        <f>'Vehicle Attributes - Base Year'!C18</f>
        <v>Base</v>
      </c>
      <c r="D21" s="68" t="str">
        <f>'Vehicle Attributes - Base Year'!D18</f>
        <v>PHEV50</v>
      </c>
      <c r="E21" s="23">
        <v>0</v>
      </c>
      <c r="F21" s="23">
        <v>0</v>
      </c>
      <c r="G21" s="23">
        <v>0</v>
      </c>
      <c r="H21" s="23">
        <v>0</v>
      </c>
      <c r="I21" s="23">
        <v>0</v>
      </c>
      <c r="J21" s="23">
        <v>0</v>
      </c>
      <c r="K21" s="23">
        <v>0</v>
      </c>
      <c r="L21" s="23">
        <v>0</v>
      </c>
      <c r="M21" s="23">
        <v>0</v>
      </c>
      <c r="N21" s="23">
        <v>0</v>
      </c>
      <c r="O21" s="43">
        <v>0</v>
      </c>
    </row>
    <row r="22" spans="1:15" x14ac:dyDescent="0.3">
      <c r="A22" s="16" t="str">
        <f t="shared" si="0"/>
        <v>PickupBasePHEV50</v>
      </c>
      <c r="B22" s="79" t="str">
        <f>'Vehicle Attributes - Base Year'!B19</f>
        <v>MedSUV</v>
      </c>
      <c r="C22" s="68" t="str">
        <f>'Vehicle Attributes - Base Year'!C19</f>
        <v>Premium</v>
      </c>
      <c r="D22" s="68" t="str">
        <f>'Vehicle Attributes - Base Year'!D19</f>
        <v>PHEV50</v>
      </c>
      <c r="E22" s="23">
        <v>0</v>
      </c>
      <c r="F22" s="23">
        <v>0</v>
      </c>
      <c r="G22" s="23">
        <v>0</v>
      </c>
      <c r="H22" s="23">
        <v>0</v>
      </c>
      <c r="I22" s="23">
        <v>0</v>
      </c>
      <c r="J22" s="23">
        <v>0</v>
      </c>
      <c r="K22" s="23">
        <v>0</v>
      </c>
      <c r="L22" s="23">
        <v>0</v>
      </c>
      <c r="M22" s="23">
        <v>0</v>
      </c>
      <c r="N22" s="23">
        <v>0</v>
      </c>
      <c r="O22" s="43">
        <v>0</v>
      </c>
    </row>
    <row r="23" spans="1:15" x14ac:dyDescent="0.3">
      <c r="A23" t="str">
        <f t="shared" si="0"/>
        <v>PickupHTPHEV50</v>
      </c>
      <c r="B23" s="79" t="str">
        <f>'Vehicle Attributes - Base Year'!B20</f>
        <v>Pickup</v>
      </c>
      <c r="C23" s="68" t="str">
        <f>'Vehicle Attributes - Base Year'!C20</f>
        <v>Base</v>
      </c>
      <c r="D23" s="68" t="str">
        <f>'Vehicle Attributes - Base Year'!D20</f>
        <v>PHEV50</v>
      </c>
      <c r="E23" s="23">
        <v>0</v>
      </c>
      <c r="F23" s="23">
        <v>0</v>
      </c>
      <c r="G23" s="23">
        <v>0</v>
      </c>
      <c r="H23" s="23">
        <v>0</v>
      </c>
      <c r="I23" s="23">
        <v>0</v>
      </c>
      <c r="J23" s="23">
        <v>0</v>
      </c>
      <c r="K23" s="23">
        <v>0</v>
      </c>
      <c r="L23" s="23">
        <v>0</v>
      </c>
      <c r="M23" s="23">
        <v>0</v>
      </c>
      <c r="N23" s="23">
        <v>0</v>
      </c>
      <c r="O23" s="43">
        <v>0</v>
      </c>
    </row>
    <row r="24" spans="1:15" x14ac:dyDescent="0.3">
      <c r="A24" s="16" t="str">
        <f t="shared" si="0"/>
        <v>SmallCarBaseFCEV320</v>
      </c>
      <c r="B24" s="79" t="str">
        <f>'Vehicle Attributes - Base Year'!B21</f>
        <v>Pickup</v>
      </c>
      <c r="C24" s="68" t="str">
        <f>'Vehicle Attributes - Base Year'!C21</f>
        <v>HT</v>
      </c>
      <c r="D24" s="68" t="str">
        <f>'Vehicle Attributes - Base Year'!D21</f>
        <v>PHEV50</v>
      </c>
      <c r="E24" s="23">
        <v>0</v>
      </c>
      <c r="F24" s="23">
        <v>0</v>
      </c>
      <c r="G24" s="23">
        <v>0</v>
      </c>
      <c r="H24" s="23">
        <v>0</v>
      </c>
      <c r="I24" s="23">
        <v>0</v>
      </c>
      <c r="J24" s="23">
        <v>0</v>
      </c>
      <c r="K24" s="23">
        <v>0</v>
      </c>
      <c r="L24" s="23">
        <v>0</v>
      </c>
      <c r="M24" s="23">
        <v>0</v>
      </c>
      <c r="N24" s="23">
        <v>0</v>
      </c>
      <c r="O24" s="43">
        <v>0</v>
      </c>
    </row>
    <row r="25" spans="1:15" x14ac:dyDescent="0.3">
      <c r="A25" t="str">
        <f t="shared" si="0"/>
        <v>SmallCarPremiumFCEV320</v>
      </c>
      <c r="B25" s="79" t="str">
        <f>'Vehicle Attributes - Base Year'!B22</f>
        <v>SmallCar</v>
      </c>
      <c r="C25" s="68" t="str">
        <f>'Vehicle Attributes - Base Year'!C22</f>
        <v>Base</v>
      </c>
      <c r="D25" s="68" t="str">
        <f>'Vehicle Attributes - Base Year'!D22</f>
        <v>FCEV320</v>
      </c>
      <c r="E25" s="23">
        <v>7379.2776234887397</v>
      </c>
      <c r="F25" s="23">
        <v>6841.6211350350713</v>
      </c>
      <c r="G25" s="23">
        <v>6315.4760894614037</v>
      </c>
      <c r="H25" s="23">
        <v>5800.842486767734</v>
      </c>
      <c r="I25" s="23">
        <v>5297.7203269540669</v>
      </c>
      <c r="J25" s="23">
        <v>4806.1096100203986</v>
      </c>
      <c r="K25" s="23">
        <v>4632.2166603883661</v>
      </c>
      <c r="L25" s="23">
        <v>4460.705389748945</v>
      </c>
      <c r="M25" s="23">
        <v>4291.5757981021334</v>
      </c>
      <c r="N25" s="23">
        <v>4124.8278854479331</v>
      </c>
      <c r="O25" s="43">
        <v>3960.4616517863419</v>
      </c>
    </row>
    <row r="26" spans="1:15" x14ac:dyDescent="0.3">
      <c r="A26" s="16" t="str">
        <f t="shared" si="0"/>
        <v>MedCarBaseFCEV320</v>
      </c>
      <c r="B26" s="79" t="str">
        <f>'Vehicle Attributes - Base Year'!B23</f>
        <v>SmallCar</v>
      </c>
      <c r="C26" s="68" t="str">
        <f>'Vehicle Attributes - Base Year'!C23</f>
        <v>Premium</v>
      </c>
      <c r="D26" s="68" t="str">
        <f>'Vehicle Attributes - Base Year'!D23</f>
        <v>FCEV320</v>
      </c>
      <c r="E26" s="23">
        <v>7379.2776234887397</v>
      </c>
      <c r="F26" s="23">
        <v>6841.6211350350713</v>
      </c>
      <c r="G26" s="23">
        <v>6315.4760894614037</v>
      </c>
      <c r="H26" s="23">
        <v>5800.842486767734</v>
      </c>
      <c r="I26" s="23">
        <v>5297.7203269540669</v>
      </c>
      <c r="J26" s="23">
        <v>4806.1096100203986</v>
      </c>
      <c r="K26" s="23">
        <v>4632.2166603883661</v>
      </c>
      <c r="L26" s="23">
        <v>4460.705389748945</v>
      </c>
      <c r="M26" s="23">
        <v>4291.5757981021334</v>
      </c>
      <c r="N26" s="23">
        <v>4124.8278854479331</v>
      </c>
      <c r="O26" s="43">
        <v>3960.4616517863419</v>
      </c>
    </row>
    <row r="27" spans="1:15" x14ac:dyDescent="0.3">
      <c r="A27" t="str">
        <f t="shared" si="0"/>
        <v>MedCarPremiumFCEV320</v>
      </c>
      <c r="B27" s="79" t="str">
        <f>'Vehicle Attributes - Base Year'!B24</f>
        <v>MedCar</v>
      </c>
      <c r="C27" s="68" t="str">
        <f>'Vehicle Attributes - Base Year'!C24</f>
        <v>Base</v>
      </c>
      <c r="D27" s="68" t="str">
        <f>'Vehicle Attributes - Base Year'!D24</f>
        <v>FCEV320</v>
      </c>
      <c r="E27" s="23">
        <v>10380.846746135079</v>
      </c>
      <c r="F27" s="23">
        <v>9523.2179627939058</v>
      </c>
      <c r="G27" s="23">
        <v>8691.5236149727352</v>
      </c>
      <c r="H27" s="23">
        <v>7885.7637026715602</v>
      </c>
      <c r="I27" s="23">
        <v>7105.9382258903879</v>
      </c>
      <c r="J27" s="23">
        <v>6352.0471846292148</v>
      </c>
      <c r="K27" s="23">
        <v>6112.9264050514766</v>
      </c>
      <c r="L27" s="23">
        <v>5878.2466208008718</v>
      </c>
      <c r="M27" s="23">
        <v>5648.0078318773967</v>
      </c>
      <c r="N27" s="23">
        <v>5422.2100382810549</v>
      </c>
      <c r="O27" s="43">
        <v>5200.8532400118447</v>
      </c>
    </row>
    <row r="28" spans="1:15" x14ac:dyDescent="0.3">
      <c r="A28" s="16" t="str">
        <f t="shared" si="0"/>
        <v>SmallSUVBaseFCEV320</v>
      </c>
      <c r="B28" s="79" t="str">
        <f>'Vehicle Attributes - Base Year'!B25</f>
        <v>MedCar</v>
      </c>
      <c r="C28" s="68" t="str">
        <f>'Vehicle Attributes - Base Year'!C25</f>
        <v>Premium</v>
      </c>
      <c r="D28" s="68" t="str">
        <f>'Vehicle Attributes - Base Year'!D25</f>
        <v>FCEV320</v>
      </c>
      <c r="E28" s="23">
        <v>10380.846746135079</v>
      </c>
      <c r="F28" s="23">
        <v>9523.2179627939058</v>
      </c>
      <c r="G28" s="23">
        <v>8691.5236149727352</v>
      </c>
      <c r="H28" s="23">
        <v>7885.7637026715602</v>
      </c>
      <c r="I28" s="23">
        <v>7105.9382258903879</v>
      </c>
      <c r="J28" s="23">
        <v>6352.0471846292148</v>
      </c>
      <c r="K28" s="23">
        <v>6112.9264050514766</v>
      </c>
      <c r="L28" s="23">
        <v>5878.2466208008718</v>
      </c>
      <c r="M28" s="23">
        <v>5648.0078318773967</v>
      </c>
      <c r="N28" s="23">
        <v>5422.2100382810549</v>
      </c>
      <c r="O28" s="43">
        <v>5200.8532400118447</v>
      </c>
    </row>
    <row r="29" spans="1:15" x14ac:dyDescent="0.3">
      <c r="A29" t="str">
        <f t="shared" si="0"/>
        <v>SmallSUVPremiumFCEV320</v>
      </c>
      <c r="B29" s="79" t="str">
        <f>'Vehicle Attributes - Base Year'!B26</f>
        <v>SmallSUV</v>
      </c>
      <c r="C29" s="68" t="str">
        <f>'Vehicle Attributes - Base Year'!C26</f>
        <v>Base</v>
      </c>
      <c r="D29" s="68" t="str">
        <f>'Vehicle Attributes - Base Year'!D26</f>
        <v>FCEV320</v>
      </c>
      <c r="E29" s="23">
        <v>9540.2913567421438</v>
      </c>
      <c r="F29" s="23">
        <v>8800.8901718975812</v>
      </c>
      <c r="G29" s="23">
        <v>8077.4739260930164</v>
      </c>
      <c r="H29" s="23">
        <v>7370.0426193284529</v>
      </c>
      <c r="I29" s="23">
        <v>6678.596251603888</v>
      </c>
      <c r="J29" s="23">
        <v>6003.1348229193254</v>
      </c>
      <c r="K29" s="23">
        <v>5795.0710100207507</v>
      </c>
      <c r="L29" s="23">
        <v>5590.4705182564921</v>
      </c>
      <c r="M29" s="23">
        <v>5389.3333476265516</v>
      </c>
      <c r="N29" s="23">
        <v>5191.6594981309281</v>
      </c>
      <c r="O29" s="43">
        <v>4997.4489697696217</v>
      </c>
    </row>
    <row r="30" spans="1:15" x14ac:dyDescent="0.3">
      <c r="A30" s="16" t="str">
        <f t="shared" si="0"/>
        <v>MedSUVBaseFCEV320</v>
      </c>
      <c r="B30" s="79" t="str">
        <f>'Vehicle Attributes - Base Year'!B27</f>
        <v>SmallSUV</v>
      </c>
      <c r="C30" s="68" t="str">
        <f>'Vehicle Attributes - Base Year'!C27</f>
        <v>Premium</v>
      </c>
      <c r="D30" s="68" t="str">
        <f>'Vehicle Attributes - Base Year'!D27</f>
        <v>FCEV320</v>
      </c>
      <c r="E30" s="23">
        <v>9540.2913567421438</v>
      </c>
      <c r="F30" s="23">
        <v>8800.8901718975812</v>
      </c>
      <c r="G30" s="23">
        <v>8077.4739260930164</v>
      </c>
      <c r="H30" s="23">
        <v>7370.0426193284529</v>
      </c>
      <c r="I30" s="23">
        <v>6678.596251603888</v>
      </c>
      <c r="J30" s="23">
        <v>6003.1348229193254</v>
      </c>
      <c r="K30" s="23">
        <v>5795.0710100207507</v>
      </c>
      <c r="L30" s="23">
        <v>5590.4705182564921</v>
      </c>
      <c r="M30" s="23">
        <v>5389.3333476265516</v>
      </c>
      <c r="N30" s="23">
        <v>5191.6594981309281</v>
      </c>
      <c r="O30" s="43">
        <v>4997.4489697696217</v>
      </c>
    </row>
    <row r="31" spans="1:15" x14ac:dyDescent="0.3">
      <c r="A31" t="str">
        <f t="shared" si="0"/>
        <v>MedSUVPremiumFCEV320</v>
      </c>
      <c r="B31" s="79" t="str">
        <f>'Vehicle Attributes - Base Year'!B28</f>
        <v>MedSUV</v>
      </c>
      <c r="C31" s="68" t="str">
        <f>'Vehicle Attributes - Base Year'!C28</f>
        <v>Base</v>
      </c>
      <c r="D31" s="68" t="str">
        <f>'Vehicle Attributes - Base Year'!D28</f>
        <v>FCEV320</v>
      </c>
      <c r="E31" s="23">
        <v>11345.81716748928</v>
      </c>
      <c r="F31" s="23">
        <v>10477.222916640032</v>
      </c>
      <c r="G31" s="23">
        <v>9629.6526685107856</v>
      </c>
      <c r="H31" s="23">
        <v>8803.1064231015353</v>
      </c>
      <c r="I31" s="23">
        <v>7997.5841804122883</v>
      </c>
      <c r="J31" s="23">
        <v>7213.0859404430394</v>
      </c>
      <c r="K31" s="23">
        <v>6944.9902458604029</v>
      </c>
      <c r="L31" s="23">
        <v>6681.5843578031818</v>
      </c>
      <c r="M31" s="23">
        <v>6422.8682762713743</v>
      </c>
      <c r="N31" s="23">
        <v>6168.8420012649822</v>
      </c>
      <c r="O31" s="43">
        <v>5919.5055327840028</v>
      </c>
    </row>
    <row r="32" spans="1:15" x14ac:dyDescent="0.3">
      <c r="A32" s="16" t="str">
        <f t="shared" si="0"/>
        <v>PickupBaseFCEV320</v>
      </c>
      <c r="B32" s="79" t="str">
        <f>'Vehicle Attributes - Base Year'!B29</f>
        <v>MedSUV</v>
      </c>
      <c r="C32" s="68" t="str">
        <f>'Vehicle Attributes - Base Year'!C29</f>
        <v>Premium</v>
      </c>
      <c r="D32" s="68" t="str">
        <f>'Vehicle Attributes - Base Year'!D29</f>
        <v>FCEV320</v>
      </c>
      <c r="E32" s="23">
        <v>11345.81716748928</v>
      </c>
      <c r="F32" s="23">
        <v>10477.222916640032</v>
      </c>
      <c r="G32" s="23">
        <v>9629.6526685107856</v>
      </c>
      <c r="H32" s="23">
        <v>8803.1064231015353</v>
      </c>
      <c r="I32" s="23">
        <v>7997.5841804122883</v>
      </c>
      <c r="J32" s="23">
        <v>7213.0859404430394</v>
      </c>
      <c r="K32" s="23">
        <v>6944.9902458604029</v>
      </c>
      <c r="L32" s="23">
        <v>6681.5843578031818</v>
      </c>
      <c r="M32" s="23">
        <v>6422.8682762713743</v>
      </c>
      <c r="N32" s="23">
        <v>6168.8420012649822</v>
      </c>
      <c r="O32" s="43">
        <v>5919.5055327840028</v>
      </c>
    </row>
    <row r="33" spans="1:15" x14ac:dyDescent="0.3">
      <c r="A33" t="str">
        <f t="shared" si="0"/>
        <v>PickupHTFCEV320</v>
      </c>
      <c r="B33" s="79" t="str">
        <f>'Vehicle Attributes - Base Year'!B30</f>
        <v>Pickup</v>
      </c>
      <c r="C33" s="68" t="str">
        <f>'Vehicle Attributes - Base Year'!C30</f>
        <v>Base</v>
      </c>
      <c r="D33" s="68" t="str">
        <f>'Vehicle Attributes - Base Year'!D30</f>
        <v>FCEV320</v>
      </c>
      <c r="E33" s="23">
        <v>15058.427894836801</v>
      </c>
      <c r="F33" s="23">
        <v>13976.720510069634</v>
      </c>
      <c r="G33" s="23">
        <v>12924.590060662465</v>
      </c>
      <c r="H33" s="23">
        <v>11902.036546615294</v>
      </c>
      <c r="I33" s="23">
        <v>10909.059967928126</v>
      </c>
      <c r="J33" s="23">
        <v>9945.6603246009581</v>
      </c>
      <c r="K33" s="23">
        <v>9519.5137193152004</v>
      </c>
      <c r="L33" s="23">
        <v>9101.0729943652659</v>
      </c>
      <c r="M33" s="23">
        <v>8690.3381497511546</v>
      </c>
      <c r="N33" s="23">
        <v>8287.3091854728664</v>
      </c>
      <c r="O33" s="43">
        <v>7891.9861015304014</v>
      </c>
    </row>
    <row r="34" spans="1:15" x14ac:dyDescent="0.3">
      <c r="B34" s="79" t="str">
        <f>'Vehicle Attributes - Base Year'!B31</f>
        <v>Pickup</v>
      </c>
      <c r="C34" s="68" t="str">
        <f>'Vehicle Attributes - Base Year'!C31</f>
        <v>HT</v>
      </c>
      <c r="D34" s="68" t="str">
        <f>'Vehicle Attributes - Base Year'!D31</f>
        <v>FCEV320</v>
      </c>
      <c r="E34" s="23">
        <v>15058.427894836801</v>
      </c>
      <c r="F34" s="23">
        <v>13976.720510069634</v>
      </c>
      <c r="G34" s="23">
        <v>12924.590060662465</v>
      </c>
      <c r="H34" s="23">
        <v>11902.036546615294</v>
      </c>
      <c r="I34" s="23">
        <v>10909.059967928126</v>
      </c>
      <c r="J34" s="23">
        <v>9945.6603246009581</v>
      </c>
      <c r="K34" s="23">
        <v>9519.5137193152004</v>
      </c>
      <c r="L34" s="23">
        <v>9101.0729943652659</v>
      </c>
      <c r="M34" s="23">
        <v>8690.3381497511546</v>
      </c>
      <c r="N34" s="23">
        <v>8287.3091854728664</v>
      </c>
      <c r="O34" s="43">
        <v>7891.9861015304014</v>
      </c>
    </row>
  </sheetData>
  <mergeCells count="2">
    <mergeCell ref="E2:O2"/>
    <mergeCell ref="B1:O1"/>
  </mergeCells>
  <pageMargins left="0.7" right="0.7" top="0.75" bottom="0.75" header="0.3" footer="0.3"/>
  <pageSetup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36A393"/>
  </sheetPr>
  <dimension ref="A1:S34"/>
  <sheetViews>
    <sheetView topLeftCell="B1" workbookViewId="0">
      <selection activeCell="B1" sqref="B1:O1"/>
    </sheetView>
  </sheetViews>
  <sheetFormatPr defaultRowHeight="14.4" x14ac:dyDescent="0.3"/>
  <cols>
    <col min="1" max="1" width="0" hidden="1" customWidth="1"/>
    <col min="2" max="2" width="12.5546875" bestFit="1" customWidth="1"/>
    <col min="3" max="3" width="12.44140625" bestFit="1" customWidth="1"/>
    <col min="4" max="10" width="11" customWidth="1"/>
    <col min="11" max="15" width="12" customWidth="1"/>
  </cols>
  <sheetData>
    <row r="1" spans="1:19" x14ac:dyDescent="0.3">
      <c r="B1" s="170" t="s">
        <v>228</v>
      </c>
      <c r="C1" s="175"/>
      <c r="D1" s="175"/>
      <c r="E1" s="175"/>
      <c r="F1" s="175"/>
      <c r="G1" s="175"/>
      <c r="H1" s="175"/>
      <c r="I1" s="175"/>
      <c r="J1" s="175"/>
      <c r="K1" s="175"/>
      <c r="L1" s="175"/>
      <c r="M1" s="175"/>
      <c r="N1" s="175"/>
      <c r="O1" s="171"/>
    </row>
    <row r="2" spans="1:19" x14ac:dyDescent="0.3">
      <c r="B2" s="73"/>
      <c r="C2" s="73"/>
      <c r="D2" s="74"/>
      <c r="E2" s="195" t="s">
        <v>155</v>
      </c>
      <c r="F2" s="195"/>
      <c r="G2" s="195"/>
      <c r="H2" s="195"/>
      <c r="I2" s="195"/>
      <c r="J2" s="195"/>
      <c r="K2" s="195"/>
      <c r="L2" s="195"/>
      <c r="M2" s="195"/>
      <c r="N2" s="195"/>
      <c r="O2" s="196"/>
    </row>
    <row r="3" spans="1:19" x14ac:dyDescent="0.3">
      <c r="B3" s="75" t="s">
        <v>100</v>
      </c>
      <c r="C3" s="75" t="s">
        <v>101</v>
      </c>
      <c r="D3" s="76" t="s">
        <v>67</v>
      </c>
      <c r="E3" s="77">
        <v>2025</v>
      </c>
      <c r="F3" s="78">
        <v>2026</v>
      </c>
      <c r="G3" s="78">
        <v>2027</v>
      </c>
      <c r="H3" s="78">
        <v>2028</v>
      </c>
      <c r="I3" s="78">
        <v>2029</v>
      </c>
      <c r="J3" s="78">
        <v>2030</v>
      </c>
      <c r="K3" s="78">
        <v>2031</v>
      </c>
      <c r="L3" s="78">
        <v>2032</v>
      </c>
      <c r="M3" s="78">
        <v>2033</v>
      </c>
      <c r="N3" s="78">
        <v>2034</v>
      </c>
      <c r="O3" s="148">
        <v>2035</v>
      </c>
      <c r="S3" s="2"/>
    </row>
    <row r="4" spans="1:19" x14ac:dyDescent="0.3">
      <c r="A4" s="16" t="str">
        <f t="shared" ref="A4:A33" si="0">CONCATENATE(B5,C5,D5)</f>
        <v>SmallCarBaseBEV300</v>
      </c>
      <c r="B4" s="79" t="s">
        <v>64</v>
      </c>
      <c r="C4" s="68" t="s">
        <v>65</v>
      </c>
      <c r="D4" s="68" t="s">
        <v>156</v>
      </c>
      <c r="E4" s="23" t="s">
        <v>157</v>
      </c>
      <c r="F4" s="23" t="s">
        <v>158</v>
      </c>
      <c r="G4" s="23" t="s">
        <v>159</v>
      </c>
      <c r="H4" s="23" t="s">
        <v>160</v>
      </c>
      <c r="I4" s="23" t="s">
        <v>161</v>
      </c>
      <c r="J4" s="23" t="s">
        <v>162</v>
      </c>
      <c r="K4" s="23" t="s">
        <v>163</v>
      </c>
      <c r="L4" s="23" t="s">
        <v>164</v>
      </c>
      <c r="M4" s="23" t="s">
        <v>165</v>
      </c>
      <c r="N4" s="23" t="s">
        <v>166</v>
      </c>
      <c r="O4" s="43" t="s">
        <v>167</v>
      </c>
    </row>
    <row r="5" spans="1:19" x14ac:dyDescent="0.3">
      <c r="A5" t="str">
        <f t="shared" si="0"/>
        <v>SmallCarPremiumBEV400</v>
      </c>
      <c r="B5" s="79" t="str">
        <f>'Vehicle Attributes - Base Year'!B2</f>
        <v>SmallCar</v>
      </c>
      <c r="C5" s="68" t="str">
        <f>'Vehicle Attributes - Base Year'!C2</f>
        <v>Base</v>
      </c>
      <c r="D5" s="68" t="str">
        <f>'Vehicle Attributes - Base Year'!D2</f>
        <v>BEV300</v>
      </c>
      <c r="E5" s="23">
        <f>'Battery Costs'!E5+'Non-Battery Costs'!E5+'Fuel Cell Tank Cost'!E5+'Fuel Cell Stack Cost'!E5</f>
        <v>11467.566842105263</v>
      </c>
      <c r="F5" s="23">
        <f>'Battery Costs'!F5+'Non-Battery Costs'!F5+'Fuel Cell Tank Cost'!F5+'Fuel Cell Stack Cost'!F5</f>
        <v>10871.588936842105</v>
      </c>
      <c r="G5" s="23">
        <f>'Battery Costs'!G5+'Non-Battery Costs'!G5+'Fuel Cell Tank Cost'!G5+'Fuel Cell Stack Cost'!G5</f>
        <v>10317.500022611843</v>
      </c>
      <c r="H5" s="23">
        <f>'Battery Costs'!H5+'Non-Battery Costs'!H5+'Fuel Cell Tank Cost'!H5+'Fuel Cell Stack Cost'!H5</f>
        <v>9802.1990938298186</v>
      </c>
      <c r="I5" s="23">
        <f>'Battery Costs'!I5+'Non-Battery Costs'!I5+'Fuel Cell Tank Cost'!I5+'Fuel Cell Stack Cost'!I5</f>
        <v>9322.8163749023133</v>
      </c>
      <c r="J5" s="23">
        <f>'Battery Costs'!J5+'Non-Battery Costs'!J5+'Fuel Cell Tank Cost'!J5+'Fuel Cell Stack Cost'!J5</f>
        <v>8961.1259208520369</v>
      </c>
      <c r="K5" s="23">
        <f>'Battery Costs'!K5+'Non-Battery Costs'!K5+'Fuel Cell Tank Cost'!K5+'Fuel Cell Stack Cost'!K5</f>
        <v>8641.7030674695434</v>
      </c>
      <c r="L5" s="23">
        <f>'Battery Costs'!L5+'Non-Battery Costs'!L5+'Fuel Cell Tank Cost'!L5+'Fuel Cell Stack Cost'!L5</f>
        <v>8338.0566274018984</v>
      </c>
      <c r="M5" s="23">
        <f>'Battery Costs'!M5+'Non-Battery Costs'!M5+'Fuel Cell Tank Cost'!M5+'Fuel Cell Stack Cost'!M5</f>
        <v>8049.3399618991953</v>
      </c>
      <c r="N5" s="23">
        <f>'Battery Costs'!N5+'Non-Battery Costs'!N5+'Fuel Cell Tank Cost'!N5+'Fuel Cell Stack Cost'!N5</f>
        <v>7774.7526144842886</v>
      </c>
      <c r="O5" s="43">
        <f>'Battery Costs'!O5+'Non-Battery Costs'!O5+'Fuel Cell Tank Cost'!O5+'Fuel Cell Stack Cost'!O5</f>
        <v>7513.5377841853579</v>
      </c>
    </row>
    <row r="6" spans="1:19" x14ac:dyDescent="0.3">
      <c r="A6" s="16" t="str">
        <f t="shared" si="0"/>
        <v>MedCarBaseBEV300</v>
      </c>
      <c r="B6" s="79" t="str">
        <f>'Vehicle Attributes - Base Year'!B3</f>
        <v>SmallCar</v>
      </c>
      <c r="C6" s="68" t="str">
        <f>'Vehicle Attributes - Base Year'!C3</f>
        <v>Premium</v>
      </c>
      <c r="D6" s="68" t="str">
        <f>'Vehicle Attributes - Base Year'!D3</f>
        <v>BEV400</v>
      </c>
      <c r="E6" s="23">
        <f>'Battery Costs'!E6+'Non-Battery Costs'!E6+'Fuel Cell Tank Cost'!E6+'Fuel Cell Stack Cost'!E6</f>
        <v>14529.405263157896</v>
      </c>
      <c r="F6" s="23">
        <f>'Battery Costs'!F6+'Non-Battery Costs'!F6+'Fuel Cell Tank Cost'!F6+'Fuel Cell Stack Cost'!F6</f>
        <v>13728.424105263159</v>
      </c>
      <c r="G6" s="23">
        <f>'Battery Costs'!G6+'Non-Battery Costs'!G6+'Fuel Cell Tank Cost'!G6+'Fuel Cell Stack Cost'!G6</f>
        <v>12984.399801355266</v>
      </c>
      <c r="H6" s="23">
        <f>'Battery Costs'!H6+'Non-Battery Costs'!H6+'Fuel Cell Tank Cost'!H6+'Fuel Cell Stack Cost'!H6</f>
        <v>12293.108886178594</v>
      </c>
      <c r="I6" s="23">
        <f>'Battery Costs'!I6+'Non-Battery Costs'!I6+'Fuel Cell Tank Cost'!I6+'Fuel Cell Stack Cost'!I6</f>
        <v>11650.642892519914</v>
      </c>
      <c r="J6" s="23">
        <f>'Battery Costs'!J6+'Non-Battery Costs'!J6+'Fuel Cell Tank Cost'!J6+'Fuel Cell Stack Cost'!J6</f>
        <v>11168.405227532141</v>
      </c>
      <c r="K6" s="23">
        <f>'Battery Costs'!K6+'Non-Battery Costs'!K6+'Fuel Cell Tank Cost'!K6+'Fuel Cell Stack Cost'!K6</f>
        <v>10743.644510729959</v>
      </c>
      <c r="L6" s="23">
        <f>'Battery Costs'!L6+'Non-Battery Costs'!L6+'Fuel Cell Tank Cost'!L6+'Fuel Cell Stack Cost'!L6</f>
        <v>10340.27234847864</v>
      </c>
      <c r="M6" s="23">
        <f>'Battery Costs'!M6+'Non-Battery Costs'!M6+'Fuel Cell Tank Cost'!M6+'Fuel Cell Stack Cost'!M6</f>
        <v>9957.1363883634713</v>
      </c>
      <c r="N6" s="23">
        <f>'Battery Costs'!N6+'Non-Battery Costs'!N6+'Fuel Cell Tank Cost'!N6+'Fuel Cell Stack Cost'!N6</f>
        <v>9593.1471825549688</v>
      </c>
      <c r="O6" s="43">
        <f>'Battery Costs'!O6+'Non-Battery Costs'!O6+'Fuel Cell Tank Cost'!O6+'Fuel Cell Stack Cost'!O6</f>
        <v>9247.2747456499364</v>
      </c>
    </row>
    <row r="7" spans="1:19" x14ac:dyDescent="0.3">
      <c r="A7" t="str">
        <f t="shared" si="0"/>
        <v>MedCarPremiumBEV400</v>
      </c>
      <c r="B7" s="79" t="str">
        <f>'Vehicle Attributes - Base Year'!B4</f>
        <v>MedCar</v>
      </c>
      <c r="C7" s="68" t="str">
        <f>'Vehicle Attributes - Base Year'!C4</f>
        <v>Base</v>
      </c>
      <c r="D7" s="68" t="str">
        <f>'Vehicle Attributes - Base Year'!D4</f>
        <v>BEV300</v>
      </c>
      <c r="E7" s="23">
        <f>'Battery Costs'!E7+'Non-Battery Costs'!E7+'Fuel Cell Tank Cost'!E7+'Fuel Cell Stack Cost'!E7</f>
        <v>12093.861052631581</v>
      </c>
      <c r="F7" s="23">
        <f>'Battery Costs'!F7+'Non-Battery Costs'!F7+'Fuel Cell Tank Cost'!F7+'Fuel Cell Stack Cost'!F7</f>
        <v>11470.694021052634</v>
      </c>
      <c r="G7" s="23">
        <f>'Battery Costs'!G7+'Non-Battery Costs'!G7+'Fuel Cell Tank Cost'!G7+'Fuel Cell Stack Cost'!G7</f>
        <v>10891.250011421054</v>
      </c>
      <c r="H7" s="23">
        <f>'Battery Costs'!H7+'Non-Battery Costs'!H7+'Fuel Cell Tank Cost'!H7+'Fuel Cell Stack Cost'!H7</f>
        <v>10352.293064118072</v>
      </c>
      <c r="I7" s="23">
        <f>'Battery Costs'!I7+'Non-Battery Costs'!I7+'Fuel Cell Tank Cost'!I7+'Fuel Cell Stack Cost'!I7</f>
        <v>9850.8285042707612</v>
      </c>
      <c r="J7" s="23">
        <f>'Battery Costs'!J7+'Non-Battery Costs'!J7+'Fuel Cell Tank Cost'!J7+'Fuel Cell Stack Cost'!J7</f>
        <v>9472.1856554354436</v>
      </c>
      <c r="K7" s="23">
        <f>'Battery Costs'!K7+'Non-Battery Costs'!K7+'Fuel Cell Tank Cost'!K7+'Fuel Cell Stack Cost'!K7</f>
        <v>9137.6603962647696</v>
      </c>
      <c r="L7" s="23">
        <f>'Battery Costs'!L7+'Non-Battery Costs'!L7+'Fuel Cell Tank Cost'!L7+'Fuel Cell Stack Cost'!L7</f>
        <v>8819.6096259790447</v>
      </c>
      <c r="M7" s="23">
        <f>'Battery Costs'!M7+'Non-Battery Costs'!M7+'Fuel Cell Tank Cost'!M7+'Fuel Cell Stack Cost'!M7</f>
        <v>8517.149774002366</v>
      </c>
      <c r="N7" s="23">
        <f>'Battery Costs'!N7+'Non-Battery Costs'!N7+'Fuel Cell Tank Cost'!N7+'Fuel Cell Stack Cost'!N7</f>
        <v>8229.4454611709516</v>
      </c>
      <c r="O7" s="43">
        <f>'Battery Costs'!O7+'Non-Battery Costs'!O7+'Fuel Cell Tank Cost'!O7+'Fuel Cell Stack Cost'!O7</f>
        <v>7955.7068630941076</v>
      </c>
    </row>
    <row r="8" spans="1:19" x14ac:dyDescent="0.3">
      <c r="A8" s="16" t="str">
        <f t="shared" si="0"/>
        <v>SmallSUVBaseBEV300</v>
      </c>
      <c r="B8" s="79" t="str">
        <f>'Vehicle Attributes - Base Year'!B5</f>
        <v>MedCar</v>
      </c>
      <c r="C8" s="68" t="str">
        <f>'Vehicle Attributes - Base Year'!C5</f>
        <v>Premium</v>
      </c>
      <c r="D8" s="68" t="str">
        <f>'Vehicle Attributes - Base Year'!D5</f>
        <v>BEV400</v>
      </c>
      <c r="E8" s="23">
        <f>'Battery Costs'!E8+'Non-Battery Costs'!E8+'Fuel Cell Tank Cost'!E8+'Fuel Cell Stack Cost'!E8</f>
        <v>15703.78947368421</v>
      </c>
      <c r="F8" s="23">
        <f>'Battery Costs'!F8+'Non-Battery Costs'!F8+'Fuel Cell Tank Cost'!F8+'Fuel Cell Stack Cost'!F8</f>
        <v>14843.631789473686</v>
      </c>
      <c r="G8" s="23">
        <f>'Battery Costs'!G8+'Non-Battery Costs'!G8+'Fuel Cell Tank Cost'!G8+'Fuel Cell Stack Cost'!G8</f>
        <v>14044.563574389476</v>
      </c>
      <c r="H8" s="23">
        <f>'Battery Costs'!H8+'Non-Battery Costs'!H8+'Fuel Cell Tank Cost'!H8+'Fuel Cell Stack Cost'!H8</f>
        <v>13302.055712581299</v>
      </c>
      <c r="I8" s="23">
        <f>'Battery Costs'!I8+'Non-Battery Costs'!I8+'Fuel Cell Tank Cost'!I8+'Fuel Cell Stack Cost'!I8</f>
        <v>12611.916874566905</v>
      </c>
      <c r="J8" s="23">
        <f>'Battery Costs'!J8+'Non-Battery Costs'!J8+'Fuel Cell Tank Cost'!J8+'Fuel Cell Stack Cost'!J8</f>
        <v>12093.609316511582</v>
      </c>
      <c r="K8" s="23">
        <f>'Battery Costs'!K8+'Non-Battery Costs'!K8+'Fuel Cell Tank Cost'!K8+'Fuel Cell Stack Cost'!K8</f>
        <v>11636.948459683617</v>
      </c>
      <c r="L8" s="23">
        <f>'Battery Costs'!L8+'Non-Battery Costs'!L8+'Fuel Cell Tank Cost'!L8+'Fuel Cell Stack Cost'!L8</f>
        <v>11203.235142234473</v>
      </c>
      <c r="M8" s="23">
        <f>'Battery Costs'!M8+'Non-Battery Costs'!M8+'Fuel Cell Tank Cost'!M8+'Fuel Cell Stack Cost'!M8</f>
        <v>10791.233532808485</v>
      </c>
      <c r="N8" s="23">
        <f>'Battery Costs'!N8+'Non-Battery Costs'!N8+'Fuel Cell Tank Cost'!N8+'Fuel Cell Stack Cost'!N8</f>
        <v>10399.775256352455</v>
      </c>
      <c r="O8" s="43">
        <f>'Battery Costs'!O8+'Non-Battery Costs'!O8+'Fuel Cell Tank Cost'!O8+'Fuel Cell Stack Cost'!O8</f>
        <v>10027.755702937742</v>
      </c>
    </row>
    <row r="9" spans="1:19" x14ac:dyDescent="0.3">
      <c r="A9" t="str">
        <f t="shared" si="0"/>
        <v>SmallSUVPremiumBEV400</v>
      </c>
      <c r="B9" s="79" t="str">
        <f>'Vehicle Attributes - Base Year'!B6</f>
        <v>SmallSUV</v>
      </c>
      <c r="C9" s="68" t="str">
        <f>'Vehicle Attributes - Base Year'!C6</f>
        <v>Base</v>
      </c>
      <c r="D9" s="68" t="str">
        <f>'Vehicle Attributes - Base Year'!D6</f>
        <v>BEV300</v>
      </c>
      <c r="E9" s="23">
        <f>'Battery Costs'!E9+'Non-Battery Costs'!E9+'Fuel Cell Tank Cost'!E9+'Fuel Cell Stack Cost'!E9</f>
        <v>12057.808157894739</v>
      </c>
      <c r="F9" s="23">
        <f>'Battery Costs'!F9+'Non-Battery Costs'!F9+'Fuel Cell Tank Cost'!F9+'Fuel Cell Stack Cost'!F9</f>
        <v>11424.538563157894</v>
      </c>
      <c r="G9" s="23">
        <f>'Battery Costs'!G9+'Non-Battery Costs'!G9+'Fuel Cell Tank Cost'!G9+'Fuel Cell Stack Cost'!G9</f>
        <v>10835.874085825661</v>
      </c>
      <c r="H9" s="23">
        <f>'Battery Costs'!H9+'Non-Battery Costs'!H9+'Fuel Cell Tank Cost'!H9+'Fuel Cell Stack Cost'!H9</f>
        <v>10288.511638462198</v>
      </c>
      <c r="I9" s="23">
        <f>'Battery Costs'!I9+'Non-Battery Costs'!I9+'Fuel Cell Tank Cost'!I9+'Fuel Cell Stack Cost'!I9</f>
        <v>9779.3944422629866</v>
      </c>
      <c r="J9" s="23">
        <f>'Battery Costs'!J9+'Non-Battery Costs'!J9+'Fuel Cell Tank Cost'!J9+'Fuel Cell Stack Cost'!J9</f>
        <v>9395.6297973020664</v>
      </c>
      <c r="K9" s="23">
        <f>'Battery Costs'!K9+'Non-Battery Costs'!K9+'Fuel Cell Tank Cost'!K9+'Fuel Cell Stack Cost'!K9</f>
        <v>9056.8741924915521</v>
      </c>
      <c r="L9" s="23">
        <f>'Battery Costs'!L9+'Non-Battery Costs'!L9+'Fuel Cell Tank Cost'!L9+'Fuel Cell Stack Cost'!L9</f>
        <v>8734.908905778495</v>
      </c>
      <c r="M9" s="23">
        <f>'Battery Costs'!M9+'Non-Battery Costs'!M9+'Fuel Cell Tank Cost'!M9+'Fuel Cell Stack Cost'!M9</f>
        <v>8428.8322327597198</v>
      </c>
      <c r="N9" s="23">
        <f>'Battery Costs'!N9+'Non-Battery Costs'!N9+'Fuel Cell Tank Cost'!N9+'Fuel Cell Stack Cost'!N9</f>
        <v>8137.7916616929961</v>
      </c>
      <c r="O9" s="43">
        <f>'Battery Costs'!O9+'Non-Battery Costs'!O9+'Fuel Cell Tank Cost'!O9+'Fuel Cell Stack Cost'!O9</f>
        <v>7860.981181955407</v>
      </c>
    </row>
    <row r="10" spans="1:19" x14ac:dyDescent="0.3">
      <c r="A10" s="16" t="str">
        <f t="shared" si="0"/>
        <v>MedSUVBaseBEV300</v>
      </c>
      <c r="B10" s="79" t="str">
        <f>'Vehicle Attributes - Base Year'!B7</f>
        <v>SmallSUV</v>
      </c>
      <c r="C10" s="68" t="str">
        <f>'Vehicle Attributes - Base Year'!C7</f>
        <v>Premium</v>
      </c>
      <c r="D10" s="68" t="str">
        <f>'Vehicle Attributes - Base Year'!D7</f>
        <v>BEV400</v>
      </c>
      <c r="E10" s="23">
        <f>'Battery Costs'!E10+'Non-Battery Costs'!E10+'Fuel Cell Tank Cost'!E10+'Fuel Cell Stack Cost'!E10</f>
        <v>15655.718947368421</v>
      </c>
      <c r="F10" s="23">
        <f>'Battery Costs'!F10+'Non-Battery Costs'!F10+'Fuel Cell Tank Cost'!F10+'Fuel Cell Stack Cost'!F10</f>
        <v>14782.091178947368</v>
      </c>
      <c r="G10" s="23">
        <f>'Battery Costs'!G10+'Non-Battery Costs'!G10+'Fuel Cell Tank Cost'!G10+'Fuel Cell Stack Cost'!G10</f>
        <v>13970.729006928948</v>
      </c>
      <c r="H10" s="23">
        <f>'Battery Costs'!H10+'Non-Battery Costs'!H10+'Fuel Cell Tank Cost'!H10+'Fuel Cell Stack Cost'!H10</f>
        <v>13217.013811706802</v>
      </c>
      <c r="I10" s="23">
        <f>'Battery Costs'!I10+'Non-Battery Costs'!I10+'Fuel Cell Tank Cost'!I10+'Fuel Cell Stack Cost'!I10</f>
        <v>12516.671458556537</v>
      </c>
      <c r="J10" s="23">
        <f>'Battery Costs'!J10+'Non-Battery Costs'!J10+'Fuel Cell Tank Cost'!J10+'Fuel Cell Stack Cost'!J10</f>
        <v>11991.534839000411</v>
      </c>
      <c r="K10" s="23">
        <f>'Battery Costs'!K10+'Non-Battery Costs'!K10+'Fuel Cell Tank Cost'!K10+'Fuel Cell Stack Cost'!K10</f>
        <v>11529.233521319326</v>
      </c>
      <c r="L10" s="23">
        <f>'Battery Costs'!L10+'Non-Battery Costs'!L10+'Fuel Cell Tank Cost'!L10+'Fuel Cell Stack Cost'!L10</f>
        <v>11090.300848633738</v>
      </c>
      <c r="M10" s="23">
        <f>'Battery Costs'!M10+'Non-Battery Costs'!M10+'Fuel Cell Tank Cost'!M10+'Fuel Cell Stack Cost'!M10</f>
        <v>10673.476811151624</v>
      </c>
      <c r="N10" s="23">
        <f>'Battery Costs'!N10+'Non-Battery Costs'!N10+'Fuel Cell Tank Cost'!N10+'Fuel Cell Stack Cost'!N10</f>
        <v>10277.570190381844</v>
      </c>
      <c r="O10" s="43">
        <f>'Battery Costs'!O10+'Non-Battery Costs'!O10+'Fuel Cell Tank Cost'!O10+'Fuel Cell Stack Cost'!O10</f>
        <v>9901.4547947528063</v>
      </c>
    </row>
    <row r="11" spans="1:19" x14ac:dyDescent="0.3">
      <c r="A11" t="str">
        <f t="shared" si="0"/>
        <v>MedSUVPremiumBEV400</v>
      </c>
      <c r="B11" s="79" t="str">
        <f>'Vehicle Attributes - Base Year'!B8</f>
        <v>MedSUV</v>
      </c>
      <c r="C11" s="68" t="str">
        <f>'Vehicle Attributes - Base Year'!C8</f>
        <v>Base</v>
      </c>
      <c r="D11" s="68" t="str">
        <f>'Vehicle Attributes - Base Year'!D8</f>
        <v>BEV300</v>
      </c>
      <c r="E11" s="23">
        <f>'Battery Costs'!E11+'Non-Battery Costs'!E11+'Fuel Cell Tank Cost'!E11+'Fuel Cell Stack Cost'!E11</f>
        <v>14428.346052631579</v>
      </c>
      <c r="F11" s="23">
        <f>'Battery Costs'!F11+'Non-Battery Costs'!F11+'Fuel Cell Tank Cost'!F11+'Fuel Cell Stack Cost'!F11</f>
        <v>13662.554921052633</v>
      </c>
      <c r="G11" s="23">
        <f>'Battery Costs'!G11+'Non-Battery Costs'!G11+'Fuel Cell Tank Cost'!G11+'Fuel Cell Stack Cost'!G11</f>
        <v>12950.817248433554</v>
      </c>
      <c r="H11" s="23">
        <f>'Battery Costs'!H11+'Non-Battery Costs'!H11+'Fuel Cell Tank Cost'!H11+'Fuel Cell Stack Cost'!H11</f>
        <v>12289.129072553114</v>
      </c>
      <c r="I11" s="23">
        <f>'Battery Costs'!I11+'Non-Battery Costs'!I11+'Fuel Cell Tank Cost'!I11+'Fuel Cell Stack Cost'!I11</f>
        <v>11673.785015684996</v>
      </c>
      <c r="J11" s="23">
        <f>'Battery Costs'!J11+'Non-Battery Costs'!J11+'Fuel Cell Tank Cost'!J11+'Fuel Cell Stack Cost'!J11</f>
        <v>11210.380642834789</v>
      </c>
      <c r="K11" s="23">
        <f>'Battery Costs'!K11+'Non-Battery Costs'!K11+'Fuel Cell Tank Cost'!K11+'Fuel Cell Stack Cost'!K11</f>
        <v>10801.520125668743</v>
      </c>
      <c r="L11" s="23">
        <f>'Battery Costs'!L11+'Non-Battery Costs'!L11+'Fuel Cell Tank Cost'!L11+'Fuel Cell Stack Cost'!L11</f>
        <v>10412.995643587248</v>
      </c>
      <c r="M11" s="23">
        <f>'Battery Costs'!M11+'Non-Battery Costs'!M11+'Fuel Cell Tank Cost'!M11+'Fuel Cell Stack Cost'!M11</f>
        <v>10043.714289451727</v>
      </c>
      <c r="N11" s="23">
        <f>'Battery Costs'!N11+'Non-Battery Costs'!N11+'Fuel Cell Tank Cost'!N11+'Fuel Cell Stack Cost'!N11</f>
        <v>9692.6427878816176</v>
      </c>
      <c r="O11" s="43">
        <f>'Battery Costs'!O11+'Non-Battery Costs'!O11+'Fuel Cell Tank Cost'!O11+'Fuel Cell Stack Cost'!O11</f>
        <v>9358.804232464694</v>
      </c>
    </row>
    <row r="12" spans="1:19" x14ac:dyDescent="0.3">
      <c r="A12" s="16" t="str">
        <f t="shared" si="0"/>
        <v>PickupBaseBEV300</v>
      </c>
      <c r="B12" s="79" t="str">
        <f>'Vehicle Attributes - Base Year'!B9</f>
        <v>MedSUV</v>
      </c>
      <c r="C12" s="68" t="str">
        <f>'Vehicle Attributes - Base Year'!C9</f>
        <v>Premium</v>
      </c>
      <c r="D12" s="68" t="str">
        <f>'Vehicle Attributes - Base Year'!D9</f>
        <v>BEV400</v>
      </c>
      <c r="E12" s="23">
        <f>'Battery Costs'!E12+'Non-Battery Costs'!E12+'Fuel Cell Tank Cost'!E12+'Fuel Cell Stack Cost'!E12</f>
        <v>18828.463157894737</v>
      </c>
      <c r="F12" s="23">
        <f>'Battery Costs'!F12+'Non-Battery Costs'!F12+'Fuel Cell Tank Cost'!F12+'Fuel Cell Stack Cost'!F12</f>
        <v>17769.649263157895</v>
      </c>
      <c r="G12" s="23">
        <f>'Battery Costs'!G12+'Non-Battery Costs'!G12+'Fuel Cell Tank Cost'!G12+'Fuel Cell Stack Cost'!G12</f>
        <v>16786.408516863157</v>
      </c>
      <c r="H12" s="23">
        <f>'Battery Costs'!H12+'Non-Battery Costs'!H12+'Fuel Cell Tank Cost'!H12+'Fuel Cell Stack Cost'!H12</f>
        <v>15873.134056567324</v>
      </c>
      <c r="I12" s="23">
        <f>'Battery Costs'!I12+'Non-Battery Costs'!I12+'Fuel Cell Tank Cost'!I12+'Fuel Cell Stack Cost'!I12</f>
        <v>15024.63722537769</v>
      </c>
      <c r="J12" s="23">
        <f>'Battery Costs'!J12+'Non-Battery Costs'!J12+'Fuel Cell Tank Cost'!J12+'Fuel Cell Stack Cost'!J12</f>
        <v>14388.824275883389</v>
      </c>
      <c r="K12" s="23">
        <f>'Battery Costs'!K12+'Non-Battery Costs'!K12+'Fuel Cell Tank Cost'!K12+'Fuel Cell Stack Cost'!K12</f>
        <v>13829.276801922933</v>
      </c>
      <c r="L12" s="23">
        <f>'Battery Costs'!L12+'Non-Battery Costs'!L12+'Fuel Cell Tank Cost'!L12+'Fuel Cell Stack Cost'!L12</f>
        <v>13298.082145610369</v>
      </c>
      <c r="M12" s="23">
        <f>'Battery Costs'!M12+'Non-Battery Costs'!M12+'Fuel Cell Tank Cost'!M12+'Fuel Cell Stack Cost'!M12</f>
        <v>12793.710814244991</v>
      </c>
      <c r="N12" s="23">
        <f>'Battery Costs'!N12+'Non-Battery Costs'!N12+'Fuel Cell Tank Cost'!N12+'Fuel Cell Stack Cost'!N12</f>
        <v>12314.716826610802</v>
      </c>
      <c r="O12" s="43">
        <f>'Battery Costs'!O12+'Non-Battery Costs'!O12+'Fuel Cell Tank Cost'!O12+'Fuel Cell Stack Cost'!O12</f>
        <v>11859.733143005125</v>
      </c>
    </row>
    <row r="13" spans="1:19" x14ac:dyDescent="0.3">
      <c r="A13" t="str">
        <f t="shared" si="0"/>
        <v>PickupHTBEV400</v>
      </c>
      <c r="B13" s="79" t="str">
        <f>'Vehicle Attributes - Base Year'!B10</f>
        <v>Pickup</v>
      </c>
      <c r="C13" s="68" t="str">
        <f>'Vehicle Attributes - Base Year'!C10</f>
        <v>Base</v>
      </c>
      <c r="D13" s="68" t="str">
        <f>'Vehicle Attributes - Base Year'!D10</f>
        <v>BEV300</v>
      </c>
      <c r="E13" s="23">
        <f>'Battery Costs'!E13+'Non-Battery Costs'!E13+'Fuel Cell Tank Cost'!E13+'Fuel Cell Stack Cost'!E13</f>
        <v>16712.800116959064</v>
      </c>
      <c r="F13" s="23">
        <f>'Battery Costs'!F13+'Non-Battery Costs'!F13+'Fuel Cell Tank Cost'!F13+'Fuel Cell Stack Cost'!F13</f>
        <v>15800.699957894736</v>
      </c>
      <c r="G13" s="23">
        <f>'Battery Costs'!G13+'Non-Battery Costs'!G13+'Fuel Cell Tank Cost'!G13+'Fuel Cell Stack Cost'!G13</f>
        <v>14953.332972007898</v>
      </c>
      <c r="H13" s="23">
        <f>'Battery Costs'!H13+'Non-Battery Costs'!H13+'Fuel Cell Tank Cost'!H13+'Fuel Cell Stack Cost'!H13</f>
        <v>14165.900378957807</v>
      </c>
      <c r="I13" s="23">
        <f>'Battery Costs'!I13+'Non-Battery Costs'!I13+'Fuel Cell Tank Cost'!I13+'Fuel Cell Stack Cost'!I13</f>
        <v>13433.961291845804</v>
      </c>
      <c r="J13" s="23">
        <f>'Battery Costs'!J13+'Non-Battery Costs'!J13+'Fuel Cell Tank Cost'!J13+'Fuel Cell Stack Cost'!J13</f>
        <v>12884.088742634975</v>
      </c>
      <c r="K13" s="23">
        <f>'Battery Costs'!K13+'Non-Battery Costs'!K13+'Fuel Cell Tank Cost'!K13+'Fuel Cell Stack Cost'!K13</f>
        <v>12399.539474661082</v>
      </c>
      <c r="L13" s="23">
        <f>'Battery Costs'!L13+'Non-Battery Costs'!L13+'Fuel Cell Tank Cost'!L13+'Fuel Cell Stack Cost'!L13</f>
        <v>11939.310733201906</v>
      </c>
      <c r="M13" s="23">
        <f>'Battery Costs'!M13+'Non-Battery Costs'!M13+'Fuel Cell Tank Cost'!M13+'Fuel Cell Stack Cost'!M13</f>
        <v>11502.093054889838</v>
      </c>
      <c r="N13" s="23">
        <f>'Battery Costs'!N13+'Non-Battery Costs'!N13+'Fuel Cell Tank Cost'!N13+'Fuel Cell Stack Cost'!N13</f>
        <v>11086.648448622043</v>
      </c>
      <c r="O13" s="43">
        <f>'Battery Costs'!O13+'Non-Battery Costs'!O13+'Fuel Cell Tank Cost'!O13+'Fuel Cell Stack Cost'!O13</f>
        <v>10691.80648466254</v>
      </c>
    </row>
    <row r="14" spans="1:19" x14ac:dyDescent="0.3">
      <c r="A14" s="16" t="str">
        <f t="shared" si="0"/>
        <v>SmallCarBasePHEV50</v>
      </c>
      <c r="B14" s="79" t="str">
        <f>'Vehicle Attributes - Base Year'!B11</f>
        <v>Pickup</v>
      </c>
      <c r="C14" s="68" t="str">
        <f>'Vehicle Attributes - Base Year'!C11</f>
        <v>HT</v>
      </c>
      <c r="D14" s="68" t="str">
        <f>'Vehicle Attributes - Base Year'!D11</f>
        <v>BEV400</v>
      </c>
      <c r="E14" s="23">
        <f>'Battery Costs'!E14+'Non-Battery Costs'!E14+'Fuel Cell Tank Cost'!E14+'Fuel Cell Stack Cost'!E14</f>
        <v>21820.612631578948</v>
      </c>
      <c r="F14" s="23">
        <f>'Battery Costs'!F14+'Non-Battery Costs'!F14+'Fuel Cell Tank Cost'!F14+'Fuel Cell Stack Cost'!F14</f>
        <v>20558.887452631581</v>
      </c>
      <c r="G14" s="23">
        <f>'Battery Costs'!G14+'Non-Battery Costs'!G14+'Fuel Cell Tank Cost'!G14+'Fuel Cell Stack Cost'!G14</f>
        <v>19387.678222752635</v>
      </c>
      <c r="H14" s="23">
        <f>'Battery Costs'!H14+'Non-Battery Costs'!H14+'Fuel Cell Tank Cost'!H14+'Fuel Cell Stack Cost'!H14</f>
        <v>18300.264644699546</v>
      </c>
      <c r="I14" s="23">
        <f>'Battery Costs'!I14+'Non-Battery Costs'!I14+'Fuel Cell Tank Cost'!I14+'Fuel Cell Stack Cost'!I14</f>
        <v>17290.427724235371</v>
      </c>
      <c r="J14" s="23">
        <f>'Battery Costs'!J14+'Non-Battery Costs'!J14+'Fuel Cell Tank Cost'!J14+'Fuel Cell Stack Cost'!J14</f>
        <v>16535.466075557262</v>
      </c>
      <c r="K14" s="23">
        <f>'Battery Costs'!K14+'Non-Battery Costs'!K14+'Fuel Cell Tank Cost'!K14+'Fuel Cell Stack Cost'!K14</f>
        <v>15871.853233809999</v>
      </c>
      <c r="L14" s="23">
        <f>'Battery Costs'!L14+'Non-Battery Costs'!L14+'Fuel Cell Tank Cost'!L14+'Fuel Cell Stack Cost'!L14</f>
        <v>15242.156155889505</v>
      </c>
      <c r="M14" s="23">
        <f>'Battery Costs'!M14+'Non-Battery Costs'!M14+'Fuel Cell Tank Cost'!M14+'Fuel Cell Stack Cost'!M14</f>
        <v>14644.542124118852</v>
      </c>
      <c r="N14" s="23">
        <f>'Battery Costs'!N14+'Non-Battery Costs'!N14+'Fuel Cell Tank Cost'!N14+'Fuel Cell Stack Cost'!N14</f>
        <v>14077.27852041</v>
      </c>
      <c r="O14" s="43">
        <f>'Battery Costs'!O14+'Non-Battery Costs'!O14+'Fuel Cell Tank Cost'!O14+'Fuel Cell Stack Cost'!O14</f>
        <v>13538.72734822834</v>
      </c>
    </row>
    <row r="15" spans="1:19" x14ac:dyDescent="0.3">
      <c r="A15" t="str">
        <f t="shared" si="0"/>
        <v>SmallCarPremiumPHEV50</v>
      </c>
      <c r="B15" s="79" t="str">
        <f>'Vehicle Attributes - Base Year'!B12</f>
        <v>SmallCar</v>
      </c>
      <c r="C15" s="68" t="str">
        <f>'Vehicle Attributes - Base Year'!C12</f>
        <v>Base</v>
      </c>
      <c r="D15" s="68" t="str">
        <f>'Vehicle Attributes - Base Year'!D12</f>
        <v>PHEV50</v>
      </c>
      <c r="E15" s="23">
        <f>'Battery Costs'!E15+'Non-Battery Costs'!E15+'Fuel Cell Tank Cost'!E15+'Fuel Cell Stack Cost'!E15</f>
        <v>4810.7448529411768</v>
      </c>
      <c r="F15" s="23">
        <f>'Battery Costs'!F15+'Non-Battery Costs'!F15+'Fuel Cell Tank Cost'!F15+'Fuel Cell Stack Cost'!F15</f>
        <v>4603.8322852941174</v>
      </c>
      <c r="G15" s="23">
        <f>'Battery Costs'!G15+'Non-Battery Costs'!G15+'Fuel Cell Tank Cost'!G15+'Fuel Cell Stack Cost'!G15</f>
        <v>4410.8436454656621</v>
      </c>
      <c r="H15" s="23">
        <f>'Battery Costs'!H15+'Non-Battery Costs'!H15+'Fuel Cell Tank Cost'!H15+'Fuel Cell Stack Cost'!H15</f>
        <v>4230.754733197713</v>
      </c>
      <c r="I15" s="23">
        <f>'Battery Costs'!I15+'Non-Battery Costs'!I15+'Fuel Cell Tank Cost'!I15+'Fuel Cell Stack Cost'!I15</f>
        <v>4062.6176525719056</v>
      </c>
      <c r="J15" s="23">
        <f>'Battery Costs'!J15+'Non-Battery Costs'!J15+'Fuel Cell Tank Cost'!J15+'Fuel Cell Stack Cost'!J15</f>
        <v>3933.4126523332334</v>
      </c>
      <c r="K15" s="23">
        <f>'Battery Costs'!K15+'Non-Battery Costs'!K15+'Fuel Cell Tank Cost'!K15+'Fuel Cell Stack Cost'!K15</f>
        <v>3818.2524548012457</v>
      </c>
      <c r="L15" s="23">
        <f>'Battery Costs'!L15+'Non-Battery Costs'!L15+'Fuel Cell Tank Cost'!L15+'Fuel Cell Stack Cost'!L15</f>
        <v>3708.3953366323012</v>
      </c>
      <c r="M15" s="23">
        <f>'Battery Costs'!M15+'Non-Battery Costs'!M15+'Fuel Cell Tank Cost'!M15+'Fuel Cell Stack Cost'!M15</f>
        <v>3603.5609736457927</v>
      </c>
      <c r="N15" s="23">
        <f>'Battery Costs'!N15+'Non-Battery Costs'!N15+'Fuel Cell Tank Cost'!N15+'Fuel Cell Stack Cost'!N15</f>
        <v>3503.484289215854</v>
      </c>
      <c r="O15" s="43">
        <f>'Battery Costs'!O15+'Non-Battery Costs'!O15+'Fuel Cell Tank Cost'!O15+'Fuel Cell Stack Cost'!O15</f>
        <v>3407.9146204696826</v>
      </c>
    </row>
    <row r="16" spans="1:19" x14ac:dyDescent="0.3">
      <c r="A16" s="16" t="str">
        <f t="shared" si="0"/>
        <v>MedCarBasePHEV50</v>
      </c>
      <c r="B16" s="79" t="str">
        <f>'Vehicle Attributes - Base Year'!B13</f>
        <v>SmallCar</v>
      </c>
      <c r="C16" s="68" t="str">
        <f>'Vehicle Attributes - Base Year'!C13</f>
        <v>Premium</v>
      </c>
      <c r="D16" s="68" t="str">
        <f>'Vehicle Attributes - Base Year'!D13</f>
        <v>PHEV50</v>
      </c>
      <c r="E16" s="23">
        <f>'Battery Costs'!E16+'Non-Battery Costs'!E16+'Fuel Cell Tank Cost'!E16+'Fuel Cell Stack Cost'!E16</f>
        <v>4810.7448529411768</v>
      </c>
      <c r="F16" s="23">
        <f>'Battery Costs'!F16+'Non-Battery Costs'!F16+'Fuel Cell Tank Cost'!F16+'Fuel Cell Stack Cost'!F16</f>
        <v>4603.8322852941174</v>
      </c>
      <c r="G16" s="23">
        <f>'Battery Costs'!G16+'Non-Battery Costs'!G16+'Fuel Cell Tank Cost'!G16+'Fuel Cell Stack Cost'!G16</f>
        <v>4410.8436454656621</v>
      </c>
      <c r="H16" s="23">
        <f>'Battery Costs'!H16+'Non-Battery Costs'!H16+'Fuel Cell Tank Cost'!H16+'Fuel Cell Stack Cost'!H16</f>
        <v>4230.754733197713</v>
      </c>
      <c r="I16" s="23">
        <f>'Battery Costs'!I16+'Non-Battery Costs'!I16+'Fuel Cell Tank Cost'!I16+'Fuel Cell Stack Cost'!I16</f>
        <v>4062.6176525719056</v>
      </c>
      <c r="J16" s="23">
        <f>'Battery Costs'!J16+'Non-Battery Costs'!J16+'Fuel Cell Tank Cost'!J16+'Fuel Cell Stack Cost'!J16</f>
        <v>3933.4126523332334</v>
      </c>
      <c r="K16" s="23">
        <f>'Battery Costs'!K16+'Non-Battery Costs'!K16+'Fuel Cell Tank Cost'!K16+'Fuel Cell Stack Cost'!K16</f>
        <v>3818.2524548012457</v>
      </c>
      <c r="L16" s="23">
        <f>'Battery Costs'!L16+'Non-Battery Costs'!L16+'Fuel Cell Tank Cost'!L16+'Fuel Cell Stack Cost'!L16</f>
        <v>3708.3953366323012</v>
      </c>
      <c r="M16" s="23">
        <f>'Battery Costs'!M16+'Non-Battery Costs'!M16+'Fuel Cell Tank Cost'!M16+'Fuel Cell Stack Cost'!M16</f>
        <v>3603.5609736457927</v>
      </c>
      <c r="N16" s="23">
        <f>'Battery Costs'!N16+'Non-Battery Costs'!N16+'Fuel Cell Tank Cost'!N16+'Fuel Cell Stack Cost'!N16</f>
        <v>3503.484289215854</v>
      </c>
      <c r="O16" s="43">
        <f>'Battery Costs'!O16+'Non-Battery Costs'!O16+'Fuel Cell Tank Cost'!O16+'Fuel Cell Stack Cost'!O16</f>
        <v>3407.9146204696826</v>
      </c>
    </row>
    <row r="17" spans="1:15" x14ac:dyDescent="0.3">
      <c r="A17" t="str">
        <f t="shared" si="0"/>
        <v>MedCarPremiumPHEV50</v>
      </c>
      <c r="B17" s="79" t="str">
        <f>'Vehicle Attributes - Base Year'!B14</f>
        <v>MedCar</v>
      </c>
      <c r="C17" s="68" t="str">
        <f>'Vehicle Attributes - Base Year'!C14</f>
        <v>Base</v>
      </c>
      <c r="D17" s="68" t="str">
        <f>'Vehicle Attributes - Base Year'!D14</f>
        <v>PHEV50</v>
      </c>
      <c r="E17" s="23">
        <f>'Battery Costs'!E17+'Non-Battery Costs'!E17+'Fuel Cell Tank Cost'!E17+'Fuel Cell Stack Cost'!E17</f>
        <v>5147.5249994570131</v>
      </c>
      <c r="F17" s="23">
        <f>'Battery Costs'!F17+'Non-Battery Costs'!F17+'Fuel Cell Tank Cost'!F17+'Fuel Cell Stack Cost'!F17</f>
        <v>4925.7844671095027</v>
      </c>
      <c r="G17" s="23">
        <f>'Battery Costs'!G17+'Non-Battery Costs'!G17+'Fuel Cell Tank Cost'!G17+'Fuel Cell Stack Cost'!G17</f>
        <v>4718.9716434131133</v>
      </c>
      <c r="H17" s="23">
        <f>'Battery Costs'!H17+'Non-Battery Costs'!H17+'Fuel Cell Tank Cost'!H17+'Fuel Cell Stack Cost'!H17</f>
        <v>4525.988427137926</v>
      </c>
      <c r="I17" s="23">
        <f>'Battery Costs'!I17+'Non-Battery Costs'!I17+'Fuel Cell Tank Cost'!I17+'Fuel Cell Stack Cost'!I17</f>
        <v>4345.818527788625</v>
      </c>
      <c r="J17" s="23">
        <f>'Battery Costs'!J17+'Non-Battery Costs'!J17+'Fuel Cell Tank Cost'!J17+'Fuel Cell Stack Cost'!J17</f>
        <v>4207.3892325504603</v>
      </c>
      <c r="K17" s="23">
        <f>'Battery Costs'!K17+'Non-Battery Costs'!K17+'Fuel Cell Tank Cost'!K17+'Fuel Cell Stack Cost'!K17</f>
        <v>4084.0172847105205</v>
      </c>
      <c r="L17" s="23">
        <f>'Battery Costs'!L17+'Non-Battery Costs'!L17+'Fuel Cell Tank Cost'!L17+'Fuel Cell Stack Cost'!L17</f>
        <v>3966.3301248883954</v>
      </c>
      <c r="M17" s="23">
        <f>'Battery Costs'!M17+'Non-Battery Costs'!M17+'Fuel Cell Tank Cost'!M17+'Fuel Cell Stack Cost'!M17</f>
        <v>3854.0272092013747</v>
      </c>
      <c r="N17" s="23">
        <f>'Battery Costs'!N17+'Non-Battery Costs'!N17+'Fuel Cell Tank Cost'!N17+'Fuel Cell Stack Cost'!N17</f>
        <v>3746.8243415617117</v>
      </c>
      <c r="O17" s="43">
        <f>'Battery Costs'!O17+'Non-Battery Costs'!O17+'Fuel Cell Tank Cost'!O17+'Fuel Cell Stack Cost'!O17</f>
        <v>3644.4527797046785</v>
      </c>
    </row>
    <row r="18" spans="1:15" x14ac:dyDescent="0.3">
      <c r="A18" s="16" t="str">
        <f t="shared" si="0"/>
        <v>SmallSUVBasePHEV50</v>
      </c>
      <c r="B18" s="79" t="str">
        <f>'Vehicle Attributes - Base Year'!B15</f>
        <v>MedCar</v>
      </c>
      <c r="C18" s="68" t="str">
        <f>'Vehicle Attributes - Base Year'!C15</f>
        <v>Premium</v>
      </c>
      <c r="D18" s="68" t="str">
        <f>'Vehicle Attributes - Base Year'!D15</f>
        <v>PHEV50</v>
      </c>
      <c r="E18" s="23">
        <f>'Battery Costs'!E18+'Non-Battery Costs'!E18+'Fuel Cell Tank Cost'!E18+'Fuel Cell Stack Cost'!E18</f>
        <v>5147.5249994570131</v>
      </c>
      <c r="F18" s="23">
        <f>'Battery Costs'!F18+'Non-Battery Costs'!F18+'Fuel Cell Tank Cost'!F18+'Fuel Cell Stack Cost'!F18</f>
        <v>4925.7844671095027</v>
      </c>
      <c r="G18" s="23">
        <f>'Battery Costs'!G18+'Non-Battery Costs'!G18+'Fuel Cell Tank Cost'!G18+'Fuel Cell Stack Cost'!G18</f>
        <v>4718.9716434131133</v>
      </c>
      <c r="H18" s="23">
        <f>'Battery Costs'!H18+'Non-Battery Costs'!H18+'Fuel Cell Tank Cost'!H18+'Fuel Cell Stack Cost'!H18</f>
        <v>4525.988427137926</v>
      </c>
      <c r="I18" s="23">
        <f>'Battery Costs'!I18+'Non-Battery Costs'!I18+'Fuel Cell Tank Cost'!I18+'Fuel Cell Stack Cost'!I18</f>
        <v>4345.818527788625</v>
      </c>
      <c r="J18" s="23">
        <f>'Battery Costs'!J18+'Non-Battery Costs'!J18+'Fuel Cell Tank Cost'!J18+'Fuel Cell Stack Cost'!J18</f>
        <v>4207.3892325504603</v>
      </c>
      <c r="K18" s="23">
        <f>'Battery Costs'!K18+'Non-Battery Costs'!K18+'Fuel Cell Tank Cost'!K18+'Fuel Cell Stack Cost'!K18</f>
        <v>4084.0172847105205</v>
      </c>
      <c r="L18" s="23">
        <f>'Battery Costs'!L18+'Non-Battery Costs'!L18+'Fuel Cell Tank Cost'!L18+'Fuel Cell Stack Cost'!L18</f>
        <v>3966.3301248883954</v>
      </c>
      <c r="M18" s="23">
        <f>'Battery Costs'!M18+'Non-Battery Costs'!M18+'Fuel Cell Tank Cost'!M18+'Fuel Cell Stack Cost'!M18</f>
        <v>3854.0272092013747</v>
      </c>
      <c r="N18" s="23">
        <f>'Battery Costs'!N18+'Non-Battery Costs'!N18+'Fuel Cell Tank Cost'!N18+'Fuel Cell Stack Cost'!N18</f>
        <v>3746.8243415617117</v>
      </c>
      <c r="O18" s="43">
        <f>'Battery Costs'!O18+'Non-Battery Costs'!O18+'Fuel Cell Tank Cost'!O18+'Fuel Cell Stack Cost'!O18</f>
        <v>3644.4527797046785</v>
      </c>
    </row>
    <row r="19" spans="1:15" x14ac:dyDescent="0.3">
      <c r="A19" t="str">
        <f t="shared" si="0"/>
        <v>SmallSUVPremiumPHEV50</v>
      </c>
      <c r="B19" s="79" t="str">
        <f>'Vehicle Attributes - Base Year'!B16</f>
        <v>SmallSUV</v>
      </c>
      <c r="C19" s="68" t="str">
        <f>'Vehicle Attributes - Base Year'!C16</f>
        <v>Base</v>
      </c>
      <c r="D19" s="68" t="str">
        <f>'Vehicle Attributes - Base Year'!D16</f>
        <v>PHEV50</v>
      </c>
      <c r="E19" s="23">
        <f>'Battery Costs'!E19+'Non-Battery Costs'!E19+'Fuel Cell Tank Cost'!E19+'Fuel Cell Stack Cost'!E19</f>
        <v>5571.6983843951166</v>
      </c>
      <c r="F19" s="23">
        <f>'Battery Costs'!F19+'Non-Battery Costs'!F19+'Fuel Cell Tank Cost'!F19+'Fuel Cell Stack Cost'!F19</f>
        <v>5320.6129034923415</v>
      </c>
      <c r="G19" s="23">
        <f>'Battery Costs'!G19+'Non-Battery Costs'!G19+'Fuel Cell Tank Cost'!G19+'Fuel Cell Stack Cost'!G19</f>
        <v>5086.6225357040366</v>
      </c>
      <c r="H19" s="23">
        <f>'Battery Costs'!H19+'Non-Battery Costs'!H19+'Fuel Cell Tank Cost'!H19+'Fuel Cell Stack Cost'!H19</f>
        <v>4868.4676150165524</v>
      </c>
      <c r="I19" s="23">
        <f>'Battery Costs'!I19+'Non-Battery Costs'!I19+'Fuel Cell Tank Cost'!I19+'Fuel Cell Stack Cost'!I19</f>
        <v>4664.9823446423625</v>
      </c>
      <c r="J19" s="23">
        <f>'Battery Costs'!J19+'Non-Battery Costs'!J19+'Fuel Cell Tank Cost'!J19+'Fuel Cell Stack Cost'!J19</f>
        <v>4509.3592604081823</v>
      </c>
      <c r="K19" s="23">
        <f>'Battery Costs'!K19+'Non-Battery Costs'!K19+'Fuel Cell Tank Cost'!K19+'Fuel Cell Stack Cost'!K19</f>
        <v>4370.9813605151012</v>
      </c>
      <c r="L19" s="23">
        <f>'Battery Costs'!L19+'Non-Battery Costs'!L19+'Fuel Cell Tank Cost'!L19+'Fuel Cell Stack Cost'!L19</f>
        <v>4239.0945554450245</v>
      </c>
      <c r="M19" s="23">
        <f>'Battery Costs'!M19+'Non-Battery Costs'!M19+'Fuel Cell Tank Cost'!M19+'Fuel Cell Stack Cost'!M19</f>
        <v>4113.3543087083526</v>
      </c>
      <c r="N19" s="23">
        <f>'Battery Costs'!N19+'Non-Battery Costs'!N19+'Fuel Cell Tank Cost'!N19+'Fuel Cell Stack Cost'!N19</f>
        <v>3993.4348386787738</v>
      </c>
      <c r="O19" s="43">
        <f>'Battery Costs'!O19+'Non-Battery Costs'!O19+'Fuel Cell Tank Cost'!O19+'Fuel Cell Stack Cost'!O19</f>
        <v>3879.0280928495927</v>
      </c>
    </row>
    <row r="20" spans="1:15" x14ac:dyDescent="0.3">
      <c r="A20" s="16" t="str">
        <f t="shared" si="0"/>
        <v>MedSUVBasePHEV50</v>
      </c>
      <c r="B20" s="79" t="str">
        <f>'Vehicle Attributes - Base Year'!B17</f>
        <v>SmallSUV</v>
      </c>
      <c r="C20" s="68" t="str">
        <f>'Vehicle Attributes - Base Year'!C17</f>
        <v>Premium</v>
      </c>
      <c r="D20" s="68" t="str">
        <f>'Vehicle Attributes - Base Year'!D17</f>
        <v>PHEV50</v>
      </c>
      <c r="E20" s="23">
        <f>'Battery Costs'!E20+'Non-Battery Costs'!E20+'Fuel Cell Tank Cost'!E20+'Fuel Cell Stack Cost'!E20</f>
        <v>5571.6983843951166</v>
      </c>
      <c r="F20" s="23">
        <f>'Battery Costs'!F20+'Non-Battery Costs'!F20+'Fuel Cell Tank Cost'!F20+'Fuel Cell Stack Cost'!F20</f>
        <v>5320.6129034923415</v>
      </c>
      <c r="G20" s="23">
        <f>'Battery Costs'!G20+'Non-Battery Costs'!G20+'Fuel Cell Tank Cost'!G20+'Fuel Cell Stack Cost'!G20</f>
        <v>5086.6225357040366</v>
      </c>
      <c r="H20" s="23">
        <f>'Battery Costs'!H20+'Non-Battery Costs'!H20+'Fuel Cell Tank Cost'!H20+'Fuel Cell Stack Cost'!H20</f>
        <v>4868.4676150165524</v>
      </c>
      <c r="I20" s="23">
        <f>'Battery Costs'!I20+'Non-Battery Costs'!I20+'Fuel Cell Tank Cost'!I20+'Fuel Cell Stack Cost'!I20</f>
        <v>4664.9823446423625</v>
      </c>
      <c r="J20" s="23">
        <f>'Battery Costs'!J20+'Non-Battery Costs'!J20+'Fuel Cell Tank Cost'!J20+'Fuel Cell Stack Cost'!J20</f>
        <v>4509.3592604081823</v>
      </c>
      <c r="K20" s="23">
        <f>'Battery Costs'!K20+'Non-Battery Costs'!K20+'Fuel Cell Tank Cost'!K20+'Fuel Cell Stack Cost'!K20</f>
        <v>4370.9813605151012</v>
      </c>
      <c r="L20" s="23">
        <f>'Battery Costs'!L20+'Non-Battery Costs'!L20+'Fuel Cell Tank Cost'!L20+'Fuel Cell Stack Cost'!L20</f>
        <v>4239.0945554450245</v>
      </c>
      <c r="M20" s="23">
        <f>'Battery Costs'!M20+'Non-Battery Costs'!M20+'Fuel Cell Tank Cost'!M20+'Fuel Cell Stack Cost'!M20</f>
        <v>4113.3543087083526</v>
      </c>
      <c r="N20" s="23">
        <f>'Battery Costs'!N20+'Non-Battery Costs'!N20+'Fuel Cell Tank Cost'!N20+'Fuel Cell Stack Cost'!N20</f>
        <v>3993.4348386787738</v>
      </c>
      <c r="O20" s="43">
        <f>'Battery Costs'!O20+'Non-Battery Costs'!O20+'Fuel Cell Tank Cost'!O20+'Fuel Cell Stack Cost'!O20</f>
        <v>3879.0280928495927</v>
      </c>
    </row>
    <row r="21" spans="1:15" x14ac:dyDescent="0.3">
      <c r="A21" t="str">
        <f t="shared" si="0"/>
        <v>MedSUVPremiumPHEV50</v>
      </c>
      <c r="B21" s="79" t="str">
        <f>'Vehicle Attributes - Base Year'!B18</f>
        <v>MedSUV</v>
      </c>
      <c r="C21" s="68" t="str">
        <f>'Vehicle Attributes - Base Year'!C18</f>
        <v>Base</v>
      </c>
      <c r="D21" s="68" t="str">
        <f>'Vehicle Attributes - Base Year'!D18</f>
        <v>PHEV50</v>
      </c>
      <c r="E21" s="23">
        <f>'Battery Costs'!E21+'Non-Battery Costs'!E21+'Fuel Cell Tank Cost'!E21+'Fuel Cell Stack Cost'!E21</f>
        <v>5941.1012098839019</v>
      </c>
      <c r="F21" s="23">
        <f>'Battery Costs'!F21+'Non-Battery Costs'!F21+'Fuel Cell Tank Cost'!F21+'Fuel Cell Stack Cost'!F21</f>
        <v>5671.0414830791797</v>
      </c>
      <c r="G21" s="23">
        <f>'Battery Costs'!G21+'Non-Battery Costs'!G21+'Fuel Cell Tank Cost'!G21+'Fuel Cell Stack Cost'!G21</f>
        <v>5419.4072800952999</v>
      </c>
      <c r="H21" s="23">
        <f>'Battery Costs'!H21+'Non-Battery Costs'!H21+'Fuel Cell Tank Cost'!H21+'Fuel Cell Stack Cost'!H21</f>
        <v>5184.8404799268865</v>
      </c>
      <c r="I21" s="23">
        <f>'Battery Costs'!I21+'Non-Battery Costs'!I21+'Fuel Cell Tank Cost'!I21+'Fuel Cell Stack Cost'!I21</f>
        <v>4966.0841718581378</v>
      </c>
      <c r="J21" s="23">
        <f>'Battery Costs'!J21+'Non-Battery Costs'!J21+'Fuel Cell Tank Cost'!J21+'Fuel Cell Stack Cost'!J21</f>
        <v>4798.9270210220329</v>
      </c>
      <c r="K21" s="23">
        <f>'Battery Costs'!K21+'Non-Battery Costs'!K21+'Fuel Cell Tank Cost'!K21+'Fuel Cell Stack Cost'!K21</f>
        <v>4650.357464181774</v>
      </c>
      <c r="L21" s="23">
        <f>'Battery Costs'!L21+'Non-Battery Costs'!L21+'Fuel Cell Tank Cost'!L21+'Fuel Cell Stack Cost'!L21</f>
        <v>4508.7803736029127</v>
      </c>
      <c r="M21" s="23">
        <f>'Battery Costs'!M21+'Non-Battery Costs'!M21+'Fuel Cell Tank Cost'!M21+'Fuel Cell Stack Cost'!M21</f>
        <v>4373.8243289273923</v>
      </c>
      <c r="N21" s="23">
        <f>'Battery Costs'!N21+'Non-Battery Costs'!N21+'Fuel Cell Tank Cost'!N21+'Fuel Cell Stack Cost'!N21</f>
        <v>4245.1381308900654</v>
      </c>
      <c r="O21" s="43">
        <f>'Battery Costs'!O21+'Non-Battery Costs'!O21+'Fuel Cell Tank Cost'!O21+'Fuel Cell Stack Cost'!O21</f>
        <v>4122.3896953555668</v>
      </c>
    </row>
    <row r="22" spans="1:15" x14ac:dyDescent="0.3">
      <c r="A22" s="16" t="str">
        <f t="shared" si="0"/>
        <v>PickupBasePHEV50</v>
      </c>
      <c r="B22" s="79" t="str">
        <f>'Vehicle Attributes - Base Year'!B19</f>
        <v>MedSUV</v>
      </c>
      <c r="C22" s="68" t="str">
        <f>'Vehicle Attributes - Base Year'!C19</f>
        <v>Premium</v>
      </c>
      <c r="D22" s="68" t="str">
        <f>'Vehicle Attributes - Base Year'!D19</f>
        <v>PHEV50</v>
      </c>
      <c r="E22" s="23">
        <f>'Battery Costs'!E22+'Non-Battery Costs'!E22+'Fuel Cell Tank Cost'!E22+'Fuel Cell Stack Cost'!E22</f>
        <v>5941.1012098839019</v>
      </c>
      <c r="F22" s="23">
        <f>'Battery Costs'!F22+'Non-Battery Costs'!F22+'Fuel Cell Tank Cost'!F22+'Fuel Cell Stack Cost'!F22</f>
        <v>5671.0414830791797</v>
      </c>
      <c r="G22" s="23">
        <f>'Battery Costs'!G22+'Non-Battery Costs'!G22+'Fuel Cell Tank Cost'!G22+'Fuel Cell Stack Cost'!G22</f>
        <v>5419.4072800952999</v>
      </c>
      <c r="H22" s="23">
        <f>'Battery Costs'!H22+'Non-Battery Costs'!H22+'Fuel Cell Tank Cost'!H22+'Fuel Cell Stack Cost'!H22</f>
        <v>5184.8404799268865</v>
      </c>
      <c r="I22" s="23">
        <f>'Battery Costs'!I22+'Non-Battery Costs'!I22+'Fuel Cell Tank Cost'!I22+'Fuel Cell Stack Cost'!I22</f>
        <v>4966.0841718581378</v>
      </c>
      <c r="J22" s="23">
        <f>'Battery Costs'!J22+'Non-Battery Costs'!J22+'Fuel Cell Tank Cost'!J22+'Fuel Cell Stack Cost'!J22</f>
        <v>4798.9270210220329</v>
      </c>
      <c r="K22" s="23">
        <f>'Battery Costs'!K22+'Non-Battery Costs'!K22+'Fuel Cell Tank Cost'!K22+'Fuel Cell Stack Cost'!K22</f>
        <v>4650.357464181774</v>
      </c>
      <c r="L22" s="23">
        <f>'Battery Costs'!L22+'Non-Battery Costs'!L22+'Fuel Cell Tank Cost'!L22+'Fuel Cell Stack Cost'!L22</f>
        <v>4508.7803736029127</v>
      </c>
      <c r="M22" s="23">
        <f>'Battery Costs'!M22+'Non-Battery Costs'!M22+'Fuel Cell Tank Cost'!M22+'Fuel Cell Stack Cost'!M22</f>
        <v>4373.8243289273923</v>
      </c>
      <c r="N22" s="23">
        <f>'Battery Costs'!N22+'Non-Battery Costs'!N22+'Fuel Cell Tank Cost'!N22+'Fuel Cell Stack Cost'!N22</f>
        <v>4245.1381308900654</v>
      </c>
      <c r="O22" s="43">
        <f>'Battery Costs'!O22+'Non-Battery Costs'!O22+'Fuel Cell Tank Cost'!O22+'Fuel Cell Stack Cost'!O22</f>
        <v>4122.3896953555668</v>
      </c>
    </row>
    <row r="23" spans="1:15" x14ac:dyDescent="0.3">
      <c r="A23" t="str">
        <f t="shared" si="0"/>
        <v>PickupHTPHEV50</v>
      </c>
      <c r="B23" s="79" t="str">
        <f>'Vehicle Attributes - Base Year'!B20</f>
        <v>Pickup</v>
      </c>
      <c r="C23" s="68" t="str">
        <f>'Vehicle Attributes - Base Year'!C20</f>
        <v>Base</v>
      </c>
      <c r="D23" s="68" t="str">
        <f>'Vehicle Attributes - Base Year'!D20</f>
        <v>PHEV50</v>
      </c>
      <c r="E23" s="23">
        <f>'Battery Costs'!E23+'Non-Battery Costs'!E23+'Fuel Cell Tank Cost'!E23+'Fuel Cell Stack Cost'!E23</f>
        <v>6841.5135809680669</v>
      </c>
      <c r="F23" s="23">
        <f>'Battery Costs'!F23+'Non-Battery Costs'!F23+'Fuel Cell Tank Cost'!F23+'Fuel Cell Stack Cost'!F23</f>
        <v>6520.4291319230924</v>
      </c>
      <c r="G23" s="23">
        <f>'Battery Costs'!G23+'Non-Battery Costs'!G23+'Fuel Cell Tank Cost'!G23+'Fuel Cell Stack Cost'!G23</f>
        <v>6221.4172916015823</v>
      </c>
      <c r="H23" s="23">
        <f>'Battery Costs'!H23+'Non-Battery Costs'!H23+'Fuel Cell Tank Cost'!H23+'Fuel Cell Stack Cost'!H23</f>
        <v>5942.8493032163069</v>
      </c>
      <c r="I23" s="23">
        <f>'Battery Costs'!I23+'Non-Battery Costs'!I23+'Fuel Cell Tank Cost'!I23+'Fuel Cell Stack Cost'!I23</f>
        <v>5683.2178070396649</v>
      </c>
      <c r="J23" s="23">
        <f>'Battery Costs'!J23+'Non-Battery Costs'!J23+'Fuel Cell Tank Cost'!J23+'Fuel Cell Stack Cost'!J23</f>
        <v>5485.4509369448788</v>
      </c>
      <c r="K23" s="23">
        <f>'Battery Costs'!K23+'Non-Battery Costs'!K23+'Fuel Cell Tank Cost'!K23+'Fuel Cell Stack Cost'!K23</f>
        <v>5309.952197757535</v>
      </c>
      <c r="L23" s="23">
        <f>'Battery Costs'!L23+'Non-Battery Costs'!L23+'Fuel Cell Tank Cost'!L23+'Fuel Cell Stack Cost'!L23</f>
        <v>5142.8137175445936</v>
      </c>
      <c r="M23" s="23">
        <f>'Battery Costs'!M23+'Non-Battery Costs'!M23+'Fuel Cell Tank Cost'!M23+'Fuel Cell Stack Cost'!M23</f>
        <v>4983.5902550971678</v>
      </c>
      <c r="N23" s="23">
        <f>'Battery Costs'!N23+'Non-Battery Costs'!N23+'Fuel Cell Tank Cost'!N23+'Fuel Cell Stack Cost'!N23</f>
        <v>4831.8608213328571</v>
      </c>
      <c r="O23" s="43">
        <f>'Battery Costs'!O23+'Non-Battery Costs'!O23+'Fuel Cell Tank Cost'!O23+'Fuel Cell Stack Cost'!O23</f>
        <v>4687.2273527401212</v>
      </c>
    </row>
    <row r="24" spans="1:15" x14ac:dyDescent="0.3">
      <c r="A24" s="16" t="str">
        <f t="shared" si="0"/>
        <v>SmallCarBaseFCEV320</v>
      </c>
      <c r="B24" s="79" t="str">
        <f>'Vehicle Attributes - Base Year'!B21</f>
        <v>Pickup</v>
      </c>
      <c r="C24" s="68" t="str">
        <f>'Vehicle Attributes - Base Year'!C21</f>
        <v>HT</v>
      </c>
      <c r="D24" s="68" t="str">
        <f>'Vehicle Attributes - Base Year'!D21</f>
        <v>PHEV50</v>
      </c>
      <c r="E24" s="23">
        <f>'Battery Costs'!E24+'Non-Battery Costs'!E24+'Fuel Cell Tank Cost'!E24+'Fuel Cell Stack Cost'!E24</f>
        <v>6841.5135809680669</v>
      </c>
      <c r="F24" s="23">
        <f>'Battery Costs'!F24+'Non-Battery Costs'!F24+'Fuel Cell Tank Cost'!F24+'Fuel Cell Stack Cost'!F24</f>
        <v>6520.4291319230924</v>
      </c>
      <c r="G24" s="23">
        <f>'Battery Costs'!G24+'Non-Battery Costs'!G24+'Fuel Cell Tank Cost'!G24+'Fuel Cell Stack Cost'!G24</f>
        <v>6221.4172916015823</v>
      </c>
      <c r="H24" s="23">
        <f>'Battery Costs'!H24+'Non-Battery Costs'!H24+'Fuel Cell Tank Cost'!H24+'Fuel Cell Stack Cost'!H24</f>
        <v>5942.8493032163069</v>
      </c>
      <c r="I24" s="23">
        <f>'Battery Costs'!I24+'Non-Battery Costs'!I24+'Fuel Cell Tank Cost'!I24+'Fuel Cell Stack Cost'!I24</f>
        <v>5683.2178070396649</v>
      </c>
      <c r="J24" s="23">
        <f>'Battery Costs'!J24+'Non-Battery Costs'!J24+'Fuel Cell Tank Cost'!J24+'Fuel Cell Stack Cost'!J24</f>
        <v>5485.4509369448788</v>
      </c>
      <c r="K24" s="23">
        <f>'Battery Costs'!K24+'Non-Battery Costs'!K24+'Fuel Cell Tank Cost'!K24+'Fuel Cell Stack Cost'!K24</f>
        <v>5309.952197757535</v>
      </c>
      <c r="L24" s="23">
        <f>'Battery Costs'!L24+'Non-Battery Costs'!L24+'Fuel Cell Tank Cost'!L24+'Fuel Cell Stack Cost'!L24</f>
        <v>5142.8137175445936</v>
      </c>
      <c r="M24" s="23">
        <f>'Battery Costs'!M24+'Non-Battery Costs'!M24+'Fuel Cell Tank Cost'!M24+'Fuel Cell Stack Cost'!M24</f>
        <v>4983.5902550971678</v>
      </c>
      <c r="N24" s="23">
        <f>'Battery Costs'!N24+'Non-Battery Costs'!N24+'Fuel Cell Tank Cost'!N24+'Fuel Cell Stack Cost'!N24</f>
        <v>4831.8608213328571</v>
      </c>
      <c r="O24" s="43">
        <f>'Battery Costs'!O24+'Non-Battery Costs'!O24+'Fuel Cell Tank Cost'!O24+'Fuel Cell Stack Cost'!O24</f>
        <v>4687.2273527401212</v>
      </c>
    </row>
    <row r="25" spans="1:15" x14ac:dyDescent="0.3">
      <c r="A25" t="str">
        <f t="shared" si="0"/>
        <v>SmallCarPremiumFCEV320</v>
      </c>
      <c r="B25" s="79" t="str">
        <f>'Vehicle Attributes - Base Year'!B22</f>
        <v>SmallCar</v>
      </c>
      <c r="C25" s="68" t="str">
        <f>'Vehicle Attributes - Base Year'!C22</f>
        <v>Base</v>
      </c>
      <c r="D25" s="68" t="str">
        <f>'Vehicle Attributes - Base Year'!D22</f>
        <v>FCEV320</v>
      </c>
      <c r="E25" s="23">
        <f>'Battery Costs'!E25+'Non-Battery Costs'!E25+'Fuel Cell Tank Cost'!E25+'Fuel Cell Stack Cost'!E25</f>
        <v>13914.445019926825</v>
      </c>
      <c r="F25" s="23">
        <f>'Battery Costs'!F25+'Non-Battery Costs'!F25+'Fuel Cell Tank Cost'!F25+'Fuel Cell Stack Cost'!F25</f>
        <v>13088.825616983424</v>
      </c>
      <c r="G25" s="23">
        <f>'Battery Costs'!G25+'Non-Battery Costs'!G25+'Fuel Cell Tank Cost'!G25+'Fuel Cell Stack Cost'!G25</f>
        <v>12275.063993435286</v>
      </c>
      <c r="H25" s="23">
        <f>'Battery Costs'!H25+'Non-Battery Costs'!H25+'Fuel Cell Tank Cost'!H25+'Fuel Cell Stack Cost'!H25</f>
        <v>11473.156685917256</v>
      </c>
      <c r="I25" s="23">
        <f>'Battery Costs'!I25+'Non-Battery Costs'!I25+'Fuel Cell Tank Cost'!I25+'Fuel Cell Stack Cost'!I25</f>
        <v>10683.10026569784</v>
      </c>
      <c r="J25" s="23">
        <f>'Battery Costs'!J25+'Non-Battery Costs'!J25+'Fuel Cell Tank Cost'!J25+'Fuel Cell Stack Cost'!J25</f>
        <v>9904.8913383328436</v>
      </c>
      <c r="K25" s="23">
        <f>'Battery Costs'!K25+'Non-Battery Costs'!K25+'Fuel Cell Tank Cost'!K25+'Fuel Cell Stack Cost'!K25</f>
        <v>9609.0091371296712</v>
      </c>
      <c r="L25" s="23">
        <f>'Battery Costs'!L25+'Non-Battery Costs'!L25+'Fuel Cell Tank Cost'!L25+'Fuel Cell Stack Cost'!L25</f>
        <v>9316.2827646990409</v>
      </c>
      <c r="M25" s="23">
        <f>'Battery Costs'!M25+'Non-Battery Costs'!M25+'Fuel Cell Tank Cost'!M25+'Fuel Cell Stack Cost'!M25</f>
        <v>9026.7022556071552</v>
      </c>
      <c r="N25" s="23">
        <f>'Battery Costs'!N25+'Non-Battery Costs'!N25+'Fuel Cell Tank Cost'!N25+'Fuel Cell Stack Cost'!N25</f>
        <v>8740.2577663139127</v>
      </c>
      <c r="O25" s="43">
        <f>'Battery Costs'!O25+'Non-Battery Costs'!O25+'Fuel Cell Tank Cost'!O25+'Fuel Cell Stack Cost'!O25</f>
        <v>8456.9395737315735</v>
      </c>
    </row>
    <row r="26" spans="1:15" x14ac:dyDescent="0.3">
      <c r="A26" s="16" t="str">
        <f t="shared" si="0"/>
        <v>MedCarBaseFCEV320</v>
      </c>
      <c r="B26" s="79" t="str">
        <f>'Vehicle Attributes - Base Year'!B23</f>
        <v>SmallCar</v>
      </c>
      <c r="C26" s="68" t="str">
        <f>'Vehicle Attributes - Base Year'!C23</f>
        <v>Premium</v>
      </c>
      <c r="D26" s="68" t="str">
        <f>'Vehicle Attributes - Base Year'!D23</f>
        <v>FCEV320</v>
      </c>
      <c r="E26" s="23">
        <f>'Battery Costs'!E26+'Non-Battery Costs'!E26+'Fuel Cell Tank Cost'!E26+'Fuel Cell Stack Cost'!E26</f>
        <v>13914.445019926825</v>
      </c>
      <c r="F26" s="23">
        <f>'Battery Costs'!F26+'Non-Battery Costs'!F26+'Fuel Cell Tank Cost'!F26+'Fuel Cell Stack Cost'!F26</f>
        <v>13088.825616983424</v>
      </c>
      <c r="G26" s="23">
        <f>'Battery Costs'!G26+'Non-Battery Costs'!G26+'Fuel Cell Tank Cost'!G26+'Fuel Cell Stack Cost'!G26</f>
        <v>12275.063993435286</v>
      </c>
      <c r="H26" s="23">
        <f>'Battery Costs'!H26+'Non-Battery Costs'!H26+'Fuel Cell Tank Cost'!H26+'Fuel Cell Stack Cost'!H26</f>
        <v>11473.156685917256</v>
      </c>
      <c r="I26" s="23">
        <f>'Battery Costs'!I26+'Non-Battery Costs'!I26+'Fuel Cell Tank Cost'!I26+'Fuel Cell Stack Cost'!I26</f>
        <v>10683.10026569784</v>
      </c>
      <c r="J26" s="23">
        <f>'Battery Costs'!J26+'Non-Battery Costs'!J26+'Fuel Cell Tank Cost'!J26+'Fuel Cell Stack Cost'!J26</f>
        <v>9904.8913383328436</v>
      </c>
      <c r="K26" s="23">
        <f>'Battery Costs'!K26+'Non-Battery Costs'!K26+'Fuel Cell Tank Cost'!K26+'Fuel Cell Stack Cost'!K26</f>
        <v>9609.0091371296712</v>
      </c>
      <c r="L26" s="23">
        <f>'Battery Costs'!L26+'Non-Battery Costs'!L26+'Fuel Cell Tank Cost'!L26+'Fuel Cell Stack Cost'!L26</f>
        <v>9316.2827646990409</v>
      </c>
      <c r="M26" s="23">
        <f>'Battery Costs'!M26+'Non-Battery Costs'!M26+'Fuel Cell Tank Cost'!M26+'Fuel Cell Stack Cost'!M26</f>
        <v>9026.7022556071552</v>
      </c>
      <c r="N26" s="23">
        <f>'Battery Costs'!N26+'Non-Battery Costs'!N26+'Fuel Cell Tank Cost'!N26+'Fuel Cell Stack Cost'!N26</f>
        <v>8740.2577663139127</v>
      </c>
      <c r="O26" s="43">
        <f>'Battery Costs'!O26+'Non-Battery Costs'!O26+'Fuel Cell Tank Cost'!O26+'Fuel Cell Stack Cost'!O26</f>
        <v>8456.9395737315735</v>
      </c>
    </row>
    <row r="27" spans="1:15" x14ac:dyDescent="0.3">
      <c r="A27" t="str">
        <f t="shared" si="0"/>
        <v>MedCarPremiumFCEV320</v>
      </c>
      <c r="B27" s="79" t="str">
        <f>'Vehicle Attributes - Base Year'!B24</f>
        <v>MedCar</v>
      </c>
      <c r="C27" s="68" t="str">
        <f>'Vehicle Attributes - Base Year'!C24</f>
        <v>Base</v>
      </c>
      <c r="D27" s="68" t="str">
        <f>'Vehicle Attributes - Base Year'!D24</f>
        <v>FCEV320</v>
      </c>
      <c r="E27" s="23">
        <f>'Battery Costs'!E27+'Non-Battery Costs'!E27+'Fuel Cell Tank Cost'!E27+'Fuel Cell Stack Cost'!E27</f>
        <v>17773.471607515748</v>
      </c>
      <c r="F27" s="23">
        <f>'Battery Costs'!F27+'Non-Battery Costs'!F27+'Fuel Cell Tank Cost'!F27+'Fuel Cell Stack Cost'!F27</f>
        <v>16568.360089641945</v>
      </c>
      <c r="G27" s="23">
        <f>'Battery Costs'!G27+'Non-Battery Costs'!G27+'Fuel Cell Tank Cost'!G27+'Fuel Cell Stack Cost'!G27</f>
        <v>15390.058166791057</v>
      </c>
      <c r="H27" s="23">
        <f>'Battery Costs'!H27+'Non-Battery Costs'!H27+'Fuel Cell Tank Cost'!H27+'Fuel Cell Stack Cost'!H27</f>
        <v>14238.554748819928</v>
      </c>
      <c r="I27" s="23">
        <f>'Battery Costs'!I27+'Non-Battery Costs'!I27+'Fuel Cell Tank Cost'!I27+'Fuel Cell Stack Cost'!I27</f>
        <v>13113.838879872321</v>
      </c>
      <c r="J27" s="23">
        <f>'Battery Costs'!J27+'Non-Battery Costs'!J27+'Fuel Cell Tank Cost'!J27+'Fuel Cell Stack Cost'!J27</f>
        <v>12015.899736802177</v>
      </c>
      <c r="K27" s="23">
        <f>'Battery Costs'!K27+'Non-Battery Costs'!K27+'Fuel Cell Tank Cost'!K27+'Fuel Cell Stack Cost'!K27</f>
        <v>11642.534838519827</v>
      </c>
      <c r="L27" s="23">
        <f>'Battery Costs'!L27+'Non-Battery Costs'!L27+'Fuel Cell Tank Cost'!L27+'Fuel Cell Stack Cost'!L27</f>
        <v>11274.431971543963</v>
      </c>
      <c r="M27" s="23">
        <f>'Battery Costs'!M27+'Non-Battery Costs'!M27+'Fuel Cell Tank Cost'!M27+'Fuel Cell Stack Cost'!M27</f>
        <v>10911.580701578785</v>
      </c>
      <c r="N27" s="23">
        <f>'Battery Costs'!N27+'Non-Battery Costs'!N27+'Fuel Cell Tank Cost'!N27+'Fuel Cell Stack Cost'!N27</f>
        <v>10553.97072091082</v>
      </c>
      <c r="O27" s="43">
        <f>'Battery Costs'!O27+'Non-Battery Costs'!O27+'Fuel Cell Tank Cost'!O27+'Fuel Cell Stack Cost'!O27</f>
        <v>10201.591846920695</v>
      </c>
    </row>
    <row r="28" spans="1:15" x14ac:dyDescent="0.3">
      <c r="A28" s="16" t="str">
        <f t="shared" si="0"/>
        <v>SmallSUVBaseFCEV320</v>
      </c>
      <c r="B28" s="79" t="str">
        <f>'Vehicle Attributes - Base Year'!B25</f>
        <v>MedCar</v>
      </c>
      <c r="C28" s="68" t="str">
        <f>'Vehicle Attributes - Base Year'!C25</f>
        <v>Premium</v>
      </c>
      <c r="D28" s="68" t="str">
        <f>'Vehicle Attributes - Base Year'!D25</f>
        <v>FCEV320</v>
      </c>
      <c r="E28" s="23">
        <f>'Battery Costs'!E28+'Non-Battery Costs'!E28+'Fuel Cell Tank Cost'!E28+'Fuel Cell Stack Cost'!E28</f>
        <v>17773.471607515748</v>
      </c>
      <c r="F28" s="23">
        <f>'Battery Costs'!F28+'Non-Battery Costs'!F28+'Fuel Cell Tank Cost'!F28+'Fuel Cell Stack Cost'!F28</f>
        <v>16568.360089641945</v>
      </c>
      <c r="G28" s="23">
        <f>'Battery Costs'!G28+'Non-Battery Costs'!G28+'Fuel Cell Tank Cost'!G28+'Fuel Cell Stack Cost'!G28</f>
        <v>15390.058166791057</v>
      </c>
      <c r="H28" s="23">
        <f>'Battery Costs'!H28+'Non-Battery Costs'!H28+'Fuel Cell Tank Cost'!H28+'Fuel Cell Stack Cost'!H28</f>
        <v>14238.554748819928</v>
      </c>
      <c r="I28" s="23">
        <f>'Battery Costs'!I28+'Non-Battery Costs'!I28+'Fuel Cell Tank Cost'!I28+'Fuel Cell Stack Cost'!I28</f>
        <v>13113.838879872321</v>
      </c>
      <c r="J28" s="23">
        <f>'Battery Costs'!J28+'Non-Battery Costs'!J28+'Fuel Cell Tank Cost'!J28+'Fuel Cell Stack Cost'!J28</f>
        <v>12015.899736802177</v>
      </c>
      <c r="K28" s="23">
        <f>'Battery Costs'!K28+'Non-Battery Costs'!K28+'Fuel Cell Tank Cost'!K28+'Fuel Cell Stack Cost'!K28</f>
        <v>11642.534838519827</v>
      </c>
      <c r="L28" s="23">
        <f>'Battery Costs'!L28+'Non-Battery Costs'!L28+'Fuel Cell Tank Cost'!L28+'Fuel Cell Stack Cost'!L28</f>
        <v>11274.431971543963</v>
      </c>
      <c r="M28" s="23">
        <f>'Battery Costs'!M28+'Non-Battery Costs'!M28+'Fuel Cell Tank Cost'!M28+'Fuel Cell Stack Cost'!M28</f>
        <v>10911.580701578785</v>
      </c>
      <c r="N28" s="23">
        <f>'Battery Costs'!N28+'Non-Battery Costs'!N28+'Fuel Cell Tank Cost'!N28+'Fuel Cell Stack Cost'!N28</f>
        <v>10553.97072091082</v>
      </c>
      <c r="O28" s="43">
        <f>'Battery Costs'!O28+'Non-Battery Costs'!O28+'Fuel Cell Tank Cost'!O28+'Fuel Cell Stack Cost'!O28</f>
        <v>10201.591846920695</v>
      </c>
    </row>
    <row r="29" spans="1:15" x14ac:dyDescent="0.3">
      <c r="A29" t="str">
        <f t="shared" si="0"/>
        <v>SmallSUVPremiumFCEV320</v>
      </c>
      <c r="B29" s="79" t="str">
        <f>'Vehicle Attributes - Base Year'!B26</f>
        <v>SmallSUV</v>
      </c>
      <c r="C29" s="68" t="str">
        <f>'Vehicle Attributes - Base Year'!C26</f>
        <v>Base</v>
      </c>
      <c r="D29" s="68" t="str">
        <f>'Vehicle Attributes - Base Year'!D26</f>
        <v>FCEV320</v>
      </c>
      <c r="E29" s="23">
        <f>'Battery Costs'!E29+'Non-Battery Costs'!E29+'Fuel Cell Tank Cost'!E29+'Fuel Cell Stack Cost'!E29</f>
        <v>17082.279219890879</v>
      </c>
      <c r="F29" s="23">
        <f>'Battery Costs'!F29+'Non-Battery Costs'!F29+'Fuel Cell Tank Cost'!F29+'Fuel Cell Stack Cost'!F29</f>
        <v>15980.405396134971</v>
      </c>
      <c r="G29" s="23">
        <f>'Battery Costs'!G29+'Non-Battery Costs'!G29+'Fuel Cell Tank Cost'!G29+'Fuel Cell Stack Cost'!G29</f>
        <v>14895.387489057979</v>
      </c>
      <c r="H29" s="23">
        <f>'Battery Costs'!H29+'Non-Battery Costs'!H29+'Fuel Cell Tank Cost'!H29+'Fuel Cell Stack Cost'!H29</f>
        <v>13827.214450335388</v>
      </c>
      <c r="I29" s="23">
        <f>'Battery Costs'!I29+'Non-Battery Costs'!I29+'Fuel Cell Tank Cost'!I29+'Fuel Cell Stack Cost'!I29</f>
        <v>12775.875365511409</v>
      </c>
      <c r="J29" s="23">
        <f>'Battery Costs'!J29+'Non-Battery Costs'!J29+'Fuel Cell Tank Cost'!J29+'Fuel Cell Stack Cost'!J29</f>
        <v>11741.359452426437</v>
      </c>
      <c r="K29" s="23">
        <f>'Battery Costs'!K29+'Non-Battery Costs'!K29+'Fuel Cell Tank Cost'!K29+'Fuel Cell Stack Cost'!K29</f>
        <v>11417.498287184197</v>
      </c>
      <c r="L29" s="23">
        <f>'Battery Costs'!L29+'Non-Battery Costs'!L29+'Fuel Cell Tank Cost'!L29+'Fuel Cell Stack Cost'!L29</f>
        <v>11097.472714944568</v>
      </c>
      <c r="M29" s="23">
        <f>'Battery Costs'!M29+'Non-Battery Costs'!M29+'Fuel Cell Tank Cost'!M29+'Fuel Cell Stack Cost'!M29</f>
        <v>10781.279012988871</v>
      </c>
      <c r="N29" s="23">
        <f>'Battery Costs'!N29+'Non-Battery Costs'!N29+'Fuel Cell Tank Cost'!N29+'Fuel Cell Stack Cost'!N29</f>
        <v>10468.913495825607</v>
      </c>
      <c r="O29" s="43">
        <f>'Battery Costs'!O29+'Non-Battery Costs'!O29+'Fuel Cell Tank Cost'!O29+'Fuel Cell Stack Cost'!O29</f>
        <v>10160.372514818195</v>
      </c>
    </row>
    <row r="30" spans="1:15" x14ac:dyDescent="0.3">
      <c r="A30" s="16" t="str">
        <f t="shared" si="0"/>
        <v>MedSUVBaseFCEV320</v>
      </c>
      <c r="B30" s="79" t="str">
        <f>'Vehicle Attributes - Base Year'!B27</f>
        <v>SmallSUV</v>
      </c>
      <c r="C30" s="68" t="str">
        <f>'Vehicle Attributes - Base Year'!C27</f>
        <v>Premium</v>
      </c>
      <c r="D30" s="68" t="str">
        <f>'Vehicle Attributes - Base Year'!D27</f>
        <v>FCEV320</v>
      </c>
      <c r="E30" s="23">
        <f>'Battery Costs'!E30+'Non-Battery Costs'!E30+'Fuel Cell Tank Cost'!E30+'Fuel Cell Stack Cost'!E30</f>
        <v>17082.279219890879</v>
      </c>
      <c r="F30" s="23">
        <f>'Battery Costs'!F30+'Non-Battery Costs'!F30+'Fuel Cell Tank Cost'!F30+'Fuel Cell Stack Cost'!F30</f>
        <v>15980.405396134971</v>
      </c>
      <c r="G30" s="23">
        <f>'Battery Costs'!G30+'Non-Battery Costs'!G30+'Fuel Cell Tank Cost'!G30+'Fuel Cell Stack Cost'!G30</f>
        <v>14895.387489057979</v>
      </c>
      <c r="H30" s="23">
        <f>'Battery Costs'!H30+'Non-Battery Costs'!H30+'Fuel Cell Tank Cost'!H30+'Fuel Cell Stack Cost'!H30</f>
        <v>13827.214450335388</v>
      </c>
      <c r="I30" s="23">
        <f>'Battery Costs'!I30+'Non-Battery Costs'!I30+'Fuel Cell Tank Cost'!I30+'Fuel Cell Stack Cost'!I30</f>
        <v>12775.875365511409</v>
      </c>
      <c r="J30" s="23">
        <f>'Battery Costs'!J30+'Non-Battery Costs'!J30+'Fuel Cell Tank Cost'!J30+'Fuel Cell Stack Cost'!J30</f>
        <v>11741.359452426437</v>
      </c>
      <c r="K30" s="23">
        <f>'Battery Costs'!K30+'Non-Battery Costs'!K30+'Fuel Cell Tank Cost'!K30+'Fuel Cell Stack Cost'!K30</f>
        <v>11417.498287184197</v>
      </c>
      <c r="L30" s="23">
        <f>'Battery Costs'!L30+'Non-Battery Costs'!L30+'Fuel Cell Tank Cost'!L30+'Fuel Cell Stack Cost'!L30</f>
        <v>11097.472714944568</v>
      </c>
      <c r="M30" s="23">
        <f>'Battery Costs'!M30+'Non-Battery Costs'!M30+'Fuel Cell Tank Cost'!M30+'Fuel Cell Stack Cost'!M30</f>
        <v>10781.279012988871</v>
      </c>
      <c r="N30" s="23">
        <f>'Battery Costs'!N30+'Non-Battery Costs'!N30+'Fuel Cell Tank Cost'!N30+'Fuel Cell Stack Cost'!N30</f>
        <v>10468.913495825607</v>
      </c>
      <c r="O30" s="43">
        <f>'Battery Costs'!O30+'Non-Battery Costs'!O30+'Fuel Cell Tank Cost'!O30+'Fuel Cell Stack Cost'!O30</f>
        <v>10160.372514818195</v>
      </c>
    </row>
    <row r="31" spans="1:15" x14ac:dyDescent="0.3">
      <c r="A31" t="str">
        <f t="shared" si="0"/>
        <v>MedSUVPremiumFCEV320</v>
      </c>
      <c r="B31" s="79" t="str">
        <f>'Vehicle Attributes - Base Year'!B28</f>
        <v>MedSUV</v>
      </c>
      <c r="C31" s="68" t="str">
        <f>'Vehicle Attributes - Base Year'!C28</f>
        <v>Base</v>
      </c>
      <c r="D31" s="68" t="str">
        <f>'Vehicle Attributes - Base Year'!D28</f>
        <v>FCEV320</v>
      </c>
      <c r="E31" s="23">
        <f>'Battery Costs'!E31+'Non-Battery Costs'!E31+'Fuel Cell Tank Cost'!E31+'Fuel Cell Stack Cost'!E31</f>
        <v>19520.136838309834</v>
      </c>
      <c r="F31" s="23">
        <f>'Battery Costs'!F31+'Non-Battery Costs'!F31+'Fuel Cell Tank Cost'!F31+'Fuel Cell Stack Cost'!F31</f>
        <v>18258.029029072561</v>
      </c>
      <c r="G31" s="23">
        <f>'Battery Costs'!G31+'Non-Battery Costs'!G31+'Fuel Cell Tank Cost'!G31+'Fuel Cell Stack Cost'!G31</f>
        <v>17017.853883788463</v>
      </c>
      <c r="H31" s="23">
        <f>'Battery Costs'!H31+'Non-Battery Costs'!H31+'Fuel Cell Tank Cost'!H31+'Fuel Cell Stack Cost'!H31</f>
        <v>15799.59997729707</v>
      </c>
      <c r="I31" s="23">
        <f>'Battery Costs'!I31+'Non-Battery Costs'!I31+'Fuel Cell Tank Cost'!I31+'Fuel Cell Stack Cost'!I31</f>
        <v>14603.25602207502</v>
      </c>
      <c r="J31" s="23">
        <f>'Battery Costs'!J31+'Non-Battery Costs'!J31+'Fuel Cell Tank Cost'!J31+'Fuel Cell Stack Cost'!J31</f>
        <v>13428.810866625796</v>
      </c>
      <c r="K31" s="23">
        <f>'Battery Costs'!K31+'Non-Battery Costs'!K31+'Fuel Cell Tank Cost'!K31+'Fuel Cell Stack Cost'!K31</f>
        <v>13012.619812432506</v>
      </c>
      <c r="L31" s="23">
        <f>'Battery Costs'!L31+'Non-Battery Costs'!L31+'Fuel Cell Tank Cost'!L31+'Fuel Cell Stack Cost'!L31</f>
        <v>12601.971460556108</v>
      </c>
      <c r="M31" s="23">
        <f>'Battery Costs'!M31+'Non-Battery Costs'!M31+'Fuel Cell Tank Cost'!M31+'Fuel Cell Stack Cost'!M31</f>
        <v>12196.855058102683</v>
      </c>
      <c r="N31" s="23">
        <f>'Battery Costs'!N31+'Non-Battery Costs'!N31+'Fuel Cell Tank Cost'!N31+'Fuel Cell Stack Cost'!N31</f>
        <v>11797.25998194662</v>
      </c>
      <c r="O31" s="43">
        <f>'Battery Costs'!O31+'Non-Battery Costs'!O31+'Fuel Cell Tank Cost'!O31+'Fuel Cell Stack Cost'!O31</f>
        <v>11403.17573721052</v>
      </c>
    </row>
    <row r="32" spans="1:15" x14ac:dyDescent="0.3">
      <c r="A32" s="16" t="str">
        <f t="shared" si="0"/>
        <v>PickupBaseFCEV320</v>
      </c>
      <c r="B32" s="79" t="str">
        <f>'Vehicle Attributes - Base Year'!B29</f>
        <v>MedSUV</v>
      </c>
      <c r="C32" s="68" t="str">
        <f>'Vehicle Attributes - Base Year'!C29</f>
        <v>Premium</v>
      </c>
      <c r="D32" s="68" t="str">
        <f>'Vehicle Attributes - Base Year'!D29</f>
        <v>FCEV320</v>
      </c>
      <c r="E32" s="23">
        <f>'Battery Costs'!E32+'Non-Battery Costs'!E32+'Fuel Cell Tank Cost'!E32+'Fuel Cell Stack Cost'!E32</f>
        <v>19520.136838309834</v>
      </c>
      <c r="F32" s="23">
        <f>'Battery Costs'!F32+'Non-Battery Costs'!F32+'Fuel Cell Tank Cost'!F32+'Fuel Cell Stack Cost'!F32</f>
        <v>18258.029029072561</v>
      </c>
      <c r="G32" s="23">
        <f>'Battery Costs'!G32+'Non-Battery Costs'!G32+'Fuel Cell Tank Cost'!G32+'Fuel Cell Stack Cost'!G32</f>
        <v>17017.853883788463</v>
      </c>
      <c r="H32" s="23">
        <f>'Battery Costs'!H32+'Non-Battery Costs'!H32+'Fuel Cell Tank Cost'!H32+'Fuel Cell Stack Cost'!H32</f>
        <v>15799.59997729707</v>
      </c>
      <c r="I32" s="23">
        <f>'Battery Costs'!I32+'Non-Battery Costs'!I32+'Fuel Cell Tank Cost'!I32+'Fuel Cell Stack Cost'!I32</f>
        <v>14603.25602207502</v>
      </c>
      <c r="J32" s="23">
        <f>'Battery Costs'!J32+'Non-Battery Costs'!J32+'Fuel Cell Tank Cost'!J32+'Fuel Cell Stack Cost'!J32</f>
        <v>13428.810866625796</v>
      </c>
      <c r="K32" s="23">
        <f>'Battery Costs'!K32+'Non-Battery Costs'!K32+'Fuel Cell Tank Cost'!K32+'Fuel Cell Stack Cost'!K32</f>
        <v>13012.619812432506</v>
      </c>
      <c r="L32" s="23">
        <f>'Battery Costs'!L32+'Non-Battery Costs'!L32+'Fuel Cell Tank Cost'!L32+'Fuel Cell Stack Cost'!L32</f>
        <v>12601.971460556108</v>
      </c>
      <c r="M32" s="23">
        <f>'Battery Costs'!M32+'Non-Battery Costs'!M32+'Fuel Cell Tank Cost'!M32+'Fuel Cell Stack Cost'!M32</f>
        <v>12196.855058102683</v>
      </c>
      <c r="N32" s="23">
        <f>'Battery Costs'!N32+'Non-Battery Costs'!N32+'Fuel Cell Tank Cost'!N32+'Fuel Cell Stack Cost'!N32</f>
        <v>11797.25998194662</v>
      </c>
      <c r="O32" s="43">
        <f>'Battery Costs'!O32+'Non-Battery Costs'!O32+'Fuel Cell Tank Cost'!O32+'Fuel Cell Stack Cost'!O32</f>
        <v>11403.17573721052</v>
      </c>
    </row>
    <row r="33" spans="1:15" x14ac:dyDescent="0.3">
      <c r="A33" t="str">
        <f t="shared" si="0"/>
        <v>PickupHTFCEV320</v>
      </c>
      <c r="B33" s="79" t="str">
        <f>'Vehicle Attributes - Base Year'!B30</f>
        <v>Pickup</v>
      </c>
      <c r="C33" s="68" t="str">
        <f>'Vehicle Attributes - Base Year'!C30</f>
        <v>Base</v>
      </c>
      <c r="D33" s="68" t="str">
        <f>'Vehicle Attributes - Base Year'!D30</f>
        <v>FCEV320</v>
      </c>
      <c r="E33" s="23">
        <f>'Battery Costs'!E33+'Non-Battery Costs'!E33+'Fuel Cell Tank Cost'!E33+'Fuel Cell Stack Cost'!E33</f>
        <v>24109.517558637141</v>
      </c>
      <c r="F33" s="23">
        <f>'Battery Costs'!F33+'Non-Battery Costs'!F33+'Fuel Cell Tank Cost'!F33+'Fuel Cell Stack Cost'!F33</f>
        <v>22560.247383730682</v>
      </c>
      <c r="G33" s="23">
        <f>'Battery Costs'!G33+'Non-Battery Costs'!G33+'Fuel Cell Tank Cost'!G33+'Fuel Cell Stack Cost'!G33</f>
        <v>21041.976125477049</v>
      </c>
      <c r="H33" s="23">
        <f>'Battery Costs'!H33+'Non-Battery Costs'!H33+'Fuel Cell Tank Cost'!H33+'Fuel Cell Stack Cost'!H33</f>
        <v>19554.684886967054</v>
      </c>
      <c r="I33" s="23">
        <f>'Battery Costs'!I33+'Non-Battery Costs'!I33+'Fuel Cell Tank Cost'!I33+'Fuel Cell Stack Cost'!I33</f>
        <v>18098.355007031576</v>
      </c>
      <c r="J33" s="23">
        <f>'Battery Costs'!J33+'Non-Battery Costs'!J33+'Fuel Cell Tank Cost'!J33+'Fuel Cell Stack Cost'!J33</f>
        <v>16672.968057416434</v>
      </c>
      <c r="K33" s="23">
        <f>'Battery Costs'!K33+'Non-Battery Costs'!K33+'Fuel Cell Tank Cost'!K33+'Fuel Cell Stack Cost'!K33</f>
        <v>16109.084771315192</v>
      </c>
      <c r="L33" s="23">
        <f>'Battery Costs'!L33+'Non-Battery Costs'!L33+'Fuel Cell Tank Cost'!L33+'Fuel Cell Stack Cost'!L33</f>
        <v>15553.347617210395</v>
      </c>
      <c r="M33" s="23">
        <f>'Battery Costs'!M33+'Non-Battery Costs'!M33+'Fuel Cell Tank Cost'!M33+'Fuel Cell Stack Cost'!M33</f>
        <v>15005.752192585436</v>
      </c>
      <c r="N33" s="23">
        <f>'Battery Costs'!N33+'Non-Battery Costs'!N33+'Fuel Cell Tank Cost'!N33+'Fuel Cell Stack Cost'!N33</f>
        <v>14466.294138948875</v>
      </c>
      <c r="O33" s="43">
        <f>'Battery Costs'!O33+'Non-Battery Costs'!O33+'Fuel Cell Tank Cost'!O33+'Fuel Cell Stack Cost'!O33</f>
        <v>13934.969141394185</v>
      </c>
    </row>
    <row r="34" spans="1:15" x14ac:dyDescent="0.3">
      <c r="B34" s="79" t="str">
        <f>'Vehicle Attributes - Base Year'!B31</f>
        <v>Pickup</v>
      </c>
      <c r="C34" s="68" t="str">
        <f>'Vehicle Attributes - Base Year'!C31</f>
        <v>HT</v>
      </c>
      <c r="D34" s="68" t="str">
        <f>'Vehicle Attributes - Base Year'!D31</f>
        <v>FCEV320</v>
      </c>
      <c r="E34" s="23">
        <f>'Battery Costs'!E34+'Non-Battery Costs'!E34+'Fuel Cell Tank Cost'!E34+'Fuel Cell Stack Cost'!E34</f>
        <v>24109.517558637141</v>
      </c>
      <c r="F34" s="23">
        <f>'Battery Costs'!F34+'Non-Battery Costs'!F34+'Fuel Cell Tank Cost'!F34+'Fuel Cell Stack Cost'!F34</f>
        <v>22560.247383730682</v>
      </c>
      <c r="G34" s="23">
        <f>'Battery Costs'!G34+'Non-Battery Costs'!G34+'Fuel Cell Tank Cost'!G34+'Fuel Cell Stack Cost'!G34</f>
        <v>21041.976125477049</v>
      </c>
      <c r="H34" s="23">
        <f>'Battery Costs'!H34+'Non-Battery Costs'!H34+'Fuel Cell Tank Cost'!H34+'Fuel Cell Stack Cost'!H34</f>
        <v>19554.684886967054</v>
      </c>
      <c r="I34" s="23">
        <f>'Battery Costs'!I34+'Non-Battery Costs'!I34+'Fuel Cell Tank Cost'!I34+'Fuel Cell Stack Cost'!I34</f>
        <v>18098.355007031576</v>
      </c>
      <c r="J34" s="23">
        <f>'Battery Costs'!J34+'Non-Battery Costs'!J34+'Fuel Cell Tank Cost'!J34+'Fuel Cell Stack Cost'!J34</f>
        <v>16672.968057416434</v>
      </c>
      <c r="K34" s="23">
        <f>'Battery Costs'!K34+'Non-Battery Costs'!K34+'Fuel Cell Tank Cost'!K34+'Fuel Cell Stack Cost'!K34</f>
        <v>16109.084771315192</v>
      </c>
      <c r="L34" s="23">
        <f>'Battery Costs'!L34+'Non-Battery Costs'!L34+'Fuel Cell Tank Cost'!L34+'Fuel Cell Stack Cost'!L34</f>
        <v>15553.347617210395</v>
      </c>
      <c r="M34" s="23">
        <f>'Battery Costs'!M34+'Non-Battery Costs'!M34+'Fuel Cell Tank Cost'!M34+'Fuel Cell Stack Cost'!M34</f>
        <v>15005.752192585436</v>
      </c>
      <c r="N34" s="23">
        <f>'Battery Costs'!N34+'Non-Battery Costs'!N34+'Fuel Cell Tank Cost'!N34+'Fuel Cell Stack Cost'!N34</f>
        <v>14466.294138948875</v>
      </c>
      <c r="O34" s="43">
        <f>'Battery Costs'!O34+'Non-Battery Costs'!O34+'Fuel Cell Tank Cost'!O34+'Fuel Cell Stack Cost'!O34</f>
        <v>13934.969141394185</v>
      </c>
    </row>
  </sheetData>
  <mergeCells count="2">
    <mergeCell ref="E2:O2"/>
    <mergeCell ref="B1:O1"/>
  </mergeCells>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777777"/>
  </sheetPr>
  <dimension ref="A1:O34"/>
  <sheetViews>
    <sheetView topLeftCell="B1" zoomScaleNormal="100" workbookViewId="0">
      <selection activeCell="B1" sqref="B1:O1"/>
    </sheetView>
  </sheetViews>
  <sheetFormatPr defaultRowHeight="14.4" x14ac:dyDescent="0.3"/>
  <cols>
    <col min="1" max="1" width="0" hidden="1" customWidth="1"/>
    <col min="2" max="2" width="12.5546875" bestFit="1" customWidth="1"/>
    <col min="3" max="3" width="12.44140625" bestFit="1" customWidth="1"/>
    <col min="4" max="10" width="11" customWidth="1"/>
    <col min="11" max="15" width="12" customWidth="1"/>
  </cols>
  <sheetData>
    <row r="1" spans="1:15" x14ac:dyDescent="0.3">
      <c r="B1" s="170" t="s">
        <v>229</v>
      </c>
      <c r="C1" s="175"/>
      <c r="D1" s="175"/>
      <c r="E1" s="175"/>
      <c r="F1" s="175"/>
      <c r="G1" s="175"/>
      <c r="H1" s="175"/>
      <c r="I1" s="175"/>
      <c r="J1" s="175"/>
      <c r="K1" s="175"/>
      <c r="L1" s="175"/>
      <c r="M1" s="175"/>
      <c r="N1" s="175"/>
      <c r="O1" s="171"/>
    </row>
    <row r="2" spans="1:15" x14ac:dyDescent="0.3">
      <c r="B2" s="73"/>
      <c r="C2" s="73"/>
      <c r="D2" s="74"/>
      <c r="E2" s="195" t="s">
        <v>155</v>
      </c>
      <c r="F2" s="195"/>
      <c r="G2" s="195"/>
      <c r="H2" s="195"/>
      <c r="I2" s="195"/>
      <c r="J2" s="195"/>
      <c r="K2" s="195"/>
      <c r="L2" s="195"/>
      <c r="M2" s="195"/>
      <c r="N2" s="195"/>
      <c r="O2" s="196"/>
    </row>
    <row r="3" spans="1:15" x14ac:dyDescent="0.3">
      <c r="B3" s="75" t="s">
        <v>100</v>
      </c>
      <c r="C3" s="75" t="s">
        <v>101</v>
      </c>
      <c r="D3" s="76" t="s">
        <v>67</v>
      </c>
      <c r="E3" s="77">
        <v>2025</v>
      </c>
      <c r="F3" s="78">
        <v>2026</v>
      </c>
      <c r="G3" s="78">
        <v>2027</v>
      </c>
      <c r="H3" s="78">
        <v>2028</v>
      </c>
      <c r="I3" s="78">
        <v>2029</v>
      </c>
      <c r="J3" s="78">
        <v>2030</v>
      </c>
      <c r="K3" s="78">
        <v>2031</v>
      </c>
      <c r="L3" s="78">
        <v>2032</v>
      </c>
      <c r="M3" s="78">
        <v>2033</v>
      </c>
      <c r="N3" s="78">
        <v>2034</v>
      </c>
      <c r="O3" s="148">
        <v>2035</v>
      </c>
    </row>
    <row r="4" spans="1:15" x14ac:dyDescent="0.3">
      <c r="A4" s="16" t="str">
        <f t="shared" ref="A4:A33" si="0">CONCATENATE(B5,C5,D5,)</f>
        <v>SmallCarBaseBEV300</v>
      </c>
      <c r="B4" s="79" t="s">
        <v>64</v>
      </c>
      <c r="C4" s="68" t="s">
        <v>65</v>
      </c>
      <c r="D4" s="68" t="s">
        <v>156</v>
      </c>
      <c r="E4" s="23" t="s">
        <v>157</v>
      </c>
      <c r="F4" s="23" t="s">
        <v>158</v>
      </c>
      <c r="G4" s="23" t="s">
        <v>159</v>
      </c>
      <c r="H4" s="23" t="s">
        <v>160</v>
      </c>
      <c r="I4" s="23" t="s">
        <v>161</v>
      </c>
      <c r="J4" s="23" t="s">
        <v>162</v>
      </c>
      <c r="K4" s="23" t="s">
        <v>163</v>
      </c>
      <c r="L4" s="23" t="s">
        <v>164</v>
      </c>
      <c r="M4" s="23" t="s">
        <v>165</v>
      </c>
      <c r="N4" s="23" t="s">
        <v>166</v>
      </c>
      <c r="O4" s="43" t="s">
        <v>167</v>
      </c>
    </row>
    <row r="5" spans="1:15" ht="15" customHeight="1" x14ac:dyDescent="0.3">
      <c r="A5" t="str">
        <f t="shared" si="0"/>
        <v>SmallCarPremiumBEV400</v>
      </c>
      <c r="B5" s="79" t="str">
        <f>'Vehicle Attributes - Base Year'!B2</f>
        <v>SmallCar</v>
      </c>
      <c r="C5" s="68" t="str">
        <f>'Vehicle Attributes - Base Year'!C2</f>
        <v>Base</v>
      </c>
      <c r="D5" s="68" t="str">
        <f>'Vehicle Attributes - Base Year'!D2</f>
        <v>BEV300</v>
      </c>
      <c r="E5" s="23">
        <v>-3500</v>
      </c>
      <c r="F5" s="23">
        <v>-3500</v>
      </c>
      <c r="G5" s="23">
        <v>-3500</v>
      </c>
      <c r="H5" s="23">
        <v>-3500</v>
      </c>
      <c r="I5" s="23">
        <v>-3500</v>
      </c>
      <c r="J5" s="23">
        <v>-3500</v>
      </c>
      <c r="K5" s="23">
        <v>-3500</v>
      </c>
      <c r="L5" s="23">
        <v>-3500</v>
      </c>
      <c r="M5" s="23">
        <v>-3500</v>
      </c>
      <c r="N5" s="23">
        <v>-3500</v>
      </c>
      <c r="O5" s="43">
        <v>-3500</v>
      </c>
    </row>
    <row r="6" spans="1:15" x14ac:dyDescent="0.3">
      <c r="A6" s="16" t="str">
        <f t="shared" si="0"/>
        <v>MedCarBaseBEV300</v>
      </c>
      <c r="B6" s="79" t="str">
        <f>'Vehicle Attributes - Base Year'!B3</f>
        <v>SmallCar</v>
      </c>
      <c r="C6" s="68" t="str">
        <f>'Vehicle Attributes - Base Year'!C3</f>
        <v>Premium</v>
      </c>
      <c r="D6" s="68" t="str">
        <f>'Vehicle Attributes - Base Year'!D3</f>
        <v>BEV400</v>
      </c>
      <c r="E6" s="23">
        <v>-3500</v>
      </c>
      <c r="F6" s="23">
        <v>-3500</v>
      </c>
      <c r="G6" s="23">
        <v>-3500</v>
      </c>
      <c r="H6" s="23">
        <v>-3500</v>
      </c>
      <c r="I6" s="23">
        <v>-3500</v>
      </c>
      <c r="J6" s="23">
        <v>-3500</v>
      </c>
      <c r="K6" s="23">
        <v>-3500</v>
      </c>
      <c r="L6" s="23">
        <v>-3500</v>
      </c>
      <c r="M6" s="23">
        <v>-3500</v>
      </c>
      <c r="N6" s="23">
        <v>-3500</v>
      </c>
      <c r="O6" s="43">
        <v>-3500</v>
      </c>
    </row>
    <row r="7" spans="1:15" x14ac:dyDescent="0.3">
      <c r="A7" t="str">
        <f t="shared" si="0"/>
        <v>MedCarPremiumBEV400</v>
      </c>
      <c r="B7" s="79" t="str">
        <f>'Vehicle Attributes - Base Year'!B4</f>
        <v>MedCar</v>
      </c>
      <c r="C7" s="68" t="str">
        <f>'Vehicle Attributes - Base Year'!C4</f>
        <v>Base</v>
      </c>
      <c r="D7" s="68" t="str">
        <f>'Vehicle Attributes - Base Year'!D4</f>
        <v>BEV300</v>
      </c>
      <c r="E7" s="23">
        <v>-3500</v>
      </c>
      <c r="F7" s="23">
        <v>-3500</v>
      </c>
      <c r="G7" s="23">
        <v>-3500</v>
      </c>
      <c r="H7" s="23">
        <v>-3500</v>
      </c>
      <c r="I7" s="23">
        <v>-3500</v>
      </c>
      <c r="J7" s="23">
        <v>-3500</v>
      </c>
      <c r="K7" s="23">
        <v>-3500</v>
      </c>
      <c r="L7" s="23">
        <v>-3500</v>
      </c>
      <c r="M7" s="23">
        <v>-3500</v>
      </c>
      <c r="N7" s="23">
        <v>-3500</v>
      </c>
      <c r="O7" s="43">
        <v>-3500</v>
      </c>
    </row>
    <row r="8" spans="1:15" x14ac:dyDescent="0.3">
      <c r="A8" s="16" t="str">
        <f t="shared" si="0"/>
        <v>SmallSUVBaseBEV300</v>
      </c>
      <c r="B8" s="79" t="str">
        <f>'Vehicle Attributes - Base Year'!B5</f>
        <v>MedCar</v>
      </c>
      <c r="C8" s="68" t="str">
        <f>'Vehicle Attributes - Base Year'!C5</f>
        <v>Premium</v>
      </c>
      <c r="D8" s="68" t="str">
        <f>'Vehicle Attributes - Base Year'!D5</f>
        <v>BEV400</v>
      </c>
      <c r="E8" s="23">
        <v>-3500</v>
      </c>
      <c r="F8" s="23">
        <v>-3500</v>
      </c>
      <c r="G8" s="23">
        <v>-3500</v>
      </c>
      <c r="H8" s="23">
        <v>-3500</v>
      </c>
      <c r="I8" s="23">
        <v>-3500</v>
      </c>
      <c r="J8" s="23">
        <v>-3500</v>
      </c>
      <c r="K8" s="23">
        <v>-3500</v>
      </c>
      <c r="L8" s="23">
        <v>-3500</v>
      </c>
      <c r="M8" s="23">
        <v>-3500</v>
      </c>
      <c r="N8" s="23">
        <v>-3500</v>
      </c>
      <c r="O8" s="43">
        <v>-3500</v>
      </c>
    </row>
    <row r="9" spans="1:15" x14ac:dyDescent="0.3">
      <c r="A9" t="str">
        <f t="shared" si="0"/>
        <v>SmallSUVPremiumBEV400</v>
      </c>
      <c r="B9" s="79" t="str">
        <f>'Vehicle Attributes - Base Year'!B6</f>
        <v>SmallSUV</v>
      </c>
      <c r="C9" s="68" t="str">
        <f>'Vehicle Attributes - Base Year'!C6</f>
        <v>Base</v>
      </c>
      <c r="D9" s="68" t="str">
        <f>'Vehicle Attributes - Base Year'!D6</f>
        <v>BEV300</v>
      </c>
      <c r="E9" s="23">
        <v>-3500</v>
      </c>
      <c r="F9" s="23">
        <v>-3500</v>
      </c>
      <c r="G9" s="23">
        <v>-3500</v>
      </c>
      <c r="H9" s="23">
        <v>-3500</v>
      </c>
      <c r="I9" s="23">
        <v>-3500</v>
      </c>
      <c r="J9" s="23">
        <v>-3500</v>
      </c>
      <c r="K9" s="23">
        <v>-3500</v>
      </c>
      <c r="L9" s="23">
        <v>-3500</v>
      </c>
      <c r="M9" s="23">
        <v>-3500</v>
      </c>
      <c r="N9" s="23">
        <v>-3500</v>
      </c>
      <c r="O9" s="43">
        <v>-3500</v>
      </c>
    </row>
    <row r="10" spans="1:15" x14ac:dyDescent="0.3">
      <c r="A10" s="16" t="str">
        <f t="shared" si="0"/>
        <v>MedSUVBaseBEV300</v>
      </c>
      <c r="B10" s="79" t="str">
        <f>'Vehicle Attributes - Base Year'!B7</f>
        <v>SmallSUV</v>
      </c>
      <c r="C10" s="68" t="str">
        <f>'Vehicle Attributes - Base Year'!C7</f>
        <v>Premium</v>
      </c>
      <c r="D10" s="68" t="str">
        <f>'Vehicle Attributes - Base Year'!D7</f>
        <v>BEV400</v>
      </c>
      <c r="E10" s="23">
        <v>-3500</v>
      </c>
      <c r="F10" s="23">
        <v>-3500</v>
      </c>
      <c r="G10" s="23">
        <v>-3500</v>
      </c>
      <c r="H10" s="23">
        <v>-3500</v>
      </c>
      <c r="I10" s="23">
        <v>-3500</v>
      </c>
      <c r="J10" s="23">
        <v>-3500</v>
      </c>
      <c r="K10" s="23">
        <v>-3500</v>
      </c>
      <c r="L10" s="23">
        <v>-3500</v>
      </c>
      <c r="M10" s="23">
        <v>-3500</v>
      </c>
      <c r="N10" s="23">
        <v>-3500</v>
      </c>
      <c r="O10" s="43">
        <v>-3500</v>
      </c>
    </row>
    <row r="11" spans="1:15" x14ac:dyDescent="0.3">
      <c r="A11" t="str">
        <f t="shared" si="0"/>
        <v>MedSUVPremiumBEV400</v>
      </c>
      <c r="B11" s="79" t="str">
        <f>'Vehicle Attributes - Base Year'!B8</f>
        <v>MedSUV</v>
      </c>
      <c r="C11" s="68" t="str">
        <f>'Vehicle Attributes - Base Year'!C8</f>
        <v>Base</v>
      </c>
      <c r="D11" s="68" t="str">
        <f>'Vehicle Attributes - Base Year'!D8</f>
        <v>BEV300</v>
      </c>
      <c r="E11" s="23">
        <v>-5000</v>
      </c>
      <c r="F11" s="23">
        <v>-5000</v>
      </c>
      <c r="G11" s="23">
        <v>-5000</v>
      </c>
      <c r="H11" s="23">
        <v>-5000</v>
      </c>
      <c r="I11" s="23">
        <v>-5000</v>
      </c>
      <c r="J11" s="23">
        <v>-5000</v>
      </c>
      <c r="K11" s="23">
        <v>-5000</v>
      </c>
      <c r="L11" s="23">
        <v>-5000</v>
      </c>
      <c r="M11" s="23">
        <v>-5000</v>
      </c>
      <c r="N11" s="23">
        <v>-5000</v>
      </c>
      <c r="O11" s="43">
        <v>-5000</v>
      </c>
    </row>
    <row r="12" spans="1:15" x14ac:dyDescent="0.3">
      <c r="A12" s="16" t="str">
        <f t="shared" si="0"/>
        <v>PickupBaseBEV300</v>
      </c>
      <c r="B12" s="79" t="str">
        <f>'Vehicle Attributes - Base Year'!B9</f>
        <v>MedSUV</v>
      </c>
      <c r="C12" s="68" t="str">
        <f>'Vehicle Attributes - Base Year'!C9</f>
        <v>Premium</v>
      </c>
      <c r="D12" s="68" t="str">
        <f>'Vehicle Attributes - Base Year'!D9</f>
        <v>BEV400</v>
      </c>
      <c r="E12" s="23">
        <v>-5000</v>
      </c>
      <c r="F12" s="23">
        <v>-5000</v>
      </c>
      <c r="G12" s="23">
        <v>-5000</v>
      </c>
      <c r="H12" s="23">
        <v>-5000</v>
      </c>
      <c r="I12" s="23">
        <v>-5000</v>
      </c>
      <c r="J12" s="23">
        <v>-5000</v>
      </c>
      <c r="K12" s="23">
        <v>-5000</v>
      </c>
      <c r="L12" s="23">
        <v>-5000</v>
      </c>
      <c r="M12" s="23">
        <v>-5000</v>
      </c>
      <c r="N12" s="23">
        <v>-5000</v>
      </c>
      <c r="O12" s="43">
        <v>-5000</v>
      </c>
    </row>
    <row r="13" spans="1:15" x14ac:dyDescent="0.3">
      <c r="A13" t="str">
        <f t="shared" si="0"/>
        <v>PickupHTBEV400</v>
      </c>
      <c r="B13" s="79" t="str">
        <f>'Vehicle Attributes - Base Year'!B10</f>
        <v>Pickup</v>
      </c>
      <c r="C13" s="68" t="str">
        <f>'Vehicle Attributes - Base Year'!C10</f>
        <v>Base</v>
      </c>
      <c r="D13" s="68" t="str">
        <f>'Vehicle Attributes - Base Year'!D10</f>
        <v>BEV300</v>
      </c>
      <c r="E13" s="23">
        <v>-5000</v>
      </c>
      <c r="F13" s="23">
        <v>-5000</v>
      </c>
      <c r="G13" s="23">
        <v>-5000</v>
      </c>
      <c r="H13" s="23">
        <v>-5000</v>
      </c>
      <c r="I13" s="23">
        <v>-5000</v>
      </c>
      <c r="J13" s="23">
        <v>-5000</v>
      </c>
      <c r="K13" s="23">
        <v>-5000</v>
      </c>
      <c r="L13" s="23">
        <v>-5000</v>
      </c>
      <c r="M13" s="23">
        <v>-5000</v>
      </c>
      <c r="N13" s="23">
        <v>-5000</v>
      </c>
      <c r="O13" s="43">
        <v>-5000</v>
      </c>
    </row>
    <row r="14" spans="1:15" x14ac:dyDescent="0.3">
      <c r="A14" s="16" t="str">
        <f t="shared" si="0"/>
        <v>SmallCarBasePHEV50</v>
      </c>
      <c r="B14" s="79" t="str">
        <f>'Vehicle Attributes - Base Year'!B11</f>
        <v>Pickup</v>
      </c>
      <c r="C14" s="68" t="str">
        <f>'Vehicle Attributes - Base Year'!C11</f>
        <v>HT</v>
      </c>
      <c r="D14" s="68" t="str">
        <f>'Vehicle Attributes - Base Year'!D11</f>
        <v>BEV400</v>
      </c>
      <c r="E14" s="23">
        <v>-5000</v>
      </c>
      <c r="F14" s="23">
        <v>-5000</v>
      </c>
      <c r="G14" s="23">
        <v>-5000</v>
      </c>
      <c r="H14" s="23">
        <v>-5000</v>
      </c>
      <c r="I14" s="23">
        <v>-5000</v>
      </c>
      <c r="J14" s="23">
        <v>-5000</v>
      </c>
      <c r="K14" s="23">
        <v>-5000</v>
      </c>
      <c r="L14" s="23">
        <v>-5000</v>
      </c>
      <c r="M14" s="23">
        <v>-5000</v>
      </c>
      <c r="N14" s="23">
        <v>-5000</v>
      </c>
      <c r="O14" s="43">
        <v>-5000</v>
      </c>
    </row>
    <row r="15" spans="1:15" x14ac:dyDescent="0.3">
      <c r="A15" t="str">
        <f t="shared" si="0"/>
        <v>SmallCarPremiumPHEV50</v>
      </c>
      <c r="B15" s="79" t="str">
        <f>'Vehicle Attributes - Base Year'!B12</f>
        <v>SmallCar</v>
      </c>
      <c r="C15" s="68" t="str">
        <f>'Vehicle Attributes - Base Year'!C12</f>
        <v>Base</v>
      </c>
      <c r="D15" s="68" t="str">
        <f>'Vehicle Attributes - Base Year'!D12</f>
        <v>PHEV50</v>
      </c>
      <c r="E15" s="23">
        <v>0</v>
      </c>
      <c r="F15" s="23">
        <v>0</v>
      </c>
      <c r="G15" s="23">
        <v>0</v>
      </c>
      <c r="H15" s="23">
        <v>0</v>
      </c>
      <c r="I15" s="23">
        <v>0</v>
      </c>
      <c r="J15" s="23">
        <v>0</v>
      </c>
      <c r="K15" s="23">
        <v>0</v>
      </c>
      <c r="L15" s="23">
        <v>0</v>
      </c>
      <c r="M15" s="23">
        <v>0</v>
      </c>
      <c r="N15" s="23">
        <v>0</v>
      </c>
      <c r="O15" s="43">
        <v>0</v>
      </c>
    </row>
    <row r="16" spans="1:15" x14ac:dyDescent="0.3">
      <c r="A16" s="16" t="str">
        <f t="shared" si="0"/>
        <v>MedCarBasePHEV50</v>
      </c>
      <c r="B16" s="79" t="str">
        <f>'Vehicle Attributes - Base Year'!B13</f>
        <v>SmallCar</v>
      </c>
      <c r="C16" s="68" t="str">
        <f>'Vehicle Attributes - Base Year'!C13</f>
        <v>Premium</v>
      </c>
      <c r="D16" s="68" t="str">
        <f>'Vehicle Attributes - Base Year'!D13</f>
        <v>PHEV50</v>
      </c>
      <c r="E16" s="23">
        <v>0</v>
      </c>
      <c r="F16" s="23">
        <v>0</v>
      </c>
      <c r="G16" s="23">
        <v>0</v>
      </c>
      <c r="H16" s="23">
        <v>0</v>
      </c>
      <c r="I16" s="23">
        <v>0</v>
      </c>
      <c r="J16" s="23">
        <v>0</v>
      </c>
      <c r="K16" s="23">
        <v>0</v>
      </c>
      <c r="L16" s="23">
        <v>0</v>
      </c>
      <c r="M16" s="23">
        <v>0</v>
      </c>
      <c r="N16" s="23">
        <v>0</v>
      </c>
      <c r="O16" s="43">
        <v>0</v>
      </c>
    </row>
    <row r="17" spans="1:15" x14ac:dyDescent="0.3">
      <c r="A17" t="str">
        <f t="shared" si="0"/>
        <v>MedCarPremiumPHEV50</v>
      </c>
      <c r="B17" s="79" t="str">
        <f>'Vehicle Attributes - Base Year'!B14</f>
        <v>MedCar</v>
      </c>
      <c r="C17" s="68" t="str">
        <f>'Vehicle Attributes - Base Year'!C14</f>
        <v>Base</v>
      </c>
      <c r="D17" s="68" t="str">
        <f>'Vehicle Attributes - Base Year'!D14</f>
        <v>PHEV50</v>
      </c>
      <c r="E17" s="23">
        <v>0</v>
      </c>
      <c r="F17" s="23">
        <v>0</v>
      </c>
      <c r="G17" s="23">
        <v>0</v>
      </c>
      <c r="H17" s="23">
        <v>0</v>
      </c>
      <c r="I17" s="23">
        <v>0</v>
      </c>
      <c r="J17" s="23">
        <v>0</v>
      </c>
      <c r="K17" s="23">
        <v>0</v>
      </c>
      <c r="L17" s="23">
        <v>0</v>
      </c>
      <c r="M17" s="23">
        <v>0</v>
      </c>
      <c r="N17" s="23">
        <v>0</v>
      </c>
      <c r="O17" s="43">
        <v>0</v>
      </c>
    </row>
    <row r="18" spans="1:15" x14ac:dyDescent="0.3">
      <c r="A18" s="16" t="str">
        <f t="shared" si="0"/>
        <v>SmallSUVBasePHEV50</v>
      </c>
      <c r="B18" s="79" t="str">
        <f>'Vehicle Attributes - Base Year'!B15</f>
        <v>MedCar</v>
      </c>
      <c r="C18" s="68" t="str">
        <f>'Vehicle Attributes - Base Year'!C15</f>
        <v>Premium</v>
      </c>
      <c r="D18" s="68" t="str">
        <f>'Vehicle Attributes - Base Year'!D15</f>
        <v>PHEV50</v>
      </c>
      <c r="E18" s="23">
        <v>0</v>
      </c>
      <c r="F18" s="23">
        <v>0</v>
      </c>
      <c r="G18" s="23">
        <v>0</v>
      </c>
      <c r="H18" s="23">
        <v>0</v>
      </c>
      <c r="I18" s="23">
        <v>0</v>
      </c>
      <c r="J18" s="23">
        <v>0</v>
      </c>
      <c r="K18" s="23">
        <v>0</v>
      </c>
      <c r="L18" s="23">
        <v>0</v>
      </c>
      <c r="M18" s="23">
        <v>0</v>
      </c>
      <c r="N18" s="23">
        <v>0</v>
      </c>
      <c r="O18" s="43">
        <v>0</v>
      </c>
    </row>
    <row r="19" spans="1:15" x14ac:dyDescent="0.3">
      <c r="A19" t="str">
        <f t="shared" si="0"/>
        <v>SmallSUVPremiumPHEV50</v>
      </c>
      <c r="B19" s="79" t="str">
        <f>'Vehicle Attributes - Base Year'!B16</f>
        <v>SmallSUV</v>
      </c>
      <c r="C19" s="68" t="str">
        <f>'Vehicle Attributes - Base Year'!C16</f>
        <v>Base</v>
      </c>
      <c r="D19" s="68" t="str">
        <f>'Vehicle Attributes - Base Year'!D16</f>
        <v>PHEV50</v>
      </c>
      <c r="E19" s="23">
        <v>0</v>
      </c>
      <c r="F19" s="23">
        <v>0</v>
      </c>
      <c r="G19" s="23">
        <v>0</v>
      </c>
      <c r="H19" s="23">
        <v>0</v>
      </c>
      <c r="I19" s="23">
        <v>0</v>
      </c>
      <c r="J19" s="23">
        <v>0</v>
      </c>
      <c r="K19" s="23">
        <v>0</v>
      </c>
      <c r="L19" s="23">
        <v>0</v>
      </c>
      <c r="M19" s="23">
        <v>0</v>
      </c>
      <c r="N19" s="23">
        <v>0</v>
      </c>
      <c r="O19" s="43">
        <v>0</v>
      </c>
    </row>
    <row r="20" spans="1:15" x14ac:dyDescent="0.3">
      <c r="A20" s="16" t="str">
        <f t="shared" si="0"/>
        <v>MedSUVBasePHEV50</v>
      </c>
      <c r="B20" s="79" t="str">
        <f>'Vehicle Attributes - Base Year'!B17</f>
        <v>SmallSUV</v>
      </c>
      <c r="C20" s="68" t="str">
        <f>'Vehicle Attributes - Base Year'!C17</f>
        <v>Premium</v>
      </c>
      <c r="D20" s="68" t="str">
        <f>'Vehicle Attributes - Base Year'!D17</f>
        <v>PHEV50</v>
      </c>
      <c r="E20" s="23">
        <v>0</v>
      </c>
      <c r="F20" s="23">
        <v>0</v>
      </c>
      <c r="G20" s="23">
        <v>0</v>
      </c>
      <c r="H20" s="23">
        <v>0</v>
      </c>
      <c r="I20" s="23">
        <v>0</v>
      </c>
      <c r="J20" s="23">
        <v>0</v>
      </c>
      <c r="K20" s="23">
        <v>0</v>
      </c>
      <c r="L20" s="23">
        <v>0</v>
      </c>
      <c r="M20" s="23">
        <v>0</v>
      </c>
      <c r="N20" s="23">
        <v>0</v>
      </c>
      <c r="O20" s="43">
        <v>0</v>
      </c>
    </row>
    <row r="21" spans="1:15" x14ac:dyDescent="0.3">
      <c r="A21" t="str">
        <f t="shared" si="0"/>
        <v>MedSUVPremiumPHEV50</v>
      </c>
      <c r="B21" s="79" t="str">
        <f>'Vehicle Attributes - Base Year'!B18</f>
        <v>MedSUV</v>
      </c>
      <c r="C21" s="68" t="str">
        <f>'Vehicle Attributes - Base Year'!C18</f>
        <v>Base</v>
      </c>
      <c r="D21" s="68" t="str">
        <f>'Vehicle Attributes - Base Year'!D18</f>
        <v>PHEV50</v>
      </c>
      <c r="E21" s="23">
        <v>0</v>
      </c>
      <c r="F21" s="23">
        <v>0</v>
      </c>
      <c r="G21" s="23">
        <v>0</v>
      </c>
      <c r="H21" s="23">
        <v>0</v>
      </c>
      <c r="I21" s="23">
        <v>0</v>
      </c>
      <c r="J21" s="23">
        <v>0</v>
      </c>
      <c r="K21" s="23">
        <v>0</v>
      </c>
      <c r="L21" s="23">
        <v>0</v>
      </c>
      <c r="M21" s="23">
        <v>0</v>
      </c>
      <c r="N21" s="23">
        <v>0</v>
      </c>
      <c r="O21" s="43">
        <v>0</v>
      </c>
    </row>
    <row r="22" spans="1:15" x14ac:dyDescent="0.3">
      <c r="A22" s="16" t="str">
        <f t="shared" si="0"/>
        <v>PickupBasePHEV50</v>
      </c>
      <c r="B22" s="79" t="str">
        <f>'Vehicle Attributes - Base Year'!B19</f>
        <v>MedSUV</v>
      </c>
      <c r="C22" s="68" t="str">
        <f>'Vehicle Attributes - Base Year'!C19</f>
        <v>Premium</v>
      </c>
      <c r="D22" s="68" t="str">
        <f>'Vehicle Attributes - Base Year'!D19</f>
        <v>PHEV50</v>
      </c>
      <c r="E22" s="23">
        <v>0</v>
      </c>
      <c r="F22" s="23">
        <v>0</v>
      </c>
      <c r="G22" s="23">
        <v>0</v>
      </c>
      <c r="H22" s="23">
        <v>0</v>
      </c>
      <c r="I22" s="23">
        <v>0</v>
      </c>
      <c r="J22" s="23">
        <v>0</v>
      </c>
      <c r="K22" s="23">
        <v>0</v>
      </c>
      <c r="L22" s="23">
        <v>0</v>
      </c>
      <c r="M22" s="23">
        <v>0</v>
      </c>
      <c r="N22" s="23">
        <v>0</v>
      </c>
      <c r="O22" s="43">
        <v>0</v>
      </c>
    </row>
    <row r="23" spans="1:15" x14ac:dyDescent="0.3">
      <c r="A23" t="str">
        <f t="shared" si="0"/>
        <v>PickupHTPHEV50</v>
      </c>
      <c r="B23" s="79" t="str">
        <f>'Vehicle Attributes - Base Year'!B20</f>
        <v>Pickup</v>
      </c>
      <c r="C23" s="68" t="str">
        <f>'Vehicle Attributes - Base Year'!C20</f>
        <v>Base</v>
      </c>
      <c r="D23" s="68" t="str">
        <f>'Vehicle Attributes - Base Year'!D20</f>
        <v>PHEV50</v>
      </c>
      <c r="E23" s="23">
        <v>0</v>
      </c>
      <c r="F23" s="23">
        <v>0</v>
      </c>
      <c r="G23" s="23">
        <v>0</v>
      </c>
      <c r="H23" s="23">
        <v>0</v>
      </c>
      <c r="I23" s="23">
        <v>0</v>
      </c>
      <c r="J23" s="23">
        <v>0</v>
      </c>
      <c r="K23" s="23">
        <v>0</v>
      </c>
      <c r="L23" s="23">
        <v>0</v>
      </c>
      <c r="M23" s="23">
        <v>0</v>
      </c>
      <c r="N23" s="23">
        <v>0</v>
      </c>
      <c r="O23" s="43">
        <v>0</v>
      </c>
    </row>
    <row r="24" spans="1:15" x14ac:dyDescent="0.3">
      <c r="A24" s="16" t="str">
        <f t="shared" si="0"/>
        <v>SmallCarBaseFCEV320</v>
      </c>
      <c r="B24" s="79" t="str">
        <f>'Vehicle Attributes - Base Year'!B21</f>
        <v>Pickup</v>
      </c>
      <c r="C24" s="68" t="str">
        <f>'Vehicle Attributes - Base Year'!C21</f>
        <v>HT</v>
      </c>
      <c r="D24" s="68" t="str">
        <f>'Vehicle Attributes - Base Year'!D21</f>
        <v>PHEV50</v>
      </c>
      <c r="E24" s="23">
        <v>0</v>
      </c>
      <c r="F24" s="23">
        <v>0</v>
      </c>
      <c r="G24" s="23">
        <v>0</v>
      </c>
      <c r="H24" s="23">
        <v>0</v>
      </c>
      <c r="I24" s="23">
        <v>0</v>
      </c>
      <c r="J24" s="23">
        <v>0</v>
      </c>
      <c r="K24" s="23">
        <v>0</v>
      </c>
      <c r="L24" s="23">
        <v>0</v>
      </c>
      <c r="M24" s="23">
        <v>0</v>
      </c>
      <c r="N24" s="23">
        <v>0</v>
      </c>
      <c r="O24" s="43">
        <v>0</v>
      </c>
    </row>
    <row r="25" spans="1:15" x14ac:dyDescent="0.3">
      <c r="A25" t="str">
        <f t="shared" si="0"/>
        <v>SmallCarPremiumFCEV320</v>
      </c>
      <c r="B25" s="79" t="str">
        <f>'Vehicle Attributes - Base Year'!B22</f>
        <v>SmallCar</v>
      </c>
      <c r="C25" s="68" t="str">
        <f>'Vehicle Attributes - Base Year'!C22</f>
        <v>Base</v>
      </c>
      <c r="D25" s="68" t="str">
        <f>'Vehicle Attributes - Base Year'!D22</f>
        <v>FCEV320</v>
      </c>
      <c r="E25" s="23">
        <v>-3500</v>
      </c>
      <c r="F25" s="23">
        <v>-3500</v>
      </c>
      <c r="G25" s="23">
        <v>-3500</v>
      </c>
      <c r="H25" s="23">
        <v>-3500</v>
      </c>
      <c r="I25" s="23">
        <v>-3500</v>
      </c>
      <c r="J25" s="23">
        <v>-3500</v>
      </c>
      <c r="K25" s="23">
        <v>-3500</v>
      </c>
      <c r="L25" s="23">
        <v>-3500</v>
      </c>
      <c r="M25" s="23">
        <v>-3500</v>
      </c>
      <c r="N25" s="23">
        <v>-3500</v>
      </c>
      <c r="O25" s="43">
        <v>-3500</v>
      </c>
    </row>
    <row r="26" spans="1:15" x14ac:dyDescent="0.3">
      <c r="A26" s="16" t="str">
        <f t="shared" si="0"/>
        <v>MedCarBaseFCEV320</v>
      </c>
      <c r="B26" s="79" t="str">
        <f>'Vehicle Attributes - Base Year'!B23</f>
        <v>SmallCar</v>
      </c>
      <c r="C26" s="68" t="str">
        <f>'Vehicle Attributes - Base Year'!C23</f>
        <v>Premium</v>
      </c>
      <c r="D26" s="68" t="str">
        <f>'Vehicle Attributes - Base Year'!D23</f>
        <v>FCEV320</v>
      </c>
      <c r="E26" s="23">
        <v>-3500</v>
      </c>
      <c r="F26" s="23">
        <v>-3500</v>
      </c>
      <c r="G26" s="23">
        <v>-3500</v>
      </c>
      <c r="H26" s="23">
        <v>-3500</v>
      </c>
      <c r="I26" s="23">
        <v>-3500</v>
      </c>
      <c r="J26" s="23">
        <v>-3500</v>
      </c>
      <c r="K26" s="23">
        <v>-3500</v>
      </c>
      <c r="L26" s="23">
        <v>-3500</v>
      </c>
      <c r="M26" s="23">
        <v>-3500</v>
      </c>
      <c r="N26" s="23">
        <v>-3500</v>
      </c>
      <c r="O26" s="43">
        <v>-3500</v>
      </c>
    </row>
    <row r="27" spans="1:15" x14ac:dyDescent="0.3">
      <c r="A27" t="str">
        <f t="shared" si="0"/>
        <v>MedCarPremiumFCEV320</v>
      </c>
      <c r="B27" s="79" t="str">
        <f>'Vehicle Attributes - Base Year'!B24</f>
        <v>MedCar</v>
      </c>
      <c r="C27" s="68" t="str">
        <f>'Vehicle Attributes - Base Year'!C24</f>
        <v>Base</v>
      </c>
      <c r="D27" s="68" t="str">
        <f>'Vehicle Attributes - Base Year'!D24</f>
        <v>FCEV320</v>
      </c>
      <c r="E27" s="23">
        <v>-3500</v>
      </c>
      <c r="F27" s="23">
        <v>-3500</v>
      </c>
      <c r="G27" s="23">
        <v>-3500</v>
      </c>
      <c r="H27" s="23">
        <v>-3500</v>
      </c>
      <c r="I27" s="23">
        <v>-3500</v>
      </c>
      <c r="J27" s="23">
        <v>-3500</v>
      </c>
      <c r="K27" s="23">
        <v>-3500</v>
      </c>
      <c r="L27" s="23">
        <v>-3500</v>
      </c>
      <c r="M27" s="23">
        <v>-3500</v>
      </c>
      <c r="N27" s="23">
        <v>-3500</v>
      </c>
      <c r="O27" s="43">
        <v>-3500</v>
      </c>
    </row>
    <row r="28" spans="1:15" x14ac:dyDescent="0.3">
      <c r="A28" s="16" t="str">
        <f t="shared" si="0"/>
        <v>SmallSUVBaseFCEV320</v>
      </c>
      <c r="B28" s="79" t="str">
        <f>'Vehicle Attributes - Base Year'!B25</f>
        <v>MedCar</v>
      </c>
      <c r="C28" s="68" t="str">
        <f>'Vehicle Attributes - Base Year'!C25</f>
        <v>Premium</v>
      </c>
      <c r="D28" s="68" t="str">
        <f>'Vehicle Attributes - Base Year'!D25</f>
        <v>FCEV320</v>
      </c>
      <c r="E28" s="23">
        <v>-3500</v>
      </c>
      <c r="F28" s="23">
        <v>-3500</v>
      </c>
      <c r="G28" s="23">
        <v>-3500</v>
      </c>
      <c r="H28" s="23">
        <v>-3500</v>
      </c>
      <c r="I28" s="23">
        <v>-3500</v>
      </c>
      <c r="J28" s="23">
        <v>-3500</v>
      </c>
      <c r="K28" s="23">
        <v>-3500</v>
      </c>
      <c r="L28" s="23">
        <v>-3500</v>
      </c>
      <c r="M28" s="23">
        <v>-3500</v>
      </c>
      <c r="N28" s="23">
        <v>-3500</v>
      </c>
      <c r="O28" s="43">
        <v>-3500</v>
      </c>
    </row>
    <row r="29" spans="1:15" x14ac:dyDescent="0.3">
      <c r="A29" t="str">
        <f t="shared" si="0"/>
        <v>SmallSUVPremiumFCEV320</v>
      </c>
      <c r="B29" s="79" t="str">
        <f>'Vehicle Attributes - Base Year'!B26</f>
        <v>SmallSUV</v>
      </c>
      <c r="C29" s="68" t="str">
        <f>'Vehicle Attributes - Base Year'!C26</f>
        <v>Base</v>
      </c>
      <c r="D29" s="68" t="str">
        <f>'Vehicle Attributes - Base Year'!D26</f>
        <v>FCEV320</v>
      </c>
      <c r="E29" s="23">
        <v>-3500</v>
      </c>
      <c r="F29" s="23">
        <v>-3500</v>
      </c>
      <c r="G29" s="23">
        <v>-3500</v>
      </c>
      <c r="H29" s="23">
        <v>-3500</v>
      </c>
      <c r="I29" s="23">
        <v>-3500</v>
      </c>
      <c r="J29" s="23">
        <v>-3500</v>
      </c>
      <c r="K29" s="23">
        <v>-3500</v>
      </c>
      <c r="L29" s="23">
        <v>-3500</v>
      </c>
      <c r="M29" s="23">
        <v>-3500</v>
      </c>
      <c r="N29" s="23">
        <v>-3500</v>
      </c>
      <c r="O29" s="43">
        <v>-3500</v>
      </c>
    </row>
    <row r="30" spans="1:15" x14ac:dyDescent="0.3">
      <c r="A30" s="16" t="str">
        <f t="shared" si="0"/>
        <v>MedSUVBaseFCEV320</v>
      </c>
      <c r="B30" s="79" t="str">
        <f>'Vehicle Attributes - Base Year'!B27</f>
        <v>SmallSUV</v>
      </c>
      <c r="C30" s="68" t="str">
        <f>'Vehicle Attributes - Base Year'!C27</f>
        <v>Premium</v>
      </c>
      <c r="D30" s="68" t="str">
        <f>'Vehicle Attributes - Base Year'!D27</f>
        <v>FCEV320</v>
      </c>
      <c r="E30" s="23">
        <v>-3500</v>
      </c>
      <c r="F30" s="23">
        <v>-3500</v>
      </c>
      <c r="G30" s="23">
        <v>-3500</v>
      </c>
      <c r="H30" s="23">
        <v>-3500</v>
      </c>
      <c r="I30" s="23">
        <v>-3500</v>
      </c>
      <c r="J30" s="23">
        <v>-3500</v>
      </c>
      <c r="K30" s="23">
        <v>-3500</v>
      </c>
      <c r="L30" s="23">
        <v>-3500</v>
      </c>
      <c r="M30" s="23">
        <v>-3500</v>
      </c>
      <c r="N30" s="23">
        <v>-3500</v>
      </c>
      <c r="O30" s="43">
        <v>-3500</v>
      </c>
    </row>
    <row r="31" spans="1:15" x14ac:dyDescent="0.3">
      <c r="A31" t="str">
        <f t="shared" si="0"/>
        <v>MedSUVPremiumFCEV320</v>
      </c>
      <c r="B31" s="79" t="str">
        <f>'Vehicle Attributes - Base Year'!B28</f>
        <v>MedSUV</v>
      </c>
      <c r="C31" s="68" t="str">
        <f>'Vehicle Attributes - Base Year'!C28</f>
        <v>Base</v>
      </c>
      <c r="D31" s="68" t="str">
        <f>'Vehicle Attributes - Base Year'!D28</f>
        <v>FCEV320</v>
      </c>
      <c r="E31" s="23">
        <v>-5000</v>
      </c>
      <c r="F31" s="23">
        <v>-5000</v>
      </c>
      <c r="G31" s="23">
        <v>-5000</v>
      </c>
      <c r="H31" s="23">
        <v>-5000</v>
      </c>
      <c r="I31" s="23">
        <v>-5000</v>
      </c>
      <c r="J31" s="23">
        <v>-5000</v>
      </c>
      <c r="K31" s="23">
        <v>-5000</v>
      </c>
      <c r="L31" s="23">
        <v>-5000</v>
      </c>
      <c r="M31" s="23">
        <v>-5000</v>
      </c>
      <c r="N31" s="23">
        <v>-5000</v>
      </c>
      <c r="O31" s="43">
        <v>-5000</v>
      </c>
    </row>
    <row r="32" spans="1:15" x14ac:dyDescent="0.3">
      <c r="A32" s="16" t="str">
        <f t="shared" si="0"/>
        <v>PickupBaseFCEV320</v>
      </c>
      <c r="B32" s="79" t="str">
        <f>'Vehicle Attributes - Base Year'!B29</f>
        <v>MedSUV</v>
      </c>
      <c r="C32" s="68" t="str">
        <f>'Vehicle Attributes - Base Year'!C29</f>
        <v>Premium</v>
      </c>
      <c r="D32" s="68" t="str">
        <f>'Vehicle Attributes - Base Year'!D29</f>
        <v>FCEV320</v>
      </c>
      <c r="E32" s="23">
        <v>-5000</v>
      </c>
      <c r="F32" s="23">
        <v>-5000</v>
      </c>
      <c r="G32" s="23">
        <v>-5000</v>
      </c>
      <c r="H32" s="23">
        <v>-5000</v>
      </c>
      <c r="I32" s="23">
        <v>-5000</v>
      </c>
      <c r="J32" s="23">
        <v>-5000</v>
      </c>
      <c r="K32" s="23">
        <v>-5000</v>
      </c>
      <c r="L32" s="23">
        <v>-5000</v>
      </c>
      <c r="M32" s="23">
        <v>-5000</v>
      </c>
      <c r="N32" s="23">
        <v>-5000</v>
      </c>
      <c r="O32" s="43">
        <v>-5000</v>
      </c>
    </row>
    <row r="33" spans="1:15" x14ac:dyDescent="0.3">
      <c r="A33" t="str">
        <f t="shared" si="0"/>
        <v>PickupHTFCEV320</v>
      </c>
      <c r="B33" s="79" t="str">
        <f>'Vehicle Attributes - Base Year'!B30</f>
        <v>Pickup</v>
      </c>
      <c r="C33" s="68" t="str">
        <f>'Vehicle Attributes - Base Year'!C30</f>
        <v>Base</v>
      </c>
      <c r="D33" s="68" t="str">
        <f>'Vehicle Attributes - Base Year'!D30</f>
        <v>FCEV320</v>
      </c>
      <c r="E33" s="23">
        <v>-5000</v>
      </c>
      <c r="F33" s="23">
        <v>-5000</v>
      </c>
      <c r="G33" s="23">
        <v>-5000</v>
      </c>
      <c r="H33" s="23">
        <v>-5000</v>
      </c>
      <c r="I33" s="23">
        <v>-5000</v>
      </c>
      <c r="J33" s="23">
        <v>-5000</v>
      </c>
      <c r="K33" s="23">
        <v>-5000</v>
      </c>
      <c r="L33" s="23">
        <v>-5000</v>
      </c>
      <c r="M33" s="23">
        <v>-5000</v>
      </c>
      <c r="N33" s="23">
        <v>-5000</v>
      </c>
      <c r="O33" s="43">
        <v>-5000</v>
      </c>
    </row>
    <row r="34" spans="1:15" x14ac:dyDescent="0.3">
      <c r="B34" s="79" t="str">
        <f>'Vehicle Attributes - Base Year'!B31</f>
        <v>Pickup</v>
      </c>
      <c r="C34" s="68" t="str">
        <f>'Vehicle Attributes - Base Year'!C31</f>
        <v>HT</v>
      </c>
      <c r="D34" s="68" t="str">
        <f>'Vehicle Attributes - Base Year'!D31</f>
        <v>FCEV320</v>
      </c>
      <c r="E34" s="23">
        <v>-5000</v>
      </c>
      <c r="F34" s="23">
        <v>-5000</v>
      </c>
      <c r="G34" s="23">
        <v>-5000</v>
      </c>
      <c r="H34" s="23">
        <v>-5000</v>
      </c>
      <c r="I34" s="23">
        <v>-5000</v>
      </c>
      <c r="J34" s="23">
        <v>-5000</v>
      </c>
      <c r="K34" s="23">
        <v>-5000</v>
      </c>
      <c r="L34" s="23">
        <v>-5000</v>
      </c>
      <c r="M34" s="23">
        <v>-5000</v>
      </c>
      <c r="N34" s="23">
        <v>-5000</v>
      </c>
      <c r="O34" s="43">
        <v>-5000</v>
      </c>
    </row>
  </sheetData>
  <mergeCells count="2">
    <mergeCell ref="E2:O2"/>
    <mergeCell ref="B1:O1"/>
  </mergeCells>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777777"/>
  </sheetPr>
  <dimension ref="A1:O34"/>
  <sheetViews>
    <sheetView topLeftCell="B1" workbookViewId="0">
      <selection activeCell="B1" sqref="B1:O1"/>
    </sheetView>
  </sheetViews>
  <sheetFormatPr defaultRowHeight="14.4" x14ac:dyDescent="0.3"/>
  <cols>
    <col min="1" max="1" width="0" hidden="1" customWidth="1"/>
    <col min="2" max="2" width="12.5546875" bestFit="1" customWidth="1"/>
    <col min="3" max="3" width="12.44140625" bestFit="1" customWidth="1"/>
    <col min="4" max="10" width="11" customWidth="1"/>
    <col min="11" max="15" width="12" customWidth="1"/>
  </cols>
  <sheetData>
    <row r="1" spans="1:15" x14ac:dyDescent="0.3">
      <c r="B1" s="170" t="s">
        <v>230</v>
      </c>
      <c r="C1" s="175"/>
      <c r="D1" s="175"/>
      <c r="E1" s="175"/>
      <c r="F1" s="175"/>
      <c r="G1" s="175"/>
      <c r="H1" s="175"/>
      <c r="I1" s="175"/>
      <c r="J1" s="175"/>
      <c r="K1" s="175"/>
      <c r="L1" s="175"/>
      <c r="M1" s="175"/>
      <c r="N1" s="175"/>
      <c r="O1" s="171"/>
    </row>
    <row r="2" spans="1:15" x14ac:dyDescent="0.3">
      <c r="B2" s="73"/>
      <c r="C2" s="73"/>
      <c r="D2" s="74"/>
      <c r="E2" s="195" t="s">
        <v>155</v>
      </c>
      <c r="F2" s="195"/>
      <c r="G2" s="195"/>
      <c r="H2" s="195"/>
      <c r="I2" s="195"/>
      <c r="J2" s="195"/>
      <c r="K2" s="195"/>
      <c r="L2" s="195"/>
      <c r="M2" s="195"/>
      <c r="N2" s="195"/>
      <c r="O2" s="196"/>
    </row>
    <row r="3" spans="1:15" x14ac:dyDescent="0.3">
      <c r="B3" s="75" t="s">
        <v>100</v>
      </c>
      <c r="C3" s="75" t="s">
        <v>101</v>
      </c>
      <c r="D3" s="76" t="s">
        <v>67</v>
      </c>
      <c r="E3" s="77">
        <v>2025</v>
      </c>
      <c r="F3" s="78">
        <v>2026</v>
      </c>
      <c r="G3" s="78">
        <v>2027</v>
      </c>
      <c r="H3" s="78">
        <v>2028</v>
      </c>
      <c r="I3" s="78">
        <v>2029</v>
      </c>
      <c r="J3" s="78">
        <v>2030</v>
      </c>
      <c r="K3" s="78">
        <v>2031</v>
      </c>
      <c r="L3" s="78">
        <v>2032</v>
      </c>
      <c r="M3" s="78">
        <v>2033</v>
      </c>
      <c r="N3" s="78">
        <v>2034</v>
      </c>
      <c r="O3" s="148">
        <v>2035</v>
      </c>
    </row>
    <row r="4" spans="1:15" x14ac:dyDescent="0.3">
      <c r="A4" s="16" t="str">
        <f t="shared" ref="A4:A33" si="0">CONCATENATE(B5,C5,D5,)</f>
        <v>SmallCarBaseBEV300</v>
      </c>
      <c r="B4" s="79" t="s">
        <v>64</v>
      </c>
      <c r="C4" s="68" t="s">
        <v>65</v>
      </c>
      <c r="D4" s="68" t="s">
        <v>156</v>
      </c>
      <c r="E4" s="23" t="s">
        <v>157</v>
      </c>
      <c r="F4" s="23" t="s">
        <v>158</v>
      </c>
      <c r="G4" s="23" t="s">
        <v>159</v>
      </c>
      <c r="H4" s="23" t="s">
        <v>160</v>
      </c>
      <c r="I4" s="23" t="s">
        <v>161</v>
      </c>
      <c r="J4" s="23" t="s">
        <v>162</v>
      </c>
      <c r="K4" s="23" t="s">
        <v>163</v>
      </c>
      <c r="L4" s="23" t="s">
        <v>164</v>
      </c>
      <c r="M4" s="23" t="s">
        <v>165</v>
      </c>
      <c r="N4" s="23" t="s">
        <v>166</v>
      </c>
      <c r="O4" s="43" t="s">
        <v>167</v>
      </c>
    </row>
    <row r="5" spans="1:15" x14ac:dyDescent="0.3">
      <c r="A5" t="str">
        <f t="shared" si="0"/>
        <v>SmallCarPremiumBEV400</v>
      </c>
      <c r="B5" s="79" t="str">
        <f>'Vehicle Attributes - Base Year'!B2</f>
        <v>SmallCar</v>
      </c>
      <c r="C5" s="68" t="str">
        <f>'Vehicle Attributes - Base Year'!C2</f>
        <v>Base</v>
      </c>
      <c r="D5" s="68" t="str">
        <f>'Vehicle Attributes - Base Year'!D2</f>
        <v>BEV300</v>
      </c>
      <c r="E5" s="23">
        <v>-1500</v>
      </c>
      <c r="F5" s="23">
        <v>-1500</v>
      </c>
      <c r="G5" s="23">
        <v>-1500</v>
      </c>
      <c r="H5" s="23">
        <v>-1500</v>
      </c>
      <c r="I5" s="23">
        <v>-1500</v>
      </c>
      <c r="J5" s="23">
        <v>-1500</v>
      </c>
      <c r="K5" s="23">
        <v>-1500</v>
      </c>
      <c r="L5" s="23">
        <v>-1500</v>
      </c>
      <c r="M5" s="23">
        <v>-1500</v>
      </c>
      <c r="N5" s="23">
        <v>-1500</v>
      </c>
      <c r="O5" s="43">
        <v>-1500</v>
      </c>
    </row>
    <row r="6" spans="1:15" x14ac:dyDescent="0.3">
      <c r="A6" s="16" t="str">
        <f t="shared" si="0"/>
        <v>MedCarBaseBEV300</v>
      </c>
      <c r="B6" s="79" t="str">
        <f>'Vehicle Attributes - Base Year'!B3</f>
        <v>SmallCar</v>
      </c>
      <c r="C6" s="68" t="str">
        <f>'Vehicle Attributes - Base Year'!C3</f>
        <v>Premium</v>
      </c>
      <c r="D6" s="68" t="str">
        <f>'Vehicle Attributes - Base Year'!D3</f>
        <v>BEV400</v>
      </c>
      <c r="E6" s="23">
        <v>-1500</v>
      </c>
      <c r="F6" s="23">
        <v>-1500</v>
      </c>
      <c r="G6" s="23">
        <v>-1500</v>
      </c>
      <c r="H6" s="23">
        <v>-1500</v>
      </c>
      <c r="I6" s="23">
        <v>-1500</v>
      </c>
      <c r="J6" s="23">
        <v>-1500</v>
      </c>
      <c r="K6" s="23">
        <v>-1500</v>
      </c>
      <c r="L6" s="23">
        <v>-1500</v>
      </c>
      <c r="M6" s="23">
        <v>-1500</v>
      </c>
      <c r="N6" s="23">
        <v>-1500</v>
      </c>
      <c r="O6" s="43">
        <v>-1500</v>
      </c>
    </row>
    <row r="7" spans="1:15" x14ac:dyDescent="0.3">
      <c r="A7" t="str">
        <f t="shared" si="0"/>
        <v>MedCarPremiumBEV400</v>
      </c>
      <c r="B7" s="79" t="str">
        <f>'Vehicle Attributes - Base Year'!B4</f>
        <v>MedCar</v>
      </c>
      <c r="C7" s="68" t="str">
        <f>'Vehicle Attributes - Base Year'!C4</f>
        <v>Base</v>
      </c>
      <c r="D7" s="68" t="str">
        <f>'Vehicle Attributes - Base Year'!D4</f>
        <v>BEV300</v>
      </c>
      <c r="E7" s="23">
        <v>-1500</v>
      </c>
      <c r="F7" s="23">
        <v>-1500</v>
      </c>
      <c r="G7" s="23">
        <v>-1500</v>
      </c>
      <c r="H7" s="23">
        <v>-1500</v>
      </c>
      <c r="I7" s="23">
        <v>-1500</v>
      </c>
      <c r="J7" s="23">
        <v>-1500</v>
      </c>
      <c r="K7" s="23">
        <v>-1500</v>
      </c>
      <c r="L7" s="23">
        <v>-1500</v>
      </c>
      <c r="M7" s="23">
        <v>-1500</v>
      </c>
      <c r="N7" s="23">
        <v>-1500</v>
      </c>
      <c r="O7" s="43">
        <v>-1500</v>
      </c>
    </row>
    <row r="8" spans="1:15" x14ac:dyDescent="0.3">
      <c r="A8" s="16" t="str">
        <f t="shared" si="0"/>
        <v>SmallSUVBaseBEV300</v>
      </c>
      <c r="B8" s="79" t="str">
        <f>'Vehicle Attributes - Base Year'!B5</f>
        <v>MedCar</v>
      </c>
      <c r="C8" s="68" t="str">
        <f>'Vehicle Attributes - Base Year'!C5</f>
        <v>Premium</v>
      </c>
      <c r="D8" s="68" t="str">
        <f>'Vehicle Attributes - Base Year'!D5</f>
        <v>BEV400</v>
      </c>
      <c r="E8" s="23">
        <v>-1500</v>
      </c>
      <c r="F8" s="23">
        <v>-1500</v>
      </c>
      <c r="G8" s="23">
        <v>-1500</v>
      </c>
      <c r="H8" s="23">
        <v>-1500</v>
      </c>
      <c r="I8" s="23">
        <v>-1500</v>
      </c>
      <c r="J8" s="23">
        <v>-1500</v>
      </c>
      <c r="K8" s="23">
        <v>-1500</v>
      </c>
      <c r="L8" s="23">
        <v>-1500</v>
      </c>
      <c r="M8" s="23">
        <v>-1500</v>
      </c>
      <c r="N8" s="23">
        <v>-1500</v>
      </c>
      <c r="O8" s="43">
        <v>-1500</v>
      </c>
    </row>
    <row r="9" spans="1:15" x14ac:dyDescent="0.3">
      <c r="A9" t="str">
        <f t="shared" si="0"/>
        <v>SmallSUVPremiumBEV400</v>
      </c>
      <c r="B9" s="79" t="str">
        <f>'Vehicle Attributes - Base Year'!B6</f>
        <v>SmallSUV</v>
      </c>
      <c r="C9" s="68" t="str">
        <f>'Vehicle Attributes - Base Year'!C6</f>
        <v>Base</v>
      </c>
      <c r="D9" s="68" t="str">
        <f>'Vehicle Attributes - Base Year'!D6</f>
        <v>BEV300</v>
      </c>
      <c r="E9" s="23">
        <v>-1500</v>
      </c>
      <c r="F9" s="23">
        <v>-1500</v>
      </c>
      <c r="G9" s="23">
        <v>-1500</v>
      </c>
      <c r="H9" s="23">
        <v>-1500</v>
      </c>
      <c r="I9" s="23">
        <v>-1500</v>
      </c>
      <c r="J9" s="23">
        <v>-1500</v>
      </c>
      <c r="K9" s="23">
        <v>-1500</v>
      </c>
      <c r="L9" s="23">
        <v>-1500</v>
      </c>
      <c r="M9" s="23">
        <v>-1500</v>
      </c>
      <c r="N9" s="23">
        <v>-1500</v>
      </c>
      <c r="O9" s="43">
        <v>-1500</v>
      </c>
    </row>
    <row r="10" spans="1:15" x14ac:dyDescent="0.3">
      <c r="A10" s="16" t="str">
        <f t="shared" si="0"/>
        <v>MedSUVBaseBEV300</v>
      </c>
      <c r="B10" s="79" t="str">
        <f>'Vehicle Attributes - Base Year'!B7</f>
        <v>SmallSUV</v>
      </c>
      <c r="C10" s="68" t="str">
        <f>'Vehicle Attributes - Base Year'!C7</f>
        <v>Premium</v>
      </c>
      <c r="D10" s="68" t="str">
        <f>'Vehicle Attributes - Base Year'!D7</f>
        <v>BEV400</v>
      </c>
      <c r="E10" s="23">
        <v>-1500</v>
      </c>
      <c r="F10" s="23">
        <v>-1500</v>
      </c>
      <c r="G10" s="23">
        <v>-1500</v>
      </c>
      <c r="H10" s="23">
        <v>-1500</v>
      </c>
      <c r="I10" s="23">
        <v>-1500</v>
      </c>
      <c r="J10" s="23">
        <v>-1500</v>
      </c>
      <c r="K10" s="23">
        <v>-1500</v>
      </c>
      <c r="L10" s="23">
        <v>-1500</v>
      </c>
      <c r="M10" s="23">
        <v>-1500</v>
      </c>
      <c r="N10" s="23">
        <v>-1500</v>
      </c>
      <c r="O10" s="43">
        <v>-1500</v>
      </c>
    </row>
    <row r="11" spans="1:15" x14ac:dyDescent="0.3">
      <c r="A11" t="str">
        <f t="shared" si="0"/>
        <v>MedSUVPremiumBEV400</v>
      </c>
      <c r="B11" s="79" t="str">
        <f>'Vehicle Attributes - Base Year'!B8</f>
        <v>MedSUV</v>
      </c>
      <c r="C11" s="68" t="str">
        <f>'Vehicle Attributes - Base Year'!C8</f>
        <v>Base</v>
      </c>
      <c r="D11" s="68" t="str">
        <f>'Vehicle Attributes - Base Year'!D8</f>
        <v>BEV300</v>
      </c>
      <c r="E11" s="23">
        <v>-1500</v>
      </c>
      <c r="F11" s="23">
        <v>-1500</v>
      </c>
      <c r="G11" s="23">
        <v>-1500</v>
      </c>
      <c r="H11" s="23">
        <v>-1500</v>
      </c>
      <c r="I11" s="23">
        <v>-1500</v>
      </c>
      <c r="J11" s="23">
        <v>-1500</v>
      </c>
      <c r="K11" s="23">
        <v>-1500</v>
      </c>
      <c r="L11" s="23">
        <v>-1500</v>
      </c>
      <c r="M11" s="23">
        <v>-1500</v>
      </c>
      <c r="N11" s="23">
        <v>-1500</v>
      </c>
      <c r="O11" s="43">
        <v>-1500</v>
      </c>
    </row>
    <row r="12" spans="1:15" x14ac:dyDescent="0.3">
      <c r="A12" s="16" t="str">
        <f t="shared" si="0"/>
        <v>PickupBaseBEV300</v>
      </c>
      <c r="B12" s="79" t="str">
        <f>'Vehicle Attributes - Base Year'!B9</f>
        <v>MedSUV</v>
      </c>
      <c r="C12" s="68" t="str">
        <f>'Vehicle Attributes - Base Year'!C9</f>
        <v>Premium</v>
      </c>
      <c r="D12" s="68" t="str">
        <f>'Vehicle Attributes - Base Year'!D9</f>
        <v>BEV400</v>
      </c>
      <c r="E12" s="23">
        <v>-2000</v>
      </c>
      <c r="F12" s="23">
        <v>-2000</v>
      </c>
      <c r="G12" s="23">
        <v>-2000</v>
      </c>
      <c r="H12" s="23">
        <v>-2000</v>
      </c>
      <c r="I12" s="23">
        <v>-2000</v>
      </c>
      <c r="J12" s="23">
        <v>-2000</v>
      </c>
      <c r="K12" s="23">
        <v>-2000</v>
      </c>
      <c r="L12" s="23">
        <v>-2000</v>
      </c>
      <c r="M12" s="23">
        <v>-2000</v>
      </c>
      <c r="N12" s="23">
        <v>-2000</v>
      </c>
      <c r="O12" s="43">
        <v>-2000</v>
      </c>
    </row>
    <row r="13" spans="1:15" x14ac:dyDescent="0.3">
      <c r="A13" t="str">
        <f t="shared" si="0"/>
        <v>PickupHTBEV400</v>
      </c>
      <c r="B13" s="79" t="str">
        <f>'Vehicle Attributes - Base Year'!B10</f>
        <v>Pickup</v>
      </c>
      <c r="C13" s="68" t="str">
        <f>'Vehicle Attributes - Base Year'!C10</f>
        <v>Base</v>
      </c>
      <c r="D13" s="68" t="str">
        <f>'Vehicle Attributes - Base Year'!D10</f>
        <v>BEV300</v>
      </c>
      <c r="E13" s="23">
        <v>-2000</v>
      </c>
      <c r="F13" s="23">
        <v>-2000</v>
      </c>
      <c r="G13" s="23">
        <v>-2000</v>
      </c>
      <c r="H13" s="23">
        <v>-2000</v>
      </c>
      <c r="I13" s="23">
        <v>-2000</v>
      </c>
      <c r="J13" s="23">
        <v>-2000</v>
      </c>
      <c r="K13" s="23">
        <v>-2000</v>
      </c>
      <c r="L13" s="23">
        <v>-2000</v>
      </c>
      <c r="M13" s="23">
        <v>-2000</v>
      </c>
      <c r="N13" s="23">
        <v>-2000</v>
      </c>
      <c r="O13" s="43">
        <v>-2000</v>
      </c>
    </row>
    <row r="14" spans="1:15" x14ac:dyDescent="0.3">
      <c r="A14" s="16" t="str">
        <f t="shared" si="0"/>
        <v>SmallCarBasePHEV50</v>
      </c>
      <c r="B14" s="79" t="str">
        <f>'Vehicle Attributes - Base Year'!B11</f>
        <v>Pickup</v>
      </c>
      <c r="C14" s="68" t="str">
        <f>'Vehicle Attributes - Base Year'!C11</f>
        <v>HT</v>
      </c>
      <c r="D14" s="68" t="str">
        <f>'Vehicle Attributes - Base Year'!D11</f>
        <v>BEV400</v>
      </c>
      <c r="E14" s="23">
        <v>-2000</v>
      </c>
      <c r="F14" s="23">
        <v>-2000</v>
      </c>
      <c r="G14" s="23">
        <v>-2000</v>
      </c>
      <c r="H14" s="23">
        <v>-2000</v>
      </c>
      <c r="I14" s="23">
        <v>-2000</v>
      </c>
      <c r="J14" s="23">
        <v>-2000</v>
      </c>
      <c r="K14" s="23">
        <v>-2000</v>
      </c>
      <c r="L14" s="23">
        <v>-2000</v>
      </c>
      <c r="M14" s="23">
        <v>-2000</v>
      </c>
      <c r="N14" s="23">
        <v>-2000</v>
      </c>
      <c r="O14" s="43">
        <v>-2000</v>
      </c>
    </row>
    <row r="15" spans="1:15" x14ac:dyDescent="0.3">
      <c r="A15" t="str">
        <f t="shared" si="0"/>
        <v>SmallCarPremiumPHEV50</v>
      </c>
      <c r="B15" s="79" t="str">
        <f>'Vehicle Attributes - Base Year'!B12</f>
        <v>SmallCar</v>
      </c>
      <c r="C15" s="68" t="str">
        <f>'Vehicle Attributes - Base Year'!C12</f>
        <v>Base</v>
      </c>
      <c r="D15" s="68" t="str">
        <f>'Vehicle Attributes - Base Year'!D12</f>
        <v>PHEV50</v>
      </c>
      <c r="E15" s="23">
        <v>0</v>
      </c>
      <c r="F15" s="23">
        <v>0</v>
      </c>
      <c r="G15" s="23">
        <v>0</v>
      </c>
      <c r="H15" s="23">
        <v>0</v>
      </c>
      <c r="I15" s="23">
        <v>0</v>
      </c>
      <c r="J15" s="23">
        <v>0</v>
      </c>
      <c r="K15" s="23">
        <v>0</v>
      </c>
      <c r="L15" s="23">
        <v>0</v>
      </c>
      <c r="M15" s="23">
        <v>0</v>
      </c>
      <c r="N15" s="23">
        <v>0</v>
      </c>
      <c r="O15" s="43">
        <v>0</v>
      </c>
    </row>
    <row r="16" spans="1:15" x14ac:dyDescent="0.3">
      <c r="A16" s="16" t="str">
        <f t="shared" si="0"/>
        <v>MedCarBasePHEV50</v>
      </c>
      <c r="B16" s="79" t="str">
        <f>'Vehicle Attributes - Base Year'!B13</f>
        <v>SmallCar</v>
      </c>
      <c r="C16" s="68" t="str">
        <f>'Vehicle Attributes - Base Year'!C13</f>
        <v>Premium</v>
      </c>
      <c r="D16" s="68" t="str">
        <f>'Vehicle Attributes - Base Year'!D13</f>
        <v>PHEV50</v>
      </c>
      <c r="E16" s="23">
        <v>0</v>
      </c>
      <c r="F16" s="23">
        <v>0</v>
      </c>
      <c r="G16" s="23">
        <v>0</v>
      </c>
      <c r="H16" s="23">
        <v>0</v>
      </c>
      <c r="I16" s="23">
        <v>0</v>
      </c>
      <c r="J16" s="23">
        <v>0</v>
      </c>
      <c r="K16" s="23">
        <v>0</v>
      </c>
      <c r="L16" s="23">
        <v>0</v>
      </c>
      <c r="M16" s="23">
        <v>0</v>
      </c>
      <c r="N16" s="23">
        <v>0</v>
      </c>
      <c r="O16" s="43">
        <v>0</v>
      </c>
    </row>
    <row r="17" spans="1:15" x14ac:dyDescent="0.3">
      <c r="A17" t="str">
        <f t="shared" si="0"/>
        <v>MedCarPremiumPHEV50</v>
      </c>
      <c r="B17" s="79" t="str">
        <f>'Vehicle Attributes - Base Year'!B14</f>
        <v>MedCar</v>
      </c>
      <c r="C17" s="68" t="str">
        <f>'Vehicle Attributes - Base Year'!C14</f>
        <v>Base</v>
      </c>
      <c r="D17" s="68" t="str">
        <f>'Vehicle Attributes - Base Year'!D14</f>
        <v>PHEV50</v>
      </c>
      <c r="E17" s="23">
        <v>0</v>
      </c>
      <c r="F17" s="23">
        <v>0</v>
      </c>
      <c r="G17" s="23">
        <v>0</v>
      </c>
      <c r="H17" s="23">
        <v>0</v>
      </c>
      <c r="I17" s="23">
        <v>0</v>
      </c>
      <c r="J17" s="23">
        <v>0</v>
      </c>
      <c r="K17" s="23">
        <v>0</v>
      </c>
      <c r="L17" s="23">
        <v>0</v>
      </c>
      <c r="M17" s="23">
        <v>0</v>
      </c>
      <c r="N17" s="23">
        <v>0</v>
      </c>
      <c r="O17" s="43">
        <v>0</v>
      </c>
    </row>
    <row r="18" spans="1:15" x14ac:dyDescent="0.3">
      <c r="A18" s="16" t="str">
        <f t="shared" si="0"/>
        <v>SmallSUVBasePHEV50</v>
      </c>
      <c r="B18" s="79" t="str">
        <f>'Vehicle Attributes - Base Year'!B15</f>
        <v>MedCar</v>
      </c>
      <c r="C18" s="68" t="str">
        <f>'Vehicle Attributes - Base Year'!C15</f>
        <v>Premium</v>
      </c>
      <c r="D18" s="68" t="str">
        <f>'Vehicle Attributes - Base Year'!D15</f>
        <v>PHEV50</v>
      </c>
      <c r="E18" s="23">
        <v>0</v>
      </c>
      <c r="F18" s="23">
        <v>0</v>
      </c>
      <c r="G18" s="23">
        <v>0</v>
      </c>
      <c r="H18" s="23">
        <v>0</v>
      </c>
      <c r="I18" s="23">
        <v>0</v>
      </c>
      <c r="J18" s="23">
        <v>0</v>
      </c>
      <c r="K18" s="23">
        <v>0</v>
      </c>
      <c r="L18" s="23">
        <v>0</v>
      </c>
      <c r="M18" s="23">
        <v>0</v>
      </c>
      <c r="N18" s="23">
        <v>0</v>
      </c>
      <c r="O18" s="43">
        <v>0</v>
      </c>
    </row>
    <row r="19" spans="1:15" x14ac:dyDescent="0.3">
      <c r="A19" t="str">
        <f t="shared" si="0"/>
        <v>SmallSUVPremiumPHEV50</v>
      </c>
      <c r="B19" s="79" t="str">
        <f>'Vehicle Attributes - Base Year'!B16</f>
        <v>SmallSUV</v>
      </c>
      <c r="C19" s="68" t="str">
        <f>'Vehicle Attributes - Base Year'!C16</f>
        <v>Base</v>
      </c>
      <c r="D19" s="68" t="str">
        <f>'Vehicle Attributes - Base Year'!D16</f>
        <v>PHEV50</v>
      </c>
      <c r="E19" s="23">
        <v>0</v>
      </c>
      <c r="F19" s="23">
        <v>0</v>
      </c>
      <c r="G19" s="23">
        <v>0</v>
      </c>
      <c r="H19" s="23">
        <v>0</v>
      </c>
      <c r="I19" s="23">
        <v>0</v>
      </c>
      <c r="J19" s="23">
        <v>0</v>
      </c>
      <c r="K19" s="23">
        <v>0</v>
      </c>
      <c r="L19" s="23">
        <v>0</v>
      </c>
      <c r="M19" s="23">
        <v>0</v>
      </c>
      <c r="N19" s="23">
        <v>0</v>
      </c>
      <c r="O19" s="43">
        <v>0</v>
      </c>
    </row>
    <row r="20" spans="1:15" x14ac:dyDescent="0.3">
      <c r="A20" s="16" t="str">
        <f t="shared" si="0"/>
        <v>MedSUVBasePHEV50</v>
      </c>
      <c r="B20" s="79" t="str">
        <f>'Vehicle Attributes - Base Year'!B17</f>
        <v>SmallSUV</v>
      </c>
      <c r="C20" s="68" t="str">
        <f>'Vehicle Attributes - Base Year'!C17</f>
        <v>Premium</v>
      </c>
      <c r="D20" s="68" t="str">
        <f>'Vehicle Attributes - Base Year'!D17</f>
        <v>PHEV50</v>
      </c>
      <c r="E20" s="23">
        <v>0</v>
      </c>
      <c r="F20" s="23">
        <v>0</v>
      </c>
      <c r="G20" s="23">
        <v>0</v>
      </c>
      <c r="H20" s="23">
        <v>0</v>
      </c>
      <c r="I20" s="23">
        <v>0</v>
      </c>
      <c r="J20" s="23">
        <v>0</v>
      </c>
      <c r="K20" s="23">
        <v>0</v>
      </c>
      <c r="L20" s="23">
        <v>0</v>
      </c>
      <c r="M20" s="23">
        <v>0</v>
      </c>
      <c r="N20" s="23">
        <v>0</v>
      </c>
      <c r="O20" s="43">
        <v>0</v>
      </c>
    </row>
    <row r="21" spans="1:15" x14ac:dyDescent="0.3">
      <c r="A21" t="str">
        <f t="shared" si="0"/>
        <v>MedSUVPremiumPHEV50</v>
      </c>
      <c r="B21" s="79" t="str">
        <f>'Vehicle Attributes - Base Year'!B18</f>
        <v>MedSUV</v>
      </c>
      <c r="C21" s="68" t="str">
        <f>'Vehicle Attributes - Base Year'!C18</f>
        <v>Base</v>
      </c>
      <c r="D21" s="68" t="str">
        <f>'Vehicle Attributes - Base Year'!D18</f>
        <v>PHEV50</v>
      </c>
      <c r="E21" s="23">
        <v>0</v>
      </c>
      <c r="F21" s="23">
        <v>0</v>
      </c>
      <c r="G21" s="23">
        <v>0</v>
      </c>
      <c r="H21" s="23">
        <v>0</v>
      </c>
      <c r="I21" s="23">
        <v>0</v>
      </c>
      <c r="J21" s="23">
        <v>0</v>
      </c>
      <c r="K21" s="23">
        <v>0</v>
      </c>
      <c r="L21" s="23">
        <v>0</v>
      </c>
      <c r="M21" s="23">
        <v>0</v>
      </c>
      <c r="N21" s="23">
        <v>0</v>
      </c>
      <c r="O21" s="43">
        <v>0</v>
      </c>
    </row>
    <row r="22" spans="1:15" x14ac:dyDescent="0.3">
      <c r="A22" s="16" t="str">
        <f t="shared" si="0"/>
        <v>PickupBasePHEV50</v>
      </c>
      <c r="B22" s="79" t="str">
        <f>'Vehicle Attributes - Base Year'!B19</f>
        <v>MedSUV</v>
      </c>
      <c r="C22" s="68" t="str">
        <f>'Vehicle Attributes - Base Year'!C19</f>
        <v>Premium</v>
      </c>
      <c r="D22" s="68" t="str">
        <f>'Vehicle Attributes - Base Year'!D19</f>
        <v>PHEV50</v>
      </c>
      <c r="E22" s="23">
        <v>0</v>
      </c>
      <c r="F22" s="23">
        <v>0</v>
      </c>
      <c r="G22" s="23">
        <v>0</v>
      </c>
      <c r="H22" s="23">
        <v>0</v>
      </c>
      <c r="I22" s="23">
        <v>0</v>
      </c>
      <c r="J22" s="23">
        <v>0</v>
      </c>
      <c r="K22" s="23">
        <v>0</v>
      </c>
      <c r="L22" s="23">
        <v>0</v>
      </c>
      <c r="M22" s="23">
        <v>0</v>
      </c>
      <c r="N22" s="23">
        <v>0</v>
      </c>
      <c r="O22" s="43">
        <v>0</v>
      </c>
    </row>
    <row r="23" spans="1:15" x14ac:dyDescent="0.3">
      <c r="A23" t="str">
        <f t="shared" si="0"/>
        <v>PickupHTPHEV50</v>
      </c>
      <c r="B23" s="79" t="str">
        <f>'Vehicle Attributes - Base Year'!B20</f>
        <v>Pickup</v>
      </c>
      <c r="C23" s="68" t="str">
        <f>'Vehicle Attributes - Base Year'!C20</f>
        <v>Base</v>
      </c>
      <c r="D23" s="68" t="str">
        <f>'Vehicle Attributes - Base Year'!D20</f>
        <v>PHEV50</v>
      </c>
      <c r="E23" s="23">
        <v>0</v>
      </c>
      <c r="F23" s="23">
        <v>0</v>
      </c>
      <c r="G23" s="23">
        <v>0</v>
      </c>
      <c r="H23" s="23">
        <v>0</v>
      </c>
      <c r="I23" s="23">
        <v>0</v>
      </c>
      <c r="J23" s="23">
        <v>0</v>
      </c>
      <c r="K23" s="23">
        <v>0</v>
      </c>
      <c r="L23" s="23">
        <v>0</v>
      </c>
      <c r="M23" s="23">
        <v>0</v>
      </c>
      <c r="N23" s="23">
        <v>0</v>
      </c>
      <c r="O23" s="43">
        <v>0</v>
      </c>
    </row>
    <row r="24" spans="1:15" x14ac:dyDescent="0.3">
      <c r="A24" s="16" t="str">
        <f t="shared" si="0"/>
        <v>SmallCarBaseFCEV320</v>
      </c>
      <c r="B24" s="79" t="str">
        <f>'Vehicle Attributes - Base Year'!B21</f>
        <v>Pickup</v>
      </c>
      <c r="C24" s="68" t="str">
        <f>'Vehicle Attributes - Base Year'!C21</f>
        <v>HT</v>
      </c>
      <c r="D24" s="68" t="str">
        <f>'Vehicle Attributes - Base Year'!D21</f>
        <v>PHEV50</v>
      </c>
      <c r="E24" s="23">
        <v>0</v>
      </c>
      <c r="F24" s="23">
        <v>0</v>
      </c>
      <c r="G24" s="23">
        <v>0</v>
      </c>
      <c r="H24" s="23">
        <v>0</v>
      </c>
      <c r="I24" s="23">
        <v>0</v>
      </c>
      <c r="J24" s="23">
        <v>0</v>
      </c>
      <c r="K24" s="23">
        <v>0</v>
      </c>
      <c r="L24" s="23">
        <v>0</v>
      </c>
      <c r="M24" s="23">
        <v>0</v>
      </c>
      <c r="N24" s="23">
        <v>0</v>
      </c>
      <c r="O24" s="43">
        <v>0</v>
      </c>
    </row>
    <row r="25" spans="1:15" x14ac:dyDescent="0.3">
      <c r="A25" t="str">
        <f t="shared" si="0"/>
        <v>SmallCarPremiumFCEV320</v>
      </c>
      <c r="B25" s="79" t="str">
        <f>'Vehicle Attributes - Base Year'!B22</f>
        <v>SmallCar</v>
      </c>
      <c r="C25" s="68" t="str">
        <f>'Vehicle Attributes - Base Year'!C22</f>
        <v>Base</v>
      </c>
      <c r="D25" s="68" t="str">
        <f>'Vehicle Attributes - Base Year'!D22</f>
        <v>FCEV320</v>
      </c>
      <c r="E25" s="23">
        <v>-1500</v>
      </c>
      <c r="F25" s="23">
        <v>-1500</v>
      </c>
      <c r="G25" s="23">
        <v>-1500</v>
      </c>
      <c r="H25" s="23">
        <v>-1500</v>
      </c>
      <c r="I25" s="23">
        <v>-1500</v>
      </c>
      <c r="J25" s="23">
        <v>-1500</v>
      </c>
      <c r="K25" s="23">
        <v>-1500</v>
      </c>
      <c r="L25" s="23">
        <v>-1500</v>
      </c>
      <c r="M25" s="23">
        <v>-1500</v>
      </c>
      <c r="N25" s="23">
        <v>-1500</v>
      </c>
      <c r="O25" s="43">
        <v>-1500</v>
      </c>
    </row>
    <row r="26" spans="1:15" x14ac:dyDescent="0.3">
      <c r="A26" s="16" t="str">
        <f t="shared" si="0"/>
        <v>MedCarBaseFCEV320</v>
      </c>
      <c r="B26" s="79" t="str">
        <f>'Vehicle Attributes - Base Year'!B23</f>
        <v>SmallCar</v>
      </c>
      <c r="C26" s="68" t="str">
        <f>'Vehicle Attributes - Base Year'!C23</f>
        <v>Premium</v>
      </c>
      <c r="D26" s="68" t="str">
        <f>'Vehicle Attributes - Base Year'!D23</f>
        <v>FCEV320</v>
      </c>
      <c r="E26" s="23">
        <v>-1500</v>
      </c>
      <c r="F26" s="23">
        <v>-1500</v>
      </c>
      <c r="G26" s="23">
        <v>-1500</v>
      </c>
      <c r="H26" s="23">
        <v>-1500</v>
      </c>
      <c r="I26" s="23">
        <v>-1500</v>
      </c>
      <c r="J26" s="23">
        <v>-1500</v>
      </c>
      <c r="K26" s="23">
        <v>-1500</v>
      </c>
      <c r="L26" s="23">
        <v>-1500</v>
      </c>
      <c r="M26" s="23">
        <v>-1500</v>
      </c>
      <c r="N26" s="23">
        <v>-1500</v>
      </c>
      <c r="O26" s="43">
        <v>-1500</v>
      </c>
    </row>
    <row r="27" spans="1:15" x14ac:dyDescent="0.3">
      <c r="A27" t="str">
        <f t="shared" si="0"/>
        <v>MedCarPremiumFCEV320</v>
      </c>
      <c r="B27" s="79" t="str">
        <f>'Vehicle Attributes - Base Year'!B24</f>
        <v>MedCar</v>
      </c>
      <c r="C27" s="68" t="str">
        <f>'Vehicle Attributes - Base Year'!C24</f>
        <v>Base</v>
      </c>
      <c r="D27" s="68" t="str">
        <f>'Vehicle Attributes - Base Year'!D24</f>
        <v>FCEV320</v>
      </c>
      <c r="E27" s="23">
        <v>-1500</v>
      </c>
      <c r="F27" s="23">
        <v>-1500</v>
      </c>
      <c r="G27" s="23">
        <v>-1500</v>
      </c>
      <c r="H27" s="23">
        <v>-1500</v>
      </c>
      <c r="I27" s="23">
        <v>-1500</v>
      </c>
      <c r="J27" s="23">
        <v>-1500</v>
      </c>
      <c r="K27" s="23">
        <v>-1500</v>
      </c>
      <c r="L27" s="23">
        <v>-1500</v>
      </c>
      <c r="M27" s="23">
        <v>-1500</v>
      </c>
      <c r="N27" s="23">
        <v>-1500</v>
      </c>
      <c r="O27" s="43">
        <v>-1500</v>
      </c>
    </row>
    <row r="28" spans="1:15" x14ac:dyDescent="0.3">
      <c r="A28" s="16" t="str">
        <f t="shared" si="0"/>
        <v>SmallSUVBaseFCEV320</v>
      </c>
      <c r="B28" s="79" t="str">
        <f>'Vehicle Attributes - Base Year'!B25</f>
        <v>MedCar</v>
      </c>
      <c r="C28" s="68" t="str">
        <f>'Vehicle Attributes - Base Year'!C25</f>
        <v>Premium</v>
      </c>
      <c r="D28" s="68" t="str">
        <f>'Vehicle Attributes - Base Year'!D25</f>
        <v>FCEV320</v>
      </c>
      <c r="E28" s="23">
        <v>-1500</v>
      </c>
      <c r="F28" s="23">
        <v>-1500</v>
      </c>
      <c r="G28" s="23">
        <v>-1500</v>
      </c>
      <c r="H28" s="23">
        <v>-1500</v>
      </c>
      <c r="I28" s="23">
        <v>-1500</v>
      </c>
      <c r="J28" s="23">
        <v>-1500</v>
      </c>
      <c r="K28" s="23">
        <v>-1500</v>
      </c>
      <c r="L28" s="23">
        <v>-1500</v>
      </c>
      <c r="M28" s="23">
        <v>-1500</v>
      </c>
      <c r="N28" s="23">
        <v>-1500</v>
      </c>
      <c r="O28" s="43">
        <v>-1500</v>
      </c>
    </row>
    <row r="29" spans="1:15" x14ac:dyDescent="0.3">
      <c r="A29" t="str">
        <f t="shared" si="0"/>
        <v>SmallSUVPremiumFCEV320</v>
      </c>
      <c r="B29" s="79" t="str">
        <f>'Vehicle Attributes - Base Year'!B26</f>
        <v>SmallSUV</v>
      </c>
      <c r="C29" s="68" t="str">
        <f>'Vehicle Attributes - Base Year'!C26</f>
        <v>Base</v>
      </c>
      <c r="D29" s="68" t="str">
        <f>'Vehicle Attributes - Base Year'!D26</f>
        <v>FCEV320</v>
      </c>
      <c r="E29" s="23">
        <v>-1500</v>
      </c>
      <c r="F29" s="23">
        <v>-1500</v>
      </c>
      <c r="G29" s="23">
        <v>-1500</v>
      </c>
      <c r="H29" s="23">
        <v>-1500</v>
      </c>
      <c r="I29" s="23">
        <v>-1500</v>
      </c>
      <c r="J29" s="23">
        <v>-1500</v>
      </c>
      <c r="K29" s="23">
        <v>-1500</v>
      </c>
      <c r="L29" s="23">
        <v>-1500</v>
      </c>
      <c r="M29" s="23">
        <v>-1500</v>
      </c>
      <c r="N29" s="23">
        <v>-1500</v>
      </c>
      <c r="O29" s="43">
        <v>-1500</v>
      </c>
    </row>
    <row r="30" spans="1:15" x14ac:dyDescent="0.3">
      <c r="A30" s="16" t="str">
        <f t="shared" si="0"/>
        <v>MedSUVBaseFCEV320</v>
      </c>
      <c r="B30" s="79" t="str">
        <f>'Vehicle Attributes - Base Year'!B27</f>
        <v>SmallSUV</v>
      </c>
      <c r="C30" s="68" t="str">
        <f>'Vehicle Attributes - Base Year'!C27</f>
        <v>Premium</v>
      </c>
      <c r="D30" s="68" t="str">
        <f>'Vehicle Attributes - Base Year'!D27</f>
        <v>FCEV320</v>
      </c>
      <c r="E30" s="23">
        <v>-1500</v>
      </c>
      <c r="F30" s="23">
        <v>-1500</v>
      </c>
      <c r="G30" s="23">
        <v>-1500</v>
      </c>
      <c r="H30" s="23">
        <v>-1500</v>
      </c>
      <c r="I30" s="23">
        <v>-1500</v>
      </c>
      <c r="J30" s="23">
        <v>-1500</v>
      </c>
      <c r="K30" s="23">
        <v>-1500</v>
      </c>
      <c r="L30" s="23">
        <v>-1500</v>
      </c>
      <c r="M30" s="23">
        <v>-1500</v>
      </c>
      <c r="N30" s="23">
        <v>-1500</v>
      </c>
      <c r="O30" s="43">
        <v>-1500</v>
      </c>
    </row>
    <row r="31" spans="1:15" x14ac:dyDescent="0.3">
      <c r="A31" t="str">
        <f t="shared" si="0"/>
        <v>MedSUVPremiumFCEV320</v>
      </c>
      <c r="B31" s="79" t="str">
        <f>'Vehicle Attributes - Base Year'!B28</f>
        <v>MedSUV</v>
      </c>
      <c r="C31" s="68" t="str">
        <f>'Vehicle Attributes - Base Year'!C28</f>
        <v>Base</v>
      </c>
      <c r="D31" s="68" t="str">
        <f>'Vehicle Attributes - Base Year'!D28</f>
        <v>FCEV320</v>
      </c>
      <c r="E31" s="23">
        <v>-1500</v>
      </c>
      <c r="F31" s="23">
        <v>-1500</v>
      </c>
      <c r="G31" s="23">
        <v>-1500</v>
      </c>
      <c r="H31" s="23">
        <v>-1500</v>
      </c>
      <c r="I31" s="23">
        <v>-1500</v>
      </c>
      <c r="J31" s="23">
        <v>-1500</v>
      </c>
      <c r="K31" s="23">
        <v>-1500</v>
      </c>
      <c r="L31" s="23">
        <v>-1500</v>
      </c>
      <c r="M31" s="23">
        <v>-1500</v>
      </c>
      <c r="N31" s="23">
        <v>-1500</v>
      </c>
      <c r="O31" s="43">
        <v>-1500</v>
      </c>
    </row>
    <row r="32" spans="1:15" x14ac:dyDescent="0.3">
      <c r="A32" s="16" t="str">
        <f t="shared" si="0"/>
        <v>PickupBaseFCEV320</v>
      </c>
      <c r="B32" s="79" t="str">
        <f>'Vehicle Attributes - Base Year'!B29</f>
        <v>MedSUV</v>
      </c>
      <c r="C32" s="68" t="str">
        <f>'Vehicle Attributes - Base Year'!C29</f>
        <v>Premium</v>
      </c>
      <c r="D32" s="68" t="str">
        <f>'Vehicle Attributes - Base Year'!D29</f>
        <v>FCEV320</v>
      </c>
      <c r="E32" s="23">
        <v>-2000</v>
      </c>
      <c r="F32" s="23">
        <v>-2000</v>
      </c>
      <c r="G32" s="23">
        <v>-2000</v>
      </c>
      <c r="H32" s="23">
        <v>-2000</v>
      </c>
      <c r="I32" s="23">
        <v>-2000</v>
      </c>
      <c r="J32" s="23">
        <v>-2000</v>
      </c>
      <c r="K32" s="23">
        <v>-2000</v>
      </c>
      <c r="L32" s="23">
        <v>-2000</v>
      </c>
      <c r="M32" s="23">
        <v>-2000</v>
      </c>
      <c r="N32" s="23">
        <v>-2000</v>
      </c>
      <c r="O32" s="43">
        <v>-2000</v>
      </c>
    </row>
    <row r="33" spans="1:15" x14ac:dyDescent="0.3">
      <c r="A33" t="str">
        <f t="shared" si="0"/>
        <v>PickupHTFCEV320</v>
      </c>
      <c r="B33" s="79" t="str">
        <f>'Vehicle Attributes - Base Year'!B30</f>
        <v>Pickup</v>
      </c>
      <c r="C33" s="68" t="str">
        <f>'Vehicle Attributes - Base Year'!C30</f>
        <v>Base</v>
      </c>
      <c r="D33" s="68" t="str">
        <f>'Vehicle Attributes - Base Year'!D30</f>
        <v>FCEV320</v>
      </c>
      <c r="E33" s="23">
        <v>-2000</v>
      </c>
      <c r="F33" s="23">
        <v>-2000</v>
      </c>
      <c r="G33" s="23">
        <v>-2000</v>
      </c>
      <c r="H33" s="23">
        <v>-2000</v>
      </c>
      <c r="I33" s="23">
        <v>-2000</v>
      </c>
      <c r="J33" s="23">
        <v>-2000</v>
      </c>
      <c r="K33" s="23">
        <v>-2000</v>
      </c>
      <c r="L33" s="23">
        <v>-2000</v>
      </c>
      <c r="M33" s="23">
        <v>-2000</v>
      </c>
      <c r="N33" s="23">
        <v>-2000</v>
      </c>
      <c r="O33" s="43">
        <v>-2000</v>
      </c>
    </row>
    <row r="34" spans="1:15" x14ac:dyDescent="0.3">
      <c r="B34" s="79" t="str">
        <f>'Vehicle Attributes - Base Year'!B31</f>
        <v>Pickup</v>
      </c>
      <c r="C34" s="68" t="str">
        <f>'Vehicle Attributes - Base Year'!C31</f>
        <v>HT</v>
      </c>
      <c r="D34" s="68" t="str">
        <f>'Vehicle Attributes - Base Year'!D31</f>
        <v>FCEV320</v>
      </c>
      <c r="E34" s="23">
        <v>-2000</v>
      </c>
      <c r="F34" s="23">
        <v>-2000</v>
      </c>
      <c r="G34" s="23">
        <v>-2000</v>
      </c>
      <c r="H34" s="23">
        <v>-2000</v>
      </c>
      <c r="I34" s="23">
        <v>-2000</v>
      </c>
      <c r="J34" s="23">
        <v>-2000</v>
      </c>
      <c r="K34" s="23">
        <v>-2000</v>
      </c>
      <c r="L34" s="23">
        <v>-2000</v>
      </c>
      <c r="M34" s="23">
        <v>-2000</v>
      </c>
      <c r="N34" s="23">
        <v>-2000</v>
      </c>
      <c r="O34" s="43">
        <v>-2000</v>
      </c>
    </row>
  </sheetData>
  <mergeCells count="2">
    <mergeCell ref="E2:O2"/>
    <mergeCell ref="B1:O1"/>
  </mergeCells>
  <pageMargins left="0.7" right="0.7" top="0.75" bottom="0.75" header="0.3" footer="0.3"/>
  <tableParts count="1">
    <tablePart r:id="rId1"/>
  </tablePar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777777"/>
  </sheetPr>
  <dimension ref="A1:O34"/>
  <sheetViews>
    <sheetView topLeftCell="B1" workbookViewId="0"/>
  </sheetViews>
  <sheetFormatPr defaultRowHeight="14.4" x14ac:dyDescent="0.3"/>
  <cols>
    <col min="1" max="1" width="0" hidden="1" customWidth="1"/>
    <col min="2" max="2" width="12.5546875" bestFit="1" customWidth="1"/>
    <col min="3" max="3" width="12.44140625" bestFit="1" customWidth="1"/>
    <col min="4" max="10" width="11" customWidth="1"/>
    <col min="11" max="15" width="12" customWidth="1"/>
  </cols>
  <sheetData>
    <row r="1" spans="1:15" x14ac:dyDescent="0.3">
      <c r="B1" s="170" t="s">
        <v>231</v>
      </c>
      <c r="C1" s="175"/>
      <c r="D1" s="175"/>
      <c r="E1" s="175"/>
      <c r="F1" s="175"/>
      <c r="G1" s="175"/>
      <c r="H1" s="175"/>
      <c r="I1" s="175"/>
      <c r="J1" s="175"/>
      <c r="K1" s="175"/>
      <c r="L1" s="175"/>
      <c r="M1" s="175"/>
      <c r="N1" s="175"/>
      <c r="O1" s="171"/>
    </row>
    <row r="2" spans="1:15" x14ac:dyDescent="0.3">
      <c r="B2" s="73"/>
      <c r="C2" s="73"/>
      <c r="D2" s="74"/>
      <c r="E2" s="195" t="s">
        <v>155</v>
      </c>
      <c r="F2" s="195"/>
      <c r="G2" s="195"/>
      <c r="H2" s="195"/>
      <c r="I2" s="195"/>
      <c r="J2" s="195"/>
      <c r="K2" s="195"/>
      <c r="L2" s="195"/>
      <c r="M2" s="195"/>
      <c r="N2" s="195"/>
      <c r="O2" s="196"/>
    </row>
    <row r="3" spans="1:15" x14ac:dyDescent="0.3">
      <c r="B3" s="75" t="s">
        <v>100</v>
      </c>
      <c r="C3" s="75" t="s">
        <v>101</v>
      </c>
      <c r="D3" s="76" t="s">
        <v>67</v>
      </c>
      <c r="E3" s="77">
        <v>2025</v>
      </c>
      <c r="F3" s="78">
        <v>2026</v>
      </c>
      <c r="G3" s="78">
        <v>2027</v>
      </c>
      <c r="H3" s="78">
        <v>2028</v>
      </c>
      <c r="I3" s="78">
        <v>2029</v>
      </c>
      <c r="J3" s="78">
        <v>2030</v>
      </c>
      <c r="K3" s="78">
        <v>2031</v>
      </c>
      <c r="L3" s="78">
        <v>2032</v>
      </c>
      <c r="M3" s="78">
        <v>2033</v>
      </c>
      <c r="N3" s="78">
        <v>2034</v>
      </c>
      <c r="O3" s="148">
        <v>2035</v>
      </c>
    </row>
    <row r="4" spans="1:15" x14ac:dyDescent="0.3">
      <c r="A4" s="16" t="str">
        <f t="shared" ref="A4:A33" si="0">CONCATENATE(B5,C5,D5,)</f>
        <v>SmallCarBaseBEV300</v>
      </c>
      <c r="B4" s="79" t="s">
        <v>64</v>
      </c>
      <c r="C4" s="68" t="s">
        <v>65</v>
      </c>
      <c r="D4" s="68" t="s">
        <v>156</v>
      </c>
      <c r="E4" s="23" t="s">
        <v>157</v>
      </c>
      <c r="F4" s="23" t="s">
        <v>158</v>
      </c>
      <c r="G4" s="23" t="s">
        <v>159</v>
      </c>
      <c r="H4" s="23" t="s">
        <v>160</v>
      </c>
      <c r="I4" s="23" t="s">
        <v>161</v>
      </c>
      <c r="J4" s="23" t="s">
        <v>162</v>
      </c>
      <c r="K4" s="23" t="s">
        <v>163</v>
      </c>
      <c r="L4" s="23" t="s">
        <v>164</v>
      </c>
      <c r="M4" s="23" t="s">
        <v>165</v>
      </c>
      <c r="N4" s="23" t="s">
        <v>166</v>
      </c>
      <c r="O4" s="43" t="s">
        <v>167</v>
      </c>
    </row>
    <row r="5" spans="1:15" x14ac:dyDescent="0.3">
      <c r="A5" t="str">
        <f t="shared" si="0"/>
        <v>SmallCarPremiumBEV400</v>
      </c>
      <c r="B5" s="79" t="str">
        <f>'Vehicle Attributes - Base Year'!B2</f>
        <v>SmallCar</v>
      </c>
      <c r="C5" s="68" t="str">
        <f>'Vehicle Attributes - Base Year'!C2</f>
        <v>Base</v>
      </c>
      <c r="D5" s="68" t="str">
        <f>'Vehicle Attributes - Base Year'!D2</f>
        <v>BEV300</v>
      </c>
      <c r="E5" s="23">
        <v>-68</v>
      </c>
      <c r="F5" s="23">
        <v>-68</v>
      </c>
      <c r="G5" s="23">
        <v>-68</v>
      </c>
      <c r="H5" s="23">
        <v>-68</v>
      </c>
      <c r="I5" s="23">
        <v>-68</v>
      </c>
      <c r="J5" s="23">
        <v>-68</v>
      </c>
      <c r="K5" s="23">
        <v>-68</v>
      </c>
      <c r="L5" s="23">
        <v>-68</v>
      </c>
      <c r="M5" s="23">
        <v>-68</v>
      </c>
      <c r="N5" s="23">
        <v>-68</v>
      </c>
      <c r="O5" s="23">
        <v>-68</v>
      </c>
    </row>
    <row r="6" spans="1:15" x14ac:dyDescent="0.3">
      <c r="A6" s="16" t="str">
        <f t="shared" si="0"/>
        <v>MedCarBaseBEV300</v>
      </c>
      <c r="B6" s="79" t="str">
        <f>'Vehicle Attributes - Base Year'!B3</f>
        <v>SmallCar</v>
      </c>
      <c r="C6" s="68" t="str">
        <f>'Vehicle Attributes - Base Year'!C3</f>
        <v>Premium</v>
      </c>
      <c r="D6" s="68" t="str">
        <f>'Vehicle Attributes - Base Year'!D3</f>
        <v>BEV400</v>
      </c>
      <c r="E6" s="23">
        <v>-68</v>
      </c>
      <c r="F6" s="23">
        <v>-68</v>
      </c>
      <c r="G6" s="23">
        <v>-68</v>
      </c>
      <c r="H6" s="23">
        <v>-68</v>
      </c>
      <c r="I6" s="23">
        <v>-68</v>
      </c>
      <c r="J6" s="23">
        <v>-68</v>
      </c>
      <c r="K6" s="23">
        <v>-68</v>
      </c>
      <c r="L6" s="23">
        <v>-68</v>
      </c>
      <c r="M6" s="23">
        <v>-68</v>
      </c>
      <c r="N6" s="23">
        <v>-68</v>
      </c>
      <c r="O6" s="23">
        <v>-68</v>
      </c>
    </row>
    <row r="7" spans="1:15" x14ac:dyDescent="0.3">
      <c r="A7" t="str">
        <f t="shared" si="0"/>
        <v>MedCarPremiumBEV400</v>
      </c>
      <c r="B7" s="79" t="str">
        <f>'Vehicle Attributes - Base Year'!B4</f>
        <v>MedCar</v>
      </c>
      <c r="C7" s="68" t="str">
        <f>'Vehicle Attributes - Base Year'!C4</f>
        <v>Base</v>
      </c>
      <c r="D7" s="68" t="str">
        <f>'Vehicle Attributes - Base Year'!D4</f>
        <v>BEV300</v>
      </c>
      <c r="E7" s="23">
        <v>-68</v>
      </c>
      <c r="F7" s="23">
        <v>-68</v>
      </c>
      <c r="G7" s="23">
        <v>-68</v>
      </c>
      <c r="H7" s="23">
        <v>-68</v>
      </c>
      <c r="I7" s="23">
        <v>-68</v>
      </c>
      <c r="J7" s="23">
        <v>-68</v>
      </c>
      <c r="K7" s="23">
        <v>-68</v>
      </c>
      <c r="L7" s="23">
        <v>-68</v>
      </c>
      <c r="M7" s="23">
        <v>-68</v>
      </c>
      <c r="N7" s="23">
        <v>-68</v>
      </c>
      <c r="O7" s="23">
        <v>-68</v>
      </c>
    </row>
    <row r="8" spans="1:15" x14ac:dyDescent="0.3">
      <c r="A8" s="16" t="str">
        <f t="shared" si="0"/>
        <v>SmallSUVBaseBEV300</v>
      </c>
      <c r="B8" s="79" t="str">
        <f>'Vehicle Attributes - Base Year'!B5</f>
        <v>MedCar</v>
      </c>
      <c r="C8" s="68" t="str">
        <f>'Vehicle Attributes - Base Year'!C5</f>
        <v>Premium</v>
      </c>
      <c r="D8" s="68" t="str">
        <f>'Vehicle Attributes - Base Year'!D5</f>
        <v>BEV400</v>
      </c>
      <c r="E8" s="23">
        <v>-68</v>
      </c>
      <c r="F8" s="23">
        <v>-68</v>
      </c>
      <c r="G8" s="23">
        <v>-68</v>
      </c>
      <c r="H8" s="23">
        <v>-68</v>
      </c>
      <c r="I8" s="23">
        <v>-68</v>
      </c>
      <c r="J8" s="23">
        <v>-68</v>
      </c>
      <c r="K8" s="23">
        <v>-68</v>
      </c>
      <c r="L8" s="23">
        <v>-68</v>
      </c>
      <c r="M8" s="23">
        <v>-68</v>
      </c>
      <c r="N8" s="23">
        <v>-68</v>
      </c>
      <c r="O8" s="23">
        <v>-68</v>
      </c>
    </row>
    <row r="9" spans="1:15" x14ac:dyDescent="0.3">
      <c r="A9" t="str">
        <f t="shared" si="0"/>
        <v>SmallSUVPremiumBEV400</v>
      </c>
      <c r="B9" s="79" t="str">
        <f>'Vehicle Attributes - Base Year'!B6</f>
        <v>SmallSUV</v>
      </c>
      <c r="C9" s="68" t="str">
        <f>'Vehicle Attributes - Base Year'!C6</f>
        <v>Base</v>
      </c>
      <c r="D9" s="68" t="str">
        <f>'Vehicle Attributes - Base Year'!D6</f>
        <v>BEV300</v>
      </c>
      <c r="E9" s="23">
        <v>-68</v>
      </c>
      <c r="F9" s="23">
        <v>-68</v>
      </c>
      <c r="G9" s="23">
        <v>-68</v>
      </c>
      <c r="H9" s="23">
        <v>-68</v>
      </c>
      <c r="I9" s="23">
        <v>-68</v>
      </c>
      <c r="J9" s="23">
        <v>-68</v>
      </c>
      <c r="K9" s="23">
        <v>-68</v>
      </c>
      <c r="L9" s="23">
        <v>-68</v>
      </c>
      <c r="M9" s="23">
        <v>-68</v>
      </c>
      <c r="N9" s="23">
        <v>-68</v>
      </c>
      <c r="O9" s="23">
        <v>-68</v>
      </c>
    </row>
    <row r="10" spans="1:15" x14ac:dyDescent="0.3">
      <c r="A10" s="16" t="str">
        <f t="shared" si="0"/>
        <v>MedSUVBaseBEV300</v>
      </c>
      <c r="B10" s="79" t="str">
        <f>'Vehicle Attributes - Base Year'!B7</f>
        <v>SmallSUV</v>
      </c>
      <c r="C10" s="68" t="str">
        <f>'Vehicle Attributes - Base Year'!C7</f>
        <v>Premium</v>
      </c>
      <c r="D10" s="68" t="str">
        <f>'Vehicle Attributes - Base Year'!D7</f>
        <v>BEV400</v>
      </c>
      <c r="E10" s="23">
        <v>-68</v>
      </c>
      <c r="F10" s="23">
        <v>-68</v>
      </c>
      <c r="G10" s="23">
        <v>-68</v>
      </c>
      <c r="H10" s="23">
        <v>-68</v>
      </c>
      <c r="I10" s="23">
        <v>-68</v>
      </c>
      <c r="J10" s="23">
        <v>-68</v>
      </c>
      <c r="K10" s="23">
        <v>-68</v>
      </c>
      <c r="L10" s="23">
        <v>-68</v>
      </c>
      <c r="M10" s="23">
        <v>-68</v>
      </c>
      <c r="N10" s="23">
        <v>-68</v>
      </c>
      <c r="O10" s="23">
        <v>-68</v>
      </c>
    </row>
    <row r="11" spans="1:15" x14ac:dyDescent="0.3">
      <c r="A11" t="str">
        <f t="shared" si="0"/>
        <v>MedSUVPremiumBEV400</v>
      </c>
      <c r="B11" s="79" t="str">
        <f>'Vehicle Attributes - Base Year'!B8</f>
        <v>MedSUV</v>
      </c>
      <c r="C11" s="68" t="str">
        <f>'Vehicle Attributes - Base Year'!C8</f>
        <v>Base</v>
      </c>
      <c r="D11" s="68" t="str">
        <f>'Vehicle Attributes - Base Year'!D8</f>
        <v>BEV300</v>
      </c>
      <c r="E11" s="23">
        <v>-145</v>
      </c>
      <c r="F11" s="23">
        <v>-145</v>
      </c>
      <c r="G11" s="23">
        <v>-145</v>
      </c>
      <c r="H11" s="23">
        <v>-145</v>
      </c>
      <c r="I11" s="23">
        <v>-145</v>
      </c>
      <c r="J11" s="23">
        <v>-145</v>
      </c>
      <c r="K11" s="23">
        <v>-145</v>
      </c>
      <c r="L11" s="23">
        <v>-145</v>
      </c>
      <c r="M11" s="23">
        <v>-145</v>
      </c>
      <c r="N11" s="23">
        <v>-145</v>
      </c>
      <c r="O11" s="23">
        <v>-145</v>
      </c>
    </row>
    <row r="12" spans="1:15" x14ac:dyDescent="0.3">
      <c r="A12" s="16" t="str">
        <f t="shared" si="0"/>
        <v>PickupBaseBEV300</v>
      </c>
      <c r="B12" s="79" t="str">
        <f>'Vehicle Attributes - Base Year'!B9</f>
        <v>MedSUV</v>
      </c>
      <c r="C12" s="68" t="str">
        <f>'Vehicle Attributes - Base Year'!C9</f>
        <v>Premium</v>
      </c>
      <c r="D12" s="68" t="str">
        <f>'Vehicle Attributes - Base Year'!D9</f>
        <v>BEV400</v>
      </c>
      <c r="E12" s="23">
        <v>-145</v>
      </c>
      <c r="F12" s="23">
        <v>-145</v>
      </c>
      <c r="G12" s="23">
        <v>-145</v>
      </c>
      <c r="H12" s="23">
        <v>-145</v>
      </c>
      <c r="I12" s="23">
        <v>-145</v>
      </c>
      <c r="J12" s="23">
        <v>-145</v>
      </c>
      <c r="K12" s="23">
        <v>-145</v>
      </c>
      <c r="L12" s="23">
        <v>-145</v>
      </c>
      <c r="M12" s="23">
        <v>-145</v>
      </c>
      <c r="N12" s="23">
        <v>-145</v>
      </c>
      <c r="O12" s="23">
        <v>-145</v>
      </c>
    </row>
    <row r="13" spans="1:15" x14ac:dyDescent="0.3">
      <c r="A13" t="str">
        <f t="shared" si="0"/>
        <v>PickupHTBEV400</v>
      </c>
      <c r="B13" s="79" t="str">
        <f>'Vehicle Attributes - Base Year'!B10</f>
        <v>Pickup</v>
      </c>
      <c r="C13" s="68" t="str">
        <f>'Vehicle Attributes - Base Year'!C10</f>
        <v>Base</v>
      </c>
      <c r="D13" s="68" t="str">
        <f>'Vehicle Attributes - Base Year'!D10</f>
        <v>BEV300</v>
      </c>
      <c r="E13" s="23">
        <v>-145</v>
      </c>
      <c r="F13" s="23">
        <v>-145</v>
      </c>
      <c r="G13" s="23">
        <v>-145</v>
      </c>
      <c r="H13" s="23">
        <v>-145</v>
      </c>
      <c r="I13" s="23">
        <v>-145</v>
      </c>
      <c r="J13" s="23">
        <v>-145</v>
      </c>
      <c r="K13" s="23">
        <v>-145</v>
      </c>
      <c r="L13" s="23">
        <v>-145</v>
      </c>
      <c r="M13" s="23">
        <v>-145</v>
      </c>
      <c r="N13" s="23">
        <v>-145</v>
      </c>
      <c r="O13" s="23">
        <v>-145</v>
      </c>
    </row>
    <row r="14" spans="1:15" x14ac:dyDescent="0.3">
      <c r="A14" s="16" t="str">
        <f t="shared" si="0"/>
        <v>SmallCarBasePHEV50</v>
      </c>
      <c r="B14" s="79" t="str">
        <f>'Vehicle Attributes - Base Year'!B11</f>
        <v>Pickup</v>
      </c>
      <c r="C14" s="68" t="str">
        <f>'Vehicle Attributes - Base Year'!C11</f>
        <v>HT</v>
      </c>
      <c r="D14" s="68" t="str">
        <f>'Vehicle Attributes - Base Year'!D11</f>
        <v>BEV400</v>
      </c>
      <c r="E14" s="23">
        <v>-145</v>
      </c>
      <c r="F14" s="23">
        <v>-145</v>
      </c>
      <c r="G14" s="23">
        <v>-145</v>
      </c>
      <c r="H14" s="23">
        <v>-145</v>
      </c>
      <c r="I14" s="23">
        <v>-145</v>
      </c>
      <c r="J14" s="23">
        <v>-145</v>
      </c>
      <c r="K14" s="23">
        <v>-145</v>
      </c>
      <c r="L14" s="23">
        <v>-145</v>
      </c>
      <c r="M14" s="23">
        <v>-145</v>
      </c>
      <c r="N14" s="23">
        <v>-145</v>
      </c>
      <c r="O14" s="23">
        <v>-145</v>
      </c>
    </row>
    <row r="15" spans="1:15" x14ac:dyDescent="0.3">
      <c r="A15" t="str">
        <f t="shared" si="0"/>
        <v>SmallCarPremiumPHEV50</v>
      </c>
      <c r="B15" s="79" t="str">
        <f>'Vehicle Attributes - Base Year'!B12</f>
        <v>SmallCar</v>
      </c>
      <c r="C15" s="68" t="str">
        <f>'Vehicle Attributes - Base Year'!C12</f>
        <v>Base</v>
      </c>
      <c r="D15" s="68" t="str">
        <f>'Vehicle Attributes - Base Year'!D12</f>
        <v>PHEV50</v>
      </c>
      <c r="E15" s="23">
        <v>0</v>
      </c>
      <c r="F15" s="23">
        <v>0</v>
      </c>
      <c r="G15" s="23">
        <v>0</v>
      </c>
      <c r="H15" s="23">
        <v>0</v>
      </c>
      <c r="I15" s="23">
        <v>0</v>
      </c>
      <c r="J15" s="23">
        <v>0</v>
      </c>
      <c r="K15" s="23">
        <v>0</v>
      </c>
      <c r="L15" s="23">
        <v>0</v>
      </c>
      <c r="M15" s="23">
        <v>0</v>
      </c>
      <c r="N15" s="23">
        <v>0</v>
      </c>
      <c r="O15" s="43">
        <v>0</v>
      </c>
    </row>
    <row r="16" spans="1:15" x14ac:dyDescent="0.3">
      <c r="A16" s="16" t="str">
        <f t="shared" si="0"/>
        <v>MedCarBasePHEV50</v>
      </c>
      <c r="B16" s="79" t="str">
        <f>'Vehicle Attributes - Base Year'!B13</f>
        <v>SmallCar</v>
      </c>
      <c r="C16" s="68" t="str">
        <f>'Vehicle Attributes - Base Year'!C13</f>
        <v>Premium</v>
      </c>
      <c r="D16" s="68" t="str">
        <f>'Vehicle Attributes - Base Year'!D13</f>
        <v>PHEV50</v>
      </c>
      <c r="E16" s="23">
        <v>0</v>
      </c>
      <c r="F16" s="23">
        <v>0</v>
      </c>
      <c r="G16" s="23">
        <v>0</v>
      </c>
      <c r="H16" s="23">
        <v>0</v>
      </c>
      <c r="I16" s="23">
        <v>0</v>
      </c>
      <c r="J16" s="23">
        <v>0</v>
      </c>
      <c r="K16" s="23">
        <v>0</v>
      </c>
      <c r="L16" s="23">
        <v>0</v>
      </c>
      <c r="M16" s="23">
        <v>0</v>
      </c>
      <c r="N16" s="23">
        <v>0</v>
      </c>
      <c r="O16" s="43">
        <v>0</v>
      </c>
    </row>
    <row r="17" spans="1:15" x14ac:dyDescent="0.3">
      <c r="A17" t="str">
        <f t="shared" si="0"/>
        <v>MedCarPremiumPHEV50</v>
      </c>
      <c r="B17" s="79" t="str">
        <f>'Vehicle Attributes - Base Year'!B14</f>
        <v>MedCar</v>
      </c>
      <c r="C17" s="68" t="str">
        <f>'Vehicle Attributes - Base Year'!C14</f>
        <v>Base</v>
      </c>
      <c r="D17" s="68" t="str">
        <f>'Vehicle Attributes - Base Year'!D14</f>
        <v>PHEV50</v>
      </c>
      <c r="E17" s="23">
        <v>0</v>
      </c>
      <c r="F17" s="23">
        <v>0</v>
      </c>
      <c r="G17" s="23">
        <v>0</v>
      </c>
      <c r="H17" s="23">
        <v>0</v>
      </c>
      <c r="I17" s="23">
        <v>0</v>
      </c>
      <c r="J17" s="23">
        <v>0</v>
      </c>
      <c r="K17" s="23">
        <v>0</v>
      </c>
      <c r="L17" s="23">
        <v>0</v>
      </c>
      <c r="M17" s="23">
        <v>0</v>
      </c>
      <c r="N17" s="23">
        <v>0</v>
      </c>
      <c r="O17" s="43">
        <v>0</v>
      </c>
    </row>
    <row r="18" spans="1:15" x14ac:dyDescent="0.3">
      <c r="A18" s="16" t="str">
        <f t="shared" si="0"/>
        <v>SmallSUVBasePHEV50</v>
      </c>
      <c r="B18" s="79" t="str">
        <f>'Vehicle Attributes - Base Year'!B15</f>
        <v>MedCar</v>
      </c>
      <c r="C18" s="68" t="str">
        <f>'Vehicle Attributes - Base Year'!C15</f>
        <v>Premium</v>
      </c>
      <c r="D18" s="68" t="str">
        <f>'Vehicle Attributes - Base Year'!D15</f>
        <v>PHEV50</v>
      </c>
      <c r="E18" s="23">
        <v>0</v>
      </c>
      <c r="F18" s="23">
        <v>0</v>
      </c>
      <c r="G18" s="23">
        <v>0</v>
      </c>
      <c r="H18" s="23">
        <v>0</v>
      </c>
      <c r="I18" s="23">
        <v>0</v>
      </c>
      <c r="J18" s="23">
        <v>0</v>
      </c>
      <c r="K18" s="23">
        <v>0</v>
      </c>
      <c r="L18" s="23">
        <v>0</v>
      </c>
      <c r="M18" s="23">
        <v>0</v>
      </c>
      <c r="N18" s="23">
        <v>0</v>
      </c>
      <c r="O18" s="43">
        <v>0</v>
      </c>
    </row>
    <row r="19" spans="1:15" x14ac:dyDescent="0.3">
      <c r="A19" t="str">
        <f t="shared" si="0"/>
        <v>SmallSUVPremiumPHEV50</v>
      </c>
      <c r="B19" s="79" t="str">
        <f>'Vehicle Attributes - Base Year'!B16</f>
        <v>SmallSUV</v>
      </c>
      <c r="C19" s="68" t="str">
        <f>'Vehicle Attributes - Base Year'!C16</f>
        <v>Base</v>
      </c>
      <c r="D19" s="68" t="str">
        <f>'Vehicle Attributes - Base Year'!D16</f>
        <v>PHEV50</v>
      </c>
      <c r="E19" s="23">
        <v>0</v>
      </c>
      <c r="F19" s="23">
        <v>0</v>
      </c>
      <c r="G19" s="23">
        <v>0</v>
      </c>
      <c r="H19" s="23">
        <v>0</v>
      </c>
      <c r="I19" s="23">
        <v>0</v>
      </c>
      <c r="J19" s="23">
        <v>0</v>
      </c>
      <c r="K19" s="23">
        <v>0</v>
      </c>
      <c r="L19" s="23">
        <v>0</v>
      </c>
      <c r="M19" s="23">
        <v>0</v>
      </c>
      <c r="N19" s="23">
        <v>0</v>
      </c>
      <c r="O19" s="43">
        <v>0</v>
      </c>
    </row>
    <row r="20" spans="1:15" x14ac:dyDescent="0.3">
      <c r="A20" s="16" t="str">
        <f t="shared" si="0"/>
        <v>MedSUVBasePHEV50</v>
      </c>
      <c r="B20" s="79" t="str">
        <f>'Vehicle Attributes - Base Year'!B17</f>
        <v>SmallSUV</v>
      </c>
      <c r="C20" s="68" t="str">
        <f>'Vehicle Attributes - Base Year'!C17</f>
        <v>Premium</v>
      </c>
      <c r="D20" s="68" t="str">
        <f>'Vehicle Attributes - Base Year'!D17</f>
        <v>PHEV50</v>
      </c>
      <c r="E20" s="23">
        <v>0</v>
      </c>
      <c r="F20" s="23">
        <v>0</v>
      </c>
      <c r="G20" s="23">
        <v>0</v>
      </c>
      <c r="H20" s="23">
        <v>0</v>
      </c>
      <c r="I20" s="23">
        <v>0</v>
      </c>
      <c r="J20" s="23">
        <v>0</v>
      </c>
      <c r="K20" s="23">
        <v>0</v>
      </c>
      <c r="L20" s="23">
        <v>0</v>
      </c>
      <c r="M20" s="23">
        <v>0</v>
      </c>
      <c r="N20" s="23">
        <v>0</v>
      </c>
      <c r="O20" s="43">
        <v>0</v>
      </c>
    </row>
    <row r="21" spans="1:15" x14ac:dyDescent="0.3">
      <c r="A21" t="str">
        <f t="shared" si="0"/>
        <v>MedSUVPremiumPHEV50</v>
      </c>
      <c r="B21" s="79" t="str">
        <f>'Vehicle Attributes - Base Year'!B18</f>
        <v>MedSUV</v>
      </c>
      <c r="C21" s="68" t="str">
        <f>'Vehicle Attributes - Base Year'!C18</f>
        <v>Base</v>
      </c>
      <c r="D21" s="68" t="str">
        <f>'Vehicle Attributes - Base Year'!D18</f>
        <v>PHEV50</v>
      </c>
      <c r="E21" s="23">
        <v>0</v>
      </c>
      <c r="F21" s="23">
        <v>0</v>
      </c>
      <c r="G21" s="23">
        <v>0</v>
      </c>
      <c r="H21" s="23">
        <v>0</v>
      </c>
      <c r="I21" s="23">
        <v>0</v>
      </c>
      <c r="J21" s="23">
        <v>0</v>
      </c>
      <c r="K21" s="23">
        <v>0</v>
      </c>
      <c r="L21" s="23">
        <v>0</v>
      </c>
      <c r="M21" s="23">
        <v>0</v>
      </c>
      <c r="N21" s="23">
        <v>0</v>
      </c>
      <c r="O21" s="43">
        <v>0</v>
      </c>
    </row>
    <row r="22" spans="1:15" x14ac:dyDescent="0.3">
      <c r="A22" s="16" t="str">
        <f t="shared" si="0"/>
        <v>PickupBasePHEV50</v>
      </c>
      <c r="B22" s="79" t="str">
        <f>'Vehicle Attributes - Base Year'!B19</f>
        <v>MedSUV</v>
      </c>
      <c r="C22" s="68" t="str">
        <f>'Vehicle Attributes - Base Year'!C19</f>
        <v>Premium</v>
      </c>
      <c r="D22" s="68" t="str">
        <f>'Vehicle Attributes - Base Year'!D19</f>
        <v>PHEV50</v>
      </c>
      <c r="E22" s="23">
        <v>0</v>
      </c>
      <c r="F22" s="23">
        <v>0</v>
      </c>
      <c r="G22" s="23">
        <v>0</v>
      </c>
      <c r="H22" s="23">
        <v>0</v>
      </c>
      <c r="I22" s="23">
        <v>0</v>
      </c>
      <c r="J22" s="23">
        <v>0</v>
      </c>
      <c r="K22" s="23">
        <v>0</v>
      </c>
      <c r="L22" s="23">
        <v>0</v>
      </c>
      <c r="M22" s="23">
        <v>0</v>
      </c>
      <c r="N22" s="23">
        <v>0</v>
      </c>
      <c r="O22" s="43">
        <v>0</v>
      </c>
    </row>
    <row r="23" spans="1:15" x14ac:dyDescent="0.3">
      <c r="A23" t="str">
        <f t="shared" si="0"/>
        <v>PickupHTPHEV50</v>
      </c>
      <c r="B23" s="79" t="str">
        <f>'Vehicle Attributes - Base Year'!B20</f>
        <v>Pickup</v>
      </c>
      <c r="C23" s="68" t="str">
        <f>'Vehicle Attributes - Base Year'!C20</f>
        <v>Base</v>
      </c>
      <c r="D23" s="68" t="str">
        <f>'Vehicle Attributes - Base Year'!D20</f>
        <v>PHEV50</v>
      </c>
      <c r="E23" s="23">
        <v>0</v>
      </c>
      <c r="F23" s="23">
        <v>0</v>
      </c>
      <c r="G23" s="23">
        <v>0</v>
      </c>
      <c r="H23" s="23">
        <v>0</v>
      </c>
      <c r="I23" s="23">
        <v>0</v>
      </c>
      <c r="J23" s="23">
        <v>0</v>
      </c>
      <c r="K23" s="23">
        <v>0</v>
      </c>
      <c r="L23" s="23">
        <v>0</v>
      </c>
      <c r="M23" s="23">
        <v>0</v>
      </c>
      <c r="N23" s="23">
        <v>0</v>
      </c>
      <c r="O23" s="43">
        <v>0</v>
      </c>
    </row>
    <row r="24" spans="1:15" x14ac:dyDescent="0.3">
      <c r="A24" s="16" t="str">
        <f t="shared" si="0"/>
        <v>SmallCarBaseFCEV320</v>
      </c>
      <c r="B24" s="79" t="str">
        <f>'Vehicle Attributes - Base Year'!B21</f>
        <v>Pickup</v>
      </c>
      <c r="C24" s="68" t="str">
        <f>'Vehicle Attributes - Base Year'!C21</f>
        <v>HT</v>
      </c>
      <c r="D24" s="68" t="str">
        <f>'Vehicle Attributes - Base Year'!D21</f>
        <v>PHEV50</v>
      </c>
      <c r="E24" s="23">
        <v>0</v>
      </c>
      <c r="F24" s="23">
        <v>0</v>
      </c>
      <c r="G24" s="23">
        <v>0</v>
      </c>
      <c r="H24" s="23">
        <v>0</v>
      </c>
      <c r="I24" s="23">
        <v>0</v>
      </c>
      <c r="J24" s="23">
        <v>0</v>
      </c>
      <c r="K24" s="23">
        <v>0</v>
      </c>
      <c r="L24" s="23">
        <v>0</v>
      </c>
      <c r="M24" s="23">
        <v>0</v>
      </c>
      <c r="N24" s="23">
        <v>0</v>
      </c>
      <c r="O24" s="43">
        <v>0</v>
      </c>
    </row>
    <row r="25" spans="1:15" x14ac:dyDescent="0.3">
      <c r="A25" t="str">
        <f t="shared" si="0"/>
        <v>SmallCarPremiumFCEV320</v>
      </c>
      <c r="B25" s="79" t="str">
        <f>'Vehicle Attributes - Base Year'!B22</f>
        <v>SmallCar</v>
      </c>
      <c r="C25" s="68" t="str">
        <f>'Vehicle Attributes - Base Year'!C22</f>
        <v>Base</v>
      </c>
      <c r="D25" s="68" t="str">
        <f>'Vehicle Attributes - Base Year'!D22</f>
        <v>FCEV320</v>
      </c>
      <c r="E25" s="23">
        <v>-68</v>
      </c>
      <c r="F25" s="23">
        <v>-68</v>
      </c>
      <c r="G25" s="23">
        <v>-68</v>
      </c>
      <c r="H25" s="23">
        <v>-68</v>
      </c>
      <c r="I25" s="23">
        <v>-68</v>
      </c>
      <c r="J25" s="23">
        <v>-68</v>
      </c>
      <c r="K25" s="23">
        <v>-68</v>
      </c>
      <c r="L25" s="23">
        <v>-68</v>
      </c>
      <c r="M25" s="23">
        <v>-68</v>
      </c>
      <c r="N25" s="23">
        <v>-68</v>
      </c>
      <c r="O25" s="23">
        <v>-68</v>
      </c>
    </row>
    <row r="26" spans="1:15" x14ac:dyDescent="0.3">
      <c r="A26" s="16" t="str">
        <f t="shared" si="0"/>
        <v>MedCarBaseFCEV320</v>
      </c>
      <c r="B26" s="79" t="str">
        <f>'Vehicle Attributes - Base Year'!B23</f>
        <v>SmallCar</v>
      </c>
      <c r="C26" s="68" t="str">
        <f>'Vehicle Attributes - Base Year'!C23</f>
        <v>Premium</v>
      </c>
      <c r="D26" s="68" t="str">
        <f>'Vehicle Attributes - Base Year'!D23</f>
        <v>FCEV320</v>
      </c>
      <c r="E26" s="23">
        <v>-68</v>
      </c>
      <c r="F26" s="23">
        <v>-68</v>
      </c>
      <c r="G26" s="23">
        <v>-68</v>
      </c>
      <c r="H26" s="23">
        <v>-68</v>
      </c>
      <c r="I26" s="23">
        <v>-68</v>
      </c>
      <c r="J26" s="23">
        <v>-68</v>
      </c>
      <c r="K26" s="23">
        <v>-68</v>
      </c>
      <c r="L26" s="23">
        <v>-68</v>
      </c>
      <c r="M26" s="23">
        <v>-68</v>
      </c>
      <c r="N26" s="23">
        <v>-68</v>
      </c>
      <c r="O26" s="23">
        <v>-68</v>
      </c>
    </row>
    <row r="27" spans="1:15" x14ac:dyDescent="0.3">
      <c r="A27" t="str">
        <f t="shared" si="0"/>
        <v>MedCarPremiumFCEV320</v>
      </c>
      <c r="B27" s="79" t="str">
        <f>'Vehicle Attributes - Base Year'!B24</f>
        <v>MedCar</v>
      </c>
      <c r="C27" s="68" t="str">
        <f>'Vehicle Attributes - Base Year'!C24</f>
        <v>Base</v>
      </c>
      <c r="D27" s="68" t="str">
        <f>'Vehicle Attributes - Base Year'!D24</f>
        <v>FCEV320</v>
      </c>
      <c r="E27" s="23">
        <v>-68</v>
      </c>
      <c r="F27" s="23">
        <v>-68</v>
      </c>
      <c r="G27" s="23">
        <v>-68</v>
      </c>
      <c r="H27" s="23">
        <v>-68</v>
      </c>
      <c r="I27" s="23">
        <v>-68</v>
      </c>
      <c r="J27" s="23">
        <v>-68</v>
      </c>
      <c r="K27" s="23">
        <v>-68</v>
      </c>
      <c r="L27" s="23">
        <v>-68</v>
      </c>
      <c r="M27" s="23">
        <v>-68</v>
      </c>
      <c r="N27" s="23">
        <v>-68</v>
      </c>
      <c r="O27" s="23">
        <v>-68</v>
      </c>
    </row>
    <row r="28" spans="1:15" x14ac:dyDescent="0.3">
      <c r="A28" s="16" t="str">
        <f t="shared" si="0"/>
        <v>SmallSUVBaseFCEV320</v>
      </c>
      <c r="B28" s="79" t="str">
        <f>'Vehicle Attributes - Base Year'!B25</f>
        <v>MedCar</v>
      </c>
      <c r="C28" s="68" t="str">
        <f>'Vehicle Attributes - Base Year'!C25</f>
        <v>Premium</v>
      </c>
      <c r="D28" s="68" t="str">
        <f>'Vehicle Attributes - Base Year'!D25</f>
        <v>FCEV320</v>
      </c>
      <c r="E28" s="23">
        <v>-68</v>
      </c>
      <c r="F28" s="23">
        <v>-68</v>
      </c>
      <c r="G28" s="23">
        <v>-68</v>
      </c>
      <c r="H28" s="23">
        <v>-68</v>
      </c>
      <c r="I28" s="23">
        <v>-68</v>
      </c>
      <c r="J28" s="23">
        <v>-68</v>
      </c>
      <c r="K28" s="23">
        <v>-68</v>
      </c>
      <c r="L28" s="23">
        <v>-68</v>
      </c>
      <c r="M28" s="23">
        <v>-68</v>
      </c>
      <c r="N28" s="23">
        <v>-68</v>
      </c>
      <c r="O28" s="23">
        <v>-68</v>
      </c>
    </row>
    <row r="29" spans="1:15" x14ac:dyDescent="0.3">
      <c r="A29" t="str">
        <f t="shared" si="0"/>
        <v>SmallSUVPremiumFCEV320</v>
      </c>
      <c r="B29" s="79" t="str">
        <f>'Vehicle Attributes - Base Year'!B26</f>
        <v>SmallSUV</v>
      </c>
      <c r="C29" s="68" t="str">
        <f>'Vehicle Attributes - Base Year'!C26</f>
        <v>Base</v>
      </c>
      <c r="D29" s="68" t="str">
        <f>'Vehicle Attributes - Base Year'!D26</f>
        <v>FCEV320</v>
      </c>
      <c r="E29" s="23">
        <v>-68</v>
      </c>
      <c r="F29" s="23">
        <v>-68</v>
      </c>
      <c r="G29" s="23">
        <v>-68</v>
      </c>
      <c r="H29" s="23">
        <v>-68</v>
      </c>
      <c r="I29" s="23">
        <v>-68</v>
      </c>
      <c r="J29" s="23">
        <v>-68</v>
      </c>
      <c r="K29" s="23">
        <v>-68</v>
      </c>
      <c r="L29" s="23">
        <v>-68</v>
      </c>
      <c r="M29" s="23">
        <v>-68</v>
      </c>
      <c r="N29" s="23">
        <v>-68</v>
      </c>
      <c r="O29" s="23">
        <v>-68</v>
      </c>
    </row>
    <row r="30" spans="1:15" x14ac:dyDescent="0.3">
      <c r="A30" s="16" t="str">
        <f t="shared" si="0"/>
        <v>MedSUVBaseFCEV320</v>
      </c>
      <c r="B30" s="79" t="str">
        <f>'Vehicle Attributes - Base Year'!B27</f>
        <v>SmallSUV</v>
      </c>
      <c r="C30" s="68" t="str">
        <f>'Vehicle Attributes - Base Year'!C27</f>
        <v>Premium</v>
      </c>
      <c r="D30" s="68" t="str">
        <f>'Vehicle Attributes - Base Year'!D27</f>
        <v>FCEV320</v>
      </c>
      <c r="E30" s="23">
        <v>-68</v>
      </c>
      <c r="F30" s="23">
        <v>-68</v>
      </c>
      <c r="G30" s="23">
        <v>-68</v>
      </c>
      <c r="H30" s="23">
        <v>-68</v>
      </c>
      <c r="I30" s="23">
        <v>-68</v>
      </c>
      <c r="J30" s="23">
        <v>-68</v>
      </c>
      <c r="K30" s="23">
        <v>-68</v>
      </c>
      <c r="L30" s="23">
        <v>-68</v>
      </c>
      <c r="M30" s="23">
        <v>-68</v>
      </c>
      <c r="N30" s="23">
        <v>-68</v>
      </c>
      <c r="O30" s="23">
        <v>-68</v>
      </c>
    </row>
    <row r="31" spans="1:15" x14ac:dyDescent="0.3">
      <c r="A31" t="str">
        <f t="shared" si="0"/>
        <v>MedSUVPremiumFCEV320</v>
      </c>
      <c r="B31" s="79" t="str">
        <f>'Vehicle Attributes - Base Year'!B28</f>
        <v>MedSUV</v>
      </c>
      <c r="C31" s="68" t="str">
        <f>'Vehicle Attributes - Base Year'!C28</f>
        <v>Base</v>
      </c>
      <c r="D31" s="68" t="str">
        <f>'Vehicle Attributes - Base Year'!D28</f>
        <v>FCEV320</v>
      </c>
      <c r="E31" s="23">
        <v>-145</v>
      </c>
      <c r="F31" s="23">
        <v>-145</v>
      </c>
      <c r="G31" s="23">
        <v>-145</v>
      </c>
      <c r="H31" s="23">
        <v>-145</v>
      </c>
      <c r="I31" s="23">
        <v>-145</v>
      </c>
      <c r="J31" s="23">
        <v>-145</v>
      </c>
      <c r="K31" s="23">
        <v>-145</v>
      </c>
      <c r="L31" s="23">
        <v>-145</v>
      </c>
      <c r="M31" s="23">
        <v>-145</v>
      </c>
      <c r="N31" s="23">
        <v>-145</v>
      </c>
      <c r="O31" s="23">
        <v>-145</v>
      </c>
    </row>
    <row r="32" spans="1:15" x14ac:dyDescent="0.3">
      <c r="A32" s="16" t="str">
        <f t="shared" si="0"/>
        <v>PickupBaseFCEV320</v>
      </c>
      <c r="B32" s="79" t="str">
        <f>'Vehicle Attributes - Base Year'!B29</f>
        <v>MedSUV</v>
      </c>
      <c r="C32" s="68" t="str">
        <f>'Vehicle Attributes - Base Year'!C29</f>
        <v>Premium</v>
      </c>
      <c r="D32" s="68" t="str">
        <f>'Vehicle Attributes - Base Year'!D29</f>
        <v>FCEV320</v>
      </c>
      <c r="E32" s="23">
        <v>-145</v>
      </c>
      <c r="F32" s="23">
        <v>-145</v>
      </c>
      <c r="G32" s="23">
        <v>-145</v>
      </c>
      <c r="H32" s="23">
        <v>-145</v>
      </c>
      <c r="I32" s="23">
        <v>-145</v>
      </c>
      <c r="J32" s="23">
        <v>-145</v>
      </c>
      <c r="K32" s="23">
        <v>-145</v>
      </c>
      <c r="L32" s="23">
        <v>-145</v>
      </c>
      <c r="M32" s="23">
        <v>-145</v>
      </c>
      <c r="N32" s="23">
        <v>-145</v>
      </c>
      <c r="O32" s="23">
        <v>-145</v>
      </c>
    </row>
    <row r="33" spans="1:15" x14ac:dyDescent="0.3">
      <c r="A33" t="str">
        <f t="shared" si="0"/>
        <v>PickupHTFCEV320</v>
      </c>
      <c r="B33" s="79" t="str">
        <f>'Vehicle Attributes - Base Year'!B30</f>
        <v>Pickup</v>
      </c>
      <c r="C33" s="68" t="str">
        <f>'Vehicle Attributes - Base Year'!C30</f>
        <v>Base</v>
      </c>
      <c r="D33" s="68" t="str">
        <f>'Vehicle Attributes - Base Year'!D30</f>
        <v>FCEV320</v>
      </c>
      <c r="E33" s="23">
        <v>-145</v>
      </c>
      <c r="F33" s="23">
        <v>-145</v>
      </c>
      <c r="G33" s="23">
        <v>-145</v>
      </c>
      <c r="H33" s="23">
        <v>-145</v>
      </c>
      <c r="I33" s="23">
        <v>-145</v>
      </c>
      <c r="J33" s="23">
        <v>-145</v>
      </c>
      <c r="K33" s="23">
        <v>-145</v>
      </c>
      <c r="L33" s="23">
        <v>-145</v>
      </c>
      <c r="M33" s="23">
        <v>-145</v>
      </c>
      <c r="N33" s="23">
        <v>-145</v>
      </c>
      <c r="O33" s="23">
        <v>-145</v>
      </c>
    </row>
    <row r="34" spans="1:15" x14ac:dyDescent="0.3">
      <c r="B34" s="79" t="str">
        <f>'Vehicle Attributes - Base Year'!B31</f>
        <v>Pickup</v>
      </c>
      <c r="C34" s="68" t="str">
        <f>'Vehicle Attributes - Base Year'!C31</f>
        <v>HT</v>
      </c>
      <c r="D34" s="68" t="str">
        <f>'Vehicle Attributes - Base Year'!D31</f>
        <v>FCEV320</v>
      </c>
      <c r="E34" s="23">
        <v>-145</v>
      </c>
      <c r="F34" s="23">
        <v>-145</v>
      </c>
      <c r="G34" s="23">
        <v>-145</v>
      </c>
      <c r="H34" s="23">
        <v>-145</v>
      </c>
      <c r="I34" s="23">
        <v>-145</v>
      </c>
      <c r="J34" s="23">
        <v>-145</v>
      </c>
      <c r="K34" s="23">
        <v>-145</v>
      </c>
      <c r="L34" s="23">
        <v>-145</v>
      </c>
      <c r="M34" s="23">
        <v>-145</v>
      </c>
      <c r="N34" s="23">
        <v>-145</v>
      </c>
      <c r="O34" s="23">
        <v>-145</v>
      </c>
    </row>
  </sheetData>
  <mergeCells count="2">
    <mergeCell ref="E2:O2"/>
    <mergeCell ref="B1:O1"/>
  </mergeCells>
  <pageMargins left="0.7" right="0.7" top="0.75" bottom="0.75" header="0.3" footer="0.3"/>
  <legacyDrawing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51035-6C03-4C09-A1E8-131D5FC3FAA9}">
  <sheetPr>
    <tabColor rgb="FF777777"/>
  </sheetPr>
  <dimension ref="A1:O34"/>
  <sheetViews>
    <sheetView topLeftCell="B1" zoomScaleNormal="100" workbookViewId="0">
      <selection activeCell="B2" sqref="B2"/>
    </sheetView>
  </sheetViews>
  <sheetFormatPr defaultRowHeight="14.4" x14ac:dyDescent="0.3"/>
  <cols>
    <col min="1" max="1" width="0" hidden="1" customWidth="1"/>
    <col min="2" max="2" width="12.5546875" bestFit="1" customWidth="1"/>
    <col min="3" max="3" width="12.44140625" bestFit="1" customWidth="1"/>
    <col min="4" max="10" width="11" customWidth="1"/>
    <col min="11" max="15" width="12" customWidth="1"/>
  </cols>
  <sheetData>
    <row r="1" spans="1:15" x14ac:dyDescent="0.3">
      <c r="B1" s="170" t="s">
        <v>283</v>
      </c>
      <c r="C1" s="175"/>
      <c r="D1" s="175"/>
      <c r="E1" s="175"/>
      <c r="F1" s="175"/>
      <c r="G1" s="175"/>
      <c r="H1" s="175"/>
      <c r="I1" s="175"/>
      <c r="J1" s="175"/>
      <c r="K1" s="175"/>
      <c r="L1" s="175"/>
      <c r="M1" s="175"/>
      <c r="N1" s="175"/>
      <c r="O1" s="171"/>
    </row>
    <row r="2" spans="1:15" x14ac:dyDescent="0.3">
      <c r="B2" s="73"/>
      <c r="C2" s="73"/>
      <c r="D2" s="74"/>
      <c r="E2" s="195" t="s">
        <v>155</v>
      </c>
      <c r="F2" s="195"/>
      <c r="G2" s="195"/>
      <c r="H2" s="195"/>
      <c r="I2" s="195"/>
      <c r="J2" s="195"/>
      <c r="K2" s="195"/>
      <c r="L2" s="195"/>
      <c r="M2" s="195"/>
      <c r="N2" s="195"/>
      <c r="O2" s="196"/>
    </row>
    <row r="3" spans="1:15" x14ac:dyDescent="0.3">
      <c r="B3" s="75" t="s">
        <v>100</v>
      </c>
      <c r="C3" s="75" t="s">
        <v>101</v>
      </c>
      <c r="D3" s="76" t="s">
        <v>67</v>
      </c>
      <c r="E3" s="77">
        <v>2025</v>
      </c>
      <c r="F3" s="78">
        <v>2026</v>
      </c>
      <c r="G3" s="78">
        <v>2027</v>
      </c>
      <c r="H3" s="78">
        <v>2028</v>
      </c>
      <c r="I3" s="78">
        <v>2029</v>
      </c>
      <c r="J3" s="78">
        <v>2030</v>
      </c>
      <c r="K3" s="78">
        <v>2031</v>
      </c>
      <c r="L3" s="78">
        <v>2032</v>
      </c>
      <c r="M3" s="78">
        <v>2033</v>
      </c>
      <c r="N3" s="78">
        <v>2034</v>
      </c>
      <c r="O3" s="148">
        <v>2035</v>
      </c>
    </row>
    <row r="4" spans="1:15" x14ac:dyDescent="0.3">
      <c r="A4" s="16" t="str">
        <f t="shared" ref="A4:A33" si="0">CONCATENATE(B5,C5,D5,)</f>
        <v>SmallCarBaseBEV300</v>
      </c>
      <c r="B4" s="79" t="s">
        <v>64</v>
      </c>
      <c r="C4" s="68" t="s">
        <v>65</v>
      </c>
      <c r="D4" s="68" t="s">
        <v>156</v>
      </c>
      <c r="E4" s="23" t="s">
        <v>157</v>
      </c>
      <c r="F4" s="23" t="s">
        <v>158</v>
      </c>
      <c r="G4" s="23" t="s">
        <v>159</v>
      </c>
      <c r="H4" s="23" t="s">
        <v>160</v>
      </c>
      <c r="I4" s="23" t="s">
        <v>161</v>
      </c>
      <c r="J4" s="23" t="s">
        <v>162</v>
      </c>
      <c r="K4" s="23" t="s">
        <v>163</v>
      </c>
      <c r="L4" s="23" t="s">
        <v>164</v>
      </c>
      <c r="M4" s="23" t="s">
        <v>165</v>
      </c>
      <c r="N4" s="23" t="s">
        <v>166</v>
      </c>
      <c r="O4" s="43" t="s">
        <v>167</v>
      </c>
    </row>
    <row r="5" spans="1:15" x14ac:dyDescent="0.3">
      <c r="A5" t="str">
        <f t="shared" si="0"/>
        <v>SmallCarPremiumBEV400</v>
      </c>
      <c r="B5" s="79" t="str">
        <f>'Vehicle Attributes - Base Year'!B2</f>
        <v>SmallCar</v>
      </c>
      <c r="C5" s="68" t="str">
        <f>'Vehicle Attributes - Base Year'!C2</f>
        <v>Base</v>
      </c>
      <c r="D5" s="68" t="str">
        <f>'Vehicle Attributes - Base Year'!D2</f>
        <v>BEV300</v>
      </c>
      <c r="E5" s="23">
        <v>-965</v>
      </c>
      <c r="F5" s="23">
        <v>-965</v>
      </c>
      <c r="G5" s="23">
        <v>-965</v>
      </c>
      <c r="H5" s="23">
        <v>-965</v>
      </c>
      <c r="I5" s="23">
        <v>-965</v>
      </c>
      <c r="J5" s="23">
        <v>-965</v>
      </c>
      <c r="K5" s="23">
        <v>-965</v>
      </c>
      <c r="L5" s="23">
        <v>-965</v>
      </c>
      <c r="M5" s="23">
        <v>-965</v>
      </c>
      <c r="N5" s="23">
        <v>-965</v>
      </c>
      <c r="O5" s="23">
        <v>-965</v>
      </c>
    </row>
    <row r="6" spans="1:15" x14ac:dyDescent="0.3">
      <c r="A6" s="16" t="str">
        <f t="shared" si="0"/>
        <v>MedCarBaseBEV300</v>
      </c>
      <c r="B6" s="79" t="str">
        <f>'Vehicle Attributes - Base Year'!B3</f>
        <v>SmallCar</v>
      </c>
      <c r="C6" s="68" t="str">
        <f>'Vehicle Attributes - Base Year'!C3</f>
        <v>Premium</v>
      </c>
      <c r="D6" s="68" t="str">
        <f>'Vehicle Attributes - Base Year'!D3</f>
        <v>BEV400</v>
      </c>
      <c r="E6" s="23">
        <v>-965</v>
      </c>
      <c r="F6" s="23">
        <v>-965</v>
      </c>
      <c r="G6" s="23">
        <v>-965</v>
      </c>
      <c r="H6" s="23">
        <v>-965</v>
      </c>
      <c r="I6" s="23">
        <v>-965</v>
      </c>
      <c r="J6" s="23">
        <v>-965</v>
      </c>
      <c r="K6" s="23">
        <v>-965</v>
      </c>
      <c r="L6" s="23">
        <v>-965</v>
      </c>
      <c r="M6" s="23">
        <v>-965</v>
      </c>
      <c r="N6" s="23">
        <v>-965</v>
      </c>
      <c r="O6" s="23">
        <v>-965</v>
      </c>
    </row>
    <row r="7" spans="1:15" x14ac:dyDescent="0.3">
      <c r="A7" t="str">
        <f t="shared" si="0"/>
        <v>MedCarPremiumBEV400</v>
      </c>
      <c r="B7" s="79" t="str">
        <f>'Vehicle Attributes - Base Year'!B4</f>
        <v>MedCar</v>
      </c>
      <c r="C7" s="68" t="str">
        <f>'Vehicle Attributes - Base Year'!C4</f>
        <v>Base</v>
      </c>
      <c r="D7" s="68" t="str">
        <f>'Vehicle Attributes - Base Year'!D4</f>
        <v>BEV300</v>
      </c>
      <c r="E7" s="23">
        <v>-965</v>
      </c>
      <c r="F7" s="23">
        <v>-965</v>
      </c>
      <c r="G7" s="23">
        <v>-965</v>
      </c>
      <c r="H7" s="23">
        <v>-965</v>
      </c>
      <c r="I7" s="23">
        <v>-965</v>
      </c>
      <c r="J7" s="23">
        <v>-965</v>
      </c>
      <c r="K7" s="23">
        <v>-965</v>
      </c>
      <c r="L7" s="23">
        <v>-965</v>
      </c>
      <c r="M7" s="23">
        <v>-965</v>
      </c>
      <c r="N7" s="23">
        <v>-965</v>
      </c>
      <c r="O7" s="23">
        <v>-965</v>
      </c>
    </row>
    <row r="8" spans="1:15" x14ac:dyDescent="0.3">
      <c r="A8" s="16" t="str">
        <f t="shared" si="0"/>
        <v>SmallSUVBaseBEV300</v>
      </c>
      <c r="B8" s="79" t="str">
        <f>'Vehicle Attributes - Base Year'!B5</f>
        <v>MedCar</v>
      </c>
      <c r="C8" s="68" t="str">
        <f>'Vehicle Attributes - Base Year'!C5</f>
        <v>Premium</v>
      </c>
      <c r="D8" s="68" t="str">
        <f>'Vehicle Attributes - Base Year'!D5</f>
        <v>BEV400</v>
      </c>
      <c r="E8" s="23">
        <v>-965</v>
      </c>
      <c r="F8" s="23">
        <v>-965</v>
      </c>
      <c r="G8" s="23">
        <v>-965</v>
      </c>
      <c r="H8" s="23">
        <v>-965</v>
      </c>
      <c r="I8" s="23">
        <v>-965</v>
      </c>
      <c r="J8" s="23">
        <v>-965</v>
      </c>
      <c r="K8" s="23">
        <v>-965</v>
      </c>
      <c r="L8" s="23">
        <v>-965</v>
      </c>
      <c r="M8" s="23">
        <v>-965</v>
      </c>
      <c r="N8" s="23">
        <v>-965</v>
      </c>
      <c r="O8" s="23">
        <v>-965</v>
      </c>
    </row>
    <row r="9" spans="1:15" x14ac:dyDescent="0.3">
      <c r="A9" t="str">
        <f t="shared" si="0"/>
        <v>SmallSUVPremiumBEV400</v>
      </c>
      <c r="B9" s="79" t="str">
        <f>'Vehicle Attributes - Base Year'!B6</f>
        <v>SmallSUV</v>
      </c>
      <c r="C9" s="68" t="str">
        <f>'Vehicle Attributes - Base Year'!C6</f>
        <v>Base</v>
      </c>
      <c r="D9" s="68" t="str">
        <f>'Vehicle Attributes - Base Year'!D6</f>
        <v>BEV300</v>
      </c>
      <c r="E9" s="23">
        <v>-965</v>
      </c>
      <c r="F9" s="23">
        <v>-965</v>
      </c>
      <c r="G9" s="23">
        <v>-965</v>
      </c>
      <c r="H9" s="23">
        <v>-965</v>
      </c>
      <c r="I9" s="23">
        <v>-965</v>
      </c>
      <c r="J9" s="23">
        <v>-965</v>
      </c>
      <c r="K9" s="23">
        <v>-965</v>
      </c>
      <c r="L9" s="23">
        <v>-965</v>
      </c>
      <c r="M9" s="23">
        <v>-965</v>
      </c>
      <c r="N9" s="23">
        <v>-965</v>
      </c>
      <c r="O9" s="23">
        <v>-965</v>
      </c>
    </row>
    <row r="10" spans="1:15" x14ac:dyDescent="0.3">
      <c r="A10" s="16" t="str">
        <f t="shared" si="0"/>
        <v>MedSUVBaseBEV300</v>
      </c>
      <c r="B10" s="79" t="str">
        <f>'Vehicle Attributes - Base Year'!B7</f>
        <v>SmallSUV</v>
      </c>
      <c r="C10" s="68" t="str">
        <f>'Vehicle Attributes - Base Year'!C7</f>
        <v>Premium</v>
      </c>
      <c r="D10" s="68" t="str">
        <f>'Vehicle Attributes - Base Year'!D7</f>
        <v>BEV400</v>
      </c>
      <c r="E10" s="23">
        <v>-965</v>
      </c>
      <c r="F10" s="23">
        <v>-965</v>
      </c>
      <c r="G10" s="23">
        <v>-965</v>
      </c>
      <c r="H10" s="23">
        <v>-965</v>
      </c>
      <c r="I10" s="23">
        <v>-965</v>
      </c>
      <c r="J10" s="23">
        <v>-965</v>
      </c>
      <c r="K10" s="23">
        <v>-965</v>
      </c>
      <c r="L10" s="23">
        <v>-965</v>
      </c>
      <c r="M10" s="23">
        <v>-965</v>
      </c>
      <c r="N10" s="23">
        <v>-965</v>
      </c>
      <c r="O10" s="23">
        <v>-965</v>
      </c>
    </row>
    <row r="11" spans="1:15" x14ac:dyDescent="0.3">
      <c r="A11" t="str">
        <f t="shared" si="0"/>
        <v>MedSUVPremiumBEV400</v>
      </c>
      <c r="B11" s="79" t="str">
        <f>'Vehicle Attributes - Base Year'!B8</f>
        <v>MedSUV</v>
      </c>
      <c r="C11" s="68" t="str">
        <f>'Vehicle Attributes - Base Year'!C8</f>
        <v>Base</v>
      </c>
      <c r="D11" s="68" t="str">
        <f>'Vehicle Attributes - Base Year'!D8</f>
        <v>BEV300</v>
      </c>
      <c r="E11" s="23">
        <v>-965</v>
      </c>
      <c r="F11" s="23">
        <v>-965</v>
      </c>
      <c r="G11" s="23">
        <v>-965</v>
      </c>
      <c r="H11" s="23">
        <v>-965</v>
      </c>
      <c r="I11" s="23">
        <v>-965</v>
      </c>
      <c r="J11" s="23">
        <v>-965</v>
      </c>
      <c r="K11" s="23">
        <v>-965</v>
      </c>
      <c r="L11" s="23">
        <v>-965</v>
      </c>
      <c r="M11" s="23">
        <v>-965</v>
      </c>
      <c r="N11" s="23">
        <v>-965</v>
      </c>
      <c r="O11" s="23">
        <v>-965</v>
      </c>
    </row>
    <row r="12" spans="1:15" x14ac:dyDescent="0.3">
      <c r="A12" s="16" t="str">
        <f t="shared" si="0"/>
        <v>PickupBaseBEV300</v>
      </c>
      <c r="B12" s="79" t="str">
        <f>'Vehicle Attributes - Base Year'!B9</f>
        <v>MedSUV</v>
      </c>
      <c r="C12" s="68" t="str">
        <f>'Vehicle Attributes - Base Year'!C9</f>
        <v>Premium</v>
      </c>
      <c r="D12" s="68" t="str">
        <f>'Vehicle Attributes - Base Year'!D9</f>
        <v>BEV400</v>
      </c>
      <c r="E12" s="23">
        <v>-965</v>
      </c>
      <c r="F12" s="23">
        <v>-965</v>
      </c>
      <c r="G12" s="23">
        <v>-965</v>
      </c>
      <c r="H12" s="23">
        <v>-965</v>
      </c>
      <c r="I12" s="23">
        <v>-965</v>
      </c>
      <c r="J12" s="23">
        <v>-965</v>
      </c>
      <c r="K12" s="23">
        <v>-965</v>
      </c>
      <c r="L12" s="23">
        <v>-965</v>
      </c>
      <c r="M12" s="23">
        <v>-965</v>
      </c>
      <c r="N12" s="23">
        <v>-965</v>
      </c>
      <c r="O12" s="23">
        <v>-965</v>
      </c>
    </row>
    <row r="13" spans="1:15" x14ac:dyDescent="0.3">
      <c r="A13" t="str">
        <f t="shared" si="0"/>
        <v>PickupHTBEV400</v>
      </c>
      <c r="B13" s="79" t="str">
        <f>'Vehicle Attributes - Base Year'!B10</f>
        <v>Pickup</v>
      </c>
      <c r="C13" s="68" t="str">
        <f>'Vehicle Attributes - Base Year'!C10</f>
        <v>Base</v>
      </c>
      <c r="D13" s="68" t="str">
        <f>'Vehicle Attributes - Base Year'!D10</f>
        <v>BEV300</v>
      </c>
      <c r="E13" s="23">
        <v>-965</v>
      </c>
      <c r="F13" s="23">
        <v>-965</v>
      </c>
      <c r="G13" s="23">
        <v>-965</v>
      </c>
      <c r="H13" s="23">
        <v>-965</v>
      </c>
      <c r="I13" s="23">
        <v>-965</v>
      </c>
      <c r="J13" s="23">
        <v>-965</v>
      </c>
      <c r="K13" s="23">
        <v>-965</v>
      </c>
      <c r="L13" s="23">
        <v>-965</v>
      </c>
      <c r="M13" s="23">
        <v>-965</v>
      </c>
      <c r="N13" s="23">
        <v>-965</v>
      </c>
      <c r="O13" s="23">
        <v>-965</v>
      </c>
    </row>
    <row r="14" spans="1:15" x14ac:dyDescent="0.3">
      <c r="A14" s="16" t="str">
        <f t="shared" si="0"/>
        <v>SmallCarBasePHEV50</v>
      </c>
      <c r="B14" s="79" t="str">
        <f>'Vehicle Attributes - Base Year'!B11</f>
        <v>Pickup</v>
      </c>
      <c r="C14" s="68" t="str">
        <f>'Vehicle Attributes - Base Year'!C11</f>
        <v>HT</v>
      </c>
      <c r="D14" s="68" t="str">
        <f>'Vehicle Attributes - Base Year'!D11</f>
        <v>BEV400</v>
      </c>
      <c r="E14" s="23">
        <v>-965</v>
      </c>
      <c r="F14" s="23">
        <v>-965</v>
      </c>
      <c r="G14" s="23">
        <v>-965</v>
      </c>
      <c r="H14" s="23">
        <v>-965</v>
      </c>
      <c r="I14" s="23">
        <v>-965</v>
      </c>
      <c r="J14" s="23">
        <v>-965</v>
      </c>
      <c r="K14" s="23">
        <v>-965</v>
      </c>
      <c r="L14" s="23">
        <v>-965</v>
      </c>
      <c r="M14" s="23">
        <v>-965</v>
      </c>
      <c r="N14" s="23">
        <v>-965</v>
      </c>
      <c r="O14" s="23">
        <v>-965</v>
      </c>
    </row>
    <row r="15" spans="1:15" x14ac:dyDescent="0.3">
      <c r="A15" t="str">
        <f t="shared" si="0"/>
        <v>SmallCarPremiumPHEV50</v>
      </c>
      <c r="B15" s="79" t="str">
        <f>'Vehicle Attributes - Base Year'!B12</f>
        <v>SmallCar</v>
      </c>
      <c r="C15" s="68" t="str">
        <f>'Vehicle Attributes - Base Year'!C12</f>
        <v>Base</v>
      </c>
      <c r="D15" s="68" t="str">
        <f>'Vehicle Attributes - Base Year'!D12</f>
        <v>PHEV50</v>
      </c>
      <c r="E15" s="23">
        <v>-965</v>
      </c>
      <c r="F15" s="23">
        <v>-965</v>
      </c>
      <c r="G15" s="23">
        <v>-965</v>
      </c>
      <c r="H15" s="23">
        <v>-965</v>
      </c>
      <c r="I15" s="23">
        <v>-965</v>
      </c>
      <c r="J15" s="23">
        <v>-965</v>
      </c>
      <c r="K15" s="23">
        <v>-965</v>
      </c>
      <c r="L15" s="23">
        <v>-965</v>
      </c>
      <c r="M15" s="23">
        <v>-965</v>
      </c>
      <c r="N15" s="23">
        <v>-965</v>
      </c>
      <c r="O15" s="23">
        <v>-965</v>
      </c>
    </row>
    <row r="16" spans="1:15" x14ac:dyDescent="0.3">
      <c r="A16" s="16" t="str">
        <f t="shared" si="0"/>
        <v>MedCarBasePHEV50</v>
      </c>
      <c r="B16" s="79" t="str">
        <f>'Vehicle Attributes - Base Year'!B13</f>
        <v>SmallCar</v>
      </c>
      <c r="C16" s="68" t="str">
        <f>'Vehicle Attributes - Base Year'!C13</f>
        <v>Premium</v>
      </c>
      <c r="D16" s="68" t="str">
        <f>'Vehicle Attributes - Base Year'!D13</f>
        <v>PHEV50</v>
      </c>
      <c r="E16" s="23">
        <v>-965</v>
      </c>
      <c r="F16" s="23">
        <v>-965</v>
      </c>
      <c r="G16" s="23">
        <v>-965</v>
      </c>
      <c r="H16" s="23">
        <v>-965</v>
      </c>
      <c r="I16" s="23">
        <v>-965</v>
      </c>
      <c r="J16" s="23">
        <v>-965</v>
      </c>
      <c r="K16" s="23">
        <v>-965</v>
      </c>
      <c r="L16" s="23">
        <v>-965</v>
      </c>
      <c r="M16" s="23">
        <v>-965</v>
      </c>
      <c r="N16" s="23">
        <v>-965</v>
      </c>
      <c r="O16" s="23">
        <v>-965</v>
      </c>
    </row>
    <row r="17" spans="1:15" x14ac:dyDescent="0.3">
      <c r="A17" t="str">
        <f t="shared" si="0"/>
        <v>MedCarPremiumPHEV50</v>
      </c>
      <c r="B17" s="79" t="str">
        <f>'Vehicle Attributes - Base Year'!B14</f>
        <v>MedCar</v>
      </c>
      <c r="C17" s="68" t="str">
        <f>'Vehicle Attributes - Base Year'!C14</f>
        <v>Base</v>
      </c>
      <c r="D17" s="68" t="str">
        <f>'Vehicle Attributes - Base Year'!D14</f>
        <v>PHEV50</v>
      </c>
      <c r="E17" s="23">
        <v>-965</v>
      </c>
      <c r="F17" s="23">
        <v>-965</v>
      </c>
      <c r="G17" s="23">
        <v>-965</v>
      </c>
      <c r="H17" s="23">
        <v>-965</v>
      </c>
      <c r="I17" s="23">
        <v>-965</v>
      </c>
      <c r="J17" s="23">
        <v>-965</v>
      </c>
      <c r="K17" s="23">
        <v>-965</v>
      </c>
      <c r="L17" s="23">
        <v>-965</v>
      </c>
      <c r="M17" s="23">
        <v>-965</v>
      </c>
      <c r="N17" s="23">
        <v>-965</v>
      </c>
      <c r="O17" s="23">
        <v>-965</v>
      </c>
    </row>
    <row r="18" spans="1:15" x14ac:dyDescent="0.3">
      <c r="A18" s="16" t="str">
        <f t="shared" si="0"/>
        <v>SmallSUVBasePHEV50</v>
      </c>
      <c r="B18" s="79" t="str">
        <f>'Vehicle Attributes - Base Year'!B15</f>
        <v>MedCar</v>
      </c>
      <c r="C18" s="68" t="str">
        <f>'Vehicle Attributes - Base Year'!C15</f>
        <v>Premium</v>
      </c>
      <c r="D18" s="68" t="str">
        <f>'Vehicle Attributes - Base Year'!D15</f>
        <v>PHEV50</v>
      </c>
      <c r="E18" s="23">
        <v>-965</v>
      </c>
      <c r="F18" s="23">
        <v>-965</v>
      </c>
      <c r="G18" s="23">
        <v>-965</v>
      </c>
      <c r="H18" s="23">
        <v>-965</v>
      </c>
      <c r="I18" s="23">
        <v>-965</v>
      </c>
      <c r="J18" s="23">
        <v>-965</v>
      </c>
      <c r="K18" s="23">
        <v>-965</v>
      </c>
      <c r="L18" s="23">
        <v>-965</v>
      </c>
      <c r="M18" s="23">
        <v>-965</v>
      </c>
      <c r="N18" s="23">
        <v>-965</v>
      </c>
      <c r="O18" s="23">
        <v>-965</v>
      </c>
    </row>
    <row r="19" spans="1:15" x14ac:dyDescent="0.3">
      <c r="A19" t="str">
        <f t="shared" si="0"/>
        <v>SmallSUVPremiumPHEV50</v>
      </c>
      <c r="B19" s="79" t="str">
        <f>'Vehicle Attributes - Base Year'!B16</f>
        <v>SmallSUV</v>
      </c>
      <c r="C19" s="68" t="str">
        <f>'Vehicle Attributes - Base Year'!C16</f>
        <v>Base</v>
      </c>
      <c r="D19" s="68" t="str">
        <f>'Vehicle Attributes - Base Year'!D16</f>
        <v>PHEV50</v>
      </c>
      <c r="E19" s="23">
        <v>-965</v>
      </c>
      <c r="F19" s="23">
        <v>-965</v>
      </c>
      <c r="G19" s="23">
        <v>-965</v>
      </c>
      <c r="H19" s="23">
        <v>-965</v>
      </c>
      <c r="I19" s="23">
        <v>-965</v>
      </c>
      <c r="J19" s="23">
        <v>-965</v>
      </c>
      <c r="K19" s="23">
        <v>-965</v>
      </c>
      <c r="L19" s="23">
        <v>-965</v>
      </c>
      <c r="M19" s="23">
        <v>-965</v>
      </c>
      <c r="N19" s="23">
        <v>-965</v>
      </c>
      <c r="O19" s="23">
        <v>-965</v>
      </c>
    </row>
    <row r="20" spans="1:15" x14ac:dyDescent="0.3">
      <c r="A20" s="16" t="str">
        <f t="shared" si="0"/>
        <v>MedSUVBasePHEV50</v>
      </c>
      <c r="B20" s="79" t="str">
        <f>'Vehicle Attributes - Base Year'!B17</f>
        <v>SmallSUV</v>
      </c>
      <c r="C20" s="68" t="str">
        <f>'Vehicle Attributes - Base Year'!C17</f>
        <v>Premium</v>
      </c>
      <c r="D20" s="68" t="str">
        <f>'Vehicle Attributes - Base Year'!D17</f>
        <v>PHEV50</v>
      </c>
      <c r="E20" s="23">
        <v>-965</v>
      </c>
      <c r="F20" s="23">
        <v>-965</v>
      </c>
      <c r="G20" s="23">
        <v>-965</v>
      </c>
      <c r="H20" s="23">
        <v>-965</v>
      </c>
      <c r="I20" s="23">
        <v>-965</v>
      </c>
      <c r="J20" s="23">
        <v>-965</v>
      </c>
      <c r="K20" s="23">
        <v>-965</v>
      </c>
      <c r="L20" s="23">
        <v>-965</v>
      </c>
      <c r="M20" s="23">
        <v>-965</v>
      </c>
      <c r="N20" s="23">
        <v>-965</v>
      </c>
      <c r="O20" s="23">
        <v>-965</v>
      </c>
    </row>
    <row r="21" spans="1:15" x14ac:dyDescent="0.3">
      <c r="A21" t="str">
        <f t="shared" si="0"/>
        <v>MedSUVPremiumPHEV50</v>
      </c>
      <c r="B21" s="79" t="str">
        <f>'Vehicle Attributes - Base Year'!B18</f>
        <v>MedSUV</v>
      </c>
      <c r="C21" s="68" t="str">
        <f>'Vehicle Attributes - Base Year'!C18</f>
        <v>Base</v>
      </c>
      <c r="D21" s="68" t="str">
        <f>'Vehicle Attributes - Base Year'!D18</f>
        <v>PHEV50</v>
      </c>
      <c r="E21" s="23">
        <v>-965</v>
      </c>
      <c r="F21" s="23">
        <v>-965</v>
      </c>
      <c r="G21" s="23">
        <v>-965</v>
      </c>
      <c r="H21" s="23">
        <v>-965</v>
      </c>
      <c r="I21" s="23">
        <v>-965</v>
      </c>
      <c r="J21" s="23">
        <v>-965</v>
      </c>
      <c r="K21" s="23">
        <v>-965</v>
      </c>
      <c r="L21" s="23">
        <v>-965</v>
      </c>
      <c r="M21" s="23">
        <v>-965</v>
      </c>
      <c r="N21" s="23">
        <v>-965</v>
      </c>
      <c r="O21" s="23">
        <v>-965</v>
      </c>
    </row>
    <row r="22" spans="1:15" x14ac:dyDescent="0.3">
      <c r="A22" s="16" t="str">
        <f t="shared" si="0"/>
        <v>PickupBasePHEV50</v>
      </c>
      <c r="B22" s="79" t="str">
        <f>'Vehicle Attributes - Base Year'!B19</f>
        <v>MedSUV</v>
      </c>
      <c r="C22" s="68" t="str">
        <f>'Vehicle Attributes - Base Year'!C19</f>
        <v>Premium</v>
      </c>
      <c r="D22" s="68" t="str">
        <f>'Vehicle Attributes - Base Year'!D19</f>
        <v>PHEV50</v>
      </c>
      <c r="E22" s="23">
        <v>-965</v>
      </c>
      <c r="F22" s="23">
        <v>-965</v>
      </c>
      <c r="G22" s="23">
        <v>-965</v>
      </c>
      <c r="H22" s="23">
        <v>-965</v>
      </c>
      <c r="I22" s="23">
        <v>-965</v>
      </c>
      <c r="J22" s="23">
        <v>-965</v>
      </c>
      <c r="K22" s="23">
        <v>-965</v>
      </c>
      <c r="L22" s="23">
        <v>-965</v>
      </c>
      <c r="M22" s="23">
        <v>-965</v>
      </c>
      <c r="N22" s="23">
        <v>-965</v>
      </c>
      <c r="O22" s="23">
        <v>-965</v>
      </c>
    </row>
    <row r="23" spans="1:15" x14ac:dyDescent="0.3">
      <c r="A23" t="str">
        <f t="shared" si="0"/>
        <v>PickupHTPHEV50</v>
      </c>
      <c r="B23" s="79" t="str">
        <f>'Vehicle Attributes - Base Year'!B20</f>
        <v>Pickup</v>
      </c>
      <c r="C23" s="68" t="str">
        <f>'Vehicle Attributes - Base Year'!C20</f>
        <v>Base</v>
      </c>
      <c r="D23" s="68" t="str">
        <f>'Vehicle Attributes - Base Year'!D20</f>
        <v>PHEV50</v>
      </c>
      <c r="E23" s="23">
        <v>-965</v>
      </c>
      <c r="F23" s="23">
        <v>-965</v>
      </c>
      <c r="G23" s="23">
        <v>-965</v>
      </c>
      <c r="H23" s="23">
        <v>-965</v>
      </c>
      <c r="I23" s="23">
        <v>-965</v>
      </c>
      <c r="J23" s="23">
        <v>-965</v>
      </c>
      <c r="K23" s="23">
        <v>-965</v>
      </c>
      <c r="L23" s="23">
        <v>-965</v>
      </c>
      <c r="M23" s="23">
        <v>-965</v>
      </c>
      <c r="N23" s="23">
        <v>-965</v>
      </c>
      <c r="O23" s="23">
        <v>-965</v>
      </c>
    </row>
    <row r="24" spans="1:15" x14ac:dyDescent="0.3">
      <c r="A24" s="16" t="str">
        <f t="shared" si="0"/>
        <v>SmallCarBaseFCEV320</v>
      </c>
      <c r="B24" s="79" t="str">
        <f>'Vehicle Attributes - Base Year'!B21</f>
        <v>Pickup</v>
      </c>
      <c r="C24" s="68" t="str">
        <f>'Vehicle Attributes - Base Year'!C21</f>
        <v>HT</v>
      </c>
      <c r="D24" s="68" t="str">
        <f>'Vehicle Attributes - Base Year'!D21</f>
        <v>PHEV50</v>
      </c>
      <c r="E24" s="23">
        <v>-965</v>
      </c>
      <c r="F24" s="23">
        <v>-965</v>
      </c>
      <c r="G24" s="23">
        <v>-965</v>
      </c>
      <c r="H24" s="23">
        <v>-965</v>
      </c>
      <c r="I24" s="23">
        <v>-965</v>
      </c>
      <c r="J24" s="23">
        <v>-965</v>
      </c>
      <c r="K24" s="23">
        <v>-965</v>
      </c>
      <c r="L24" s="23">
        <v>-965</v>
      </c>
      <c r="M24" s="23">
        <v>-965</v>
      </c>
      <c r="N24" s="23">
        <v>-965</v>
      </c>
      <c r="O24" s="23">
        <v>-965</v>
      </c>
    </row>
    <row r="25" spans="1:15" x14ac:dyDescent="0.3">
      <c r="A25" t="str">
        <f t="shared" si="0"/>
        <v>SmallCarPremiumFCEV320</v>
      </c>
      <c r="B25" s="79" t="str">
        <f>'Vehicle Attributes - Base Year'!B22</f>
        <v>SmallCar</v>
      </c>
      <c r="C25" s="68" t="str">
        <f>'Vehicle Attributes - Base Year'!C22</f>
        <v>Base</v>
      </c>
      <c r="D25" s="68" t="str">
        <f>'Vehicle Attributes - Base Year'!D22</f>
        <v>FCEV320</v>
      </c>
      <c r="E25" s="23">
        <v>-965</v>
      </c>
      <c r="F25" s="23">
        <v>-965</v>
      </c>
      <c r="G25" s="23">
        <v>-965</v>
      </c>
      <c r="H25" s="23">
        <v>-965</v>
      </c>
      <c r="I25" s="23">
        <v>-965</v>
      </c>
      <c r="J25" s="23">
        <v>-965</v>
      </c>
      <c r="K25" s="23">
        <v>-965</v>
      </c>
      <c r="L25" s="23">
        <v>-965</v>
      </c>
      <c r="M25" s="23">
        <v>-965</v>
      </c>
      <c r="N25" s="23">
        <v>-965</v>
      </c>
      <c r="O25" s="23">
        <v>-965</v>
      </c>
    </row>
    <row r="26" spans="1:15" x14ac:dyDescent="0.3">
      <c r="A26" s="16" t="str">
        <f t="shared" si="0"/>
        <v>MedCarBaseFCEV320</v>
      </c>
      <c r="B26" s="79" t="str">
        <f>'Vehicle Attributes - Base Year'!B23</f>
        <v>SmallCar</v>
      </c>
      <c r="C26" s="68" t="str">
        <f>'Vehicle Attributes - Base Year'!C23</f>
        <v>Premium</v>
      </c>
      <c r="D26" s="68" t="str">
        <f>'Vehicle Attributes - Base Year'!D23</f>
        <v>FCEV320</v>
      </c>
      <c r="E26" s="23">
        <v>-965</v>
      </c>
      <c r="F26" s="23">
        <v>-965</v>
      </c>
      <c r="G26" s="23">
        <v>-965</v>
      </c>
      <c r="H26" s="23">
        <v>-965</v>
      </c>
      <c r="I26" s="23">
        <v>-965</v>
      </c>
      <c r="J26" s="23">
        <v>-965</v>
      </c>
      <c r="K26" s="23">
        <v>-965</v>
      </c>
      <c r="L26" s="23">
        <v>-965</v>
      </c>
      <c r="M26" s="23">
        <v>-965</v>
      </c>
      <c r="N26" s="23">
        <v>-965</v>
      </c>
      <c r="O26" s="23">
        <v>-965</v>
      </c>
    </row>
    <row r="27" spans="1:15" x14ac:dyDescent="0.3">
      <c r="A27" t="str">
        <f t="shared" si="0"/>
        <v>MedCarPremiumFCEV320</v>
      </c>
      <c r="B27" s="79" t="str">
        <f>'Vehicle Attributes - Base Year'!B24</f>
        <v>MedCar</v>
      </c>
      <c r="C27" s="68" t="str">
        <f>'Vehicle Attributes - Base Year'!C24</f>
        <v>Base</v>
      </c>
      <c r="D27" s="68" t="str">
        <f>'Vehicle Attributes - Base Year'!D24</f>
        <v>FCEV320</v>
      </c>
      <c r="E27" s="23">
        <v>-965</v>
      </c>
      <c r="F27" s="23">
        <v>-965</v>
      </c>
      <c r="G27" s="23">
        <v>-965</v>
      </c>
      <c r="H27" s="23">
        <v>-965</v>
      </c>
      <c r="I27" s="23">
        <v>-965</v>
      </c>
      <c r="J27" s="23">
        <v>-965</v>
      </c>
      <c r="K27" s="23">
        <v>-965</v>
      </c>
      <c r="L27" s="23">
        <v>-965</v>
      </c>
      <c r="M27" s="23">
        <v>-965</v>
      </c>
      <c r="N27" s="23">
        <v>-965</v>
      </c>
      <c r="O27" s="23">
        <v>-965</v>
      </c>
    </row>
    <row r="28" spans="1:15" x14ac:dyDescent="0.3">
      <c r="A28" s="16" t="str">
        <f t="shared" si="0"/>
        <v>SmallSUVBaseFCEV320</v>
      </c>
      <c r="B28" s="79" t="str">
        <f>'Vehicle Attributes - Base Year'!B25</f>
        <v>MedCar</v>
      </c>
      <c r="C28" s="68" t="str">
        <f>'Vehicle Attributes - Base Year'!C25</f>
        <v>Premium</v>
      </c>
      <c r="D28" s="68" t="str">
        <f>'Vehicle Attributes - Base Year'!D25</f>
        <v>FCEV320</v>
      </c>
      <c r="E28" s="23">
        <v>-965</v>
      </c>
      <c r="F28" s="23">
        <v>-965</v>
      </c>
      <c r="G28" s="23">
        <v>-965</v>
      </c>
      <c r="H28" s="23">
        <v>-965</v>
      </c>
      <c r="I28" s="23">
        <v>-965</v>
      </c>
      <c r="J28" s="23">
        <v>-965</v>
      </c>
      <c r="K28" s="23">
        <v>-965</v>
      </c>
      <c r="L28" s="23">
        <v>-965</v>
      </c>
      <c r="M28" s="23">
        <v>-965</v>
      </c>
      <c r="N28" s="23">
        <v>-965</v>
      </c>
      <c r="O28" s="23">
        <v>-965</v>
      </c>
    </row>
    <row r="29" spans="1:15" x14ac:dyDescent="0.3">
      <c r="A29" t="str">
        <f t="shared" si="0"/>
        <v>SmallSUVPremiumFCEV320</v>
      </c>
      <c r="B29" s="79" t="str">
        <f>'Vehicle Attributes - Base Year'!B26</f>
        <v>SmallSUV</v>
      </c>
      <c r="C29" s="68" t="str">
        <f>'Vehicle Attributes - Base Year'!C26</f>
        <v>Base</v>
      </c>
      <c r="D29" s="68" t="str">
        <f>'Vehicle Attributes - Base Year'!D26</f>
        <v>FCEV320</v>
      </c>
      <c r="E29" s="23">
        <v>-965</v>
      </c>
      <c r="F29" s="23">
        <v>-965</v>
      </c>
      <c r="G29" s="23">
        <v>-965</v>
      </c>
      <c r="H29" s="23">
        <v>-965</v>
      </c>
      <c r="I29" s="23">
        <v>-965</v>
      </c>
      <c r="J29" s="23">
        <v>-965</v>
      </c>
      <c r="K29" s="23">
        <v>-965</v>
      </c>
      <c r="L29" s="23">
        <v>-965</v>
      </c>
      <c r="M29" s="23">
        <v>-965</v>
      </c>
      <c r="N29" s="23">
        <v>-965</v>
      </c>
      <c r="O29" s="23">
        <v>-965</v>
      </c>
    </row>
    <row r="30" spans="1:15" x14ac:dyDescent="0.3">
      <c r="A30" s="16" t="str">
        <f t="shared" si="0"/>
        <v>MedSUVBaseFCEV320</v>
      </c>
      <c r="B30" s="79" t="str">
        <f>'Vehicle Attributes - Base Year'!B27</f>
        <v>SmallSUV</v>
      </c>
      <c r="C30" s="68" t="str">
        <f>'Vehicle Attributes - Base Year'!C27</f>
        <v>Premium</v>
      </c>
      <c r="D30" s="68" t="str">
        <f>'Vehicle Attributes - Base Year'!D27</f>
        <v>FCEV320</v>
      </c>
      <c r="E30" s="23">
        <v>-965</v>
      </c>
      <c r="F30" s="23">
        <v>-965</v>
      </c>
      <c r="G30" s="23">
        <v>-965</v>
      </c>
      <c r="H30" s="23">
        <v>-965</v>
      </c>
      <c r="I30" s="23">
        <v>-965</v>
      </c>
      <c r="J30" s="23">
        <v>-965</v>
      </c>
      <c r="K30" s="23">
        <v>-965</v>
      </c>
      <c r="L30" s="23">
        <v>-965</v>
      </c>
      <c r="M30" s="23">
        <v>-965</v>
      </c>
      <c r="N30" s="23">
        <v>-965</v>
      </c>
      <c r="O30" s="23">
        <v>-965</v>
      </c>
    </row>
    <row r="31" spans="1:15" x14ac:dyDescent="0.3">
      <c r="A31" t="str">
        <f t="shared" si="0"/>
        <v>MedSUVPremiumFCEV320</v>
      </c>
      <c r="B31" s="79" t="str">
        <f>'Vehicle Attributes - Base Year'!B28</f>
        <v>MedSUV</v>
      </c>
      <c r="C31" s="68" t="str">
        <f>'Vehicle Attributes - Base Year'!C28</f>
        <v>Base</v>
      </c>
      <c r="D31" s="68" t="str">
        <f>'Vehicle Attributes - Base Year'!D28</f>
        <v>FCEV320</v>
      </c>
      <c r="E31" s="23">
        <v>-965</v>
      </c>
      <c r="F31" s="23">
        <v>-965</v>
      </c>
      <c r="G31" s="23">
        <v>-965</v>
      </c>
      <c r="H31" s="23">
        <v>-965</v>
      </c>
      <c r="I31" s="23">
        <v>-965</v>
      </c>
      <c r="J31" s="23">
        <v>-965</v>
      </c>
      <c r="K31" s="23">
        <v>-965</v>
      </c>
      <c r="L31" s="23">
        <v>-965</v>
      </c>
      <c r="M31" s="23">
        <v>-965</v>
      </c>
      <c r="N31" s="23">
        <v>-965</v>
      </c>
      <c r="O31" s="23">
        <v>-965</v>
      </c>
    </row>
    <row r="32" spans="1:15" x14ac:dyDescent="0.3">
      <c r="A32" s="16" t="str">
        <f t="shared" si="0"/>
        <v>PickupBaseFCEV320</v>
      </c>
      <c r="B32" s="79" t="str">
        <f>'Vehicle Attributes - Base Year'!B29</f>
        <v>MedSUV</v>
      </c>
      <c r="C32" s="68" t="str">
        <f>'Vehicle Attributes - Base Year'!C29</f>
        <v>Premium</v>
      </c>
      <c r="D32" s="68" t="str">
        <f>'Vehicle Attributes - Base Year'!D29</f>
        <v>FCEV320</v>
      </c>
      <c r="E32" s="23">
        <v>-965</v>
      </c>
      <c r="F32" s="23">
        <v>-965</v>
      </c>
      <c r="G32" s="23">
        <v>-965</v>
      </c>
      <c r="H32" s="23">
        <v>-965</v>
      </c>
      <c r="I32" s="23">
        <v>-965</v>
      </c>
      <c r="J32" s="23">
        <v>-965</v>
      </c>
      <c r="K32" s="23">
        <v>-965</v>
      </c>
      <c r="L32" s="23">
        <v>-965</v>
      </c>
      <c r="M32" s="23">
        <v>-965</v>
      </c>
      <c r="N32" s="23">
        <v>-965</v>
      </c>
      <c r="O32" s="23">
        <v>-965</v>
      </c>
    </row>
    <row r="33" spans="1:15" x14ac:dyDescent="0.3">
      <c r="A33" t="str">
        <f t="shared" si="0"/>
        <v>PickupHTFCEV320</v>
      </c>
      <c r="B33" s="79" t="str">
        <f>'Vehicle Attributes - Base Year'!B30</f>
        <v>Pickup</v>
      </c>
      <c r="C33" s="68" t="str">
        <f>'Vehicle Attributes - Base Year'!C30</f>
        <v>Base</v>
      </c>
      <c r="D33" s="68" t="str">
        <f>'Vehicle Attributes - Base Year'!D30</f>
        <v>FCEV320</v>
      </c>
      <c r="E33" s="23">
        <v>-965</v>
      </c>
      <c r="F33" s="23">
        <v>-965</v>
      </c>
      <c r="G33" s="23">
        <v>-965</v>
      </c>
      <c r="H33" s="23">
        <v>-965</v>
      </c>
      <c r="I33" s="23">
        <v>-965</v>
      </c>
      <c r="J33" s="23">
        <v>-965</v>
      </c>
      <c r="K33" s="23">
        <v>-965</v>
      </c>
      <c r="L33" s="23">
        <v>-965</v>
      </c>
      <c r="M33" s="23">
        <v>-965</v>
      </c>
      <c r="N33" s="23">
        <v>-965</v>
      </c>
      <c r="O33" s="23">
        <v>-965</v>
      </c>
    </row>
    <row r="34" spans="1:15" x14ac:dyDescent="0.3">
      <c r="B34" s="79" t="str">
        <f>'Vehicle Attributes - Base Year'!B31</f>
        <v>Pickup</v>
      </c>
      <c r="C34" s="68" t="str">
        <f>'Vehicle Attributes - Base Year'!C31</f>
        <v>HT</v>
      </c>
      <c r="D34" s="68" t="str">
        <f>'Vehicle Attributes - Base Year'!D31</f>
        <v>FCEV320</v>
      </c>
      <c r="E34" s="23">
        <v>-965</v>
      </c>
      <c r="F34" s="23">
        <v>-965</v>
      </c>
      <c r="G34" s="23">
        <v>-965</v>
      </c>
      <c r="H34" s="23">
        <v>-965</v>
      </c>
      <c r="I34" s="23">
        <v>-965</v>
      </c>
      <c r="J34" s="23">
        <v>-965</v>
      </c>
      <c r="K34" s="23">
        <v>-965</v>
      </c>
      <c r="L34" s="23">
        <v>-965</v>
      </c>
      <c r="M34" s="23">
        <v>-965</v>
      </c>
      <c r="N34" s="23">
        <v>-965</v>
      </c>
      <c r="O34" s="23">
        <v>-965</v>
      </c>
    </row>
  </sheetData>
  <mergeCells count="2">
    <mergeCell ref="B1:O1"/>
    <mergeCell ref="E2:O2"/>
  </mergeCells>
  <pageMargins left="0.7" right="0.7" top="0.75" bottom="0.75" header="0.3" footer="0.3"/>
  <tableParts count="1">
    <tablePart r:id="rId1"/>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08383-8F1B-4F42-B693-3E0578D9E04C}">
  <sheetPr>
    <tabColor rgb="FF777777"/>
  </sheetPr>
  <dimension ref="A1:O34"/>
  <sheetViews>
    <sheetView topLeftCell="B1" workbookViewId="0">
      <selection activeCell="B1" sqref="B1:O1"/>
    </sheetView>
  </sheetViews>
  <sheetFormatPr defaultRowHeight="14.4" x14ac:dyDescent="0.3"/>
  <cols>
    <col min="1" max="1" width="0" hidden="1" customWidth="1"/>
    <col min="2" max="2" width="12.5546875" bestFit="1" customWidth="1"/>
    <col min="3" max="3" width="12.44140625" bestFit="1" customWidth="1"/>
    <col min="4" max="10" width="11" customWidth="1"/>
    <col min="11" max="15" width="12" customWidth="1"/>
  </cols>
  <sheetData>
    <row r="1" spans="1:15" x14ac:dyDescent="0.3">
      <c r="B1" s="170" t="s">
        <v>233</v>
      </c>
      <c r="C1" s="175"/>
      <c r="D1" s="175"/>
      <c r="E1" s="175"/>
      <c r="F1" s="175"/>
      <c r="G1" s="175"/>
      <c r="H1" s="175"/>
      <c r="I1" s="175"/>
      <c r="J1" s="175"/>
      <c r="K1" s="175"/>
      <c r="L1" s="175"/>
      <c r="M1" s="175"/>
      <c r="N1" s="175"/>
      <c r="O1" s="171"/>
    </row>
    <row r="2" spans="1:15" x14ac:dyDescent="0.3">
      <c r="B2" s="73"/>
      <c r="C2" s="73"/>
      <c r="D2" s="74"/>
      <c r="E2" s="195" t="s">
        <v>155</v>
      </c>
      <c r="F2" s="195"/>
      <c r="G2" s="195"/>
      <c r="H2" s="195"/>
      <c r="I2" s="195"/>
      <c r="J2" s="195"/>
      <c r="K2" s="195"/>
      <c r="L2" s="195"/>
      <c r="M2" s="195"/>
      <c r="N2" s="195"/>
      <c r="O2" s="196"/>
    </row>
    <row r="3" spans="1:15" x14ac:dyDescent="0.3">
      <c r="B3" s="75" t="s">
        <v>100</v>
      </c>
      <c r="C3" s="75" t="s">
        <v>101</v>
      </c>
      <c r="D3" s="76" t="s">
        <v>67</v>
      </c>
      <c r="E3" s="77">
        <v>2025</v>
      </c>
      <c r="F3" s="78">
        <v>2026</v>
      </c>
      <c r="G3" s="78">
        <v>2027</v>
      </c>
      <c r="H3" s="78">
        <v>2028</v>
      </c>
      <c r="I3" s="78">
        <v>2029</v>
      </c>
      <c r="J3" s="78">
        <v>2030</v>
      </c>
      <c r="K3" s="78">
        <v>2031</v>
      </c>
      <c r="L3" s="78">
        <v>2032</v>
      </c>
      <c r="M3" s="78">
        <v>2033</v>
      </c>
      <c r="N3" s="78">
        <v>2034</v>
      </c>
      <c r="O3" s="148">
        <v>2035</v>
      </c>
    </row>
    <row r="4" spans="1:15" x14ac:dyDescent="0.3">
      <c r="A4" s="16" t="str">
        <f t="shared" ref="A4:A33" si="0">CONCATENATE(B5,C5,D5,)</f>
        <v>SmallCarBaseBEV300</v>
      </c>
      <c r="B4" s="79" t="s">
        <v>64</v>
      </c>
      <c r="C4" s="68" t="s">
        <v>65</v>
      </c>
      <c r="D4" s="68" t="s">
        <v>156</v>
      </c>
      <c r="E4" s="23" t="s">
        <v>157</v>
      </c>
      <c r="F4" s="23" t="s">
        <v>158</v>
      </c>
      <c r="G4" s="23" t="s">
        <v>159</v>
      </c>
      <c r="H4" s="23" t="s">
        <v>160</v>
      </c>
      <c r="I4" s="23" t="s">
        <v>161</v>
      </c>
      <c r="J4" s="23" t="s">
        <v>162</v>
      </c>
      <c r="K4" s="23" t="s">
        <v>163</v>
      </c>
      <c r="L4" s="23" t="s">
        <v>164</v>
      </c>
      <c r="M4" s="23" t="s">
        <v>165</v>
      </c>
      <c r="N4" s="23" t="s">
        <v>166</v>
      </c>
      <c r="O4" s="43" t="s">
        <v>167</v>
      </c>
    </row>
    <row r="5" spans="1:15" x14ac:dyDescent="0.3">
      <c r="A5" t="str">
        <f t="shared" si="0"/>
        <v>SmallCarPremiumBEV400</v>
      </c>
      <c r="B5" s="79" t="str">
        <f>'Vehicle Attributes - Base Year'!B2</f>
        <v>SmallCar</v>
      </c>
      <c r="C5" s="68" t="str">
        <f>'Vehicle Attributes - Base Year'!C2</f>
        <v>Base</v>
      </c>
      <c r="D5" s="68" t="str">
        <f>'Vehicle Attributes - Base Year'!D2</f>
        <v>BEV300</v>
      </c>
      <c r="E5" s="23">
        <v>0</v>
      </c>
      <c r="F5" s="23">
        <v>0</v>
      </c>
      <c r="G5" s="23">
        <v>0</v>
      </c>
      <c r="H5" s="23">
        <v>0</v>
      </c>
      <c r="I5" s="23">
        <v>0</v>
      </c>
      <c r="J5" s="23">
        <v>0</v>
      </c>
      <c r="K5" s="23">
        <v>0</v>
      </c>
      <c r="L5" s="23">
        <v>0</v>
      </c>
      <c r="M5" s="23">
        <v>0</v>
      </c>
      <c r="N5" s="23">
        <v>0</v>
      </c>
      <c r="O5" s="23">
        <v>0</v>
      </c>
    </row>
    <row r="6" spans="1:15" x14ac:dyDescent="0.3">
      <c r="A6" s="16" t="str">
        <f t="shared" si="0"/>
        <v>MedCarBaseBEV300</v>
      </c>
      <c r="B6" s="79" t="str">
        <f>'Vehicle Attributes - Base Year'!B3</f>
        <v>SmallCar</v>
      </c>
      <c r="C6" s="68" t="str">
        <f>'Vehicle Attributes - Base Year'!C3</f>
        <v>Premium</v>
      </c>
      <c r="D6" s="68" t="str">
        <f>'Vehicle Attributes - Base Year'!D3</f>
        <v>BEV400</v>
      </c>
      <c r="E6" s="23">
        <v>0</v>
      </c>
      <c r="F6" s="23">
        <v>0</v>
      </c>
      <c r="G6" s="23">
        <v>0</v>
      </c>
      <c r="H6" s="23">
        <v>0</v>
      </c>
      <c r="I6" s="23">
        <v>0</v>
      </c>
      <c r="J6" s="23">
        <v>0</v>
      </c>
      <c r="K6" s="23">
        <v>0</v>
      </c>
      <c r="L6" s="23">
        <v>0</v>
      </c>
      <c r="M6" s="23">
        <v>0</v>
      </c>
      <c r="N6" s="23">
        <v>0</v>
      </c>
      <c r="O6" s="23">
        <v>0</v>
      </c>
    </row>
    <row r="7" spans="1:15" x14ac:dyDescent="0.3">
      <c r="A7" t="str">
        <f t="shared" si="0"/>
        <v>MedCarPremiumBEV400</v>
      </c>
      <c r="B7" s="79" t="str">
        <f>'Vehicle Attributes - Base Year'!B4</f>
        <v>MedCar</v>
      </c>
      <c r="C7" s="68" t="str">
        <f>'Vehicle Attributes - Base Year'!C4</f>
        <v>Base</v>
      </c>
      <c r="D7" s="68" t="str">
        <f>'Vehicle Attributes - Base Year'!D4</f>
        <v>BEV300</v>
      </c>
      <c r="E7" s="23">
        <v>0</v>
      </c>
      <c r="F7" s="23">
        <v>0</v>
      </c>
      <c r="G7" s="23">
        <v>0</v>
      </c>
      <c r="H7" s="23">
        <v>0</v>
      </c>
      <c r="I7" s="23">
        <v>0</v>
      </c>
      <c r="J7" s="23">
        <v>0</v>
      </c>
      <c r="K7" s="23">
        <v>0</v>
      </c>
      <c r="L7" s="23">
        <v>0</v>
      </c>
      <c r="M7" s="23">
        <v>0</v>
      </c>
      <c r="N7" s="23">
        <v>0</v>
      </c>
      <c r="O7" s="23">
        <v>0</v>
      </c>
    </row>
    <row r="8" spans="1:15" x14ac:dyDescent="0.3">
      <c r="A8" s="16" t="str">
        <f t="shared" si="0"/>
        <v>SmallSUVBaseBEV300</v>
      </c>
      <c r="B8" s="79" t="str">
        <f>'Vehicle Attributes - Base Year'!B5</f>
        <v>MedCar</v>
      </c>
      <c r="C8" s="68" t="str">
        <f>'Vehicle Attributes - Base Year'!C5</f>
        <v>Premium</v>
      </c>
      <c r="D8" s="68" t="str">
        <f>'Vehicle Attributes - Base Year'!D5</f>
        <v>BEV400</v>
      </c>
      <c r="E8" s="23">
        <v>0</v>
      </c>
      <c r="F8" s="23">
        <v>0</v>
      </c>
      <c r="G8" s="23">
        <v>0</v>
      </c>
      <c r="H8" s="23">
        <v>0</v>
      </c>
      <c r="I8" s="23">
        <v>0</v>
      </c>
      <c r="J8" s="23">
        <v>0</v>
      </c>
      <c r="K8" s="23">
        <v>0</v>
      </c>
      <c r="L8" s="23">
        <v>0</v>
      </c>
      <c r="M8" s="23">
        <v>0</v>
      </c>
      <c r="N8" s="23">
        <v>0</v>
      </c>
      <c r="O8" s="23">
        <v>0</v>
      </c>
    </row>
    <row r="9" spans="1:15" x14ac:dyDescent="0.3">
      <c r="A9" t="str">
        <f t="shared" si="0"/>
        <v>SmallSUVPremiumBEV400</v>
      </c>
      <c r="B9" s="79" t="str">
        <f>'Vehicle Attributes - Base Year'!B6</f>
        <v>SmallSUV</v>
      </c>
      <c r="C9" s="68" t="str">
        <f>'Vehicle Attributes - Base Year'!C6</f>
        <v>Base</v>
      </c>
      <c r="D9" s="68" t="str">
        <f>'Vehicle Attributes - Base Year'!D6</f>
        <v>BEV300</v>
      </c>
      <c r="E9" s="23">
        <v>0</v>
      </c>
      <c r="F9" s="23">
        <v>0</v>
      </c>
      <c r="G9" s="23">
        <v>0</v>
      </c>
      <c r="H9" s="23">
        <v>0</v>
      </c>
      <c r="I9" s="23">
        <v>0</v>
      </c>
      <c r="J9" s="23">
        <v>0</v>
      </c>
      <c r="K9" s="23">
        <v>0</v>
      </c>
      <c r="L9" s="23">
        <v>0</v>
      </c>
      <c r="M9" s="23">
        <v>0</v>
      </c>
      <c r="N9" s="23">
        <v>0</v>
      </c>
      <c r="O9" s="23">
        <v>0</v>
      </c>
    </row>
    <row r="10" spans="1:15" x14ac:dyDescent="0.3">
      <c r="A10" s="16" t="str">
        <f t="shared" si="0"/>
        <v>MedSUVBaseBEV300</v>
      </c>
      <c r="B10" s="79" t="str">
        <f>'Vehicle Attributes - Base Year'!B7</f>
        <v>SmallSUV</v>
      </c>
      <c r="C10" s="68" t="str">
        <f>'Vehicle Attributes - Base Year'!C7</f>
        <v>Premium</v>
      </c>
      <c r="D10" s="68" t="str">
        <f>'Vehicle Attributes - Base Year'!D7</f>
        <v>BEV400</v>
      </c>
      <c r="E10" s="23">
        <v>0</v>
      </c>
      <c r="F10" s="23">
        <v>0</v>
      </c>
      <c r="G10" s="23">
        <v>0</v>
      </c>
      <c r="H10" s="23">
        <v>0</v>
      </c>
      <c r="I10" s="23">
        <v>0</v>
      </c>
      <c r="J10" s="23">
        <v>0</v>
      </c>
      <c r="K10" s="23">
        <v>0</v>
      </c>
      <c r="L10" s="23">
        <v>0</v>
      </c>
      <c r="M10" s="23">
        <v>0</v>
      </c>
      <c r="N10" s="23">
        <v>0</v>
      </c>
      <c r="O10" s="23">
        <v>0</v>
      </c>
    </row>
    <row r="11" spans="1:15" x14ac:dyDescent="0.3">
      <c r="A11" t="str">
        <f t="shared" si="0"/>
        <v>MedSUVPremiumBEV400</v>
      </c>
      <c r="B11" s="79" t="str">
        <f>'Vehicle Attributes - Base Year'!B8</f>
        <v>MedSUV</v>
      </c>
      <c r="C11" s="68" t="str">
        <f>'Vehicle Attributes - Base Year'!C8</f>
        <v>Base</v>
      </c>
      <c r="D11" s="68" t="str">
        <f>'Vehicle Attributes - Base Year'!D8</f>
        <v>BEV300</v>
      </c>
      <c r="E11" s="23">
        <v>0</v>
      </c>
      <c r="F11" s="23">
        <v>0</v>
      </c>
      <c r="G11" s="23">
        <v>0</v>
      </c>
      <c r="H11" s="23">
        <v>0</v>
      </c>
      <c r="I11" s="23">
        <v>0</v>
      </c>
      <c r="J11" s="23">
        <v>0</v>
      </c>
      <c r="K11" s="23">
        <v>0</v>
      </c>
      <c r="L11" s="23">
        <v>0</v>
      </c>
      <c r="M11" s="23">
        <v>0</v>
      </c>
      <c r="N11" s="23">
        <v>0</v>
      </c>
      <c r="O11" s="23">
        <v>0</v>
      </c>
    </row>
    <row r="12" spans="1:15" x14ac:dyDescent="0.3">
      <c r="A12" s="16" t="str">
        <f t="shared" si="0"/>
        <v>PickupBaseBEV300</v>
      </c>
      <c r="B12" s="79" t="str">
        <f>'Vehicle Attributes - Base Year'!B9</f>
        <v>MedSUV</v>
      </c>
      <c r="C12" s="68" t="str">
        <f>'Vehicle Attributes - Base Year'!C9</f>
        <v>Premium</v>
      </c>
      <c r="D12" s="68" t="str">
        <f>'Vehicle Attributes - Base Year'!D9</f>
        <v>BEV400</v>
      </c>
      <c r="E12" s="23">
        <v>0</v>
      </c>
      <c r="F12" s="23">
        <v>0</v>
      </c>
      <c r="G12" s="23">
        <v>0</v>
      </c>
      <c r="H12" s="23">
        <v>0</v>
      </c>
      <c r="I12" s="23">
        <v>0</v>
      </c>
      <c r="J12" s="23">
        <v>0</v>
      </c>
      <c r="K12" s="23">
        <v>0</v>
      </c>
      <c r="L12" s="23">
        <v>0</v>
      </c>
      <c r="M12" s="23">
        <v>0</v>
      </c>
      <c r="N12" s="23">
        <v>0</v>
      </c>
      <c r="O12" s="23">
        <v>0</v>
      </c>
    </row>
    <row r="13" spans="1:15" x14ac:dyDescent="0.3">
      <c r="A13" t="str">
        <f t="shared" si="0"/>
        <v>PickupHTBEV400</v>
      </c>
      <c r="B13" s="79" t="str">
        <f>'Vehicle Attributes - Base Year'!B10</f>
        <v>Pickup</v>
      </c>
      <c r="C13" s="68" t="str">
        <f>'Vehicle Attributes - Base Year'!C10</f>
        <v>Base</v>
      </c>
      <c r="D13" s="68" t="str">
        <f>'Vehicle Attributes - Base Year'!D10</f>
        <v>BEV300</v>
      </c>
      <c r="E13" s="23">
        <v>0</v>
      </c>
      <c r="F13" s="23">
        <v>0</v>
      </c>
      <c r="G13" s="23">
        <v>0</v>
      </c>
      <c r="H13" s="23">
        <v>0</v>
      </c>
      <c r="I13" s="23">
        <v>0</v>
      </c>
      <c r="J13" s="23">
        <v>0</v>
      </c>
      <c r="K13" s="23">
        <v>0</v>
      </c>
      <c r="L13" s="23">
        <v>0</v>
      </c>
      <c r="M13" s="23">
        <v>0</v>
      </c>
      <c r="N13" s="23">
        <v>0</v>
      </c>
      <c r="O13" s="23">
        <v>0</v>
      </c>
    </row>
    <row r="14" spans="1:15" x14ac:dyDescent="0.3">
      <c r="A14" s="16" t="str">
        <f t="shared" si="0"/>
        <v>SmallCarBasePHEV50</v>
      </c>
      <c r="B14" s="79" t="str">
        <f>'Vehicle Attributes - Base Year'!B11</f>
        <v>Pickup</v>
      </c>
      <c r="C14" s="68" t="str">
        <f>'Vehicle Attributes - Base Year'!C11</f>
        <v>HT</v>
      </c>
      <c r="D14" s="68" t="str">
        <f>'Vehicle Attributes - Base Year'!D11</f>
        <v>BEV400</v>
      </c>
      <c r="E14" s="23">
        <v>0</v>
      </c>
      <c r="F14" s="23">
        <v>0</v>
      </c>
      <c r="G14" s="23">
        <v>0</v>
      </c>
      <c r="H14" s="23">
        <v>0</v>
      </c>
      <c r="I14" s="23">
        <v>0</v>
      </c>
      <c r="J14" s="23">
        <v>0</v>
      </c>
      <c r="K14" s="23">
        <v>0</v>
      </c>
      <c r="L14" s="23">
        <v>0</v>
      </c>
      <c r="M14" s="23">
        <v>0</v>
      </c>
      <c r="N14" s="23">
        <v>0</v>
      </c>
      <c r="O14" s="23">
        <v>0</v>
      </c>
    </row>
    <row r="15" spans="1:15" x14ac:dyDescent="0.3">
      <c r="A15" t="str">
        <f t="shared" si="0"/>
        <v>SmallCarPremiumPHEV50</v>
      </c>
      <c r="B15" s="79" t="str">
        <f>'Vehicle Attributes - Base Year'!B12</f>
        <v>SmallCar</v>
      </c>
      <c r="C15" s="68" t="str">
        <f>'Vehicle Attributes - Base Year'!C12</f>
        <v>Base</v>
      </c>
      <c r="D15" s="68" t="str">
        <f>'Vehicle Attributes - Base Year'!D12</f>
        <v>PHEV50</v>
      </c>
      <c r="E15" s="23">
        <v>0</v>
      </c>
      <c r="F15" s="23">
        <v>0</v>
      </c>
      <c r="G15" s="23">
        <v>0</v>
      </c>
      <c r="H15" s="23">
        <v>0</v>
      </c>
      <c r="I15" s="23">
        <v>0</v>
      </c>
      <c r="J15" s="23">
        <v>0</v>
      </c>
      <c r="K15" s="23">
        <v>0</v>
      </c>
      <c r="L15" s="23">
        <v>0</v>
      </c>
      <c r="M15" s="23">
        <v>0</v>
      </c>
      <c r="N15" s="23">
        <v>0</v>
      </c>
      <c r="O15" s="43">
        <v>0</v>
      </c>
    </row>
    <row r="16" spans="1:15" x14ac:dyDescent="0.3">
      <c r="A16" s="16" t="str">
        <f t="shared" si="0"/>
        <v>MedCarBasePHEV50</v>
      </c>
      <c r="B16" s="79" t="str">
        <f>'Vehicle Attributes - Base Year'!B13</f>
        <v>SmallCar</v>
      </c>
      <c r="C16" s="68" t="str">
        <f>'Vehicle Attributes - Base Year'!C13</f>
        <v>Premium</v>
      </c>
      <c r="D16" s="68" t="str">
        <f>'Vehicle Attributes - Base Year'!D13</f>
        <v>PHEV50</v>
      </c>
      <c r="E16" s="23">
        <v>0</v>
      </c>
      <c r="F16" s="23">
        <v>0</v>
      </c>
      <c r="G16" s="23">
        <v>0</v>
      </c>
      <c r="H16" s="23">
        <v>0</v>
      </c>
      <c r="I16" s="23">
        <v>0</v>
      </c>
      <c r="J16" s="23">
        <v>0</v>
      </c>
      <c r="K16" s="23">
        <v>0</v>
      </c>
      <c r="L16" s="23">
        <v>0</v>
      </c>
      <c r="M16" s="23">
        <v>0</v>
      </c>
      <c r="N16" s="23">
        <v>0</v>
      </c>
      <c r="O16" s="43">
        <v>0</v>
      </c>
    </row>
    <row r="17" spans="1:15" x14ac:dyDescent="0.3">
      <c r="A17" t="str">
        <f t="shared" si="0"/>
        <v>MedCarPremiumPHEV50</v>
      </c>
      <c r="B17" s="79" t="str">
        <f>'Vehicle Attributes - Base Year'!B14</f>
        <v>MedCar</v>
      </c>
      <c r="C17" s="68" t="str">
        <f>'Vehicle Attributes - Base Year'!C14</f>
        <v>Base</v>
      </c>
      <c r="D17" s="68" t="str">
        <f>'Vehicle Attributes - Base Year'!D14</f>
        <v>PHEV50</v>
      </c>
      <c r="E17" s="23">
        <v>0</v>
      </c>
      <c r="F17" s="23">
        <v>0</v>
      </c>
      <c r="G17" s="23">
        <v>0</v>
      </c>
      <c r="H17" s="23">
        <v>0</v>
      </c>
      <c r="I17" s="23">
        <v>0</v>
      </c>
      <c r="J17" s="23">
        <v>0</v>
      </c>
      <c r="K17" s="23">
        <v>0</v>
      </c>
      <c r="L17" s="23">
        <v>0</v>
      </c>
      <c r="M17" s="23">
        <v>0</v>
      </c>
      <c r="N17" s="23">
        <v>0</v>
      </c>
      <c r="O17" s="43">
        <v>0</v>
      </c>
    </row>
    <row r="18" spans="1:15" x14ac:dyDescent="0.3">
      <c r="A18" s="16" t="str">
        <f t="shared" si="0"/>
        <v>SmallSUVBasePHEV50</v>
      </c>
      <c r="B18" s="79" t="str">
        <f>'Vehicle Attributes - Base Year'!B15</f>
        <v>MedCar</v>
      </c>
      <c r="C18" s="68" t="str">
        <f>'Vehicle Attributes - Base Year'!C15</f>
        <v>Premium</v>
      </c>
      <c r="D18" s="68" t="str">
        <f>'Vehicle Attributes - Base Year'!D15</f>
        <v>PHEV50</v>
      </c>
      <c r="E18" s="23">
        <v>0</v>
      </c>
      <c r="F18" s="23">
        <v>0</v>
      </c>
      <c r="G18" s="23">
        <v>0</v>
      </c>
      <c r="H18" s="23">
        <v>0</v>
      </c>
      <c r="I18" s="23">
        <v>0</v>
      </c>
      <c r="J18" s="23">
        <v>0</v>
      </c>
      <c r="K18" s="23">
        <v>0</v>
      </c>
      <c r="L18" s="23">
        <v>0</v>
      </c>
      <c r="M18" s="23">
        <v>0</v>
      </c>
      <c r="N18" s="23">
        <v>0</v>
      </c>
      <c r="O18" s="43">
        <v>0</v>
      </c>
    </row>
    <row r="19" spans="1:15" x14ac:dyDescent="0.3">
      <c r="A19" t="str">
        <f t="shared" si="0"/>
        <v>SmallSUVPremiumPHEV50</v>
      </c>
      <c r="B19" s="79" t="str">
        <f>'Vehicle Attributes - Base Year'!B16</f>
        <v>SmallSUV</v>
      </c>
      <c r="C19" s="68" t="str">
        <f>'Vehicle Attributes - Base Year'!C16</f>
        <v>Base</v>
      </c>
      <c r="D19" s="68" t="str">
        <f>'Vehicle Attributes - Base Year'!D16</f>
        <v>PHEV50</v>
      </c>
      <c r="E19" s="23">
        <v>0</v>
      </c>
      <c r="F19" s="23">
        <v>0</v>
      </c>
      <c r="G19" s="23">
        <v>0</v>
      </c>
      <c r="H19" s="23">
        <v>0</v>
      </c>
      <c r="I19" s="23">
        <v>0</v>
      </c>
      <c r="J19" s="23">
        <v>0</v>
      </c>
      <c r="K19" s="23">
        <v>0</v>
      </c>
      <c r="L19" s="23">
        <v>0</v>
      </c>
      <c r="M19" s="23">
        <v>0</v>
      </c>
      <c r="N19" s="23">
        <v>0</v>
      </c>
      <c r="O19" s="43">
        <v>0</v>
      </c>
    </row>
    <row r="20" spans="1:15" x14ac:dyDescent="0.3">
      <c r="A20" s="16" t="str">
        <f t="shared" si="0"/>
        <v>MedSUVBasePHEV50</v>
      </c>
      <c r="B20" s="79" t="str">
        <f>'Vehicle Attributes - Base Year'!B17</f>
        <v>SmallSUV</v>
      </c>
      <c r="C20" s="68" t="str">
        <f>'Vehicle Attributes - Base Year'!C17</f>
        <v>Premium</v>
      </c>
      <c r="D20" s="68" t="str">
        <f>'Vehicle Attributes - Base Year'!D17</f>
        <v>PHEV50</v>
      </c>
      <c r="E20" s="23">
        <v>0</v>
      </c>
      <c r="F20" s="23">
        <v>0</v>
      </c>
      <c r="G20" s="23">
        <v>0</v>
      </c>
      <c r="H20" s="23">
        <v>0</v>
      </c>
      <c r="I20" s="23">
        <v>0</v>
      </c>
      <c r="J20" s="23">
        <v>0</v>
      </c>
      <c r="K20" s="23">
        <v>0</v>
      </c>
      <c r="L20" s="23">
        <v>0</v>
      </c>
      <c r="M20" s="23">
        <v>0</v>
      </c>
      <c r="N20" s="23">
        <v>0</v>
      </c>
      <c r="O20" s="43">
        <v>0</v>
      </c>
    </row>
    <row r="21" spans="1:15" x14ac:dyDescent="0.3">
      <c r="A21" t="str">
        <f t="shared" si="0"/>
        <v>MedSUVPremiumPHEV50</v>
      </c>
      <c r="B21" s="79" t="str">
        <f>'Vehicle Attributes - Base Year'!B18</f>
        <v>MedSUV</v>
      </c>
      <c r="C21" s="68" t="str">
        <f>'Vehicle Attributes - Base Year'!C18</f>
        <v>Base</v>
      </c>
      <c r="D21" s="68" t="str">
        <f>'Vehicle Attributes - Base Year'!D18</f>
        <v>PHEV50</v>
      </c>
      <c r="E21" s="23">
        <v>0</v>
      </c>
      <c r="F21" s="23">
        <v>0</v>
      </c>
      <c r="G21" s="23">
        <v>0</v>
      </c>
      <c r="H21" s="23">
        <v>0</v>
      </c>
      <c r="I21" s="23">
        <v>0</v>
      </c>
      <c r="J21" s="23">
        <v>0</v>
      </c>
      <c r="K21" s="23">
        <v>0</v>
      </c>
      <c r="L21" s="23">
        <v>0</v>
      </c>
      <c r="M21" s="23">
        <v>0</v>
      </c>
      <c r="N21" s="23">
        <v>0</v>
      </c>
      <c r="O21" s="43">
        <v>0</v>
      </c>
    </row>
    <row r="22" spans="1:15" x14ac:dyDescent="0.3">
      <c r="A22" s="16" t="str">
        <f t="shared" si="0"/>
        <v>PickupBasePHEV50</v>
      </c>
      <c r="B22" s="79" t="str">
        <f>'Vehicle Attributes - Base Year'!B19</f>
        <v>MedSUV</v>
      </c>
      <c r="C22" s="68" t="str">
        <f>'Vehicle Attributes - Base Year'!C19</f>
        <v>Premium</v>
      </c>
      <c r="D22" s="68" t="str">
        <f>'Vehicle Attributes - Base Year'!D19</f>
        <v>PHEV50</v>
      </c>
      <c r="E22" s="23">
        <v>0</v>
      </c>
      <c r="F22" s="23">
        <v>0</v>
      </c>
      <c r="G22" s="23">
        <v>0</v>
      </c>
      <c r="H22" s="23">
        <v>0</v>
      </c>
      <c r="I22" s="23">
        <v>0</v>
      </c>
      <c r="J22" s="23">
        <v>0</v>
      </c>
      <c r="K22" s="23">
        <v>0</v>
      </c>
      <c r="L22" s="23">
        <v>0</v>
      </c>
      <c r="M22" s="23">
        <v>0</v>
      </c>
      <c r="N22" s="23">
        <v>0</v>
      </c>
      <c r="O22" s="43">
        <v>0</v>
      </c>
    </row>
    <row r="23" spans="1:15" x14ac:dyDescent="0.3">
      <c r="A23" t="str">
        <f t="shared" si="0"/>
        <v>PickupHTPHEV50</v>
      </c>
      <c r="B23" s="79" t="str">
        <f>'Vehicle Attributes - Base Year'!B20</f>
        <v>Pickup</v>
      </c>
      <c r="C23" s="68" t="str">
        <f>'Vehicle Attributes - Base Year'!C20</f>
        <v>Base</v>
      </c>
      <c r="D23" s="68" t="str">
        <f>'Vehicle Attributes - Base Year'!D20</f>
        <v>PHEV50</v>
      </c>
      <c r="E23" s="23">
        <v>0</v>
      </c>
      <c r="F23" s="23">
        <v>0</v>
      </c>
      <c r="G23" s="23">
        <v>0</v>
      </c>
      <c r="H23" s="23">
        <v>0</v>
      </c>
      <c r="I23" s="23">
        <v>0</v>
      </c>
      <c r="J23" s="23">
        <v>0</v>
      </c>
      <c r="K23" s="23">
        <v>0</v>
      </c>
      <c r="L23" s="23">
        <v>0</v>
      </c>
      <c r="M23" s="23">
        <v>0</v>
      </c>
      <c r="N23" s="23">
        <v>0</v>
      </c>
      <c r="O23" s="43">
        <v>0</v>
      </c>
    </row>
    <row r="24" spans="1:15" x14ac:dyDescent="0.3">
      <c r="A24" s="16" t="str">
        <f t="shared" si="0"/>
        <v>SmallCarBaseFCEV320</v>
      </c>
      <c r="B24" s="79" t="str">
        <f>'Vehicle Attributes - Base Year'!B21</f>
        <v>Pickup</v>
      </c>
      <c r="C24" s="68" t="str">
        <f>'Vehicle Attributes - Base Year'!C21</f>
        <v>HT</v>
      </c>
      <c r="D24" s="68" t="str">
        <f>'Vehicle Attributes - Base Year'!D21</f>
        <v>PHEV50</v>
      </c>
      <c r="E24" s="23">
        <v>0</v>
      </c>
      <c r="F24" s="23">
        <v>0</v>
      </c>
      <c r="G24" s="23">
        <v>0</v>
      </c>
      <c r="H24" s="23">
        <v>0</v>
      </c>
      <c r="I24" s="23">
        <v>0</v>
      </c>
      <c r="J24" s="23">
        <v>0</v>
      </c>
      <c r="K24" s="23">
        <v>0</v>
      </c>
      <c r="L24" s="23">
        <v>0</v>
      </c>
      <c r="M24" s="23">
        <v>0</v>
      </c>
      <c r="N24" s="23">
        <v>0</v>
      </c>
      <c r="O24" s="43">
        <v>0</v>
      </c>
    </row>
    <row r="25" spans="1:15" x14ac:dyDescent="0.3">
      <c r="A25" t="str">
        <f t="shared" si="0"/>
        <v>SmallCarPremiumFCEV320</v>
      </c>
      <c r="B25" s="79" t="str">
        <f>'Vehicle Attributes - Base Year'!B22</f>
        <v>SmallCar</v>
      </c>
      <c r="C25" s="68" t="str">
        <f>'Vehicle Attributes - Base Year'!C22</f>
        <v>Base</v>
      </c>
      <c r="D25" s="68" t="str">
        <f>'Vehicle Attributes - Base Year'!D22</f>
        <v>FCEV320</v>
      </c>
      <c r="E25" s="23">
        <v>0</v>
      </c>
      <c r="F25" s="23">
        <v>0</v>
      </c>
      <c r="G25" s="23">
        <v>0</v>
      </c>
      <c r="H25" s="23">
        <v>0</v>
      </c>
      <c r="I25" s="23">
        <v>0</v>
      </c>
      <c r="J25" s="23">
        <v>0</v>
      </c>
      <c r="K25" s="23">
        <v>0</v>
      </c>
      <c r="L25" s="23">
        <v>0</v>
      </c>
      <c r="M25" s="23">
        <v>0</v>
      </c>
      <c r="N25" s="23">
        <v>0</v>
      </c>
      <c r="O25" s="23">
        <v>0</v>
      </c>
    </row>
    <row r="26" spans="1:15" x14ac:dyDescent="0.3">
      <c r="A26" s="16" t="str">
        <f t="shared" si="0"/>
        <v>MedCarBaseFCEV320</v>
      </c>
      <c r="B26" s="79" t="str">
        <f>'Vehicle Attributes - Base Year'!B23</f>
        <v>SmallCar</v>
      </c>
      <c r="C26" s="68" t="str">
        <f>'Vehicle Attributes - Base Year'!C23</f>
        <v>Premium</v>
      </c>
      <c r="D26" s="68" t="str">
        <f>'Vehicle Attributes - Base Year'!D23</f>
        <v>FCEV320</v>
      </c>
      <c r="E26" s="23">
        <v>0</v>
      </c>
      <c r="F26" s="23">
        <v>0</v>
      </c>
      <c r="G26" s="23">
        <v>0</v>
      </c>
      <c r="H26" s="23">
        <v>0</v>
      </c>
      <c r="I26" s="23">
        <v>0</v>
      </c>
      <c r="J26" s="23">
        <v>0</v>
      </c>
      <c r="K26" s="23">
        <v>0</v>
      </c>
      <c r="L26" s="23">
        <v>0</v>
      </c>
      <c r="M26" s="23">
        <v>0</v>
      </c>
      <c r="N26" s="23">
        <v>0</v>
      </c>
      <c r="O26" s="23">
        <v>0</v>
      </c>
    </row>
    <row r="27" spans="1:15" x14ac:dyDescent="0.3">
      <c r="A27" t="str">
        <f t="shared" si="0"/>
        <v>MedCarPremiumFCEV320</v>
      </c>
      <c r="B27" s="79" t="str">
        <f>'Vehicle Attributes - Base Year'!B24</f>
        <v>MedCar</v>
      </c>
      <c r="C27" s="68" t="str">
        <f>'Vehicle Attributes - Base Year'!C24</f>
        <v>Base</v>
      </c>
      <c r="D27" s="68" t="str">
        <f>'Vehicle Attributes - Base Year'!D24</f>
        <v>FCEV320</v>
      </c>
      <c r="E27" s="23">
        <v>0</v>
      </c>
      <c r="F27" s="23">
        <v>0</v>
      </c>
      <c r="G27" s="23">
        <v>0</v>
      </c>
      <c r="H27" s="23">
        <v>0</v>
      </c>
      <c r="I27" s="23">
        <v>0</v>
      </c>
      <c r="J27" s="23">
        <v>0</v>
      </c>
      <c r="K27" s="23">
        <v>0</v>
      </c>
      <c r="L27" s="23">
        <v>0</v>
      </c>
      <c r="M27" s="23">
        <v>0</v>
      </c>
      <c r="N27" s="23">
        <v>0</v>
      </c>
      <c r="O27" s="23">
        <v>0</v>
      </c>
    </row>
    <row r="28" spans="1:15" x14ac:dyDescent="0.3">
      <c r="A28" s="16" t="str">
        <f t="shared" si="0"/>
        <v>SmallSUVBaseFCEV320</v>
      </c>
      <c r="B28" s="79" t="str">
        <f>'Vehicle Attributes - Base Year'!B25</f>
        <v>MedCar</v>
      </c>
      <c r="C28" s="68" t="str">
        <f>'Vehicle Attributes - Base Year'!C25</f>
        <v>Premium</v>
      </c>
      <c r="D28" s="68" t="str">
        <f>'Vehicle Attributes - Base Year'!D25</f>
        <v>FCEV320</v>
      </c>
      <c r="E28" s="23">
        <v>0</v>
      </c>
      <c r="F28" s="23">
        <v>0</v>
      </c>
      <c r="G28" s="23">
        <v>0</v>
      </c>
      <c r="H28" s="23">
        <v>0</v>
      </c>
      <c r="I28" s="23">
        <v>0</v>
      </c>
      <c r="J28" s="23">
        <v>0</v>
      </c>
      <c r="K28" s="23">
        <v>0</v>
      </c>
      <c r="L28" s="23">
        <v>0</v>
      </c>
      <c r="M28" s="23">
        <v>0</v>
      </c>
      <c r="N28" s="23">
        <v>0</v>
      </c>
      <c r="O28" s="23">
        <v>0</v>
      </c>
    </row>
    <row r="29" spans="1:15" x14ac:dyDescent="0.3">
      <c r="A29" t="str">
        <f t="shared" si="0"/>
        <v>SmallSUVPremiumFCEV320</v>
      </c>
      <c r="B29" s="79" t="str">
        <f>'Vehicle Attributes - Base Year'!B26</f>
        <v>SmallSUV</v>
      </c>
      <c r="C29" s="68" t="str">
        <f>'Vehicle Attributes - Base Year'!C26</f>
        <v>Base</v>
      </c>
      <c r="D29" s="68" t="str">
        <f>'Vehicle Attributes - Base Year'!D26</f>
        <v>FCEV320</v>
      </c>
      <c r="E29" s="23">
        <v>0</v>
      </c>
      <c r="F29" s="23">
        <v>0</v>
      </c>
      <c r="G29" s="23">
        <v>0</v>
      </c>
      <c r="H29" s="23">
        <v>0</v>
      </c>
      <c r="I29" s="23">
        <v>0</v>
      </c>
      <c r="J29" s="23">
        <v>0</v>
      </c>
      <c r="K29" s="23">
        <v>0</v>
      </c>
      <c r="L29" s="23">
        <v>0</v>
      </c>
      <c r="M29" s="23">
        <v>0</v>
      </c>
      <c r="N29" s="23">
        <v>0</v>
      </c>
      <c r="O29" s="23">
        <v>0</v>
      </c>
    </row>
    <row r="30" spans="1:15" x14ac:dyDescent="0.3">
      <c r="A30" s="16" t="str">
        <f t="shared" si="0"/>
        <v>MedSUVBaseFCEV320</v>
      </c>
      <c r="B30" s="79" t="str">
        <f>'Vehicle Attributes - Base Year'!B27</f>
        <v>SmallSUV</v>
      </c>
      <c r="C30" s="68" t="str">
        <f>'Vehicle Attributes - Base Year'!C27</f>
        <v>Premium</v>
      </c>
      <c r="D30" s="68" t="str">
        <f>'Vehicle Attributes - Base Year'!D27</f>
        <v>FCEV320</v>
      </c>
      <c r="E30" s="23">
        <v>0</v>
      </c>
      <c r="F30" s="23">
        <v>0</v>
      </c>
      <c r="G30" s="23">
        <v>0</v>
      </c>
      <c r="H30" s="23">
        <v>0</v>
      </c>
      <c r="I30" s="23">
        <v>0</v>
      </c>
      <c r="J30" s="23">
        <v>0</v>
      </c>
      <c r="K30" s="23">
        <v>0</v>
      </c>
      <c r="L30" s="23">
        <v>0</v>
      </c>
      <c r="M30" s="23">
        <v>0</v>
      </c>
      <c r="N30" s="23">
        <v>0</v>
      </c>
      <c r="O30" s="23">
        <v>0</v>
      </c>
    </row>
    <row r="31" spans="1:15" x14ac:dyDescent="0.3">
      <c r="A31" t="str">
        <f t="shared" si="0"/>
        <v>MedSUVPremiumFCEV320</v>
      </c>
      <c r="B31" s="79" t="str">
        <f>'Vehicle Attributes - Base Year'!B28</f>
        <v>MedSUV</v>
      </c>
      <c r="C31" s="68" t="str">
        <f>'Vehicle Attributes - Base Year'!C28</f>
        <v>Base</v>
      </c>
      <c r="D31" s="68" t="str">
        <f>'Vehicle Attributes - Base Year'!D28</f>
        <v>FCEV320</v>
      </c>
      <c r="E31" s="23">
        <v>0</v>
      </c>
      <c r="F31" s="23">
        <v>0</v>
      </c>
      <c r="G31" s="23">
        <v>0</v>
      </c>
      <c r="H31" s="23">
        <v>0</v>
      </c>
      <c r="I31" s="23">
        <v>0</v>
      </c>
      <c r="J31" s="23">
        <v>0</v>
      </c>
      <c r="K31" s="23">
        <v>0</v>
      </c>
      <c r="L31" s="23">
        <v>0</v>
      </c>
      <c r="M31" s="23">
        <v>0</v>
      </c>
      <c r="N31" s="23">
        <v>0</v>
      </c>
      <c r="O31" s="23">
        <v>0</v>
      </c>
    </row>
    <row r="32" spans="1:15" x14ac:dyDescent="0.3">
      <c r="A32" s="16" t="str">
        <f t="shared" si="0"/>
        <v>PickupBaseFCEV320</v>
      </c>
      <c r="B32" s="79" t="str">
        <f>'Vehicle Attributes - Base Year'!B29</f>
        <v>MedSUV</v>
      </c>
      <c r="C32" s="68" t="str">
        <f>'Vehicle Attributes - Base Year'!C29</f>
        <v>Premium</v>
      </c>
      <c r="D32" s="68" t="str">
        <f>'Vehicle Attributes - Base Year'!D29</f>
        <v>FCEV320</v>
      </c>
      <c r="E32" s="23">
        <v>0</v>
      </c>
      <c r="F32" s="23">
        <v>0</v>
      </c>
      <c r="G32" s="23">
        <v>0</v>
      </c>
      <c r="H32" s="23">
        <v>0</v>
      </c>
      <c r="I32" s="23">
        <v>0</v>
      </c>
      <c r="J32" s="23">
        <v>0</v>
      </c>
      <c r="K32" s="23">
        <v>0</v>
      </c>
      <c r="L32" s="23">
        <v>0</v>
      </c>
      <c r="M32" s="23">
        <v>0</v>
      </c>
      <c r="N32" s="23">
        <v>0</v>
      </c>
      <c r="O32" s="23">
        <v>0</v>
      </c>
    </row>
    <row r="33" spans="1:15" x14ac:dyDescent="0.3">
      <c r="A33" t="str">
        <f t="shared" si="0"/>
        <v>PickupHTFCEV320</v>
      </c>
      <c r="B33" s="79" t="str">
        <f>'Vehicle Attributes - Base Year'!B30</f>
        <v>Pickup</v>
      </c>
      <c r="C33" s="68" t="str">
        <f>'Vehicle Attributes - Base Year'!C30</f>
        <v>Base</v>
      </c>
      <c r="D33" s="68" t="str">
        <f>'Vehicle Attributes - Base Year'!D30</f>
        <v>FCEV320</v>
      </c>
      <c r="E33" s="23">
        <v>0</v>
      </c>
      <c r="F33" s="23">
        <v>0</v>
      </c>
      <c r="G33" s="23">
        <v>0</v>
      </c>
      <c r="H33" s="23">
        <v>0</v>
      </c>
      <c r="I33" s="23">
        <v>0</v>
      </c>
      <c r="J33" s="23">
        <v>0</v>
      </c>
      <c r="K33" s="23">
        <v>0</v>
      </c>
      <c r="L33" s="23">
        <v>0</v>
      </c>
      <c r="M33" s="23">
        <v>0</v>
      </c>
      <c r="N33" s="23">
        <v>0</v>
      </c>
      <c r="O33" s="23">
        <v>0</v>
      </c>
    </row>
    <row r="34" spans="1:15" x14ac:dyDescent="0.3">
      <c r="B34" s="79" t="str">
        <f>'Vehicle Attributes - Base Year'!B31</f>
        <v>Pickup</v>
      </c>
      <c r="C34" s="68" t="str">
        <f>'Vehicle Attributes - Base Year'!C31</f>
        <v>HT</v>
      </c>
      <c r="D34" s="68" t="str">
        <f>'Vehicle Attributes - Base Year'!D31</f>
        <v>FCEV320</v>
      </c>
      <c r="E34" s="23">
        <v>0</v>
      </c>
      <c r="F34" s="23">
        <v>0</v>
      </c>
      <c r="G34" s="23">
        <v>0</v>
      </c>
      <c r="H34" s="23">
        <v>0</v>
      </c>
      <c r="I34" s="23">
        <v>0</v>
      </c>
      <c r="J34" s="23">
        <v>0</v>
      </c>
      <c r="K34" s="23">
        <v>0</v>
      </c>
      <c r="L34" s="23">
        <v>0</v>
      </c>
      <c r="M34" s="23">
        <v>0</v>
      </c>
      <c r="N34" s="23">
        <v>0</v>
      </c>
      <c r="O34" s="23">
        <v>0</v>
      </c>
    </row>
  </sheetData>
  <mergeCells count="2">
    <mergeCell ref="B1:O1"/>
    <mergeCell ref="E2:O2"/>
  </mergeCells>
  <pageMargins left="0.7" right="0.7" top="0.75" bottom="0.75" header="0.3" footer="0.3"/>
  <legacyDrawing r:id="rId1"/>
  <tableParts count="1">
    <tablePart r:id="rId2"/>
  </tablePart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1693D-75E1-4D6B-987C-192908F598CF}">
  <sheetPr>
    <tabColor rgb="FF777777"/>
  </sheetPr>
  <dimension ref="A1:O34"/>
  <sheetViews>
    <sheetView topLeftCell="B1" workbookViewId="0">
      <selection activeCell="E5" sqref="E5"/>
    </sheetView>
  </sheetViews>
  <sheetFormatPr defaultRowHeight="14.4" x14ac:dyDescent="0.3"/>
  <cols>
    <col min="1" max="1" width="0" hidden="1" customWidth="1"/>
    <col min="2" max="2" width="12.5546875" bestFit="1" customWidth="1"/>
    <col min="3" max="3" width="12.44140625" bestFit="1" customWidth="1"/>
    <col min="4" max="10" width="11" customWidth="1"/>
    <col min="11" max="15" width="12" customWidth="1"/>
  </cols>
  <sheetData>
    <row r="1" spans="1:15" x14ac:dyDescent="0.3">
      <c r="B1" s="170" t="s">
        <v>232</v>
      </c>
      <c r="C1" s="175"/>
      <c r="D1" s="175"/>
      <c r="E1" s="175"/>
      <c r="F1" s="175"/>
      <c r="G1" s="175"/>
      <c r="H1" s="175"/>
      <c r="I1" s="175"/>
      <c r="J1" s="175"/>
      <c r="K1" s="175"/>
      <c r="L1" s="175"/>
      <c r="M1" s="175"/>
      <c r="N1" s="175"/>
      <c r="O1" s="171"/>
    </row>
    <row r="2" spans="1:15" x14ac:dyDescent="0.3">
      <c r="B2" s="73"/>
      <c r="C2" s="73"/>
      <c r="D2" s="74"/>
      <c r="E2" s="195" t="s">
        <v>155</v>
      </c>
      <c r="F2" s="195"/>
      <c r="G2" s="195"/>
      <c r="H2" s="195"/>
      <c r="I2" s="195"/>
      <c r="J2" s="195"/>
      <c r="K2" s="195"/>
      <c r="L2" s="195"/>
      <c r="M2" s="195"/>
      <c r="N2" s="195"/>
      <c r="O2" s="196"/>
    </row>
    <row r="3" spans="1:15" x14ac:dyDescent="0.3">
      <c r="B3" s="75" t="s">
        <v>100</v>
      </c>
      <c r="C3" s="75" t="s">
        <v>101</v>
      </c>
      <c r="D3" s="76" t="s">
        <v>67</v>
      </c>
      <c r="E3" s="77">
        <v>2025</v>
      </c>
      <c r="F3" s="78">
        <v>2026</v>
      </c>
      <c r="G3" s="78">
        <v>2027</v>
      </c>
      <c r="H3" s="78">
        <v>2028</v>
      </c>
      <c r="I3" s="78">
        <v>2029</v>
      </c>
      <c r="J3" s="78">
        <v>2030</v>
      </c>
      <c r="K3" s="78">
        <v>2031</v>
      </c>
      <c r="L3" s="78">
        <v>2032</v>
      </c>
      <c r="M3" s="78">
        <v>2033</v>
      </c>
      <c r="N3" s="78">
        <v>2034</v>
      </c>
      <c r="O3" s="148">
        <v>2035</v>
      </c>
    </row>
    <row r="4" spans="1:15" x14ac:dyDescent="0.3">
      <c r="A4" s="16" t="str">
        <f t="shared" ref="A4:A33" si="0">CONCATENATE(B5,C5,D5,)</f>
        <v>SmallCarBaseBEV300</v>
      </c>
      <c r="B4" s="79" t="s">
        <v>64</v>
      </c>
      <c r="C4" s="68" t="s">
        <v>65</v>
      </c>
      <c r="D4" s="68" t="s">
        <v>156</v>
      </c>
      <c r="E4" s="23" t="s">
        <v>157</v>
      </c>
      <c r="F4" s="23" t="s">
        <v>158</v>
      </c>
      <c r="G4" s="23" t="s">
        <v>159</v>
      </c>
      <c r="H4" s="23" t="s">
        <v>160</v>
      </c>
      <c r="I4" s="23" t="s">
        <v>161</v>
      </c>
      <c r="J4" s="23" t="s">
        <v>162</v>
      </c>
      <c r="K4" s="23" t="s">
        <v>163</v>
      </c>
      <c r="L4" s="23" t="s">
        <v>164</v>
      </c>
      <c r="M4" s="23" t="s">
        <v>165</v>
      </c>
      <c r="N4" s="23" t="s">
        <v>166</v>
      </c>
      <c r="O4" s="43" t="s">
        <v>167</v>
      </c>
    </row>
    <row r="5" spans="1:15" x14ac:dyDescent="0.3">
      <c r="A5" t="str">
        <f t="shared" si="0"/>
        <v>SmallCarPremiumBEV400</v>
      </c>
      <c r="B5" s="79" t="str">
        <f>'Vehicle Attributes - Base Year'!B2</f>
        <v>SmallCar</v>
      </c>
      <c r="C5" s="68" t="str">
        <f>'Vehicle Attributes - Base Year'!C2</f>
        <v>Base</v>
      </c>
      <c r="D5" s="68" t="str">
        <f>'Vehicle Attributes - Base Year'!D2</f>
        <v>BEV300</v>
      </c>
      <c r="E5" s="23">
        <v>0</v>
      </c>
      <c r="F5" s="23">
        <v>0</v>
      </c>
      <c r="G5" s="23">
        <v>0</v>
      </c>
      <c r="H5" s="23">
        <v>0</v>
      </c>
      <c r="I5" s="23">
        <v>0</v>
      </c>
      <c r="J5" s="23">
        <v>0</v>
      </c>
      <c r="K5" s="23">
        <v>0</v>
      </c>
      <c r="L5" s="23">
        <v>0</v>
      </c>
      <c r="M5" s="23">
        <v>0</v>
      </c>
      <c r="N5" s="23">
        <v>0</v>
      </c>
      <c r="O5" s="23">
        <v>0</v>
      </c>
    </row>
    <row r="6" spans="1:15" x14ac:dyDescent="0.3">
      <c r="A6" s="16" t="str">
        <f t="shared" si="0"/>
        <v>MedCarBaseBEV300</v>
      </c>
      <c r="B6" s="79" t="str">
        <f>'Vehicle Attributes - Base Year'!B3</f>
        <v>SmallCar</v>
      </c>
      <c r="C6" s="68" t="str">
        <f>'Vehicle Attributes - Base Year'!C3</f>
        <v>Premium</v>
      </c>
      <c r="D6" s="68" t="str">
        <f>'Vehicle Attributes - Base Year'!D3</f>
        <v>BEV400</v>
      </c>
      <c r="E6" s="23">
        <v>0</v>
      </c>
      <c r="F6" s="23">
        <v>0</v>
      </c>
      <c r="G6" s="23">
        <v>0</v>
      </c>
      <c r="H6" s="23">
        <v>0</v>
      </c>
      <c r="I6" s="23">
        <v>0</v>
      </c>
      <c r="J6" s="23">
        <v>0</v>
      </c>
      <c r="K6" s="23">
        <v>0</v>
      </c>
      <c r="L6" s="23">
        <v>0</v>
      </c>
      <c r="M6" s="23">
        <v>0</v>
      </c>
      <c r="N6" s="23">
        <v>0</v>
      </c>
      <c r="O6" s="23">
        <v>0</v>
      </c>
    </row>
    <row r="7" spans="1:15" x14ac:dyDescent="0.3">
      <c r="A7" t="str">
        <f t="shared" si="0"/>
        <v>MedCarPremiumBEV400</v>
      </c>
      <c r="B7" s="79" t="str">
        <f>'Vehicle Attributes - Base Year'!B4</f>
        <v>MedCar</v>
      </c>
      <c r="C7" s="68" t="str">
        <f>'Vehicle Attributes - Base Year'!C4</f>
        <v>Base</v>
      </c>
      <c r="D7" s="68" t="str">
        <f>'Vehicle Attributes - Base Year'!D4</f>
        <v>BEV300</v>
      </c>
      <c r="E7" s="23">
        <v>0</v>
      </c>
      <c r="F7" s="23">
        <v>0</v>
      </c>
      <c r="G7" s="23">
        <v>0</v>
      </c>
      <c r="H7" s="23">
        <v>0</v>
      </c>
      <c r="I7" s="23">
        <v>0</v>
      </c>
      <c r="J7" s="23">
        <v>0</v>
      </c>
      <c r="K7" s="23">
        <v>0</v>
      </c>
      <c r="L7" s="23">
        <v>0</v>
      </c>
      <c r="M7" s="23">
        <v>0</v>
      </c>
      <c r="N7" s="23">
        <v>0</v>
      </c>
      <c r="O7" s="23">
        <v>0</v>
      </c>
    </row>
    <row r="8" spans="1:15" x14ac:dyDescent="0.3">
      <c r="A8" s="16" t="str">
        <f t="shared" si="0"/>
        <v>SmallSUVBaseBEV300</v>
      </c>
      <c r="B8" s="79" t="str">
        <f>'Vehicle Attributes - Base Year'!B5</f>
        <v>MedCar</v>
      </c>
      <c r="C8" s="68" t="str">
        <f>'Vehicle Attributes - Base Year'!C5</f>
        <v>Premium</v>
      </c>
      <c r="D8" s="68" t="str">
        <f>'Vehicle Attributes - Base Year'!D5</f>
        <v>BEV400</v>
      </c>
      <c r="E8" s="23">
        <v>0</v>
      </c>
      <c r="F8" s="23">
        <v>0</v>
      </c>
      <c r="G8" s="23">
        <v>0</v>
      </c>
      <c r="H8" s="23">
        <v>0</v>
      </c>
      <c r="I8" s="23">
        <v>0</v>
      </c>
      <c r="J8" s="23">
        <v>0</v>
      </c>
      <c r="K8" s="23">
        <v>0</v>
      </c>
      <c r="L8" s="23">
        <v>0</v>
      </c>
      <c r="M8" s="23">
        <v>0</v>
      </c>
      <c r="N8" s="23">
        <v>0</v>
      </c>
      <c r="O8" s="23">
        <v>0</v>
      </c>
    </row>
    <row r="9" spans="1:15" x14ac:dyDescent="0.3">
      <c r="A9" t="str">
        <f t="shared" si="0"/>
        <v>SmallSUVPremiumBEV400</v>
      </c>
      <c r="B9" s="79" t="str">
        <f>'Vehicle Attributes - Base Year'!B6</f>
        <v>SmallSUV</v>
      </c>
      <c r="C9" s="68" t="str">
        <f>'Vehicle Attributes - Base Year'!C6</f>
        <v>Base</v>
      </c>
      <c r="D9" s="68" t="str">
        <f>'Vehicle Attributes - Base Year'!D6</f>
        <v>BEV300</v>
      </c>
      <c r="E9" s="23">
        <v>0</v>
      </c>
      <c r="F9" s="23">
        <v>0</v>
      </c>
      <c r="G9" s="23">
        <v>0</v>
      </c>
      <c r="H9" s="23">
        <v>0</v>
      </c>
      <c r="I9" s="23">
        <v>0</v>
      </c>
      <c r="J9" s="23">
        <v>0</v>
      </c>
      <c r="K9" s="23">
        <v>0</v>
      </c>
      <c r="L9" s="23">
        <v>0</v>
      </c>
      <c r="M9" s="23">
        <v>0</v>
      </c>
      <c r="N9" s="23">
        <v>0</v>
      </c>
      <c r="O9" s="23">
        <v>0</v>
      </c>
    </row>
    <row r="10" spans="1:15" x14ac:dyDescent="0.3">
      <c r="A10" s="16" t="str">
        <f t="shared" si="0"/>
        <v>MedSUVBaseBEV300</v>
      </c>
      <c r="B10" s="79" t="str">
        <f>'Vehicle Attributes - Base Year'!B7</f>
        <v>SmallSUV</v>
      </c>
      <c r="C10" s="68" t="str">
        <f>'Vehicle Attributes - Base Year'!C7</f>
        <v>Premium</v>
      </c>
      <c r="D10" s="68" t="str">
        <f>'Vehicle Attributes - Base Year'!D7</f>
        <v>BEV400</v>
      </c>
      <c r="E10" s="23">
        <v>0</v>
      </c>
      <c r="F10" s="23">
        <v>0</v>
      </c>
      <c r="G10" s="23">
        <v>0</v>
      </c>
      <c r="H10" s="23">
        <v>0</v>
      </c>
      <c r="I10" s="23">
        <v>0</v>
      </c>
      <c r="J10" s="23">
        <v>0</v>
      </c>
      <c r="K10" s="23">
        <v>0</v>
      </c>
      <c r="L10" s="23">
        <v>0</v>
      </c>
      <c r="M10" s="23">
        <v>0</v>
      </c>
      <c r="N10" s="23">
        <v>0</v>
      </c>
      <c r="O10" s="23">
        <v>0</v>
      </c>
    </row>
    <row r="11" spans="1:15" x14ac:dyDescent="0.3">
      <c r="A11" t="str">
        <f t="shared" si="0"/>
        <v>MedSUVPremiumBEV400</v>
      </c>
      <c r="B11" s="79" t="str">
        <f>'Vehicle Attributes - Base Year'!B8</f>
        <v>MedSUV</v>
      </c>
      <c r="C11" s="68" t="str">
        <f>'Vehicle Attributes - Base Year'!C8</f>
        <v>Base</v>
      </c>
      <c r="D11" s="68" t="str">
        <f>'Vehicle Attributes - Base Year'!D8</f>
        <v>BEV300</v>
      </c>
      <c r="E11" s="23">
        <v>0</v>
      </c>
      <c r="F11" s="23">
        <v>0</v>
      </c>
      <c r="G11" s="23">
        <v>0</v>
      </c>
      <c r="H11" s="23">
        <v>0</v>
      </c>
      <c r="I11" s="23">
        <v>0</v>
      </c>
      <c r="J11" s="23">
        <v>0</v>
      </c>
      <c r="K11" s="23">
        <v>0</v>
      </c>
      <c r="L11" s="23">
        <v>0</v>
      </c>
      <c r="M11" s="23">
        <v>0</v>
      </c>
      <c r="N11" s="23">
        <v>0</v>
      </c>
      <c r="O11" s="23">
        <v>0</v>
      </c>
    </row>
    <row r="12" spans="1:15" x14ac:dyDescent="0.3">
      <c r="A12" s="16" t="str">
        <f t="shared" si="0"/>
        <v>PickupBaseBEV300</v>
      </c>
      <c r="B12" s="79" t="str">
        <f>'Vehicle Attributes - Base Year'!B9</f>
        <v>MedSUV</v>
      </c>
      <c r="C12" s="68" t="str">
        <f>'Vehicle Attributes - Base Year'!C9</f>
        <v>Premium</v>
      </c>
      <c r="D12" s="68" t="str">
        <f>'Vehicle Attributes - Base Year'!D9</f>
        <v>BEV400</v>
      </c>
      <c r="E12" s="23">
        <v>0</v>
      </c>
      <c r="F12" s="23">
        <v>0</v>
      </c>
      <c r="G12" s="23">
        <v>0</v>
      </c>
      <c r="H12" s="23">
        <v>0</v>
      </c>
      <c r="I12" s="23">
        <v>0</v>
      </c>
      <c r="J12" s="23">
        <v>0</v>
      </c>
      <c r="K12" s="23">
        <v>0</v>
      </c>
      <c r="L12" s="23">
        <v>0</v>
      </c>
      <c r="M12" s="23">
        <v>0</v>
      </c>
      <c r="N12" s="23">
        <v>0</v>
      </c>
      <c r="O12" s="23">
        <v>0</v>
      </c>
    </row>
    <row r="13" spans="1:15" x14ac:dyDescent="0.3">
      <c r="A13" t="str">
        <f t="shared" si="0"/>
        <v>PickupHTBEV400</v>
      </c>
      <c r="B13" s="79" t="str">
        <f>'Vehicle Attributes - Base Year'!B10</f>
        <v>Pickup</v>
      </c>
      <c r="C13" s="68" t="str">
        <f>'Vehicle Attributes - Base Year'!C10</f>
        <v>Base</v>
      </c>
      <c r="D13" s="68" t="str">
        <f>'Vehicle Attributes - Base Year'!D10</f>
        <v>BEV300</v>
      </c>
      <c r="E13" s="23">
        <v>0</v>
      </c>
      <c r="F13" s="23">
        <v>0</v>
      </c>
      <c r="G13" s="23">
        <v>0</v>
      </c>
      <c r="H13" s="23">
        <v>0</v>
      </c>
      <c r="I13" s="23">
        <v>0</v>
      </c>
      <c r="J13" s="23">
        <v>0</v>
      </c>
      <c r="K13" s="23">
        <v>0</v>
      </c>
      <c r="L13" s="23">
        <v>0</v>
      </c>
      <c r="M13" s="23">
        <v>0</v>
      </c>
      <c r="N13" s="23">
        <v>0</v>
      </c>
      <c r="O13" s="23">
        <v>0</v>
      </c>
    </row>
    <row r="14" spans="1:15" x14ac:dyDescent="0.3">
      <c r="A14" s="16" t="str">
        <f t="shared" si="0"/>
        <v>SmallCarBasePHEV50</v>
      </c>
      <c r="B14" s="79" t="str">
        <f>'Vehicle Attributes - Base Year'!B11</f>
        <v>Pickup</v>
      </c>
      <c r="C14" s="68" t="str">
        <f>'Vehicle Attributes - Base Year'!C11</f>
        <v>HT</v>
      </c>
      <c r="D14" s="68" t="str">
        <f>'Vehicle Attributes - Base Year'!D11</f>
        <v>BEV400</v>
      </c>
      <c r="E14" s="23">
        <v>0</v>
      </c>
      <c r="F14" s="23">
        <v>0</v>
      </c>
      <c r="G14" s="23">
        <v>0</v>
      </c>
      <c r="H14" s="23">
        <v>0</v>
      </c>
      <c r="I14" s="23">
        <v>0</v>
      </c>
      <c r="J14" s="23">
        <v>0</v>
      </c>
      <c r="K14" s="23">
        <v>0</v>
      </c>
      <c r="L14" s="23">
        <v>0</v>
      </c>
      <c r="M14" s="23">
        <v>0</v>
      </c>
      <c r="N14" s="23">
        <v>0</v>
      </c>
      <c r="O14" s="23">
        <v>0</v>
      </c>
    </row>
    <row r="15" spans="1:15" x14ac:dyDescent="0.3">
      <c r="A15" t="str">
        <f t="shared" si="0"/>
        <v>SmallCarPremiumPHEV50</v>
      </c>
      <c r="B15" s="79" t="str">
        <f>'Vehicle Attributes - Base Year'!B12</f>
        <v>SmallCar</v>
      </c>
      <c r="C15" s="68" t="str">
        <f>'Vehicle Attributes - Base Year'!C12</f>
        <v>Base</v>
      </c>
      <c r="D15" s="68" t="str">
        <f>'Vehicle Attributes - Base Year'!D12</f>
        <v>PHEV50</v>
      </c>
      <c r="E15" s="23">
        <v>0</v>
      </c>
      <c r="F15" s="23">
        <v>0</v>
      </c>
      <c r="G15" s="23">
        <v>0</v>
      </c>
      <c r="H15" s="23">
        <v>0</v>
      </c>
      <c r="I15" s="23">
        <v>0</v>
      </c>
      <c r="J15" s="23">
        <v>0</v>
      </c>
      <c r="K15" s="23">
        <v>0</v>
      </c>
      <c r="L15" s="23">
        <v>0</v>
      </c>
      <c r="M15" s="23">
        <v>0</v>
      </c>
      <c r="N15" s="23">
        <v>0</v>
      </c>
      <c r="O15" s="23">
        <v>0</v>
      </c>
    </row>
    <row r="16" spans="1:15" x14ac:dyDescent="0.3">
      <c r="A16" s="16" t="str">
        <f t="shared" si="0"/>
        <v>MedCarBasePHEV50</v>
      </c>
      <c r="B16" s="79" t="str">
        <f>'Vehicle Attributes - Base Year'!B13</f>
        <v>SmallCar</v>
      </c>
      <c r="C16" s="68" t="str">
        <f>'Vehicle Attributes - Base Year'!C13</f>
        <v>Premium</v>
      </c>
      <c r="D16" s="68" t="str">
        <f>'Vehicle Attributes - Base Year'!D13</f>
        <v>PHEV50</v>
      </c>
      <c r="E16" s="23">
        <v>0</v>
      </c>
      <c r="F16" s="23">
        <v>0</v>
      </c>
      <c r="G16" s="23">
        <v>0</v>
      </c>
      <c r="H16" s="23">
        <v>0</v>
      </c>
      <c r="I16" s="23">
        <v>0</v>
      </c>
      <c r="J16" s="23">
        <v>0</v>
      </c>
      <c r="K16" s="23">
        <v>0</v>
      </c>
      <c r="L16" s="23">
        <v>0</v>
      </c>
      <c r="M16" s="23">
        <v>0</v>
      </c>
      <c r="N16" s="23">
        <v>0</v>
      </c>
      <c r="O16" s="23">
        <v>0</v>
      </c>
    </row>
    <row r="17" spans="1:15" x14ac:dyDescent="0.3">
      <c r="A17" t="str">
        <f t="shared" si="0"/>
        <v>MedCarPremiumPHEV50</v>
      </c>
      <c r="B17" s="79" t="str">
        <f>'Vehicle Attributes - Base Year'!B14</f>
        <v>MedCar</v>
      </c>
      <c r="C17" s="68" t="str">
        <f>'Vehicle Attributes - Base Year'!C14</f>
        <v>Base</v>
      </c>
      <c r="D17" s="68" t="str">
        <f>'Vehicle Attributes - Base Year'!D14</f>
        <v>PHEV50</v>
      </c>
      <c r="E17" s="23">
        <v>0</v>
      </c>
      <c r="F17" s="23">
        <v>0</v>
      </c>
      <c r="G17" s="23">
        <v>0</v>
      </c>
      <c r="H17" s="23">
        <v>0</v>
      </c>
      <c r="I17" s="23">
        <v>0</v>
      </c>
      <c r="J17" s="23">
        <v>0</v>
      </c>
      <c r="K17" s="23">
        <v>0</v>
      </c>
      <c r="L17" s="23">
        <v>0</v>
      </c>
      <c r="M17" s="23">
        <v>0</v>
      </c>
      <c r="N17" s="23">
        <v>0</v>
      </c>
      <c r="O17" s="23">
        <v>0</v>
      </c>
    </row>
    <row r="18" spans="1:15" x14ac:dyDescent="0.3">
      <c r="A18" s="16" t="str">
        <f t="shared" si="0"/>
        <v>SmallSUVBasePHEV50</v>
      </c>
      <c r="B18" s="79" t="str">
        <f>'Vehicle Attributes - Base Year'!B15</f>
        <v>MedCar</v>
      </c>
      <c r="C18" s="68" t="str">
        <f>'Vehicle Attributes - Base Year'!C15</f>
        <v>Premium</v>
      </c>
      <c r="D18" s="68" t="str">
        <f>'Vehicle Attributes - Base Year'!D15</f>
        <v>PHEV50</v>
      </c>
      <c r="E18" s="23">
        <v>0</v>
      </c>
      <c r="F18" s="23">
        <v>0</v>
      </c>
      <c r="G18" s="23">
        <v>0</v>
      </c>
      <c r="H18" s="23">
        <v>0</v>
      </c>
      <c r="I18" s="23">
        <v>0</v>
      </c>
      <c r="J18" s="23">
        <v>0</v>
      </c>
      <c r="K18" s="23">
        <v>0</v>
      </c>
      <c r="L18" s="23">
        <v>0</v>
      </c>
      <c r="M18" s="23">
        <v>0</v>
      </c>
      <c r="N18" s="23">
        <v>0</v>
      </c>
      <c r="O18" s="23">
        <v>0</v>
      </c>
    </row>
    <row r="19" spans="1:15" x14ac:dyDescent="0.3">
      <c r="A19" t="str">
        <f t="shared" si="0"/>
        <v>SmallSUVPremiumPHEV50</v>
      </c>
      <c r="B19" s="79" t="str">
        <f>'Vehicle Attributes - Base Year'!B16</f>
        <v>SmallSUV</v>
      </c>
      <c r="C19" s="68" t="str">
        <f>'Vehicle Attributes - Base Year'!C16</f>
        <v>Base</v>
      </c>
      <c r="D19" s="68" t="str">
        <f>'Vehicle Attributes - Base Year'!D16</f>
        <v>PHEV50</v>
      </c>
      <c r="E19" s="23">
        <v>0</v>
      </c>
      <c r="F19" s="23">
        <v>0</v>
      </c>
      <c r="G19" s="23">
        <v>0</v>
      </c>
      <c r="H19" s="23">
        <v>0</v>
      </c>
      <c r="I19" s="23">
        <v>0</v>
      </c>
      <c r="J19" s="23">
        <v>0</v>
      </c>
      <c r="K19" s="23">
        <v>0</v>
      </c>
      <c r="L19" s="23">
        <v>0</v>
      </c>
      <c r="M19" s="23">
        <v>0</v>
      </c>
      <c r="N19" s="23">
        <v>0</v>
      </c>
      <c r="O19" s="23">
        <v>0</v>
      </c>
    </row>
    <row r="20" spans="1:15" x14ac:dyDescent="0.3">
      <c r="A20" s="16" t="str">
        <f t="shared" si="0"/>
        <v>MedSUVBasePHEV50</v>
      </c>
      <c r="B20" s="79" t="str">
        <f>'Vehicle Attributes - Base Year'!B17</f>
        <v>SmallSUV</v>
      </c>
      <c r="C20" s="68" t="str">
        <f>'Vehicle Attributes - Base Year'!C17</f>
        <v>Premium</v>
      </c>
      <c r="D20" s="68" t="str">
        <f>'Vehicle Attributes - Base Year'!D17</f>
        <v>PHEV50</v>
      </c>
      <c r="E20" s="23">
        <v>0</v>
      </c>
      <c r="F20" s="23">
        <v>0</v>
      </c>
      <c r="G20" s="23">
        <v>0</v>
      </c>
      <c r="H20" s="23">
        <v>0</v>
      </c>
      <c r="I20" s="23">
        <v>0</v>
      </c>
      <c r="J20" s="23">
        <v>0</v>
      </c>
      <c r="K20" s="23">
        <v>0</v>
      </c>
      <c r="L20" s="23">
        <v>0</v>
      </c>
      <c r="M20" s="23">
        <v>0</v>
      </c>
      <c r="N20" s="23">
        <v>0</v>
      </c>
      <c r="O20" s="23">
        <v>0</v>
      </c>
    </row>
    <row r="21" spans="1:15" x14ac:dyDescent="0.3">
      <c r="A21" t="str">
        <f t="shared" si="0"/>
        <v>MedSUVPremiumPHEV50</v>
      </c>
      <c r="B21" s="79" t="str">
        <f>'Vehicle Attributes - Base Year'!B18</f>
        <v>MedSUV</v>
      </c>
      <c r="C21" s="68" t="str">
        <f>'Vehicle Attributes - Base Year'!C18</f>
        <v>Base</v>
      </c>
      <c r="D21" s="68" t="str">
        <f>'Vehicle Attributes - Base Year'!D18</f>
        <v>PHEV50</v>
      </c>
      <c r="E21" s="23">
        <v>0</v>
      </c>
      <c r="F21" s="23">
        <v>0</v>
      </c>
      <c r="G21" s="23">
        <v>0</v>
      </c>
      <c r="H21" s="23">
        <v>0</v>
      </c>
      <c r="I21" s="23">
        <v>0</v>
      </c>
      <c r="J21" s="23">
        <v>0</v>
      </c>
      <c r="K21" s="23">
        <v>0</v>
      </c>
      <c r="L21" s="23">
        <v>0</v>
      </c>
      <c r="M21" s="23">
        <v>0</v>
      </c>
      <c r="N21" s="23">
        <v>0</v>
      </c>
      <c r="O21" s="23">
        <v>0</v>
      </c>
    </row>
    <row r="22" spans="1:15" x14ac:dyDescent="0.3">
      <c r="A22" s="16" t="str">
        <f t="shared" si="0"/>
        <v>PickupBasePHEV50</v>
      </c>
      <c r="B22" s="79" t="str">
        <f>'Vehicle Attributes - Base Year'!B19</f>
        <v>MedSUV</v>
      </c>
      <c r="C22" s="68" t="str">
        <f>'Vehicle Attributes - Base Year'!C19</f>
        <v>Premium</v>
      </c>
      <c r="D22" s="68" t="str">
        <f>'Vehicle Attributes - Base Year'!D19</f>
        <v>PHEV50</v>
      </c>
      <c r="E22" s="23">
        <v>0</v>
      </c>
      <c r="F22" s="23">
        <v>0</v>
      </c>
      <c r="G22" s="23">
        <v>0</v>
      </c>
      <c r="H22" s="23">
        <v>0</v>
      </c>
      <c r="I22" s="23">
        <v>0</v>
      </c>
      <c r="J22" s="23">
        <v>0</v>
      </c>
      <c r="K22" s="23">
        <v>0</v>
      </c>
      <c r="L22" s="23">
        <v>0</v>
      </c>
      <c r="M22" s="23">
        <v>0</v>
      </c>
      <c r="N22" s="23">
        <v>0</v>
      </c>
      <c r="O22" s="23">
        <v>0</v>
      </c>
    </row>
    <row r="23" spans="1:15" x14ac:dyDescent="0.3">
      <c r="A23" t="str">
        <f t="shared" si="0"/>
        <v>PickupHTPHEV50</v>
      </c>
      <c r="B23" s="79" t="str">
        <f>'Vehicle Attributes - Base Year'!B20</f>
        <v>Pickup</v>
      </c>
      <c r="C23" s="68" t="str">
        <f>'Vehicle Attributes - Base Year'!C20</f>
        <v>Base</v>
      </c>
      <c r="D23" s="68" t="str">
        <f>'Vehicle Attributes - Base Year'!D20</f>
        <v>PHEV50</v>
      </c>
      <c r="E23" s="23">
        <v>0</v>
      </c>
      <c r="F23" s="23">
        <v>0</v>
      </c>
      <c r="G23" s="23">
        <v>0</v>
      </c>
      <c r="H23" s="23">
        <v>0</v>
      </c>
      <c r="I23" s="23">
        <v>0</v>
      </c>
      <c r="J23" s="23">
        <v>0</v>
      </c>
      <c r="K23" s="23">
        <v>0</v>
      </c>
      <c r="L23" s="23">
        <v>0</v>
      </c>
      <c r="M23" s="23">
        <v>0</v>
      </c>
      <c r="N23" s="23">
        <v>0</v>
      </c>
      <c r="O23" s="23">
        <v>0</v>
      </c>
    </row>
    <row r="24" spans="1:15" x14ac:dyDescent="0.3">
      <c r="A24" s="16" t="str">
        <f t="shared" si="0"/>
        <v>SmallCarBaseFCEV320</v>
      </c>
      <c r="B24" s="79" t="str">
        <f>'Vehicle Attributes - Base Year'!B21</f>
        <v>Pickup</v>
      </c>
      <c r="C24" s="68" t="str">
        <f>'Vehicle Attributes - Base Year'!C21</f>
        <v>HT</v>
      </c>
      <c r="D24" s="68" t="str">
        <f>'Vehicle Attributes - Base Year'!D21</f>
        <v>PHEV50</v>
      </c>
      <c r="E24" s="23">
        <v>0</v>
      </c>
      <c r="F24" s="23">
        <v>0</v>
      </c>
      <c r="G24" s="23">
        <v>0</v>
      </c>
      <c r="H24" s="23">
        <v>0</v>
      </c>
      <c r="I24" s="23">
        <v>0</v>
      </c>
      <c r="J24" s="23">
        <v>0</v>
      </c>
      <c r="K24" s="23">
        <v>0</v>
      </c>
      <c r="L24" s="23">
        <v>0</v>
      </c>
      <c r="M24" s="23">
        <v>0</v>
      </c>
      <c r="N24" s="23">
        <v>0</v>
      </c>
      <c r="O24" s="23">
        <v>0</v>
      </c>
    </row>
    <row r="25" spans="1:15" x14ac:dyDescent="0.3">
      <c r="A25" t="str">
        <f t="shared" si="0"/>
        <v>SmallCarPremiumFCEV320</v>
      </c>
      <c r="B25" s="79" t="str">
        <f>'Vehicle Attributes - Base Year'!B22</f>
        <v>SmallCar</v>
      </c>
      <c r="C25" s="68" t="str">
        <f>'Vehicle Attributes - Base Year'!C22</f>
        <v>Base</v>
      </c>
      <c r="D25" s="68" t="str">
        <f>'Vehicle Attributes - Base Year'!D22</f>
        <v>FCEV320</v>
      </c>
      <c r="E25" s="23">
        <v>0</v>
      </c>
      <c r="F25" s="23">
        <v>0</v>
      </c>
      <c r="G25" s="23">
        <v>0</v>
      </c>
      <c r="H25" s="23">
        <v>0</v>
      </c>
      <c r="I25" s="23">
        <v>0</v>
      </c>
      <c r="J25" s="23">
        <v>0</v>
      </c>
      <c r="K25" s="23">
        <v>0</v>
      </c>
      <c r="L25" s="23">
        <v>0</v>
      </c>
      <c r="M25" s="23">
        <v>0</v>
      </c>
      <c r="N25" s="23">
        <v>0</v>
      </c>
      <c r="O25" s="23">
        <v>0</v>
      </c>
    </row>
    <row r="26" spans="1:15" x14ac:dyDescent="0.3">
      <c r="A26" s="16" t="str">
        <f t="shared" si="0"/>
        <v>MedCarBaseFCEV320</v>
      </c>
      <c r="B26" s="79" t="str">
        <f>'Vehicle Attributes - Base Year'!B23</f>
        <v>SmallCar</v>
      </c>
      <c r="C26" s="68" t="str">
        <f>'Vehicle Attributes - Base Year'!C23</f>
        <v>Premium</v>
      </c>
      <c r="D26" s="68" t="str">
        <f>'Vehicle Attributes - Base Year'!D23</f>
        <v>FCEV320</v>
      </c>
      <c r="E26" s="23">
        <v>0</v>
      </c>
      <c r="F26" s="23">
        <v>0</v>
      </c>
      <c r="G26" s="23">
        <v>0</v>
      </c>
      <c r="H26" s="23">
        <v>0</v>
      </c>
      <c r="I26" s="23">
        <v>0</v>
      </c>
      <c r="J26" s="23">
        <v>0</v>
      </c>
      <c r="K26" s="23">
        <v>0</v>
      </c>
      <c r="L26" s="23">
        <v>0</v>
      </c>
      <c r="M26" s="23">
        <v>0</v>
      </c>
      <c r="N26" s="23">
        <v>0</v>
      </c>
      <c r="O26" s="23">
        <v>0</v>
      </c>
    </row>
    <row r="27" spans="1:15" x14ac:dyDescent="0.3">
      <c r="A27" t="str">
        <f t="shared" si="0"/>
        <v>MedCarPremiumFCEV320</v>
      </c>
      <c r="B27" s="79" t="str">
        <f>'Vehicle Attributes - Base Year'!B24</f>
        <v>MedCar</v>
      </c>
      <c r="C27" s="68" t="str">
        <f>'Vehicle Attributes - Base Year'!C24</f>
        <v>Base</v>
      </c>
      <c r="D27" s="68" t="str">
        <f>'Vehicle Attributes - Base Year'!D24</f>
        <v>FCEV320</v>
      </c>
      <c r="E27" s="23">
        <v>0</v>
      </c>
      <c r="F27" s="23">
        <v>0</v>
      </c>
      <c r="G27" s="23">
        <v>0</v>
      </c>
      <c r="H27" s="23">
        <v>0</v>
      </c>
      <c r="I27" s="23">
        <v>0</v>
      </c>
      <c r="J27" s="23">
        <v>0</v>
      </c>
      <c r="K27" s="23">
        <v>0</v>
      </c>
      <c r="L27" s="23">
        <v>0</v>
      </c>
      <c r="M27" s="23">
        <v>0</v>
      </c>
      <c r="N27" s="23">
        <v>0</v>
      </c>
      <c r="O27" s="23">
        <v>0</v>
      </c>
    </row>
    <row r="28" spans="1:15" x14ac:dyDescent="0.3">
      <c r="A28" s="16" t="str">
        <f t="shared" si="0"/>
        <v>SmallSUVBaseFCEV320</v>
      </c>
      <c r="B28" s="79" t="str">
        <f>'Vehicle Attributes - Base Year'!B25</f>
        <v>MedCar</v>
      </c>
      <c r="C28" s="68" t="str">
        <f>'Vehicle Attributes - Base Year'!C25</f>
        <v>Premium</v>
      </c>
      <c r="D28" s="68" t="str">
        <f>'Vehicle Attributes - Base Year'!D25</f>
        <v>FCEV320</v>
      </c>
      <c r="E28" s="23">
        <v>0</v>
      </c>
      <c r="F28" s="23">
        <v>0</v>
      </c>
      <c r="G28" s="23">
        <v>0</v>
      </c>
      <c r="H28" s="23">
        <v>0</v>
      </c>
      <c r="I28" s="23">
        <v>0</v>
      </c>
      <c r="J28" s="23">
        <v>0</v>
      </c>
      <c r="K28" s="23">
        <v>0</v>
      </c>
      <c r="L28" s="23">
        <v>0</v>
      </c>
      <c r="M28" s="23">
        <v>0</v>
      </c>
      <c r="N28" s="23">
        <v>0</v>
      </c>
      <c r="O28" s="23">
        <v>0</v>
      </c>
    </row>
    <row r="29" spans="1:15" x14ac:dyDescent="0.3">
      <c r="A29" t="str">
        <f t="shared" si="0"/>
        <v>SmallSUVPremiumFCEV320</v>
      </c>
      <c r="B29" s="79" t="str">
        <f>'Vehicle Attributes - Base Year'!B26</f>
        <v>SmallSUV</v>
      </c>
      <c r="C29" s="68" t="str">
        <f>'Vehicle Attributes - Base Year'!C26</f>
        <v>Base</v>
      </c>
      <c r="D29" s="68" t="str">
        <f>'Vehicle Attributes - Base Year'!D26</f>
        <v>FCEV320</v>
      </c>
      <c r="E29" s="23">
        <v>0</v>
      </c>
      <c r="F29" s="23">
        <v>0</v>
      </c>
      <c r="G29" s="23">
        <v>0</v>
      </c>
      <c r="H29" s="23">
        <v>0</v>
      </c>
      <c r="I29" s="23">
        <v>0</v>
      </c>
      <c r="J29" s="23">
        <v>0</v>
      </c>
      <c r="K29" s="23">
        <v>0</v>
      </c>
      <c r="L29" s="23">
        <v>0</v>
      </c>
      <c r="M29" s="23">
        <v>0</v>
      </c>
      <c r="N29" s="23">
        <v>0</v>
      </c>
      <c r="O29" s="23">
        <v>0</v>
      </c>
    </row>
    <row r="30" spans="1:15" x14ac:dyDescent="0.3">
      <c r="A30" s="16" t="str">
        <f t="shared" si="0"/>
        <v>MedSUVBaseFCEV320</v>
      </c>
      <c r="B30" s="79" t="str">
        <f>'Vehicle Attributes - Base Year'!B27</f>
        <v>SmallSUV</v>
      </c>
      <c r="C30" s="68" t="str">
        <f>'Vehicle Attributes - Base Year'!C27</f>
        <v>Premium</v>
      </c>
      <c r="D30" s="68" t="str">
        <f>'Vehicle Attributes - Base Year'!D27</f>
        <v>FCEV320</v>
      </c>
      <c r="E30" s="23">
        <v>0</v>
      </c>
      <c r="F30" s="23">
        <v>0</v>
      </c>
      <c r="G30" s="23">
        <v>0</v>
      </c>
      <c r="H30" s="23">
        <v>0</v>
      </c>
      <c r="I30" s="23">
        <v>0</v>
      </c>
      <c r="J30" s="23">
        <v>0</v>
      </c>
      <c r="K30" s="23">
        <v>0</v>
      </c>
      <c r="L30" s="23">
        <v>0</v>
      </c>
      <c r="M30" s="23">
        <v>0</v>
      </c>
      <c r="N30" s="23">
        <v>0</v>
      </c>
      <c r="O30" s="23">
        <v>0</v>
      </c>
    </row>
    <row r="31" spans="1:15" x14ac:dyDescent="0.3">
      <c r="A31" t="str">
        <f t="shared" si="0"/>
        <v>MedSUVPremiumFCEV320</v>
      </c>
      <c r="B31" s="79" t="str">
        <f>'Vehicle Attributes - Base Year'!B28</f>
        <v>MedSUV</v>
      </c>
      <c r="C31" s="68" t="str">
        <f>'Vehicle Attributes - Base Year'!C28</f>
        <v>Base</v>
      </c>
      <c r="D31" s="68" t="str">
        <f>'Vehicle Attributes - Base Year'!D28</f>
        <v>FCEV320</v>
      </c>
      <c r="E31" s="23">
        <v>0</v>
      </c>
      <c r="F31" s="23">
        <v>0</v>
      </c>
      <c r="G31" s="23">
        <v>0</v>
      </c>
      <c r="H31" s="23">
        <v>0</v>
      </c>
      <c r="I31" s="23">
        <v>0</v>
      </c>
      <c r="J31" s="23">
        <v>0</v>
      </c>
      <c r="K31" s="23">
        <v>0</v>
      </c>
      <c r="L31" s="23">
        <v>0</v>
      </c>
      <c r="M31" s="23">
        <v>0</v>
      </c>
      <c r="N31" s="23">
        <v>0</v>
      </c>
      <c r="O31" s="23">
        <v>0</v>
      </c>
    </row>
    <row r="32" spans="1:15" x14ac:dyDescent="0.3">
      <c r="A32" s="16" t="str">
        <f t="shared" si="0"/>
        <v>PickupBaseFCEV320</v>
      </c>
      <c r="B32" s="79" t="str">
        <f>'Vehicle Attributes - Base Year'!B29</f>
        <v>MedSUV</v>
      </c>
      <c r="C32" s="68" t="str">
        <f>'Vehicle Attributes - Base Year'!C29</f>
        <v>Premium</v>
      </c>
      <c r="D32" s="68" t="str">
        <f>'Vehicle Attributes - Base Year'!D29</f>
        <v>FCEV320</v>
      </c>
      <c r="E32" s="23">
        <v>0</v>
      </c>
      <c r="F32" s="23">
        <v>0</v>
      </c>
      <c r="G32" s="23">
        <v>0</v>
      </c>
      <c r="H32" s="23">
        <v>0</v>
      </c>
      <c r="I32" s="23">
        <v>0</v>
      </c>
      <c r="J32" s="23">
        <v>0</v>
      </c>
      <c r="K32" s="23">
        <v>0</v>
      </c>
      <c r="L32" s="23">
        <v>0</v>
      </c>
      <c r="M32" s="23">
        <v>0</v>
      </c>
      <c r="N32" s="23">
        <v>0</v>
      </c>
      <c r="O32" s="23">
        <v>0</v>
      </c>
    </row>
    <row r="33" spans="1:15" x14ac:dyDescent="0.3">
      <c r="A33" t="str">
        <f t="shared" si="0"/>
        <v>PickupHTFCEV320</v>
      </c>
      <c r="B33" s="79" t="str">
        <f>'Vehicle Attributes - Base Year'!B30</f>
        <v>Pickup</v>
      </c>
      <c r="C33" s="68" t="str">
        <f>'Vehicle Attributes - Base Year'!C30</f>
        <v>Base</v>
      </c>
      <c r="D33" s="68" t="str">
        <f>'Vehicle Attributes - Base Year'!D30</f>
        <v>FCEV320</v>
      </c>
      <c r="E33" s="23">
        <v>0</v>
      </c>
      <c r="F33" s="23">
        <v>0</v>
      </c>
      <c r="G33" s="23">
        <v>0</v>
      </c>
      <c r="H33" s="23">
        <v>0</v>
      </c>
      <c r="I33" s="23">
        <v>0</v>
      </c>
      <c r="J33" s="23">
        <v>0</v>
      </c>
      <c r="K33" s="23">
        <v>0</v>
      </c>
      <c r="L33" s="23">
        <v>0</v>
      </c>
      <c r="M33" s="23">
        <v>0</v>
      </c>
      <c r="N33" s="23">
        <v>0</v>
      </c>
      <c r="O33" s="23">
        <v>0</v>
      </c>
    </row>
    <row r="34" spans="1:15" x14ac:dyDescent="0.3">
      <c r="B34" s="79" t="str">
        <f>'Vehicle Attributes - Base Year'!B31</f>
        <v>Pickup</v>
      </c>
      <c r="C34" s="68" t="str">
        <f>'Vehicle Attributes - Base Year'!C31</f>
        <v>HT</v>
      </c>
      <c r="D34" s="68" t="str">
        <f>'Vehicle Attributes - Base Year'!D31</f>
        <v>FCEV320</v>
      </c>
      <c r="E34" s="23">
        <v>0</v>
      </c>
      <c r="F34" s="23">
        <v>0</v>
      </c>
      <c r="G34" s="23">
        <v>0</v>
      </c>
      <c r="H34" s="23">
        <v>0</v>
      </c>
      <c r="I34" s="23">
        <v>0</v>
      </c>
      <c r="J34" s="23">
        <v>0</v>
      </c>
      <c r="K34" s="23">
        <v>0</v>
      </c>
      <c r="L34" s="23">
        <v>0</v>
      </c>
      <c r="M34" s="23">
        <v>0</v>
      </c>
      <c r="N34" s="23">
        <v>0</v>
      </c>
      <c r="O34" s="23">
        <v>0</v>
      </c>
    </row>
  </sheetData>
  <mergeCells count="2">
    <mergeCell ref="B1:O1"/>
    <mergeCell ref="E2:O2"/>
  </mergeCells>
  <pageMargins left="0.7" right="0.7" top="0.75" bottom="0.75" header="0.3" footer="0.3"/>
  <legacyDrawing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777777"/>
  </sheetPr>
  <dimension ref="A1:O34"/>
  <sheetViews>
    <sheetView topLeftCell="B1" workbookViewId="0"/>
  </sheetViews>
  <sheetFormatPr defaultRowHeight="14.4" x14ac:dyDescent="0.3"/>
  <cols>
    <col min="1" max="1" width="0" hidden="1" customWidth="1"/>
    <col min="2" max="2" width="12.5546875" bestFit="1" customWidth="1"/>
    <col min="3" max="3" width="12.44140625" bestFit="1" customWidth="1"/>
    <col min="4" max="10" width="11" customWidth="1"/>
    <col min="11" max="15" width="12" customWidth="1"/>
  </cols>
  <sheetData>
    <row r="1" spans="1:15" x14ac:dyDescent="0.3">
      <c r="B1" s="170" t="s">
        <v>234</v>
      </c>
      <c r="C1" s="175"/>
      <c r="D1" s="175"/>
      <c r="E1" s="175"/>
      <c r="F1" s="175"/>
      <c r="G1" s="175"/>
      <c r="H1" s="175"/>
      <c r="I1" s="175"/>
      <c r="J1" s="175"/>
      <c r="K1" s="175"/>
      <c r="L1" s="175"/>
      <c r="M1" s="175"/>
      <c r="N1" s="175"/>
      <c r="O1" s="171"/>
    </row>
    <row r="2" spans="1:15" x14ac:dyDescent="0.3">
      <c r="B2" s="73"/>
      <c r="C2" s="73"/>
      <c r="D2" s="74"/>
      <c r="E2" s="195" t="s">
        <v>155</v>
      </c>
      <c r="F2" s="195"/>
      <c r="G2" s="195"/>
      <c r="H2" s="195"/>
      <c r="I2" s="195"/>
      <c r="J2" s="195"/>
      <c r="K2" s="195"/>
      <c r="L2" s="195"/>
      <c r="M2" s="195"/>
      <c r="N2" s="195"/>
      <c r="O2" s="196"/>
    </row>
    <row r="3" spans="1:15" x14ac:dyDescent="0.3">
      <c r="B3" s="75" t="s">
        <v>100</v>
      </c>
      <c r="C3" s="75" t="s">
        <v>101</v>
      </c>
      <c r="D3" s="76" t="s">
        <v>67</v>
      </c>
      <c r="E3" s="77">
        <v>2025</v>
      </c>
      <c r="F3" s="78">
        <v>2026</v>
      </c>
      <c r="G3" s="78">
        <v>2027</v>
      </c>
      <c r="H3" s="78">
        <v>2028</v>
      </c>
      <c r="I3" s="78">
        <v>2029</v>
      </c>
      <c r="J3" s="78">
        <v>2030</v>
      </c>
      <c r="K3" s="78">
        <v>2031</v>
      </c>
      <c r="L3" s="78">
        <v>2032</v>
      </c>
      <c r="M3" s="78">
        <v>2033</v>
      </c>
      <c r="N3" s="78">
        <v>2034</v>
      </c>
      <c r="O3" s="148">
        <v>2035</v>
      </c>
    </row>
    <row r="4" spans="1:15" x14ac:dyDescent="0.3">
      <c r="A4" s="16" t="str">
        <f t="shared" ref="A4:A33" si="0">CONCATENATE(B5,C5,D5)</f>
        <v>SmallCarBaseBEV300</v>
      </c>
      <c r="B4" s="79" t="s">
        <v>64</v>
      </c>
      <c r="C4" s="68" t="s">
        <v>65</v>
      </c>
      <c r="D4" s="68" t="s">
        <v>156</v>
      </c>
      <c r="E4" s="23" t="s">
        <v>157</v>
      </c>
      <c r="F4" s="23" t="s">
        <v>158</v>
      </c>
      <c r="G4" s="23" t="s">
        <v>159</v>
      </c>
      <c r="H4" s="23" t="s">
        <v>160</v>
      </c>
      <c r="I4" s="23" t="s">
        <v>161</v>
      </c>
      <c r="J4" s="23" t="s">
        <v>162</v>
      </c>
      <c r="K4" s="23" t="s">
        <v>163</v>
      </c>
      <c r="L4" s="23" t="s">
        <v>164</v>
      </c>
      <c r="M4" s="23" t="s">
        <v>165</v>
      </c>
      <c r="N4" s="23" t="s">
        <v>166</v>
      </c>
      <c r="O4" s="43" t="s">
        <v>167</v>
      </c>
    </row>
    <row r="5" spans="1:15" x14ac:dyDescent="0.3">
      <c r="A5" t="str">
        <f t="shared" si="0"/>
        <v>SmallCarPremiumBEV400</v>
      </c>
      <c r="B5" s="79" t="str">
        <f>'Vehicle Attributes - Base Year'!B2</f>
        <v>SmallCar</v>
      </c>
      <c r="C5" s="68" t="str">
        <f>'Vehicle Attributes - Base Year'!C2</f>
        <v>Base</v>
      </c>
      <c r="D5" s="68" t="str">
        <f>'Vehicle Attributes - Base Year'!D2</f>
        <v>BEV300</v>
      </c>
      <c r="E5" s="23">
        <v>-1600</v>
      </c>
      <c r="F5" s="23">
        <v>-1600</v>
      </c>
      <c r="G5" s="23">
        <v>-1600</v>
      </c>
      <c r="H5" s="23">
        <v>-1600</v>
      </c>
      <c r="I5" s="23">
        <v>-1600</v>
      </c>
      <c r="J5" s="23">
        <v>-1600</v>
      </c>
      <c r="K5" s="23">
        <v>-1600</v>
      </c>
      <c r="L5" s="23">
        <v>-1600</v>
      </c>
      <c r="M5" s="23">
        <v>-1600</v>
      </c>
      <c r="N5" s="23">
        <v>-1600</v>
      </c>
      <c r="O5" s="43">
        <v>-1600</v>
      </c>
    </row>
    <row r="6" spans="1:15" x14ac:dyDescent="0.3">
      <c r="A6" s="16" t="str">
        <f t="shared" si="0"/>
        <v>MedCarBaseBEV300</v>
      </c>
      <c r="B6" s="79" t="str">
        <f>'Vehicle Attributes - Base Year'!B3</f>
        <v>SmallCar</v>
      </c>
      <c r="C6" s="68" t="str">
        <f>'Vehicle Attributes - Base Year'!C3</f>
        <v>Premium</v>
      </c>
      <c r="D6" s="68" t="str">
        <f>'Vehicle Attributes - Base Year'!D3</f>
        <v>BEV400</v>
      </c>
      <c r="E6" s="23">
        <v>-1600</v>
      </c>
      <c r="F6" s="23">
        <v>-1600</v>
      </c>
      <c r="G6" s="23">
        <v>-1600</v>
      </c>
      <c r="H6" s="23">
        <v>-1600</v>
      </c>
      <c r="I6" s="23">
        <v>-1600</v>
      </c>
      <c r="J6" s="23">
        <v>-1600</v>
      </c>
      <c r="K6" s="23">
        <v>-1600</v>
      </c>
      <c r="L6" s="23">
        <v>-1600</v>
      </c>
      <c r="M6" s="23">
        <v>-1600</v>
      </c>
      <c r="N6" s="23">
        <v>-1600</v>
      </c>
      <c r="O6" s="43">
        <v>-1600</v>
      </c>
    </row>
    <row r="7" spans="1:15" x14ac:dyDescent="0.3">
      <c r="A7" t="str">
        <f t="shared" si="0"/>
        <v>MedCarPremiumBEV400</v>
      </c>
      <c r="B7" s="79" t="str">
        <f>'Vehicle Attributes - Base Year'!B4</f>
        <v>MedCar</v>
      </c>
      <c r="C7" s="68" t="str">
        <f>'Vehicle Attributes - Base Year'!C4</f>
        <v>Base</v>
      </c>
      <c r="D7" s="68" t="str">
        <f>'Vehicle Attributes - Base Year'!D4</f>
        <v>BEV300</v>
      </c>
      <c r="E7" s="23">
        <v>-1600</v>
      </c>
      <c r="F7" s="23">
        <v>-1600</v>
      </c>
      <c r="G7" s="23">
        <v>-1600</v>
      </c>
      <c r="H7" s="23">
        <v>-1600</v>
      </c>
      <c r="I7" s="23">
        <v>-1600</v>
      </c>
      <c r="J7" s="23">
        <v>-1600</v>
      </c>
      <c r="K7" s="23">
        <v>-1600</v>
      </c>
      <c r="L7" s="23">
        <v>-1600</v>
      </c>
      <c r="M7" s="23">
        <v>-1600</v>
      </c>
      <c r="N7" s="23">
        <v>-1600</v>
      </c>
      <c r="O7" s="43">
        <v>-1600</v>
      </c>
    </row>
    <row r="8" spans="1:15" x14ac:dyDescent="0.3">
      <c r="A8" s="16" t="str">
        <f t="shared" si="0"/>
        <v>SmallSUVBaseBEV300</v>
      </c>
      <c r="B8" s="79" t="str">
        <f>'Vehicle Attributes - Base Year'!B5</f>
        <v>MedCar</v>
      </c>
      <c r="C8" s="68" t="str">
        <f>'Vehicle Attributes - Base Year'!C5</f>
        <v>Premium</v>
      </c>
      <c r="D8" s="68" t="str">
        <f>'Vehicle Attributes - Base Year'!D5</f>
        <v>BEV400</v>
      </c>
      <c r="E8" s="23">
        <v>-1600</v>
      </c>
      <c r="F8" s="23">
        <v>-1600</v>
      </c>
      <c r="G8" s="23">
        <v>-1600</v>
      </c>
      <c r="H8" s="23">
        <v>-1600</v>
      </c>
      <c r="I8" s="23">
        <v>-1600</v>
      </c>
      <c r="J8" s="23">
        <v>-1600</v>
      </c>
      <c r="K8" s="23">
        <v>-1600</v>
      </c>
      <c r="L8" s="23">
        <v>-1600</v>
      </c>
      <c r="M8" s="23">
        <v>-1600</v>
      </c>
      <c r="N8" s="23">
        <v>-1600</v>
      </c>
      <c r="O8" s="43">
        <v>-1600</v>
      </c>
    </row>
    <row r="9" spans="1:15" x14ac:dyDescent="0.3">
      <c r="A9" t="str">
        <f t="shared" si="0"/>
        <v>SmallSUVPremiumBEV400</v>
      </c>
      <c r="B9" s="79" t="str">
        <f>'Vehicle Attributes - Base Year'!B6</f>
        <v>SmallSUV</v>
      </c>
      <c r="C9" s="68" t="str">
        <f>'Vehicle Attributes - Base Year'!C6</f>
        <v>Base</v>
      </c>
      <c r="D9" s="68" t="str">
        <f>'Vehicle Attributes - Base Year'!D6</f>
        <v>BEV300</v>
      </c>
      <c r="E9" s="23">
        <v>-1600</v>
      </c>
      <c r="F9" s="23">
        <v>-1600</v>
      </c>
      <c r="G9" s="23">
        <v>-1600</v>
      </c>
      <c r="H9" s="23">
        <v>-1600</v>
      </c>
      <c r="I9" s="23">
        <v>-1600</v>
      </c>
      <c r="J9" s="23">
        <v>-1600</v>
      </c>
      <c r="K9" s="23">
        <v>-1600</v>
      </c>
      <c r="L9" s="23">
        <v>-1600</v>
      </c>
      <c r="M9" s="23">
        <v>-1600</v>
      </c>
      <c r="N9" s="23">
        <v>-1600</v>
      </c>
      <c r="O9" s="43">
        <v>-1600</v>
      </c>
    </row>
    <row r="10" spans="1:15" x14ac:dyDescent="0.3">
      <c r="A10" s="16" t="str">
        <f t="shared" si="0"/>
        <v>MedSUVBaseBEV300</v>
      </c>
      <c r="B10" s="79" t="str">
        <f>'Vehicle Attributes - Base Year'!B7</f>
        <v>SmallSUV</v>
      </c>
      <c r="C10" s="68" t="str">
        <f>'Vehicle Attributes - Base Year'!C7</f>
        <v>Premium</v>
      </c>
      <c r="D10" s="68" t="str">
        <f>'Vehicle Attributes - Base Year'!D7</f>
        <v>BEV400</v>
      </c>
      <c r="E10" s="23">
        <v>-1600</v>
      </c>
      <c r="F10" s="23">
        <v>-1600</v>
      </c>
      <c r="G10" s="23">
        <v>-1600</v>
      </c>
      <c r="H10" s="23">
        <v>-1600</v>
      </c>
      <c r="I10" s="23">
        <v>-1600</v>
      </c>
      <c r="J10" s="23">
        <v>-1600</v>
      </c>
      <c r="K10" s="23">
        <v>-1600</v>
      </c>
      <c r="L10" s="23">
        <v>-1600</v>
      </c>
      <c r="M10" s="23">
        <v>-1600</v>
      </c>
      <c r="N10" s="23">
        <v>-1600</v>
      </c>
      <c r="O10" s="43">
        <v>-1600</v>
      </c>
    </row>
    <row r="11" spans="1:15" x14ac:dyDescent="0.3">
      <c r="A11" t="str">
        <f t="shared" si="0"/>
        <v>MedSUVPremiumBEV400</v>
      </c>
      <c r="B11" s="79" t="str">
        <f>'Vehicle Attributes - Base Year'!B8</f>
        <v>MedSUV</v>
      </c>
      <c r="C11" s="68" t="str">
        <f>'Vehicle Attributes - Base Year'!C8</f>
        <v>Base</v>
      </c>
      <c r="D11" s="68" t="str">
        <f>'Vehicle Attributes - Base Year'!D8</f>
        <v>BEV300</v>
      </c>
      <c r="E11" s="23">
        <v>-1600</v>
      </c>
      <c r="F11" s="23">
        <v>-1600</v>
      </c>
      <c r="G11" s="23">
        <v>-1600</v>
      </c>
      <c r="H11" s="23">
        <v>-1600</v>
      </c>
      <c r="I11" s="23">
        <v>-1600</v>
      </c>
      <c r="J11" s="23">
        <v>-1600</v>
      </c>
      <c r="K11" s="23">
        <v>-1600</v>
      </c>
      <c r="L11" s="23">
        <v>-1600</v>
      </c>
      <c r="M11" s="23">
        <v>-1600</v>
      </c>
      <c r="N11" s="23">
        <v>-1600</v>
      </c>
      <c r="O11" s="43">
        <v>-1600</v>
      </c>
    </row>
    <row r="12" spans="1:15" x14ac:dyDescent="0.3">
      <c r="A12" s="16" t="str">
        <f t="shared" si="0"/>
        <v>PickupBaseBEV300</v>
      </c>
      <c r="B12" s="79" t="str">
        <f>'Vehicle Attributes - Base Year'!B9</f>
        <v>MedSUV</v>
      </c>
      <c r="C12" s="68" t="str">
        <f>'Vehicle Attributes - Base Year'!C9</f>
        <v>Premium</v>
      </c>
      <c r="D12" s="68" t="str">
        <f>'Vehicle Attributes - Base Year'!D9</f>
        <v>BEV400</v>
      </c>
      <c r="E12" s="23">
        <v>-1600</v>
      </c>
      <c r="F12" s="23">
        <v>-1600</v>
      </c>
      <c r="G12" s="23">
        <v>-1600</v>
      </c>
      <c r="H12" s="23">
        <v>-1600</v>
      </c>
      <c r="I12" s="23">
        <v>-1600</v>
      </c>
      <c r="J12" s="23">
        <v>-1600</v>
      </c>
      <c r="K12" s="23">
        <v>-1600</v>
      </c>
      <c r="L12" s="23">
        <v>-1600</v>
      </c>
      <c r="M12" s="23">
        <v>-1600</v>
      </c>
      <c r="N12" s="23">
        <v>-1600</v>
      </c>
      <c r="O12" s="43">
        <v>-1600</v>
      </c>
    </row>
    <row r="13" spans="1:15" x14ac:dyDescent="0.3">
      <c r="A13" t="str">
        <f t="shared" si="0"/>
        <v>PickupHTBEV400</v>
      </c>
      <c r="B13" s="79" t="str">
        <f>'Vehicle Attributes - Base Year'!B10</f>
        <v>Pickup</v>
      </c>
      <c r="C13" s="68" t="str">
        <f>'Vehicle Attributes - Base Year'!C10</f>
        <v>Base</v>
      </c>
      <c r="D13" s="68" t="str">
        <f>'Vehicle Attributes - Base Year'!D10</f>
        <v>BEV300</v>
      </c>
      <c r="E13" s="23">
        <v>-1600</v>
      </c>
      <c r="F13" s="23">
        <v>-1600</v>
      </c>
      <c r="G13" s="23">
        <v>-1600</v>
      </c>
      <c r="H13" s="23">
        <v>-1600</v>
      </c>
      <c r="I13" s="23">
        <v>-1600</v>
      </c>
      <c r="J13" s="23">
        <v>-1600</v>
      </c>
      <c r="K13" s="23">
        <v>-1600</v>
      </c>
      <c r="L13" s="23">
        <v>-1600</v>
      </c>
      <c r="M13" s="23">
        <v>-1600</v>
      </c>
      <c r="N13" s="23">
        <v>-1600</v>
      </c>
      <c r="O13" s="43">
        <v>-1600</v>
      </c>
    </row>
    <row r="14" spans="1:15" x14ac:dyDescent="0.3">
      <c r="A14" s="16" t="str">
        <f t="shared" si="0"/>
        <v>SmallCarBasePHEV50</v>
      </c>
      <c r="B14" s="79" t="str">
        <f>'Vehicle Attributes - Base Year'!B11</f>
        <v>Pickup</v>
      </c>
      <c r="C14" s="68" t="str">
        <f>'Vehicle Attributes - Base Year'!C11</f>
        <v>HT</v>
      </c>
      <c r="D14" s="68" t="str">
        <f>'Vehicle Attributes - Base Year'!D11</f>
        <v>BEV400</v>
      </c>
      <c r="E14" s="23">
        <v>-1600</v>
      </c>
      <c r="F14" s="23">
        <v>-1600</v>
      </c>
      <c r="G14" s="23">
        <v>-1600</v>
      </c>
      <c r="H14" s="23">
        <v>-1600</v>
      </c>
      <c r="I14" s="23">
        <v>-1600</v>
      </c>
      <c r="J14" s="23">
        <v>-1600</v>
      </c>
      <c r="K14" s="23">
        <v>-1600</v>
      </c>
      <c r="L14" s="23">
        <v>-1600</v>
      </c>
      <c r="M14" s="23">
        <v>-1600</v>
      </c>
      <c r="N14" s="23">
        <v>-1600</v>
      </c>
      <c r="O14" s="43">
        <v>-1600</v>
      </c>
    </row>
    <row r="15" spans="1:15" x14ac:dyDescent="0.3">
      <c r="A15" t="str">
        <f t="shared" si="0"/>
        <v>SmallCarPremiumPHEV50</v>
      </c>
      <c r="B15" s="79" t="str">
        <f>'Vehicle Attributes - Base Year'!B12</f>
        <v>SmallCar</v>
      </c>
      <c r="C15" s="68" t="str">
        <f>'Vehicle Attributes - Base Year'!C12</f>
        <v>Base</v>
      </c>
      <c r="D15" s="68" t="str">
        <f>'Vehicle Attributes - Base Year'!D12</f>
        <v>PHEV50</v>
      </c>
      <c r="E15" s="23">
        <v>0</v>
      </c>
      <c r="F15" s="23">
        <v>0</v>
      </c>
      <c r="G15" s="23">
        <v>0</v>
      </c>
      <c r="H15" s="23">
        <v>0</v>
      </c>
      <c r="I15" s="23">
        <v>0</v>
      </c>
      <c r="J15" s="23">
        <v>0</v>
      </c>
      <c r="K15" s="23">
        <v>0</v>
      </c>
      <c r="L15" s="23">
        <v>0</v>
      </c>
      <c r="M15" s="23">
        <v>0</v>
      </c>
      <c r="N15" s="23">
        <v>0</v>
      </c>
      <c r="O15" s="43">
        <v>0</v>
      </c>
    </row>
    <row r="16" spans="1:15" x14ac:dyDescent="0.3">
      <c r="A16" s="16" t="str">
        <f t="shared" si="0"/>
        <v>MedCarBasePHEV50</v>
      </c>
      <c r="B16" s="79" t="str">
        <f>'Vehicle Attributes - Base Year'!B13</f>
        <v>SmallCar</v>
      </c>
      <c r="C16" s="68" t="str">
        <f>'Vehicle Attributes - Base Year'!C13</f>
        <v>Premium</v>
      </c>
      <c r="D16" s="68" t="str">
        <f>'Vehicle Attributes - Base Year'!D13</f>
        <v>PHEV50</v>
      </c>
      <c r="E16" s="23">
        <v>0</v>
      </c>
      <c r="F16" s="23">
        <v>0</v>
      </c>
      <c r="G16" s="23">
        <v>0</v>
      </c>
      <c r="H16" s="23">
        <v>0</v>
      </c>
      <c r="I16" s="23">
        <v>0</v>
      </c>
      <c r="J16" s="23">
        <v>0</v>
      </c>
      <c r="K16" s="23">
        <v>0</v>
      </c>
      <c r="L16" s="23">
        <v>0</v>
      </c>
      <c r="M16" s="23">
        <v>0</v>
      </c>
      <c r="N16" s="23">
        <v>0</v>
      </c>
      <c r="O16" s="43">
        <v>0</v>
      </c>
    </row>
    <row r="17" spans="1:15" x14ac:dyDescent="0.3">
      <c r="A17" t="str">
        <f t="shared" si="0"/>
        <v>MedCarPremiumPHEV50</v>
      </c>
      <c r="B17" s="79" t="str">
        <f>'Vehicle Attributes - Base Year'!B14</f>
        <v>MedCar</v>
      </c>
      <c r="C17" s="68" t="str">
        <f>'Vehicle Attributes - Base Year'!C14</f>
        <v>Base</v>
      </c>
      <c r="D17" s="68" t="str">
        <f>'Vehicle Attributes - Base Year'!D14</f>
        <v>PHEV50</v>
      </c>
      <c r="E17" s="23">
        <v>0</v>
      </c>
      <c r="F17" s="23">
        <v>0</v>
      </c>
      <c r="G17" s="23">
        <v>0</v>
      </c>
      <c r="H17" s="23">
        <v>0</v>
      </c>
      <c r="I17" s="23">
        <v>0</v>
      </c>
      <c r="J17" s="23">
        <v>0</v>
      </c>
      <c r="K17" s="23">
        <v>0</v>
      </c>
      <c r="L17" s="23">
        <v>0</v>
      </c>
      <c r="M17" s="23">
        <v>0</v>
      </c>
      <c r="N17" s="23">
        <v>0</v>
      </c>
      <c r="O17" s="43">
        <v>0</v>
      </c>
    </row>
    <row r="18" spans="1:15" x14ac:dyDescent="0.3">
      <c r="A18" s="16" t="str">
        <f t="shared" si="0"/>
        <v>SmallSUVBasePHEV50</v>
      </c>
      <c r="B18" s="79" t="str">
        <f>'Vehicle Attributes - Base Year'!B15</f>
        <v>MedCar</v>
      </c>
      <c r="C18" s="68" t="str">
        <f>'Vehicle Attributes - Base Year'!C15</f>
        <v>Premium</v>
      </c>
      <c r="D18" s="68" t="str">
        <f>'Vehicle Attributes - Base Year'!D15</f>
        <v>PHEV50</v>
      </c>
      <c r="E18" s="23">
        <v>0</v>
      </c>
      <c r="F18" s="23">
        <v>0</v>
      </c>
      <c r="G18" s="23">
        <v>0</v>
      </c>
      <c r="H18" s="23">
        <v>0</v>
      </c>
      <c r="I18" s="23">
        <v>0</v>
      </c>
      <c r="J18" s="23">
        <v>0</v>
      </c>
      <c r="K18" s="23">
        <v>0</v>
      </c>
      <c r="L18" s="23">
        <v>0</v>
      </c>
      <c r="M18" s="23">
        <v>0</v>
      </c>
      <c r="N18" s="23">
        <v>0</v>
      </c>
      <c r="O18" s="43">
        <v>0</v>
      </c>
    </row>
    <row r="19" spans="1:15" x14ac:dyDescent="0.3">
      <c r="A19" t="str">
        <f t="shared" si="0"/>
        <v>SmallSUVPremiumPHEV50</v>
      </c>
      <c r="B19" s="79" t="str">
        <f>'Vehicle Attributes - Base Year'!B16</f>
        <v>SmallSUV</v>
      </c>
      <c r="C19" s="68" t="str">
        <f>'Vehicle Attributes - Base Year'!C16</f>
        <v>Base</v>
      </c>
      <c r="D19" s="68" t="str">
        <f>'Vehicle Attributes - Base Year'!D16</f>
        <v>PHEV50</v>
      </c>
      <c r="E19" s="23">
        <v>0</v>
      </c>
      <c r="F19" s="23">
        <v>0</v>
      </c>
      <c r="G19" s="23">
        <v>0</v>
      </c>
      <c r="H19" s="23">
        <v>0</v>
      </c>
      <c r="I19" s="23">
        <v>0</v>
      </c>
      <c r="J19" s="23">
        <v>0</v>
      </c>
      <c r="K19" s="23">
        <v>0</v>
      </c>
      <c r="L19" s="23">
        <v>0</v>
      </c>
      <c r="M19" s="23">
        <v>0</v>
      </c>
      <c r="N19" s="23">
        <v>0</v>
      </c>
      <c r="O19" s="43">
        <v>0</v>
      </c>
    </row>
    <row r="20" spans="1:15" x14ac:dyDescent="0.3">
      <c r="A20" s="16" t="str">
        <f t="shared" si="0"/>
        <v>MedSUVBasePHEV50</v>
      </c>
      <c r="B20" s="79" t="str">
        <f>'Vehicle Attributes - Base Year'!B17</f>
        <v>SmallSUV</v>
      </c>
      <c r="C20" s="68" t="str">
        <f>'Vehicle Attributes - Base Year'!C17</f>
        <v>Premium</v>
      </c>
      <c r="D20" s="68" t="str">
        <f>'Vehicle Attributes - Base Year'!D17</f>
        <v>PHEV50</v>
      </c>
      <c r="E20" s="23">
        <v>0</v>
      </c>
      <c r="F20" s="23">
        <v>0</v>
      </c>
      <c r="G20" s="23">
        <v>0</v>
      </c>
      <c r="H20" s="23">
        <v>0</v>
      </c>
      <c r="I20" s="23">
        <v>0</v>
      </c>
      <c r="J20" s="23">
        <v>0</v>
      </c>
      <c r="K20" s="23">
        <v>0</v>
      </c>
      <c r="L20" s="23">
        <v>0</v>
      </c>
      <c r="M20" s="23">
        <v>0</v>
      </c>
      <c r="N20" s="23">
        <v>0</v>
      </c>
      <c r="O20" s="43">
        <v>0</v>
      </c>
    </row>
    <row r="21" spans="1:15" x14ac:dyDescent="0.3">
      <c r="A21" t="str">
        <f t="shared" si="0"/>
        <v>MedSUVPremiumPHEV50</v>
      </c>
      <c r="B21" s="79" t="str">
        <f>'Vehicle Attributes - Base Year'!B18</f>
        <v>MedSUV</v>
      </c>
      <c r="C21" s="68" t="str">
        <f>'Vehicle Attributes - Base Year'!C18</f>
        <v>Base</v>
      </c>
      <c r="D21" s="68" t="str">
        <f>'Vehicle Attributes - Base Year'!D18</f>
        <v>PHEV50</v>
      </c>
      <c r="E21" s="23">
        <v>0</v>
      </c>
      <c r="F21" s="23">
        <v>0</v>
      </c>
      <c r="G21" s="23">
        <v>0</v>
      </c>
      <c r="H21" s="23">
        <v>0</v>
      </c>
      <c r="I21" s="23">
        <v>0</v>
      </c>
      <c r="J21" s="23">
        <v>0</v>
      </c>
      <c r="K21" s="23">
        <v>0</v>
      </c>
      <c r="L21" s="23">
        <v>0</v>
      </c>
      <c r="M21" s="23">
        <v>0</v>
      </c>
      <c r="N21" s="23">
        <v>0</v>
      </c>
      <c r="O21" s="43">
        <v>0</v>
      </c>
    </row>
    <row r="22" spans="1:15" x14ac:dyDescent="0.3">
      <c r="A22" s="16" t="str">
        <f t="shared" si="0"/>
        <v>PickupBasePHEV50</v>
      </c>
      <c r="B22" s="79" t="str">
        <f>'Vehicle Attributes - Base Year'!B19</f>
        <v>MedSUV</v>
      </c>
      <c r="C22" s="68" t="str">
        <f>'Vehicle Attributes - Base Year'!C19</f>
        <v>Premium</v>
      </c>
      <c r="D22" s="68" t="str">
        <f>'Vehicle Attributes - Base Year'!D19</f>
        <v>PHEV50</v>
      </c>
      <c r="E22" s="23">
        <v>0</v>
      </c>
      <c r="F22" s="23">
        <v>0</v>
      </c>
      <c r="G22" s="23">
        <v>0</v>
      </c>
      <c r="H22" s="23">
        <v>0</v>
      </c>
      <c r="I22" s="23">
        <v>0</v>
      </c>
      <c r="J22" s="23">
        <v>0</v>
      </c>
      <c r="K22" s="23">
        <v>0</v>
      </c>
      <c r="L22" s="23">
        <v>0</v>
      </c>
      <c r="M22" s="23">
        <v>0</v>
      </c>
      <c r="N22" s="23">
        <v>0</v>
      </c>
      <c r="O22" s="43">
        <v>0</v>
      </c>
    </row>
    <row r="23" spans="1:15" x14ac:dyDescent="0.3">
      <c r="A23" t="str">
        <f t="shared" si="0"/>
        <v>PickupHTPHEV50</v>
      </c>
      <c r="B23" s="79" t="str">
        <f>'Vehicle Attributes - Base Year'!B20</f>
        <v>Pickup</v>
      </c>
      <c r="C23" s="68" t="str">
        <f>'Vehicle Attributes - Base Year'!C20</f>
        <v>Base</v>
      </c>
      <c r="D23" s="68" t="str">
        <f>'Vehicle Attributes - Base Year'!D20</f>
        <v>PHEV50</v>
      </c>
      <c r="E23" s="23">
        <v>0</v>
      </c>
      <c r="F23" s="23">
        <v>0</v>
      </c>
      <c r="G23" s="23">
        <v>0</v>
      </c>
      <c r="H23" s="23">
        <v>0</v>
      </c>
      <c r="I23" s="23">
        <v>0</v>
      </c>
      <c r="J23" s="23">
        <v>0</v>
      </c>
      <c r="K23" s="23">
        <v>0</v>
      </c>
      <c r="L23" s="23">
        <v>0</v>
      </c>
      <c r="M23" s="23">
        <v>0</v>
      </c>
      <c r="N23" s="23">
        <v>0</v>
      </c>
      <c r="O23" s="43">
        <v>0</v>
      </c>
    </row>
    <row r="24" spans="1:15" x14ac:dyDescent="0.3">
      <c r="A24" s="16" t="str">
        <f t="shared" si="0"/>
        <v>SmallCarBaseFCEV320</v>
      </c>
      <c r="B24" s="79" t="str">
        <f>'Vehicle Attributes - Base Year'!B21</f>
        <v>Pickup</v>
      </c>
      <c r="C24" s="68" t="str">
        <f>'Vehicle Attributes - Base Year'!C21</f>
        <v>HT</v>
      </c>
      <c r="D24" s="68" t="str">
        <f>'Vehicle Attributes - Base Year'!D21</f>
        <v>PHEV50</v>
      </c>
      <c r="E24" s="23">
        <v>0</v>
      </c>
      <c r="F24" s="23">
        <v>0</v>
      </c>
      <c r="G24" s="23">
        <v>0</v>
      </c>
      <c r="H24" s="23">
        <v>0</v>
      </c>
      <c r="I24" s="23">
        <v>0</v>
      </c>
      <c r="J24" s="23">
        <v>0</v>
      </c>
      <c r="K24" s="23">
        <v>0</v>
      </c>
      <c r="L24" s="23">
        <v>0</v>
      </c>
      <c r="M24" s="23">
        <v>0</v>
      </c>
      <c r="N24" s="23">
        <v>0</v>
      </c>
      <c r="O24" s="43">
        <v>0</v>
      </c>
    </row>
    <row r="25" spans="1:15" x14ac:dyDescent="0.3">
      <c r="A25" t="str">
        <f t="shared" si="0"/>
        <v>SmallCarPremiumFCEV320</v>
      </c>
      <c r="B25" s="79" t="str">
        <f>'Vehicle Attributes - Base Year'!B22</f>
        <v>SmallCar</v>
      </c>
      <c r="C25" s="68" t="str">
        <f>'Vehicle Attributes - Base Year'!C22</f>
        <v>Base</v>
      </c>
      <c r="D25" s="68" t="str">
        <f>'Vehicle Attributes - Base Year'!D22</f>
        <v>FCEV320</v>
      </c>
      <c r="E25" s="23">
        <v>-800</v>
      </c>
      <c r="F25" s="23">
        <v>-800</v>
      </c>
      <c r="G25" s="23">
        <v>-800</v>
      </c>
      <c r="H25" s="23">
        <v>-800</v>
      </c>
      <c r="I25" s="23">
        <v>-800</v>
      </c>
      <c r="J25" s="23">
        <v>-800</v>
      </c>
      <c r="K25" s="23">
        <v>-800</v>
      </c>
      <c r="L25" s="23">
        <v>-800</v>
      </c>
      <c r="M25" s="23">
        <v>-800</v>
      </c>
      <c r="N25" s="23">
        <v>-800</v>
      </c>
      <c r="O25" s="43">
        <v>-800</v>
      </c>
    </row>
    <row r="26" spans="1:15" x14ac:dyDescent="0.3">
      <c r="A26" s="16" t="str">
        <f t="shared" si="0"/>
        <v>MedCarBaseFCEV320</v>
      </c>
      <c r="B26" s="79" t="str">
        <f>'Vehicle Attributes - Base Year'!B23</f>
        <v>SmallCar</v>
      </c>
      <c r="C26" s="68" t="str">
        <f>'Vehicle Attributes - Base Year'!C23</f>
        <v>Premium</v>
      </c>
      <c r="D26" s="68" t="str">
        <f>'Vehicle Attributes - Base Year'!D23</f>
        <v>FCEV320</v>
      </c>
      <c r="E26" s="23">
        <v>-800</v>
      </c>
      <c r="F26" s="23">
        <v>-800</v>
      </c>
      <c r="G26" s="23">
        <v>-800</v>
      </c>
      <c r="H26" s="23">
        <v>-800</v>
      </c>
      <c r="I26" s="23">
        <v>-800</v>
      </c>
      <c r="J26" s="23">
        <v>-800</v>
      </c>
      <c r="K26" s="23">
        <v>-800</v>
      </c>
      <c r="L26" s="23">
        <v>-800</v>
      </c>
      <c r="M26" s="23">
        <v>-800</v>
      </c>
      <c r="N26" s="23">
        <v>-800</v>
      </c>
      <c r="O26" s="43">
        <v>-800</v>
      </c>
    </row>
    <row r="27" spans="1:15" x14ac:dyDescent="0.3">
      <c r="A27" t="str">
        <f t="shared" si="0"/>
        <v>MedCarPremiumFCEV320</v>
      </c>
      <c r="B27" s="79" t="str">
        <f>'Vehicle Attributes - Base Year'!B24</f>
        <v>MedCar</v>
      </c>
      <c r="C27" s="68" t="str">
        <f>'Vehicle Attributes - Base Year'!C24</f>
        <v>Base</v>
      </c>
      <c r="D27" s="68" t="str">
        <f>'Vehicle Attributes - Base Year'!D24</f>
        <v>FCEV320</v>
      </c>
      <c r="E27" s="23">
        <v>-800</v>
      </c>
      <c r="F27" s="23">
        <v>-800</v>
      </c>
      <c r="G27" s="23">
        <v>-800</v>
      </c>
      <c r="H27" s="23">
        <v>-800</v>
      </c>
      <c r="I27" s="23">
        <v>-800</v>
      </c>
      <c r="J27" s="23">
        <v>-800</v>
      </c>
      <c r="K27" s="23">
        <v>-800</v>
      </c>
      <c r="L27" s="23">
        <v>-800</v>
      </c>
      <c r="M27" s="23">
        <v>-800</v>
      </c>
      <c r="N27" s="23">
        <v>-800</v>
      </c>
      <c r="O27" s="43">
        <v>-800</v>
      </c>
    </row>
    <row r="28" spans="1:15" x14ac:dyDescent="0.3">
      <c r="A28" s="16" t="str">
        <f t="shared" si="0"/>
        <v>SmallSUVBaseFCEV320</v>
      </c>
      <c r="B28" s="79" t="str">
        <f>'Vehicle Attributes - Base Year'!B25</f>
        <v>MedCar</v>
      </c>
      <c r="C28" s="68" t="str">
        <f>'Vehicle Attributes - Base Year'!C25</f>
        <v>Premium</v>
      </c>
      <c r="D28" s="68" t="str">
        <f>'Vehicle Attributes - Base Year'!D25</f>
        <v>FCEV320</v>
      </c>
      <c r="E28" s="23">
        <v>-800</v>
      </c>
      <c r="F28" s="23">
        <v>-800</v>
      </c>
      <c r="G28" s="23">
        <v>-800</v>
      </c>
      <c r="H28" s="23">
        <v>-800</v>
      </c>
      <c r="I28" s="23">
        <v>-800</v>
      </c>
      <c r="J28" s="23">
        <v>-800</v>
      </c>
      <c r="K28" s="23">
        <v>-800</v>
      </c>
      <c r="L28" s="23">
        <v>-800</v>
      </c>
      <c r="M28" s="23">
        <v>-800</v>
      </c>
      <c r="N28" s="23">
        <v>-800</v>
      </c>
      <c r="O28" s="43">
        <v>-800</v>
      </c>
    </row>
    <row r="29" spans="1:15" x14ac:dyDescent="0.3">
      <c r="A29" t="str">
        <f t="shared" si="0"/>
        <v>SmallSUVPremiumFCEV320</v>
      </c>
      <c r="B29" s="79" t="str">
        <f>'Vehicle Attributes - Base Year'!B26</f>
        <v>SmallSUV</v>
      </c>
      <c r="C29" s="68" t="str">
        <f>'Vehicle Attributes - Base Year'!C26</f>
        <v>Base</v>
      </c>
      <c r="D29" s="68" t="str">
        <f>'Vehicle Attributes - Base Year'!D26</f>
        <v>FCEV320</v>
      </c>
      <c r="E29" s="23">
        <v>-800</v>
      </c>
      <c r="F29" s="23">
        <v>-800</v>
      </c>
      <c r="G29" s="23">
        <v>-800</v>
      </c>
      <c r="H29" s="23">
        <v>-800</v>
      </c>
      <c r="I29" s="23">
        <v>-800</v>
      </c>
      <c r="J29" s="23">
        <v>-800</v>
      </c>
      <c r="K29" s="23">
        <v>-800</v>
      </c>
      <c r="L29" s="23">
        <v>-800</v>
      </c>
      <c r="M29" s="23">
        <v>-800</v>
      </c>
      <c r="N29" s="23">
        <v>-800</v>
      </c>
      <c r="O29" s="43">
        <v>-800</v>
      </c>
    </row>
    <row r="30" spans="1:15" x14ac:dyDescent="0.3">
      <c r="A30" s="16" t="str">
        <f t="shared" si="0"/>
        <v>MedSUVBaseFCEV320</v>
      </c>
      <c r="B30" s="79" t="str">
        <f>'Vehicle Attributes - Base Year'!B27</f>
        <v>SmallSUV</v>
      </c>
      <c r="C30" s="68" t="str">
        <f>'Vehicle Attributes - Base Year'!C27</f>
        <v>Premium</v>
      </c>
      <c r="D30" s="68" t="str">
        <f>'Vehicle Attributes - Base Year'!D27</f>
        <v>FCEV320</v>
      </c>
      <c r="E30" s="23">
        <v>-800</v>
      </c>
      <c r="F30" s="23">
        <v>-800</v>
      </c>
      <c r="G30" s="23">
        <v>-800</v>
      </c>
      <c r="H30" s="23">
        <v>-800</v>
      </c>
      <c r="I30" s="23">
        <v>-800</v>
      </c>
      <c r="J30" s="23">
        <v>-800</v>
      </c>
      <c r="K30" s="23">
        <v>-800</v>
      </c>
      <c r="L30" s="23">
        <v>-800</v>
      </c>
      <c r="M30" s="23">
        <v>-800</v>
      </c>
      <c r="N30" s="23">
        <v>-800</v>
      </c>
      <c r="O30" s="43">
        <v>-800</v>
      </c>
    </row>
    <row r="31" spans="1:15" x14ac:dyDescent="0.3">
      <c r="A31" t="str">
        <f t="shared" si="0"/>
        <v>MedSUVPremiumFCEV320</v>
      </c>
      <c r="B31" s="79" t="str">
        <f>'Vehicle Attributes - Base Year'!B28</f>
        <v>MedSUV</v>
      </c>
      <c r="C31" s="68" t="str">
        <f>'Vehicle Attributes - Base Year'!C28</f>
        <v>Base</v>
      </c>
      <c r="D31" s="68" t="str">
        <f>'Vehicle Attributes - Base Year'!D28</f>
        <v>FCEV320</v>
      </c>
      <c r="E31" s="23">
        <v>-800</v>
      </c>
      <c r="F31" s="23">
        <v>-800</v>
      </c>
      <c r="G31" s="23">
        <v>-800</v>
      </c>
      <c r="H31" s="23">
        <v>-800</v>
      </c>
      <c r="I31" s="23">
        <v>-800</v>
      </c>
      <c r="J31" s="23">
        <v>-800</v>
      </c>
      <c r="K31" s="23">
        <v>-800</v>
      </c>
      <c r="L31" s="23">
        <v>-800</v>
      </c>
      <c r="M31" s="23">
        <v>-800</v>
      </c>
      <c r="N31" s="23">
        <v>-800</v>
      </c>
      <c r="O31" s="43">
        <v>-800</v>
      </c>
    </row>
    <row r="32" spans="1:15" x14ac:dyDescent="0.3">
      <c r="A32" s="16" t="str">
        <f t="shared" si="0"/>
        <v>PickupBaseFCEV320</v>
      </c>
      <c r="B32" s="79" t="str">
        <f>'Vehicle Attributes - Base Year'!B29</f>
        <v>MedSUV</v>
      </c>
      <c r="C32" s="68" t="str">
        <f>'Vehicle Attributes - Base Year'!C29</f>
        <v>Premium</v>
      </c>
      <c r="D32" s="68" t="str">
        <f>'Vehicle Attributes - Base Year'!D29</f>
        <v>FCEV320</v>
      </c>
      <c r="E32" s="23">
        <v>-800</v>
      </c>
      <c r="F32" s="23">
        <v>-800</v>
      </c>
      <c r="G32" s="23">
        <v>-800</v>
      </c>
      <c r="H32" s="23">
        <v>-800</v>
      </c>
      <c r="I32" s="23">
        <v>-800</v>
      </c>
      <c r="J32" s="23">
        <v>-800</v>
      </c>
      <c r="K32" s="23">
        <v>-800</v>
      </c>
      <c r="L32" s="23">
        <v>-800</v>
      </c>
      <c r="M32" s="23">
        <v>-800</v>
      </c>
      <c r="N32" s="23">
        <v>-800</v>
      </c>
      <c r="O32" s="43">
        <v>-800</v>
      </c>
    </row>
    <row r="33" spans="1:15" x14ac:dyDescent="0.3">
      <c r="A33" t="str">
        <f t="shared" si="0"/>
        <v>PickupHTFCEV320</v>
      </c>
      <c r="B33" s="79" t="str">
        <f>'Vehicle Attributes - Base Year'!B30</f>
        <v>Pickup</v>
      </c>
      <c r="C33" s="68" t="str">
        <f>'Vehicle Attributes - Base Year'!C30</f>
        <v>Base</v>
      </c>
      <c r="D33" s="68" t="str">
        <f>'Vehicle Attributes - Base Year'!D30</f>
        <v>FCEV320</v>
      </c>
      <c r="E33" s="23">
        <v>-800</v>
      </c>
      <c r="F33" s="23">
        <v>-800</v>
      </c>
      <c r="G33" s="23">
        <v>-800</v>
      </c>
      <c r="H33" s="23">
        <v>-800</v>
      </c>
      <c r="I33" s="23">
        <v>-800</v>
      </c>
      <c r="J33" s="23">
        <v>-800</v>
      </c>
      <c r="K33" s="23">
        <v>-800</v>
      </c>
      <c r="L33" s="23">
        <v>-800</v>
      </c>
      <c r="M33" s="23">
        <v>-800</v>
      </c>
      <c r="N33" s="23">
        <v>-800</v>
      </c>
      <c r="O33" s="43">
        <v>-800</v>
      </c>
    </row>
    <row r="34" spans="1:15" x14ac:dyDescent="0.3">
      <c r="B34" s="79" t="str">
        <f>'Vehicle Attributes - Base Year'!B31</f>
        <v>Pickup</v>
      </c>
      <c r="C34" s="68" t="str">
        <f>'Vehicle Attributes - Base Year'!C31</f>
        <v>HT</v>
      </c>
      <c r="D34" s="68" t="str">
        <f>'Vehicle Attributes - Base Year'!D31</f>
        <v>FCEV320</v>
      </c>
      <c r="E34" s="23">
        <v>-800</v>
      </c>
      <c r="F34" s="23">
        <v>-800</v>
      </c>
      <c r="G34" s="23">
        <v>-800</v>
      </c>
      <c r="H34" s="23">
        <v>-800</v>
      </c>
      <c r="I34" s="23">
        <v>-800</v>
      </c>
      <c r="J34" s="23">
        <v>-800</v>
      </c>
      <c r="K34" s="23">
        <v>-800</v>
      </c>
      <c r="L34" s="23">
        <v>-800</v>
      </c>
      <c r="M34" s="23">
        <v>-800</v>
      </c>
      <c r="N34" s="23">
        <v>-800</v>
      </c>
      <c r="O34" s="43">
        <v>-800</v>
      </c>
    </row>
  </sheetData>
  <mergeCells count="2">
    <mergeCell ref="E2:O2"/>
    <mergeCell ref="B1:O1"/>
  </mergeCells>
  <pageMargins left="0.7" right="0.7" top="0.75" bottom="0.75" header="0.3" footer="0.3"/>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36A393"/>
  </sheetPr>
  <dimension ref="A1:O34"/>
  <sheetViews>
    <sheetView topLeftCell="B1" workbookViewId="0">
      <selection activeCell="B1" sqref="B1:O1"/>
    </sheetView>
  </sheetViews>
  <sheetFormatPr defaultRowHeight="14.4" x14ac:dyDescent="0.3"/>
  <cols>
    <col min="1" max="1" width="0" hidden="1" customWidth="1"/>
    <col min="2" max="2" width="12.5546875" bestFit="1" customWidth="1"/>
    <col min="3" max="3" width="12.44140625" bestFit="1" customWidth="1"/>
    <col min="4" max="10" width="11" customWidth="1"/>
    <col min="11" max="15" width="12" customWidth="1"/>
  </cols>
  <sheetData>
    <row r="1" spans="1:15" x14ac:dyDescent="0.3">
      <c r="B1" s="170" t="s">
        <v>235</v>
      </c>
      <c r="C1" s="175"/>
      <c r="D1" s="175"/>
      <c r="E1" s="175"/>
      <c r="F1" s="175"/>
      <c r="G1" s="175"/>
      <c r="H1" s="175"/>
      <c r="I1" s="175"/>
      <c r="J1" s="175"/>
      <c r="K1" s="175"/>
      <c r="L1" s="175"/>
      <c r="M1" s="175"/>
      <c r="N1" s="175"/>
      <c r="O1" s="171"/>
    </row>
    <row r="2" spans="1:15" x14ac:dyDescent="0.3">
      <c r="B2" s="73"/>
      <c r="C2" s="73"/>
      <c r="D2" s="74"/>
      <c r="E2" s="195" t="s">
        <v>155</v>
      </c>
      <c r="F2" s="195"/>
      <c r="G2" s="195"/>
      <c r="H2" s="195"/>
      <c r="I2" s="195"/>
      <c r="J2" s="195"/>
      <c r="K2" s="195"/>
      <c r="L2" s="195"/>
      <c r="M2" s="195"/>
      <c r="N2" s="195"/>
      <c r="O2" s="196"/>
    </row>
    <row r="3" spans="1:15" x14ac:dyDescent="0.3">
      <c r="B3" s="75" t="s">
        <v>100</v>
      </c>
      <c r="C3" s="75" t="s">
        <v>101</v>
      </c>
      <c r="D3" s="76" t="s">
        <v>67</v>
      </c>
      <c r="E3" s="77">
        <v>2025</v>
      </c>
      <c r="F3" s="78">
        <v>2026</v>
      </c>
      <c r="G3" s="78">
        <v>2027</v>
      </c>
      <c r="H3" s="78">
        <v>2028</v>
      </c>
      <c r="I3" s="78">
        <v>2029</v>
      </c>
      <c r="J3" s="78">
        <v>2030</v>
      </c>
      <c r="K3" s="78">
        <v>2031</v>
      </c>
      <c r="L3" s="78">
        <v>2032</v>
      </c>
      <c r="M3" s="78">
        <v>2033</v>
      </c>
      <c r="N3" s="78">
        <v>2034</v>
      </c>
      <c r="O3" s="148">
        <v>2035</v>
      </c>
    </row>
    <row r="4" spans="1:15" x14ac:dyDescent="0.3">
      <c r="A4" s="16" t="str">
        <f t="shared" ref="A4:A33" si="0">CONCATENATE(B5,C5,D5)</f>
        <v>SmallCarBaseBEV300</v>
      </c>
      <c r="B4" s="79" t="s">
        <v>64</v>
      </c>
      <c r="C4" s="68" t="s">
        <v>65</v>
      </c>
      <c r="D4" s="68" t="s">
        <v>156</v>
      </c>
      <c r="E4" s="23" t="s">
        <v>157</v>
      </c>
      <c r="F4" s="23" t="s">
        <v>158</v>
      </c>
      <c r="G4" s="23" t="s">
        <v>159</v>
      </c>
      <c r="H4" s="23" t="s">
        <v>160</v>
      </c>
      <c r="I4" s="23" t="s">
        <v>161</v>
      </c>
      <c r="J4" s="23" t="s">
        <v>162</v>
      </c>
      <c r="K4" s="23" t="s">
        <v>163</v>
      </c>
      <c r="L4" s="23" t="s">
        <v>164</v>
      </c>
      <c r="M4" s="23" t="s">
        <v>165</v>
      </c>
      <c r="N4" s="23" t="s">
        <v>166</v>
      </c>
      <c r="O4" s="43" t="s">
        <v>167</v>
      </c>
    </row>
    <row r="5" spans="1:15" x14ac:dyDescent="0.3">
      <c r="A5" t="str">
        <f t="shared" si="0"/>
        <v>SmallCarPremiumBEV400</v>
      </c>
      <c r="B5" s="79" t="str">
        <f>'Vehicle Attributes - Base Year'!B2</f>
        <v>SmallCar</v>
      </c>
      <c r="C5" s="68" t="str">
        <f>'Vehicle Attributes - Base Year'!C2</f>
        <v>Base</v>
      </c>
      <c r="D5" s="68" t="str">
        <f>'Vehicle Attributes - Base Year'!D2</f>
        <v>BEV300</v>
      </c>
      <c r="E5" s="23">
        <v>400</v>
      </c>
      <c r="F5" s="23">
        <f t="shared" ref="F5:O5" si="1">E5*(1-Non_Battery_Annual_Cost_Reduction)</f>
        <v>396</v>
      </c>
      <c r="G5" s="23">
        <f t="shared" si="1"/>
        <v>392.04</v>
      </c>
      <c r="H5" s="23">
        <f t="shared" si="1"/>
        <v>388.11959999999999</v>
      </c>
      <c r="I5" s="23">
        <f t="shared" si="1"/>
        <v>384.238404</v>
      </c>
      <c r="J5" s="23">
        <f t="shared" si="1"/>
        <v>380.39601995999999</v>
      </c>
      <c r="K5" s="23">
        <f t="shared" si="1"/>
        <v>376.59205976039999</v>
      </c>
      <c r="L5" s="23">
        <f t="shared" si="1"/>
        <v>372.82613916279598</v>
      </c>
      <c r="M5" s="23">
        <f t="shared" si="1"/>
        <v>369.09787777116804</v>
      </c>
      <c r="N5" s="23">
        <f t="shared" si="1"/>
        <v>365.40689899345637</v>
      </c>
      <c r="O5" s="43">
        <f t="shared" si="1"/>
        <v>361.75283000352181</v>
      </c>
    </row>
    <row r="6" spans="1:15" x14ac:dyDescent="0.3">
      <c r="A6" s="16" t="str">
        <f t="shared" si="0"/>
        <v>MedCarBaseBEV300</v>
      </c>
      <c r="B6" s="79" t="str">
        <f>'Vehicle Attributes - Base Year'!B3</f>
        <v>SmallCar</v>
      </c>
      <c r="C6" s="68" t="str">
        <f>'Vehicle Attributes - Base Year'!C3</f>
        <v>Premium</v>
      </c>
      <c r="D6" s="68" t="str">
        <f>'Vehicle Attributes - Base Year'!D3</f>
        <v>BEV400</v>
      </c>
      <c r="E6" s="23">
        <v>400</v>
      </c>
      <c r="F6" s="23">
        <f t="shared" ref="F6:O6" si="2">E6*(1-Non_Battery_Annual_Cost_Reduction)</f>
        <v>396</v>
      </c>
      <c r="G6" s="23">
        <f t="shared" si="2"/>
        <v>392.04</v>
      </c>
      <c r="H6" s="23">
        <f t="shared" si="2"/>
        <v>388.11959999999999</v>
      </c>
      <c r="I6" s="23">
        <f t="shared" si="2"/>
        <v>384.238404</v>
      </c>
      <c r="J6" s="23">
        <f t="shared" si="2"/>
        <v>380.39601995999999</v>
      </c>
      <c r="K6" s="23">
        <f t="shared" si="2"/>
        <v>376.59205976039999</v>
      </c>
      <c r="L6" s="23">
        <f t="shared" si="2"/>
        <v>372.82613916279598</v>
      </c>
      <c r="M6" s="23">
        <f t="shared" si="2"/>
        <v>369.09787777116804</v>
      </c>
      <c r="N6" s="23">
        <f t="shared" si="2"/>
        <v>365.40689899345637</v>
      </c>
      <c r="O6" s="43">
        <f t="shared" si="2"/>
        <v>361.75283000352181</v>
      </c>
    </row>
    <row r="7" spans="1:15" x14ac:dyDescent="0.3">
      <c r="A7" t="str">
        <f t="shared" si="0"/>
        <v>MedCarPremiumBEV400</v>
      </c>
      <c r="B7" s="79" t="str">
        <f>'Vehicle Attributes - Base Year'!B4</f>
        <v>MedCar</v>
      </c>
      <c r="C7" s="68" t="str">
        <f>'Vehicle Attributes - Base Year'!C4</f>
        <v>Base</v>
      </c>
      <c r="D7" s="68" t="str">
        <f>'Vehicle Attributes - Base Year'!D4</f>
        <v>BEV300</v>
      </c>
      <c r="E7" s="23">
        <v>500</v>
      </c>
      <c r="F7" s="23">
        <f t="shared" ref="F7:O7" si="3">E7*(1-Non_Battery_Annual_Cost_Reduction)</f>
        <v>495</v>
      </c>
      <c r="G7" s="23">
        <f t="shared" si="3"/>
        <v>490.05</v>
      </c>
      <c r="H7" s="23">
        <f t="shared" si="3"/>
        <v>485.14949999999999</v>
      </c>
      <c r="I7" s="23">
        <f t="shared" si="3"/>
        <v>480.29800499999999</v>
      </c>
      <c r="J7" s="23">
        <f t="shared" si="3"/>
        <v>475.49502494999996</v>
      </c>
      <c r="K7" s="23">
        <f t="shared" si="3"/>
        <v>470.74007470049997</v>
      </c>
      <c r="L7" s="23">
        <f t="shared" si="3"/>
        <v>466.03267395349496</v>
      </c>
      <c r="M7" s="23">
        <f t="shared" si="3"/>
        <v>461.37234721395998</v>
      </c>
      <c r="N7" s="23">
        <f t="shared" si="3"/>
        <v>456.75862374182037</v>
      </c>
      <c r="O7" s="43">
        <f t="shared" si="3"/>
        <v>452.19103750440217</v>
      </c>
    </row>
    <row r="8" spans="1:15" x14ac:dyDescent="0.3">
      <c r="A8" s="16" t="str">
        <f t="shared" si="0"/>
        <v>SmallSUVBaseBEV300</v>
      </c>
      <c r="B8" s="79" t="str">
        <f>'Vehicle Attributes - Base Year'!B5</f>
        <v>MedCar</v>
      </c>
      <c r="C8" s="68" t="str">
        <f>'Vehicle Attributes - Base Year'!C5</f>
        <v>Premium</v>
      </c>
      <c r="D8" s="68" t="str">
        <f>'Vehicle Attributes - Base Year'!D5</f>
        <v>BEV400</v>
      </c>
      <c r="E8" s="23">
        <v>500</v>
      </c>
      <c r="F8" s="23">
        <f t="shared" ref="F8:O8" si="4">E8*(1-Non_Battery_Annual_Cost_Reduction)</f>
        <v>495</v>
      </c>
      <c r="G8" s="23">
        <f t="shared" si="4"/>
        <v>490.05</v>
      </c>
      <c r="H8" s="23">
        <f t="shared" si="4"/>
        <v>485.14949999999999</v>
      </c>
      <c r="I8" s="23">
        <f t="shared" si="4"/>
        <v>480.29800499999999</v>
      </c>
      <c r="J8" s="23">
        <f t="shared" si="4"/>
        <v>475.49502494999996</v>
      </c>
      <c r="K8" s="23">
        <f t="shared" si="4"/>
        <v>470.74007470049997</v>
      </c>
      <c r="L8" s="23">
        <f t="shared" si="4"/>
        <v>466.03267395349496</v>
      </c>
      <c r="M8" s="23">
        <f t="shared" si="4"/>
        <v>461.37234721395998</v>
      </c>
      <c r="N8" s="23">
        <f t="shared" si="4"/>
        <v>456.75862374182037</v>
      </c>
      <c r="O8" s="43">
        <f t="shared" si="4"/>
        <v>452.19103750440217</v>
      </c>
    </row>
    <row r="9" spans="1:15" x14ac:dyDescent="0.3">
      <c r="A9" t="str">
        <f t="shared" si="0"/>
        <v>SmallSUVPremiumBEV400</v>
      </c>
      <c r="B9" s="79" t="str">
        <f>'Vehicle Attributes - Base Year'!B6</f>
        <v>SmallSUV</v>
      </c>
      <c r="C9" s="68" t="str">
        <f>'Vehicle Attributes - Base Year'!C6</f>
        <v>Base</v>
      </c>
      <c r="D9" s="68" t="str">
        <f>'Vehicle Attributes - Base Year'!D6</f>
        <v>BEV300</v>
      </c>
      <c r="E9" s="23">
        <v>500</v>
      </c>
      <c r="F9" s="23">
        <f t="shared" ref="F9:O9" si="5">E9*(1-Non_Battery_Annual_Cost_Reduction)</f>
        <v>495</v>
      </c>
      <c r="G9" s="23">
        <f t="shared" si="5"/>
        <v>490.05</v>
      </c>
      <c r="H9" s="23">
        <f t="shared" si="5"/>
        <v>485.14949999999999</v>
      </c>
      <c r="I9" s="23">
        <f t="shared" si="5"/>
        <v>480.29800499999999</v>
      </c>
      <c r="J9" s="23">
        <f t="shared" si="5"/>
        <v>475.49502494999996</v>
      </c>
      <c r="K9" s="23">
        <f t="shared" si="5"/>
        <v>470.74007470049997</v>
      </c>
      <c r="L9" s="23">
        <f t="shared" si="5"/>
        <v>466.03267395349496</v>
      </c>
      <c r="M9" s="23">
        <f t="shared" si="5"/>
        <v>461.37234721395998</v>
      </c>
      <c r="N9" s="23">
        <f t="shared" si="5"/>
        <v>456.75862374182037</v>
      </c>
      <c r="O9" s="43">
        <f t="shared" si="5"/>
        <v>452.19103750440217</v>
      </c>
    </row>
    <row r="10" spans="1:15" x14ac:dyDescent="0.3">
      <c r="A10" s="16" t="str">
        <f t="shared" si="0"/>
        <v>MedSUVBaseBEV300</v>
      </c>
      <c r="B10" s="79" t="str">
        <f>'Vehicle Attributes - Base Year'!B7</f>
        <v>SmallSUV</v>
      </c>
      <c r="C10" s="68" t="str">
        <f>'Vehicle Attributes - Base Year'!C7</f>
        <v>Premium</v>
      </c>
      <c r="D10" s="68" t="str">
        <f>'Vehicle Attributes - Base Year'!D7</f>
        <v>BEV400</v>
      </c>
      <c r="E10" s="23">
        <v>500</v>
      </c>
      <c r="F10" s="23">
        <f t="shared" ref="F10:O10" si="6">E10*(1-Non_Battery_Annual_Cost_Reduction)</f>
        <v>495</v>
      </c>
      <c r="G10" s="23">
        <f t="shared" si="6"/>
        <v>490.05</v>
      </c>
      <c r="H10" s="23">
        <f t="shared" si="6"/>
        <v>485.14949999999999</v>
      </c>
      <c r="I10" s="23">
        <f t="shared" si="6"/>
        <v>480.29800499999999</v>
      </c>
      <c r="J10" s="23">
        <f t="shared" si="6"/>
        <v>475.49502494999996</v>
      </c>
      <c r="K10" s="23">
        <f t="shared" si="6"/>
        <v>470.74007470049997</v>
      </c>
      <c r="L10" s="23">
        <f t="shared" si="6"/>
        <v>466.03267395349496</v>
      </c>
      <c r="M10" s="23">
        <f t="shared" si="6"/>
        <v>461.37234721395998</v>
      </c>
      <c r="N10" s="23">
        <f t="shared" si="6"/>
        <v>456.75862374182037</v>
      </c>
      <c r="O10" s="43">
        <f t="shared" si="6"/>
        <v>452.19103750440217</v>
      </c>
    </row>
    <row r="11" spans="1:15" x14ac:dyDescent="0.3">
      <c r="A11" t="str">
        <f t="shared" si="0"/>
        <v>MedSUVPremiumBEV400</v>
      </c>
      <c r="B11" s="79" t="str">
        <f>'Vehicle Attributes - Base Year'!B8</f>
        <v>MedSUV</v>
      </c>
      <c r="C11" s="68" t="str">
        <f>'Vehicle Attributes - Base Year'!C8</f>
        <v>Base</v>
      </c>
      <c r="D11" s="68" t="str">
        <f>'Vehicle Attributes - Base Year'!D8</f>
        <v>BEV300</v>
      </c>
      <c r="E11" s="23">
        <v>600</v>
      </c>
      <c r="F11" s="23">
        <f t="shared" ref="F11:O11" si="7">E11*(1-Non_Battery_Annual_Cost_Reduction)</f>
        <v>594</v>
      </c>
      <c r="G11" s="23">
        <f t="shared" si="7"/>
        <v>588.05999999999995</v>
      </c>
      <c r="H11" s="23">
        <f t="shared" si="7"/>
        <v>582.17939999999999</v>
      </c>
      <c r="I11" s="23">
        <f t="shared" si="7"/>
        <v>576.35760600000003</v>
      </c>
      <c r="J11" s="23">
        <f t="shared" si="7"/>
        <v>570.59402994000004</v>
      </c>
      <c r="K11" s="23">
        <f t="shared" si="7"/>
        <v>564.88808964060001</v>
      </c>
      <c r="L11" s="23">
        <f t="shared" si="7"/>
        <v>559.239208744194</v>
      </c>
      <c r="M11" s="23">
        <f t="shared" si="7"/>
        <v>553.64681665675209</v>
      </c>
      <c r="N11" s="23">
        <f t="shared" si="7"/>
        <v>548.11034849018461</v>
      </c>
      <c r="O11" s="43">
        <f t="shared" si="7"/>
        <v>542.62924500528277</v>
      </c>
    </row>
    <row r="12" spans="1:15" x14ac:dyDescent="0.3">
      <c r="A12" s="16" t="str">
        <f t="shared" si="0"/>
        <v>PickupBaseBEV300</v>
      </c>
      <c r="B12" s="79" t="str">
        <f>'Vehicle Attributes - Base Year'!B9</f>
        <v>MedSUV</v>
      </c>
      <c r="C12" s="68" t="str">
        <f>'Vehicle Attributes - Base Year'!C9</f>
        <v>Premium</v>
      </c>
      <c r="D12" s="68" t="str">
        <f>'Vehicle Attributes - Base Year'!D9</f>
        <v>BEV400</v>
      </c>
      <c r="E12" s="23">
        <v>600</v>
      </c>
      <c r="F12" s="23">
        <f t="shared" ref="F12:O12" si="8">E12*(1-Non_Battery_Annual_Cost_Reduction)</f>
        <v>594</v>
      </c>
      <c r="G12" s="23">
        <f t="shared" si="8"/>
        <v>588.05999999999995</v>
      </c>
      <c r="H12" s="23">
        <f t="shared" si="8"/>
        <v>582.17939999999999</v>
      </c>
      <c r="I12" s="23">
        <f t="shared" si="8"/>
        <v>576.35760600000003</v>
      </c>
      <c r="J12" s="23">
        <f t="shared" si="8"/>
        <v>570.59402994000004</v>
      </c>
      <c r="K12" s="23">
        <f t="shared" si="8"/>
        <v>564.88808964060001</v>
      </c>
      <c r="L12" s="23">
        <f t="shared" si="8"/>
        <v>559.239208744194</v>
      </c>
      <c r="M12" s="23">
        <f t="shared" si="8"/>
        <v>553.64681665675209</v>
      </c>
      <c r="N12" s="23">
        <f t="shared" si="8"/>
        <v>548.11034849018461</v>
      </c>
      <c r="O12" s="43">
        <f t="shared" si="8"/>
        <v>542.62924500528277</v>
      </c>
    </row>
    <row r="13" spans="1:15" x14ac:dyDescent="0.3">
      <c r="A13" t="str">
        <f t="shared" si="0"/>
        <v>PickupHTBEV400</v>
      </c>
      <c r="B13" s="79" t="str">
        <f>'Vehicle Attributes - Base Year'!B10</f>
        <v>Pickup</v>
      </c>
      <c r="C13" s="68" t="str">
        <f>'Vehicle Attributes - Base Year'!C10</f>
        <v>Base</v>
      </c>
      <c r="D13" s="68" t="str">
        <f>'Vehicle Attributes - Base Year'!D10</f>
        <v>BEV300</v>
      </c>
      <c r="E13" s="23">
        <v>600</v>
      </c>
      <c r="F13" s="23">
        <f t="shared" ref="F13:O13" si="9">E13*(1-Non_Battery_Annual_Cost_Reduction)</f>
        <v>594</v>
      </c>
      <c r="G13" s="23">
        <f t="shared" si="9"/>
        <v>588.05999999999995</v>
      </c>
      <c r="H13" s="23">
        <f t="shared" si="9"/>
        <v>582.17939999999999</v>
      </c>
      <c r="I13" s="23">
        <f t="shared" si="9"/>
        <v>576.35760600000003</v>
      </c>
      <c r="J13" s="23">
        <f t="shared" si="9"/>
        <v>570.59402994000004</v>
      </c>
      <c r="K13" s="23">
        <f t="shared" si="9"/>
        <v>564.88808964060001</v>
      </c>
      <c r="L13" s="23">
        <f t="shared" si="9"/>
        <v>559.239208744194</v>
      </c>
      <c r="M13" s="23">
        <f t="shared" si="9"/>
        <v>553.64681665675209</v>
      </c>
      <c r="N13" s="23">
        <f t="shared" si="9"/>
        <v>548.11034849018461</v>
      </c>
      <c r="O13" s="43">
        <f t="shared" si="9"/>
        <v>542.62924500528277</v>
      </c>
    </row>
    <row r="14" spans="1:15" x14ac:dyDescent="0.3">
      <c r="A14" s="16" t="str">
        <f t="shared" si="0"/>
        <v>SmallCarBasePHEV50</v>
      </c>
      <c r="B14" s="79" t="str">
        <f>'Vehicle Attributes - Base Year'!B11</f>
        <v>Pickup</v>
      </c>
      <c r="C14" s="68" t="str">
        <f>'Vehicle Attributes - Base Year'!C11</f>
        <v>HT</v>
      </c>
      <c r="D14" s="68" t="str">
        <f>'Vehicle Attributes - Base Year'!D11</f>
        <v>BEV400</v>
      </c>
      <c r="E14" s="23">
        <v>600</v>
      </c>
      <c r="F14" s="23">
        <f t="shared" ref="F14:O14" si="10">E14*(1-Non_Battery_Annual_Cost_Reduction)</f>
        <v>594</v>
      </c>
      <c r="G14" s="23">
        <f t="shared" si="10"/>
        <v>588.05999999999995</v>
      </c>
      <c r="H14" s="23">
        <f t="shared" si="10"/>
        <v>582.17939999999999</v>
      </c>
      <c r="I14" s="23">
        <f t="shared" si="10"/>
        <v>576.35760600000003</v>
      </c>
      <c r="J14" s="23">
        <f t="shared" si="10"/>
        <v>570.59402994000004</v>
      </c>
      <c r="K14" s="23">
        <f t="shared" si="10"/>
        <v>564.88808964060001</v>
      </c>
      <c r="L14" s="23">
        <f t="shared" si="10"/>
        <v>559.239208744194</v>
      </c>
      <c r="M14" s="23">
        <f t="shared" si="10"/>
        <v>553.64681665675209</v>
      </c>
      <c r="N14" s="23">
        <f t="shared" si="10"/>
        <v>548.11034849018461</v>
      </c>
      <c r="O14" s="43">
        <f t="shared" si="10"/>
        <v>542.62924500528277</v>
      </c>
    </row>
    <row r="15" spans="1:15" x14ac:dyDescent="0.3">
      <c r="A15" t="str">
        <f t="shared" si="0"/>
        <v>SmallCarPremiumPHEV50</v>
      </c>
      <c r="B15" s="79" t="str">
        <f>'Vehicle Attributes - Base Year'!B12</f>
        <v>SmallCar</v>
      </c>
      <c r="C15" s="68" t="str">
        <f>'Vehicle Attributes - Base Year'!C12</f>
        <v>Base</v>
      </c>
      <c r="D15" s="68" t="str">
        <f>'Vehicle Attributes - Base Year'!D12</f>
        <v>PHEV50</v>
      </c>
      <c r="E15" s="23">
        <v>0</v>
      </c>
      <c r="F15" s="23">
        <f t="shared" ref="F15:O16" si="11">E15*(1-$C$1)</f>
        <v>0</v>
      </c>
      <c r="G15" s="23">
        <f t="shared" si="11"/>
        <v>0</v>
      </c>
      <c r="H15" s="23">
        <f t="shared" si="11"/>
        <v>0</v>
      </c>
      <c r="I15" s="23">
        <f t="shared" si="11"/>
        <v>0</v>
      </c>
      <c r="J15" s="23">
        <f t="shared" si="11"/>
        <v>0</v>
      </c>
      <c r="K15" s="23">
        <f t="shared" si="11"/>
        <v>0</v>
      </c>
      <c r="L15" s="23">
        <f t="shared" si="11"/>
        <v>0</v>
      </c>
      <c r="M15" s="23">
        <f t="shared" si="11"/>
        <v>0</v>
      </c>
      <c r="N15" s="23">
        <f t="shared" si="11"/>
        <v>0</v>
      </c>
      <c r="O15" s="43">
        <f t="shared" si="11"/>
        <v>0</v>
      </c>
    </row>
    <row r="16" spans="1:15" x14ac:dyDescent="0.3">
      <c r="A16" s="16" t="str">
        <f t="shared" si="0"/>
        <v>MedCarBasePHEV50</v>
      </c>
      <c r="B16" s="79" t="str">
        <f>'Vehicle Attributes - Base Year'!B13</f>
        <v>SmallCar</v>
      </c>
      <c r="C16" s="68" t="str">
        <f>'Vehicle Attributes - Base Year'!C13</f>
        <v>Premium</v>
      </c>
      <c r="D16" s="68" t="str">
        <f>'Vehicle Attributes - Base Year'!D13</f>
        <v>PHEV50</v>
      </c>
      <c r="E16" s="23">
        <v>0</v>
      </c>
      <c r="F16" s="23">
        <f t="shared" si="11"/>
        <v>0</v>
      </c>
      <c r="G16" s="23">
        <f t="shared" si="11"/>
        <v>0</v>
      </c>
      <c r="H16" s="23">
        <f t="shared" si="11"/>
        <v>0</v>
      </c>
      <c r="I16" s="23">
        <f t="shared" si="11"/>
        <v>0</v>
      </c>
      <c r="J16" s="23">
        <f t="shared" si="11"/>
        <v>0</v>
      </c>
      <c r="K16" s="23">
        <f t="shared" si="11"/>
        <v>0</v>
      </c>
      <c r="L16" s="23">
        <f t="shared" si="11"/>
        <v>0</v>
      </c>
      <c r="M16" s="23">
        <f t="shared" si="11"/>
        <v>0</v>
      </c>
      <c r="N16" s="23">
        <f t="shared" si="11"/>
        <v>0</v>
      </c>
      <c r="O16" s="43">
        <f t="shared" si="11"/>
        <v>0</v>
      </c>
    </row>
    <row r="17" spans="1:15" x14ac:dyDescent="0.3">
      <c r="A17" t="str">
        <f t="shared" si="0"/>
        <v>MedCarPremiumPHEV50</v>
      </c>
      <c r="B17" s="79" t="str">
        <f>'Vehicle Attributes - Base Year'!B14</f>
        <v>MedCar</v>
      </c>
      <c r="C17" s="68" t="str">
        <f>'Vehicle Attributes - Base Year'!C14</f>
        <v>Base</v>
      </c>
      <c r="D17" s="68" t="str">
        <f>'Vehicle Attributes - Base Year'!D14</f>
        <v>PHEV50</v>
      </c>
      <c r="E17" s="23">
        <v>0</v>
      </c>
      <c r="F17" s="23">
        <f t="shared" ref="F17:O17" si="12">E17*(1-$C$1)</f>
        <v>0</v>
      </c>
      <c r="G17" s="23">
        <f t="shared" si="12"/>
        <v>0</v>
      </c>
      <c r="H17" s="23">
        <f t="shared" si="12"/>
        <v>0</v>
      </c>
      <c r="I17" s="23">
        <f t="shared" si="12"/>
        <v>0</v>
      </c>
      <c r="J17" s="23">
        <f t="shared" si="12"/>
        <v>0</v>
      </c>
      <c r="K17" s="23">
        <f t="shared" si="12"/>
        <v>0</v>
      </c>
      <c r="L17" s="23">
        <f t="shared" si="12"/>
        <v>0</v>
      </c>
      <c r="M17" s="23">
        <f t="shared" si="12"/>
        <v>0</v>
      </c>
      <c r="N17" s="23">
        <f t="shared" si="12"/>
        <v>0</v>
      </c>
      <c r="O17" s="43">
        <f t="shared" si="12"/>
        <v>0</v>
      </c>
    </row>
    <row r="18" spans="1:15" x14ac:dyDescent="0.3">
      <c r="A18" s="16" t="str">
        <f t="shared" si="0"/>
        <v>SmallSUVBasePHEV50</v>
      </c>
      <c r="B18" s="79" t="str">
        <f>'Vehicle Attributes - Base Year'!B15</f>
        <v>MedCar</v>
      </c>
      <c r="C18" s="68" t="str">
        <f>'Vehicle Attributes - Base Year'!C15</f>
        <v>Premium</v>
      </c>
      <c r="D18" s="68" t="str">
        <f>'Vehicle Attributes - Base Year'!D15</f>
        <v>PHEV50</v>
      </c>
      <c r="E18" s="23">
        <v>0</v>
      </c>
      <c r="F18" s="23">
        <f t="shared" ref="F18:O18" si="13">E18*(1-$C$1)</f>
        <v>0</v>
      </c>
      <c r="G18" s="23">
        <f t="shared" si="13"/>
        <v>0</v>
      </c>
      <c r="H18" s="23">
        <f t="shared" si="13"/>
        <v>0</v>
      </c>
      <c r="I18" s="23">
        <f t="shared" si="13"/>
        <v>0</v>
      </c>
      <c r="J18" s="23">
        <f t="shared" si="13"/>
        <v>0</v>
      </c>
      <c r="K18" s="23">
        <f t="shared" si="13"/>
        <v>0</v>
      </c>
      <c r="L18" s="23">
        <f t="shared" si="13"/>
        <v>0</v>
      </c>
      <c r="M18" s="23">
        <f t="shared" si="13"/>
        <v>0</v>
      </c>
      <c r="N18" s="23">
        <f t="shared" si="13"/>
        <v>0</v>
      </c>
      <c r="O18" s="43">
        <f t="shared" si="13"/>
        <v>0</v>
      </c>
    </row>
    <row r="19" spans="1:15" x14ac:dyDescent="0.3">
      <c r="A19" t="str">
        <f t="shared" si="0"/>
        <v>SmallSUVPremiumPHEV50</v>
      </c>
      <c r="B19" s="79" t="str">
        <f>'Vehicle Attributes - Base Year'!B16</f>
        <v>SmallSUV</v>
      </c>
      <c r="C19" s="68" t="str">
        <f>'Vehicle Attributes - Base Year'!C16</f>
        <v>Base</v>
      </c>
      <c r="D19" s="68" t="str">
        <f>'Vehicle Attributes - Base Year'!D16</f>
        <v>PHEV50</v>
      </c>
      <c r="E19" s="23">
        <v>0</v>
      </c>
      <c r="F19" s="23">
        <f t="shared" ref="F19:O19" si="14">E19*(1-$C$1)</f>
        <v>0</v>
      </c>
      <c r="G19" s="23">
        <f t="shared" si="14"/>
        <v>0</v>
      </c>
      <c r="H19" s="23">
        <f t="shared" si="14"/>
        <v>0</v>
      </c>
      <c r="I19" s="23">
        <f t="shared" si="14"/>
        <v>0</v>
      </c>
      <c r="J19" s="23">
        <f t="shared" si="14"/>
        <v>0</v>
      </c>
      <c r="K19" s="23">
        <f t="shared" si="14"/>
        <v>0</v>
      </c>
      <c r="L19" s="23">
        <f t="shared" si="14"/>
        <v>0</v>
      </c>
      <c r="M19" s="23">
        <f t="shared" si="14"/>
        <v>0</v>
      </c>
      <c r="N19" s="23">
        <f t="shared" si="14"/>
        <v>0</v>
      </c>
      <c r="O19" s="43">
        <f t="shared" si="14"/>
        <v>0</v>
      </c>
    </row>
    <row r="20" spans="1:15" x14ac:dyDescent="0.3">
      <c r="A20" s="16" t="str">
        <f t="shared" si="0"/>
        <v>MedSUVBasePHEV50</v>
      </c>
      <c r="B20" s="79" t="str">
        <f>'Vehicle Attributes - Base Year'!B17</f>
        <v>SmallSUV</v>
      </c>
      <c r="C20" s="68" t="str">
        <f>'Vehicle Attributes - Base Year'!C17</f>
        <v>Premium</v>
      </c>
      <c r="D20" s="68" t="str">
        <f>'Vehicle Attributes - Base Year'!D17</f>
        <v>PHEV50</v>
      </c>
      <c r="E20" s="23">
        <v>0</v>
      </c>
      <c r="F20" s="23">
        <f t="shared" ref="F20:O20" si="15">E20*(1-$C$1)</f>
        <v>0</v>
      </c>
      <c r="G20" s="23">
        <f t="shared" si="15"/>
        <v>0</v>
      </c>
      <c r="H20" s="23">
        <f t="shared" si="15"/>
        <v>0</v>
      </c>
      <c r="I20" s="23">
        <f t="shared" si="15"/>
        <v>0</v>
      </c>
      <c r="J20" s="23">
        <f t="shared" si="15"/>
        <v>0</v>
      </c>
      <c r="K20" s="23">
        <f t="shared" si="15"/>
        <v>0</v>
      </c>
      <c r="L20" s="23">
        <f t="shared" si="15"/>
        <v>0</v>
      </c>
      <c r="M20" s="23">
        <f t="shared" si="15"/>
        <v>0</v>
      </c>
      <c r="N20" s="23">
        <f t="shared" si="15"/>
        <v>0</v>
      </c>
      <c r="O20" s="43">
        <f t="shared" si="15"/>
        <v>0</v>
      </c>
    </row>
    <row r="21" spans="1:15" x14ac:dyDescent="0.3">
      <c r="A21" t="str">
        <f t="shared" si="0"/>
        <v>MedSUVPremiumPHEV50</v>
      </c>
      <c r="B21" s="79" t="str">
        <f>'Vehicle Attributes - Base Year'!B18</f>
        <v>MedSUV</v>
      </c>
      <c r="C21" s="68" t="str">
        <f>'Vehicle Attributes - Base Year'!C18</f>
        <v>Base</v>
      </c>
      <c r="D21" s="68" t="str">
        <f>'Vehicle Attributes - Base Year'!D18</f>
        <v>PHEV50</v>
      </c>
      <c r="E21" s="23">
        <v>0</v>
      </c>
      <c r="F21" s="23">
        <f t="shared" ref="F21:O21" si="16">E21*(1-$C$1)</f>
        <v>0</v>
      </c>
      <c r="G21" s="23">
        <f t="shared" si="16"/>
        <v>0</v>
      </c>
      <c r="H21" s="23">
        <f t="shared" si="16"/>
        <v>0</v>
      </c>
      <c r="I21" s="23">
        <f t="shared" si="16"/>
        <v>0</v>
      </c>
      <c r="J21" s="23">
        <f t="shared" si="16"/>
        <v>0</v>
      </c>
      <c r="K21" s="23">
        <f t="shared" si="16"/>
        <v>0</v>
      </c>
      <c r="L21" s="23">
        <f t="shared" si="16"/>
        <v>0</v>
      </c>
      <c r="M21" s="23">
        <f t="shared" si="16"/>
        <v>0</v>
      </c>
      <c r="N21" s="23">
        <f t="shared" si="16"/>
        <v>0</v>
      </c>
      <c r="O21" s="43">
        <f t="shared" si="16"/>
        <v>0</v>
      </c>
    </row>
    <row r="22" spans="1:15" x14ac:dyDescent="0.3">
      <c r="A22" s="16" t="str">
        <f t="shared" si="0"/>
        <v>PickupBasePHEV50</v>
      </c>
      <c r="B22" s="79" t="str">
        <f>'Vehicle Attributes - Base Year'!B19</f>
        <v>MedSUV</v>
      </c>
      <c r="C22" s="68" t="str">
        <f>'Vehicle Attributes - Base Year'!C19</f>
        <v>Premium</v>
      </c>
      <c r="D22" s="68" t="str">
        <f>'Vehicle Attributes - Base Year'!D19</f>
        <v>PHEV50</v>
      </c>
      <c r="E22" s="23">
        <v>0</v>
      </c>
      <c r="F22" s="23">
        <f t="shared" ref="F22:O22" si="17">E22*(1-$C$1)</f>
        <v>0</v>
      </c>
      <c r="G22" s="23">
        <f t="shared" si="17"/>
        <v>0</v>
      </c>
      <c r="H22" s="23">
        <f t="shared" si="17"/>
        <v>0</v>
      </c>
      <c r="I22" s="23">
        <f t="shared" si="17"/>
        <v>0</v>
      </c>
      <c r="J22" s="23">
        <f t="shared" si="17"/>
        <v>0</v>
      </c>
      <c r="K22" s="23">
        <f t="shared" si="17"/>
        <v>0</v>
      </c>
      <c r="L22" s="23">
        <f t="shared" si="17"/>
        <v>0</v>
      </c>
      <c r="M22" s="23">
        <f t="shared" si="17"/>
        <v>0</v>
      </c>
      <c r="N22" s="23">
        <f t="shared" si="17"/>
        <v>0</v>
      </c>
      <c r="O22" s="43">
        <f t="shared" si="17"/>
        <v>0</v>
      </c>
    </row>
    <row r="23" spans="1:15" x14ac:dyDescent="0.3">
      <c r="A23" t="str">
        <f t="shared" si="0"/>
        <v>PickupHTPHEV50</v>
      </c>
      <c r="B23" s="79" t="str">
        <f>'Vehicle Attributes - Base Year'!B20</f>
        <v>Pickup</v>
      </c>
      <c r="C23" s="68" t="str">
        <f>'Vehicle Attributes - Base Year'!C20</f>
        <v>Base</v>
      </c>
      <c r="D23" s="68" t="str">
        <f>'Vehicle Attributes - Base Year'!D20</f>
        <v>PHEV50</v>
      </c>
      <c r="E23" s="23">
        <v>0</v>
      </c>
      <c r="F23" s="23">
        <f t="shared" ref="F23:O23" si="18">E23*(1-$C$1)</f>
        <v>0</v>
      </c>
      <c r="G23" s="23">
        <f t="shared" si="18"/>
        <v>0</v>
      </c>
      <c r="H23" s="23">
        <f t="shared" si="18"/>
        <v>0</v>
      </c>
      <c r="I23" s="23">
        <f t="shared" si="18"/>
        <v>0</v>
      </c>
      <c r="J23" s="23">
        <f t="shared" si="18"/>
        <v>0</v>
      </c>
      <c r="K23" s="23">
        <f t="shared" si="18"/>
        <v>0</v>
      </c>
      <c r="L23" s="23">
        <f t="shared" si="18"/>
        <v>0</v>
      </c>
      <c r="M23" s="23">
        <f t="shared" si="18"/>
        <v>0</v>
      </c>
      <c r="N23" s="23">
        <f t="shared" si="18"/>
        <v>0</v>
      </c>
      <c r="O23" s="43">
        <f t="shared" si="18"/>
        <v>0</v>
      </c>
    </row>
    <row r="24" spans="1:15" x14ac:dyDescent="0.3">
      <c r="A24" s="16" t="str">
        <f t="shared" si="0"/>
        <v>SmallCarBaseFCEV320</v>
      </c>
      <c r="B24" s="79" t="str">
        <f>'Vehicle Attributes - Base Year'!B21</f>
        <v>Pickup</v>
      </c>
      <c r="C24" s="68" t="str">
        <f>'Vehicle Attributes - Base Year'!C21</f>
        <v>HT</v>
      </c>
      <c r="D24" s="68" t="str">
        <f>'Vehicle Attributes - Base Year'!D21</f>
        <v>PHEV50</v>
      </c>
      <c r="E24" s="23">
        <v>0</v>
      </c>
      <c r="F24" s="23">
        <f t="shared" ref="F24:O24" si="19">E24*(1-$C$1)</f>
        <v>0</v>
      </c>
      <c r="G24" s="23">
        <f t="shared" si="19"/>
        <v>0</v>
      </c>
      <c r="H24" s="23">
        <f t="shared" si="19"/>
        <v>0</v>
      </c>
      <c r="I24" s="23">
        <f t="shared" si="19"/>
        <v>0</v>
      </c>
      <c r="J24" s="23">
        <f t="shared" si="19"/>
        <v>0</v>
      </c>
      <c r="K24" s="23">
        <f t="shared" si="19"/>
        <v>0</v>
      </c>
      <c r="L24" s="23">
        <f t="shared" si="19"/>
        <v>0</v>
      </c>
      <c r="M24" s="23">
        <f t="shared" si="19"/>
        <v>0</v>
      </c>
      <c r="N24" s="23">
        <f t="shared" si="19"/>
        <v>0</v>
      </c>
      <c r="O24" s="43">
        <f t="shared" si="19"/>
        <v>0</v>
      </c>
    </row>
    <row r="25" spans="1:15" x14ac:dyDescent="0.3">
      <c r="A25" t="str">
        <f t="shared" si="0"/>
        <v>SmallCarPremiumFCEV320</v>
      </c>
      <c r="B25" s="79" t="str">
        <f>'Vehicle Attributes - Base Year'!B22</f>
        <v>SmallCar</v>
      </c>
      <c r="C25" s="68" t="str">
        <f>'Vehicle Attributes - Base Year'!C22</f>
        <v>Base</v>
      </c>
      <c r="D25" s="68" t="str">
        <f>'Vehicle Attributes - Base Year'!D22</f>
        <v>FCEV320</v>
      </c>
      <c r="E25" s="23">
        <v>0</v>
      </c>
      <c r="F25" s="23">
        <f t="shared" ref="F25:O25" si="20">E25*(1-$C$1)</f>
        <v>0</v>
      </c>
      <c r="G25" s="23">
        <f t="shared" si="20"/>
        <v>0</v>
      </c>
      <c r="H25" s="23">
        <f t="shared" si="20"/>
        <v>0</v>
      </c>
      <c r="I25" s="23">
        <f t="shared" si="20"/>
        <v>0</v>
      </c>
      <c r="J25" s="23">
        <f t="shared" si="20"/>
        <v>0</v>
      </c>
      <c r="K25" s="23">
        <f t="shared" si="20"/>
        <v>0</v>
      </c>
      <c r="L25" s="23">
        <f t="shared" si="20"/>
        <v>0</v>
      </c>
      <c r="M25" s="23">
        <f t="shared" si="20"/>
        <v>0</v>
      </c>
      <c r="N25" s="23">
        <f t="shared" si="20"/>
        <v>0</v>
      </c>
      <c r="O25" s="43">
        <f t="shared" si="20"/>
        <v>0</v>
      </c>
    </row>
    <row r="26" spans="1:15" x14ac:dyDescent="0.3">
      <c r="A26" s="16" t="str">
        <f t="shared" si="0"/>
        <v>MedCarBaseFCEV320</v>
      </c>
      <c r="B26" s="79" t="str">
        <f>'Vehicle Attributes - Base Year'!B23</f>
        <v>SmallCar</v>
      </c>
      <c r="C26" s="68" t="str">
        <f>'Vehicle Attributes - Base Year'!C23</f>
        <v>Premium</v>
      </c>
      <c r="D26" s="68" t="str">
        <f>'Vehicle Attributes - Base Year'!D23</f>
        <v>FCEV320</v>
      </c>
      <c r="E26" s="23">
        <v>0</v>
      </c>
      <c r="F26" s="23">
        <f t="shared" ref="F26:O26" si="21">E26*(1-$C$1)</f>
        <v>0</v>
      </c>
      <c r="G26" s="23">
        <f t="shared" si="21"/>
        <v>0</v>
      </c>
      <c r="H26" s="23">
        <f t="shared" si="21"/>
        <v>0</v>
      </c>
      <c r="I26" s="23">
        <f t="shared" si="21"/>
        <v>0</v>
      </c>
      <c r="J26" s="23">
        <f t="shared" si="21"/>
        <v>0</v>
      </c>
      <c r="K26" s="23">
        <f t="shared" si="21"/>
        <v>0</v>
      </c>
      <c r="L26" s="23">
        <f t="shared" si="21"/>
        <v>0</v>
      </c>
      <c r="M26" s="23">
        <f t="shared" si="21"/>
        <v>0</v>
      </c>
      <c r="N26" s="23">
        <f t="shared" si="21"/>
        <v>0</v>
      </c>
      <c r="O26" s="43">
        <f t="shared" si="21"/>
        <v>0</v>
      </c>
    </row>
    <row r="27" spans="1:15" x14ac:dyDescent="0.3">
      <c r="A27" t="str">
        <f t="shared" si="0"/>
        <v>MedCarPremiumFCEV320</v>
      </c>
      <c r="B27" s="79" t="str">
        <f>'Vehicle Attributes - Base Year'!B24</f>
        <v>MedCar</v>
      </c>
      <c r="C27" s="68" t="str">
        <f>'Vehicle Attributes - Base Year'!C24</f>
        <v>Base</v>
      </c>
      <c r="D27" s="68" t="str">
        <f>'Vehicle Attributes - Base Year'!D24</f>
        <v>FCEV320</v>
      </c>
      <c r="E27" s="23">
        <v>0</v>
      </c>
      <c r="F27" s="23">
        <f t="shared" ref="F27:O27" si="22">E27*(1-$C$1)</f>
        <v>0</v>
      </c>
      <c r="G27" s="23">
        <f t="shared" si="22"/>
        <v>0</v>
      </c>
      <c r="H27" s="23">
        <f t="shared" si="22"/>
        <v>0</v>
      </c>
      <c r="I27" s="23">
        <f t="shared" si="22"/>
        <v>0</v>
      </c>
      <c r="J27" s="23">
        <f t="shared" si="22"/>
        <v>0</v>
      </c>
      <c r="K27" s="23">
        <f t="shared" si="22"/>
        <v>0</v>
      </c>
      <c r="L27" s="23">
        <f t="shared" si="22"/>
        <v>0</v>
      </c>
      <c r="M27" s="23">
        <f t="shared" si="22"/>
        <v>0</v>
      </c>
      <c r="N27" s="23">
        <f t="shared" si="22"/>
        <v>0</v>
      </c>
      <c r="O27" s="43">
        <f t="shared" si="22"/>
        <v>0</v>
      </c>
    </row>
    <row r="28" spans="1:15" x14ac:dyDescent="0.3">
      <c r="A28" s="16" t="str">
        <f t="shared" si="0"/>
        <v>SmallSUVBaseFCEV320</v>
      </c>
      <c r="B28" s="79" t="str">
        <f>'Vehicle Attributes - Base Year'!B25</f>
        <v>MedCar</v>
      </c>
      <c r="C28" s="68" t="str">
        <f>'Vehicle Attributes - Base Year'!C25</f>
        <v>Premium</v>
      </c>
      <c r="D28" s="68" t="str">
        <f>'Vehicle Attributes - Base Year'!D25</f>
        <v>FCEV320</v>
      </c>
      <c r="E28" s="23">
        <v>0</v>
      </c>
      <c r="F28" s="23">
        <f t="shared" ref="F28:O28" si="23">E28*(1-$C$1)</f>
        <v>0</v>
      </c>
      <c r="G28" s="23">
        <f t="shared" si="23"/>
        <v>0</v>
      </c>
      <c r="H28" s="23">
        <f t="shared" si="23"/>
        <v>0</v>
      </c>
      <c r="I28" s="23">
        <f t="shared" si="23"/>
        <v>0</v>
      </c>
      <c r="J28" s="23">
        <f t="shared" si="23"/>
        <v>0</v>
      </c>
      <c r="K28" s="23">
        <f t="shared" si="23"/>
        <v>0</v>
      </c>
      <c r="L28" s="23">
        <f t="shared" si="23"/>
        <v>0</v>
      </c>
      <c r="M28" s="23">
        <f t="shared" si="23"/>
        <v>0</v>
      </c>
      <c r="N28" s="23">
        <f t="shared" si="23"/>
        <v>0</v>
      </c>
      <c r="O28" s="43">
        <f t="shared" si="23"/>
        <v>0</v>
      </c>
    </row>
    <row r="29" spans="1:15" x14ac:dyDescent="0.3">
      <c r="A29" t="str">
        <f t="shared" si="0"/>
        <v>SmallSUVPremiumFCEV320</v>
      </c>
      <c r="B29" s="79" t="str">
        <f>'Vehicle Attributes - Base Year'!B26</f>
        <v>SmallSUV</v>
      </c>
      <c r="C29" s="68" t="str">
        <f>'Vehicle Attributes - Base Year'!C26</f>
        <v>Base</v>
      </c>
      <c r="D29" s="68" t="str">
        <f>'Vehicle Attributes - Base Year'!D26</f>
        <v>FCEV320</v>
      </c>
      <c r="E29" s="23">
        <v>0</v>
      </c>
      <c r="F29" s="23">
        <f t="shared" ref="F29:O29" si="24">E29*(1-$C$1)</f>
        <v>0</v>
      </c>
      <c r="G29" s="23">
        <f t="shared" si="24"/>
        <v>0</v>
      </c>
      <c r="H29" s="23">
        <f t="shared" si="24"/>
        <v>0</v>
      </c>
      <c r="I29" s="23">
        <f t="shared" si="24"/>
        <v>0</v>
      </c>
      <c r="J29" s="23">
        <f t="shared" si="24"/>
        <v>0</v>
      </c>
      <c r="K29" s="23">
        <f t="shared" si="24"/>
        <v>0</v>
      </c>
      <c r="L29" s="23">
        <f t="shared" si="24"/>
        <v>0</v>
      </c>
      <c r="M29" s="23">
        <f t="shared" si="24"/>
        <v>0</v>
      </c>
      <c r="N29" s="23">
        <f t="shared" si="24"/>
        <v>0</v>
      </c>
      <c r="O29" s="43">
        <f t="shared" si="24"/>
        <v>0</v>
      </c>
    </row>
    <row r="30" spans="1:15" x14ac:dyDescent="0.3">
      <c r="A30" s="16" t="str">
        <f t="shared" si="0"/>
        <v>MedSUVBaseFCEV320</v>
      </c>
      <c r="B30" s="79" t="str">
        <f>'Vehicle Attributes - Base Year'!B27</f>
        <v>SmallSUV</v>
      </c>
      <c r="C30" s="68" t="str">
        <f>'Vehicle Attributes - Base Year'!C27</f>
        <v>Premium</v>
      </c>
      <c r="D30" s="68" t="str">
        <f>'Vehicle Attributes - Base Year'!D27</f>
        <v>FCEV320</v>
      </c>
      <c r="E30" s="23">
        <v>0</v>
      </c>
      <c r="F30" s="23">
        <f t="shared" ref="F30:O30" si="25">E30*(1-$C$1)</f>
        <v>0</v>
      </c>
      <c r="G30" s="23">
        <f t="shared" si="25"/>
        <v>0</v>
      </c>
      <c r="H30" s="23">
        <f t="shared" si="25"/>
        <v>0</v>
      </c>
      <c r="I30" s="23">
        <f t="shared" si="25"/>
        <v>0</v>
      </c>
      <c r="J30" s="23">
        <f t="shared" si="25"/>
        <v>0</v>
      </c>
      <c r="K30" s="23">
        <f t="shared" si="25"/>
        <v>0</v>
      </c>
      <c r="L30" s="23">
        <f t="shared" si="25"/>
        <v>0</v>
      </c>
      <c r="M30" s="23">
        <f t="shared" si="25"/>
        <v>0</v>
      </c>
      <c r="N30" s="23">
        <f t="shared" si="25"/>
        <v>0</v>
      </c>
      <c r="O30" s="43">
        <f t="shared" si="25"/>
        <v>0</v>
      </c>
    </row>
    <row r="31" spans="1:15" x14ac:dyDescent="0.3">
      <c r="A31" t="str">
        <f t="shared" si="0"/>
        <v>MedSUVPremiumFCEV320</v>
      </c>
      <c r="B31" s="79" t="str">
        <f>'Vehicle Attributes - Base Year'!B28</f>
        <v>MedSUV</v>
      </c>
      <c r="C31" s="68" t="str">
        <f>'Vehicle Attributes - Base Year'!C28</f>
        <v>Base</v>
      </c>
      <c r="D31" s="68" t="str">
        <f>'Vehicle Attributes - Base Year'!D28</f>
        <v>FCEV320</v>
      </c>
      <c r="E31" s="23">
        <v>0</v>
      </c>
      <c r="F31" s="23">
        <f t="shared" ref="F31:O31" si="26">E31*(1-$C$1)</f>
        <v>0</v>
      </c>
      <c r="G31" s="23">
        <f t="shared" si="26"/>
        <v>0</v>
      </c>
      <c r="H31" s="23">
        <f t="shared" si="26"/>
        <v>0</v>
      </c>
      <c r="I31" s="23">
        <f t="shared" si="26"/>
        <v>0</v>
      </c>
      <c r="J31" s="23">
        <f t="shared" si="26"/>
        <v>0</v>
      </c>
      <c r="K31" s="23">
        <f t="shared" si="26"/>
        <v>0</v>
      </c>
      <c r="L31" s="23">
        <f t="shared" si="26"/>
        <v>0</v>
      </c>
      <c r="M31" s="23">
        <f t="shared" si="26"/>
        <v>0</v>
      </c>
      <c r="N31" s="23">
        <f t="shared" si="26"/>
        <v>0</v>
      </c>
      <c r="O31" s="43">
        <f t="shared" si="26"/>
        <v>0</v>
      </c>
    </row>
    <row r="32" spans="1:15" x14ac:dyDescent="0.3">
      <c r="A32" s="16" t="str">
        <f t="shared" si="0"/>
        <v>PickupBaseFCEV320</v>
      </c>
      <c r="B32" s="79" t="str">
        <f>'Vehicle Attributes - Base Year'!B29</f>
        <v>MedSUV</v>
      </c>
      <c r="C32" s="68" t="str">
        <f>'Vehicle Attributes - Base Year'!C29</f>
        <v>Premium</v>
      </c>
      <c r="D32" s="68" t="str">
        <f>'Vehicle Attributes - Base Year'!D29</f>
        <v>FCEV320</v>
      </c>
      <c r="E32" s="23">
        <v>0</v>
      </c>
      <c r="F32" s="23">
        <f t="shared" ref="F32:O32" si="27">E32*(1-$C$1)</f>
        <v>0</v>
      </c>
      <c r="G32" s="23">
        <f t="shared" si="27"/>
        <v>0</v>
      </c>
      <c r="H32" s="23">
        <f t="shared" si="27"/>
        <v>0</v>
      </c>
      <c r="I32" s="23">
        <f t="shared" si="27"/>
        <v>0</v>
      </c>
      <c r="J32" s="23">
        <f t="shared" si="27"/>
        <v>0</v>
      </c>
      <c r="K32" s="23">
        <f t="shared" si="27"/>
        <v>0</v>
      </c>
      <c r="L32" s="23">
        <f t="shared" si="27"/>
        <v>0</v>
      </c>
      <c r="M32" s="23">
        <f t="shared" si="27"/>
        <v>0</v>
      </c>
      <c r="N32" s="23">
        <f t="shared" si="27"/>
        <v>0</v>
      </c>
      <c r="O32" s="43">
        <f t="shared" si="27"/>
        <v>0</v>
      </c>
    </row>
    <row r="33" spans="1:15" x14ac:dyDescent="0.3">
      <c r="A33" t="str">
        <f t="shared" si="0"/>
        <v>PickupHTFCEV320</v>
      </c>
      <c r="B33" s="79" t="str">
        <f>'Vehicle Attributes - Base Year'!B30</f>
        <v>Pickup</v>
      </c>
      <c r="C33" s="68" t="str">
        <f>'Vehicle Attributes - Base Year'!C30</f>
        <v>Base</v>
      </c>
      <c r="D33" s="68" t="str">
        <f>'Vehicle Attributes - Base Year'!D30</f>
        <v>FCEV320</v>
      </c>
      <c r="E33" s="23">
        <v>0</v>
      </c>
      <c r="F33" s="23">
        <f t="shared" ref="F33:O33" si="28">E33*(1-$C$1)</f>
        <v>0</v>
      </c>
      <c r="G33" s="23">
        <f t="shared" si="28"/>
        <v>0</v>
      </c>
      <c r="H33" s="23">
        <f t="shared" si="28"/>
        <v>0</v>
      </c>
      <c r="I33" s="23">
        <f t="shared" si="28"/>
        <v>0</v>
      </c>
      <c r="J33" s="23">
        <f t="shared" si="28"/>
        <v>0</v>
      </c>
      <c r="K33" s="23">
        <f t="shared" si="28"/>
        <v>0</v>
      </c>
      <c r="L33" s="23">
        <f t="shared" si="28"/>
        <v>0</v>
      </c>
      <c r="M33" s="23">
        <f t="shared" si="28"/>
        <v>0</v>
      </c>
      <c r="N33" s="23">
        <f t="shared" si="28"/>
        <v>0</v>
      </c>
      <c r="O33" s="43">
        <f t="shared" si="28"/>
        <v>0</v>
      </c>
    </row>
    <row r="34" spans="1:15" x14ac:dyDescent="0.3">
      <c r="B34" s="79" t="str">
        <f>'Vehicle Attributes - Base Year'!B31</f>
        <v>Pickup</v>
      </c>
      <c r="C34" s="68" t="str">
        <f>'Vehicle Attributes - Base Year'!C31</f>
        <v>HT</v>
      </c>
      <c r="D34" s="68" t="str">
        <f>'Vehicle Attributes - Base Year'!D31</f>
        <v>FCEV320</v>
      </c>
      <c r="E34" s="23">
        <v>0</v>
      </c>
      <c r="F34" s="23">
        <f t="shared" ref="F34:O34" si="29">E34*(1-$C$1)</f>
        <v>0</v>
      </c>
      <c r="G34" s="23">
        <f t="shared" si="29"/>
        <v>0</v>
      </c>
      <c r="H34" s="23">
        <f t="shared" si="29"/>
        <v>0</v>
      </c>
      <c r="I34" s="23">
        <f t="shared" si="29"/>
        <v>0</v>
      </c>
      <c r="J34" s="23">
        <f t="shared" si="29"/>
        <v>0</v>
      </c>
      <c r="K34" s="23">
        <f t="shared" si="29"/>
        <v>0</v>
      </c>
      <c r="L34" s="23">
        <f t="shared" si="29"/>
        <v>0</v>
      </c>
      <c r="M34" s="23">
        <f t="shared" si="29"/>
        <v>0</v>
      </c>
      <c r="N34" s="23">
        <f t="shared" si="29"/>
        <v>0</v>
      </c>
      <c r="O34" s="43">
        <f t="shared" si="29"/>
        <v>0</v>
      </c>
    </row>
  </sheetData>
  <mergeCells count="2">
    <mergeCell ref="E2:O2"/>
    <mergeCell ref="B1:O1"/>
  </mergeCells>
  <pageMargins left="0.7" right="0.7" top="0.75" bottom="0.75" header="0.3" footer="0.3"/>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36A393"/>
  </sheetPr>
  <dimension ref="A1:O34"/>
  <sheetViews>
    <sheetView topLeftCell="B1" workbookViewId="0">
      <selection activeCell="B1" sqref="B1:O1"/>
    </sheetView>
  </sheetViews>
  <sheetFormatPr defaultRowHeight="14.4" x14ac:dyDescent="0.3"/>
  <cols>
    <col min="1" max="1" width="14.109375" hidden="1" customWidth="1"/>
    <col min="2" max="2" width="12.5546875" bestFit="1" customWidth="1"/>
    <col min="3" max="3" width="12.44140625" bestFit="1" customWidth="1"/>
    <col min="4" max="10" width="11" customWidth="1"/>
    <col min="11" max="15" width="12" customWidth="1"/>
  </cols>
  <sheetData>
    <row r="1" spans="1:15" x14ac:dyDescent="0.3">
      <c r="B1" s="170" t="s">
        <v>236</v>
      </c>
      <c r="C1" s="175"/>
      <c r="D1" s="175"/>
      <c r="E1" s="175"/>
      <c r="F1" s="175"/>
      <c r="G1" s="175"/>
      <c r="H1" s="175"/>
      <c r="I1" s="175"/>
      <c r="J1" s="175"/>
      <c r="K1" s="175"/>
      <c r="L1" s="175"/>
      <c r="M1" s="175"/>
      <c r="N1" s="175"/>
      <c r="O1" s="171"/>
    </row>
    <row r="2" spans="1:15" x14ac:dyDescent="0.3">
      <c r="B2" s="73"/>
      <c r="C2" s="73"/>
      <c r="D2" s="74"/>
      <c r="E2" s="195" t="s">
        <v>155</v>
      </c>
      <c r="F2" s="195"/>
      <c r="G2" s="195"/>
      <c r="H2" s="195"/>
      <c r="I2" s="195"/>
      <c r="J2" s="195"/>
      <c r="K2" s="195"/>
      <c r="L2" s="195"/>
      <c r="M2" s="195"/>
      <c r="N2" s="195"/>
      <c r="O2" s="196"/>
    </row>
    <row r="3" spans="1:15" x14ac:dyDescent="0.3">
      <c r="B3" s="75" t="s">
        <v>100</v>
      </c>
      <c r="C3" s="75" t="s">
        <v>101</v>
      </c>
      <c r="D3" s="76" t="s">
        <v>67</v>
      </c>
      <c r="E3" s="77">
        <v>2025</v>
      </c>
      <c r="F3" s="78">
        <v>2026</v>
      </c>
      <c r="G3" s="78">
        <v>2027</v>
      </c>
      <c r="H3" s="78">
        <v>2028</v>
      </c>
      <c r="I3" s="78">
        <v>2029</v>
      </c>
      <c r="J3" s="78">
        <v>2030</v>
      </c>
      <c r="K3" s="78">
        <v>2031</v>
      </c>
      <c r="L3" s="78">
        <v>2032</v>
      </c>
      <c r="M3" s="78">
        <v>2033</v>
      </c>
      <c r="N3" s="78">
        <v>2034</v>
      </c>
      <c r="O3" s="148">
        <v>2035</v>
      </c>
    </row>
    <row r="4" spans="1:15" x14ac:dyDescent="0.3">
      <c r="A4" s="16" t="str">
        <f t="shared" ref="A4:A33" si="0">CONCATENATE(B5,C5,D5)</f>
        <v>SmallCarBaseBEV300</v>
      </c>
      <c r="B4" s="79" t="s">
        <v>64</v>
      </c>
      <c r="C4" s="68" t="s">
        <v>65</v>
      </c>
      <c r="D4" s="68" t="s">
        <v>156</v>
      </c>
      <c r="E4" s="23" t="s">
        <v>157</v>
      </c>
      <c r="F4" s="23" t="s">
        <v>158</v>
      </c>
      <c r="G4" s="23" t="s">
        <v>159</v>
      </c>
      <c r="H4" s="23" t="s">
        <v>160</v>
      </c>
      <c r="I4" s="23" t="s">
        <v>161</v>
      </c>
      <c r="J4" s="23" t="s">
        <v>162</v>
      </c>
      <c r="K4" s="23" t="s">
        <v>163</v>
      </c>
      <c r="L4" s="23" t="s">
        <v>164</v>
      </c>
      <c r="M4" s="23" t="s">
        <v>165</v>
      </c>
      <c r="N4" s="23" t="s">
        <v>166</v>
      </c>
      <c r="O4" s="43" t="s">
        <v>167</v>
      </c>
    </row>
    <row r="5" spans="1:15" x14ac:dyDescent="0.3">
      <c r="A5" t="str">
        <f t="shared" si="0"/>
        <v>SmallCarPremiumBEV400</v>
      </c>
      <c r="B5" s="79" t="str">
        <f>'Vehicle Attributes - Base Year'!B2</f>
        <v>SmallCar</v>
      </c>
      <c r="C5" s="68" t="str">
        <f>'Vehicle Attributes - Base Year'!C2</f>
        <v>Base</v>
      </c>
      <c r="D5" s="68" t="str">
        <f>'Vehicle Attributes - Base Year'!D2</f>
        <v>BEV300</v>
      </c>
      <c r="E5" s="23">
        <f>'Vehicle Attributes - Base Year'!AE2</f>
        <v>1007.4200000000001</v>
      </c>
      <c r="F5" s="23">
        <f t="shared" ref="F5:O5" si="1">E5*(1-Non_Battery_Annual_Cost_Reduction)</f>
        <v>997.34580000000005</v>
      </c>
      <c r="G5" s="23">
        <f t="shared" si="1"/>
        <v>987.372342</v>
      </c>
      <c r="H5" s="23">
        <f t="shared" si="1"/>
        <v>977.49861857999997</v>
      </c>
      <c r="I5" s="23">
        <f t="shared" si="1"/>
        <v>967.72363239419997</v>
      </c>
      <c r="J5" s="23">
        <f t="shared" si="1"/>
        <v>958.04639607025797</v>
      </c>
      <c r="K5" s="23">
        <f t="shared" si="1"/>
        <v>948.46593210955541</v>
      </c>
      <c r="L5" s="23">
        <f t="shared" si="1"/>
        <v>938.98127278845982</v>
      </c>
      <c r="M5" s="23">
        <f t="shared" si="1"/>
        <v>929.59146006057517</v>
      </c>
      <c r="N5" s="23">
        <f t="shared" si="1"/>
        <v>920.29554545996939</v>
      </c>
      <c r="O5" s="43">
        <f t="shared" si="1"/>
        <v>911.09259000536974</v>
      </c>
    </row>
    <row r="6" spans="1:15" x14ac:dyDescent="0.3">
      <c r="A6" s="16" t="str">
        <f t="shared" si="0"/>
        <v>MedCarBaseBEV300</v>
      </c>
      <c r="B6" s="79" t="str">
        <f>'Vehicle Attributes - Base Year'!B3</f>
        <v>SmallCar</v>
      </c>
      <c r="C6" s="68" t="str">
        <f>'Vehicle Attributes - Base Year'!C3</f>
        <v>Premium</v>
      </c>
      <c r="D6" s="68" t="str">
        <f>'Vehicle Attributes - Base Year'!D3</f>
        <v>BEV400</v>
      </c>
      <c r="E6" s="23">
        <f>'Vehicle Attributes - Base Year'!AE3</f>
        <v>1064.95</v>
      </c>
      <c r="F6" s="23">
        <f t="shared" ref="F6:O6" si="2">E6*(1-Non_Battery_Annual_Cost_Reduction)</f>
        <v>1054.3005000000001</v>
      </c>
      <c r="G6" s="23">
        <f t="shared" si="2"/>
        <v>1043.7574950000001</v>
      </c>
      <c r="H6" s="23">
        <f t="shared" si="2"/>
        <v>1033.3199200500001</v>
      </c>
      <c r="I6" s="23">
        <f t="shared" si="2"/>
        <v>1022.9867208495001</v>
      </c>
      <c r="J6" s="23">
        <f t="shared" si="2"/>
        <v>1012.7568536410051</v>
      </c>
      <c r="K6" s="23">
        <f t="shared" si="2"/>
        <v>1002.6292851045951</v>
      </c>
      <c r="L6" s="23">
        <f t="shared" si="2"/>
        <v>992.60299225354913</v>
      </c>
      <c r="M6" s="23">
        <f t="shared" si="2"/>
        <v>982.67696233101367</v>
      </c>
      <c r="N6" s="23">
        <f t="shared" si="2"/>
        <v>972.85019270770351</v>
      </c>
      <c r="O6" s="43">
        <f t="shared" si="2"/>
        <v>963.12169078062652</v>
      </c>
    </row>
    <row r="7" spans="1:15" x14ac:dyDescent="0.3">
      <c r="A7" t="str">
        <f t="shared" si="0"/>
        <v>MedCarPremiumBEV400</v>
      </c>
      <c r="B7" s="79" t="str">
        <f>'Vehicle Attributes - Base Year'!B4</f>
        <v>MedCar</v>
      </c>
      <c r="C7" s="68" t="str">
        <f>'Vehicle Attributes - Base Year'!C4</f>
        <v>Base</v>
      </c>
      <c r="D7" s="68" t="str">
        <f>'Vehicle Attributes - Base Year'!D4</f>
        <v>BEV300</v>
      </c>
      <c r="E7" s="23">
        <f>'Vehicle Attributes - Base Year'!AE4</f>
        <v>1101.56</v>
      </c>
      <c r="F7" s="23">
        <f t="shared" ref="F7:O7" si="3">E7*(1-Non_Battery_Annual_Cost_Reduction)</f>
        <v>1090.5444</v>
      </c>
      <c r="G7" s="23">
        <f t="shared" si="3"/>
        <v>1079.638956</v>
      </c>
      <c r="H7" s="23">
        <f t="shared" si="3"/>
        <v>1068.8425664399999</v>
      </c>
      <c r="I7" s="23">
        <f t="shared" si="3"/>
        <v>1058.1541407755999</v>
      </c>
      <c r="J7" s="23">
        <f t="shared" si="3"/>
        <v>1047.5725993678438</v>
      </c>
      <c r="K7" s="23">
        <f t="shared" si="3"/>
        <v>1037.0968733741654</v>
      </c>
      <c r="L7" s="23">
        <f t="shared" si="3"/>
        <v>1026.7259046404238</v>
      </c>
      <c r="M7" s="23">
        <f t="shared" si="3"/>
        <v>1016.4586455940196</v>
      </c>
      <c r="N7" s="23">
        <f t="shared" si="3"/>
        <v>1006.2940591380793</v>
      </c>
      <c r="O7" s="43">
        <f t="shared" si="3"/>
        <v>996.23111854669855</v>
      </c>
    </row>
    <row r="8" spans="1:15" x14ac:dyDescent="0.3">
      <c r="A8" s="16" t="str">
        <f t="shared" si="0"/>
        <v>SmallSUVBaseBEV300</v>
      </c>
      <c r="B8" s="79" t="str">
        <f>'Vehicle Attributes - Base Year'!B5</f>
        <v>MedCar</v>
      </c>
      <c r="C8" s="68" t="str">
        <f>'Vehicle Attributes - Base Year'!C5</f>
        <v>Premium</v>
      </c>
      <c r="D8" s="68" t="str">
        <f>'Vehicle Attributes - Base Year'!D5</f>
        <v>BEV400</v>
      </c>
      <c r="E8" s="23">
        <f>'Vehicle Attributes - Base Year'!AE5</f>
        <v>1195.7</v>
      </c>
      <c r="F8" s="23">
        <f t="shared" ref="F8:O8" si="4">E8*(1-Non_Battery_Annual_Cost_Reduction)</f>
        <v>1183.7429999999999</v>
      </c>
      <c r="G8" s="23">
        <f t="shared" si="4"/>
        <v>1171.9055699999999</v>
      </c>
      <c r="H8" s="23">
        <f t="shared" si="4"/>
        <v>1160.1865143</v>
      </c>
      <c r="I8" s="23">
        <f t="shared" si="4"/>
        <v>1148.5846491570001</v>
      </c>
      <c r="J8" s="23">
        <f t="shared" si="4"/>
        <v>1137.09880266543</v>
      </c>
      <c r="K8" s="23">
        <f t="shared" si="4"/>
        <v>1125.7278146387757</v>
      </c>
      <c r="L8" s="23">
        <f t="shared" si="4"/>
        <v>1114.470536492388</v>
      </c>
      <c r="M8" s="23">
        <f t="shared" si="4"/>
        <v>1103.325831127464</v>
      </c>
      <c r="N8" s="23">
        <f t="shared" si="4"/>
        <v>1092.2925728161892</v>
      </c>
      <c r="O8" s="43">
        <f t="shared" si="4"/>
        <v>1081.3696470880272</v>
      </c>
    </row>
    <row r="9" spans="1:15" x14ac:dyDescent="0.3">
      <c r="A9" t="str">
        <f t="shared" si="0"/>
        <v>SmallSUVPremiumBEV400</v>
      </c>
      <c r="B9" s="79" t="str">
        <f>'Vehicle Attributes - Base Year'!B6</f>
        <v>SmallSUV</v>
      </c>
      <c r="C9" s="68" t="str">
        <f>'Vehicle Attributes - Base Year'!C6</f>
        <v>Base</v>
      </c>
      <c r="D9" s="68" t="str">
        <f>'Vehicle Attributes - Base Year'!D6</f>
        <v>BEV300</v>
      </c>
      <c r="E9" s="23">
        <f>'Vehicle Attributes - Base Year'!AE6</f>
        <v>1030.9549999999999</v>
      </c>
      <c r="F9" s="23">
        <f t="shared" ref="F9:O9" si="5">E9*(1-Non_Battery_Annual_Cost_Reduction)</f>
        <v>1020.6454499999999</v>
      </c>
      <c r="G9" s="23">
        <f t="shared" si="5"/>
        <v>1010.4389954999998</v>
      </c>
      <c r="H9" s="23">
        <f t="shared" si="5"/>
        <v>1000.3346055449998</v>
      </c>
      <c r="I9" s="23">
        <f t="shared" si="5"/>
        <v>990.33125948954978</v>
      </c>
      <c r="J9" s="23">
        <f t="shared" si="5"/>
        <v>980.42794689465427</v>
      </c>
      <c r="K9" s="23">
        <f t="shared" si="5"/>
        <v>970.62366742570771</v>
      </c>
      <c r="L9" s="23">
        <f t="shared" si="5"/>
        <v>960.91743075145064</v>
      </c>
      <c r="M9" s="23">
        <f t="shared" si="5"/>
        <v>951.3082564439361</v>
      </c>
      <c r="N9" s="23">
        <f t="shared" si="5"/>
        <v>941.7951738794967</v>
      </c>
      <c r="O9" s="43">
        <f t="shared" si="5"/>
        <v>932.37722214070175</v>
      </c>
    </row>
    <row r="10" spans="1:15" x14ac:dyDescent="0.3">
      <c r="A10" s="16" t="str">
        <f t="shared" si="0"/>
        <v>MedSUVBaseBEV300</v>
      </c>
      <c r="B10" s="79" t="str">
        <f>'Vehicle Attributes - Base Year'!B7</f>
        <v>SmallSUV</v>
      </c>
      <c r="C10" s="68" t="str">
        <f>'Vehicle Attributes - Base Year'!C7</f>
        <v>Premium</v>
      </c>
      <c r="D10" s="68" t="str">
        <f>'Vehicle Attributes - Base Year'!D7</f>
        <v>BEV400</v>
      </c>
      <c r="E10" s="23">
        <f>'Vehicle Attributes - Base Year'!AE7</f>
        <v>1101.56</v>
      </c>
      <c r="F10" s="23">
        <f t="shared" ref="F10:O10" si="6">E10*(1-Non_Battery_Annual_Cost_Reduction)</f>
        <v>1090.5444</v>
      </c>
      <c r="G10" s="23">
        <f t="shared" si="6"/>
        <v>1079.638956</v>
      </c>
      <c r="H10" s="23">
        <f t="shared" si="6"/>
        <v>1068.8425664399999</v>
      </c>
      <c r="I10" s="23">
        <f t="shared" si="6"/>
        <v>1058.1541407755999</v>
      </c>
      <c r="J10" s="23">
        <f t="shared" si="6"/>
        <v>1047.5725993678438</v>
      </c>
      <c r="K10" s="23">
        <f t="shared" si="6"/>
        <v>1037.0968733741654</v>
      </c>
      <c r="L10" s="23">
        <f t="shared" si="6"/>
        <v>1026.7259046404238</v>
      </c>
      <c r="M10" s="23">
        <f t="shared" si="6"/>
        <v>1016.4586455940196</v>
      </c>
      <c r="N10" s="23">
        <f t="shared" si="6"/>
        <v>1006.2940591380793</v>
      </c>
      <c r="O10" s="43">
        <f t="shared" si="6"/>
        <v>996.23111854669855</v>
      </c>
    </row>
    <row r="11" spans="1:15" x14ac:dyDescent="0.3">
      <c r="A11" t="str">
        <f t="shared" si="0"/>
        <v>MedSUVPremiumBEV400</v>
      </c>
      <c r="B11" s="79" t="str">
        <f>'Vehicle Attributes - Base Year'!B8</f>
        <v>MedSUV</v>
      </c>
      <c r="C11" s="68" t="str">
        <f>'Vehicle Attributes - Base Year'!C8</f>
        <v>Base</v>
      </c>
      <c r="D11" s="68" t="str">
        <f>'Vehicle Attributes - Base Year'!D8</f>
        <v>BEV300</v>
      </c>
      <c r="E11" s="23">
        <f>'Vehicle Attributes - Base Year'!AE8</f>
        <v>1221.8499999999999</v>
      </c>
      <c r="F11" s="23">
        <f t="shared" ref="F11:O11" si="7">E11*(1-Non_Battery_Annual_Cost_Reduction)</f>
        <v>1209.6315</v>
      </c>
      <c r="G11" s="23">
        <f t="shared" si="7"/>
        <v>1197.535185</v>
      </c>
      <c r="H11" s="23">
        <f t="shared" si="7"/>
        <v>1185.55983315</v>
      </c>
      <c r="I11" s="23">
        <f t="shared" si="7"/>
        <v>1173.7042348185</v>
      </c>
      <c r="J11" s="23">
        <f t="shared" si="7"/>
        <v>1161.967192470315</v>
      </c>
      <c r="K11" s="23">
        <f t="shared" si="7"/>
        <v>1150.3475205456118</v>
      </c>
      <c r="L11" s="23">
        <f t="shared" si="7"/>
        <v>1138.8440453401556</v>
      </c>
      <c r="M11" s="23">
        <f t="shared" si="7"/>
        <v>1127.4556048867541</v>
      </c>
      <c r="N11" s="23">
        <f t="shared" si="7"/>
        <v>1116.1810488378867</v>
      </c>
      <c r="O11" s="43">
        <f t="shared" si="7"/>
        <v>1105.0192383495078</v>
      </c>
    </row>
    <row r="12" spans="1:15" x14ac:dyDescent="0.3">
      <c r="A12" s="16" t="str">
        <f t="shared" si="0"/>
        <v>PickupBaseBEV300</v>
      </c>
      <c r="B12" s="79" t="str">
        <f>'Vehicle Attributes - Base Year'!B9</f>
        <v>MedSUV</v>
      </c>
      <c r="C12" s="68" t="str">
        <f>'Vehicle Attributes - Base Year'!C9</f>
        <v>Premium</v>
      </c>
      <c r="D12" s="68" t="str">
        <f>'Vehicle Attributes - Base Year'!D9</f>
        <v>BEV400</v>
      </c>
      <c r="E12" s="23">
        <f>'Vehicle Attributes - Base Year'!AE9</f>
        <v>1313.375</v>
      </c>
      <c r="F12" s="23">
        <f t="shared" ref="F12:O12" si="8">E12*(1-Non_Battery_Annual_Cost_Reduction)</f>
        <v>1300.24125</v>
      </c>
      <c r="G12" s="23">
        <f t="shared" si="8"/>
        <v>1287.2388375</v>
      </c>
      <c r="H12" s="23">
        <f t="shared" si="8"/>
        <v>1274.3664491250001</v>
      </c>
      <c r="I12" s="23">
        <f t="shared" si="8"/>
        <v>1261.6227846337501</v>
      </c>
      <c r="J12" s="23">
        <f t="shared" si="8"/>
        <v>1249.0065567874126</v>
      </c>
      <c r="K12" s="23">
        <f t="shared" si="8"/>
        <v>1236.5164912195385</v>
      </c>
      <c r="L12" s="23">
        <f t="shared" si="8"/>
        <v>1224.151326307343</v>
      </c>
      <c r="M12" s="23">
        <f t="shared" si="8"/>
        <v>1211.9098130442696</v>
      </c>
      <c r="N12" s="23">
        <f t="shared" si="8"/>
        <v>1199.7907149138268</v>
      </c>
      <c r="O12" s="43">
        <f t="shared" si="8"/>
        <v>1187.7928077646886</v>
      </c>
    </row>
    <row r="13" spans="1:15" x14ac:dyDescent="0.3">
      <c r="A13" t="str">
        <f t="shared" si="0"/>
        <v>PickupHTBEV400</v>
      </c>
      <c r="B13" s="79" t="str">
        <f>'Vehicle Attributes - Base Year'!B10</f>
        <v>Pickup</v>
      </c>
      <c r="C13" s="68" t="str">
        <f>'Vehicle Attributes - Base Year'!C10</f>
        <v>Base</v>
      </c>
      <c r="D13" s="68" t="str">
        <f>'Vehicle Attributes - Base Year'!D10</f>
        <v>BEV300</v>
      </c>
      <c r="E13" s="23">
        <f>'Vehicle Attributes - Base Year'!AE10</f>
        <v>1301.8980555555556</v>
      </c>
      <c r="F13" s="23">
        <f t="shared" ref="F13:O13" si="9">E13*(1-Non_Battery_Annual_Cost_Reduction)</f>
        <v>1288.8790750000001</v>
      </c>
      <c r="G13" s="23">
        <f t="shared" si="9"/>
        <v>1275.9902842500001</v>
      </c>
      <c r="H13" s="23">
        <f t="shared" si="9"/>
        <v>1263.2303814075001</v>
      </c>
      <c r="I13" s="23">
        <f t="shared" si="9"/>
        <v>1250.5980775934252</v>
      </c>
      <c r="J13" s="23">
        <f t="shared" si="9"/>
        <v>1238.092096817491</v>
      </c>
      <c r="K13" s="23">
        <f t="shared" si="9"/>
        <v>1225.7111758493161</v>
      </c>
      <c r="L13" s="23">
        <f t="shared" si="9"/>
        <v>1213.4540640908228</v>
      </c>
      <c r="M13" s="23">
        <f t="shared" si="9"/>
        <v>1201.3195234499146</v>
      </c>
      <c r="N13" s="23">
        <f t="shared" si="9"/>
        <v>1189.3063282154155</v>
      </c>
      <c r="O13" s="43">
        <f t="shared" si="9"/>
        <v>1177.4132649332614</v>
      </c>
    </row>
    <row r="14" spans="1:15" x14ac:dyDescent="0.3">
      <c r="A14" s="16" t="str">
        <f t="shared" si="0"/>
        <v>SmallCarBasePHEV50</v>
      </c>
      <c r="B14" s="79" t="str">
        <f>'Vehicle Attributes - Base Year'!B11</f>
        <v>Pickup</v>
      </c>
      <c r="C14" s="68" t="str">
        <f>'Vehicle Attributes - Base Year'!C11</f>
        <v>HT</v>
      </c>
      <c r="D14" s="68" t="str">
        <f>'Vehicle Attributes - Base Year'!D11</f>
        <v>BEV400</v>
      </c>
      <c r="E14" s="23">
        <f>'Vehicle Attributes - Base Year'!AE11</f>
        <v>1355.2150000000001</v>
      </c>
      <c r="F14" s="23">
        <f t="shared" ref="F14:O14" si="10">E14*(1-Non_Battery_Annual_Cost_Reduction)</f>
        <v>1341.6628500000002</v>
      </c>
      <c r="G14" s="23">
        <f t="shared" si="10"/>
        <v>1328.2462215</v>
      </c>
      <c r="H14" s="23">
        <f t="shared" si="10"/>
        <v>1314.9637592849999</v>
      </c>
      <c r="I14" s="23">
        <f t="shared" si="10"/>
        <v>1301.8141216921499</v>
      </c>
      <c r="J14" s="23">
        <f t="shared" si="10"/>
        <v>1288.7959804752284</v>
      </c>
      <c r="K14" s="23">
        <f t="shared" si="10"/>
        <v>1275.9080206704762</v>
      </c>
      <c r="L14" s="23">
        <f t="shared" si="10"/>
        <v>1263.1489404637714</v>
      </c>
      <c r="M14" s="23">
        <f t="shared" si="10"/>
        <v>1250.5174510591337</v>
      </c>
      <c r="N14" s="23">
        <f t="shared" si="10"/>
        <v>1238.0122765485423</v>
      </c>
      <c r="O14" s="43">
        <f t="shared" si="10"/>
        <v>1225.632153783057</v>
      </c>
    </row>
    <row r="15" spans="1:15" x14ac:dyDescent="0.3">
      <c r="A15" t="str">
        <f t="shared" si="0"/>
        <v>SmallCarPremiumPHEV50</v>
      </c>
      <c r="B15" s="79" t="str">
        <f>'Vehicle Attributes - Base Year'!B12</f>
        <v>SmallCar</v>
      </c>
      <c r="C15" s="68" t="str">
        <f>'Vehicle Attributes - Base Year'!C12</f>
        <v>Base</v>
      </c>
      <c r="D15" s="68" t="str">
        <f>'Vehicle Attributes - Base Year'!D12</f>
        <v>PHEV50</v>
      </c>
      <c r="E15" s="23">
        <f>'Vehicle Attributes - Base Year'!AE12</f>
        <v>976.04</v>
      </c>
      <c r="F15" s="23">
        <f t="shared" ref="F15:O15" si="11">E15*(1-Non_Battery_Annual_Cost_Reduction)</f>
        <v>966.27959999999996</v>
      </c>
      <c r="G15" s="23">
        <f t="shared" si="11"/>
        <v>956.616804</v>
      </c>
      <c r="H15" s="23">
        <f t="shared" si="11"/>
        <v>947.05063596000002</v>
      </c>
      <c r="I15" s="23">
        <f t="shared" si="11"/>
        <v>937.58012960040003</v>
      </c>
      <c r="J15" s="23">
        <f t="shared" si="11"/>
        <v>928.20432830439597</v>
      </c>
      <c r="K15" s="23">
        <f t="shared" si="11"/>
        <v>918.92228502135197</v>
      </c>
      <c r="L15" s="23">
        <f t="shared" si="11"/>
        <v>909.73306217113839</v>
      </c>
      <c r="M15" s="23">
        <f t="shared" si="11"/>
        <v>900.63573154942696</v>
      </c>
      <c r="N15" s="23">
        <f t="shared" si="11"/>
        <v>891.62937423393271</v>
      </c>
      <c r="O15" s="43">
        <f t="shared" si="11"/>
        <v>882.71308049159336</v>
      </c>
    </row>
    <row r="16" spans="1:15" x14ac:dyDescent="0.3">
      <c r="A16" s="16" t="str">
        <f t="shared" si="0"/>
        <v>MedCarBasePHEV50</v>
      </c>
      <c r="B16" s="79" t="str">
        <f>'Vehicle Attributes - Base Year'!B13</f>
        <v>SmallCar</v>
      </c>
      <c r="C16" s="68" t="str">
        <f>'Vehicle Attributes - Base Year'!C13</f>
        <v>Premium</v>
      </c>
      <c r="D16" s="68" t="str">
        <f>'Vehicle Attributes - Base Year'!D13</f>
        <v>PHEV50</v>
      </c>
      <c r="E16" s="23">
        <f>'Vehicle Attributes - Base Year'!AE13</f>
        <v>976.04</v>
      </c>
      <c r="F16" s="23">
        <f t="shared" ref="F16:O16" si="12">E16*(1-Non_Battery_Annual_Cost_Reduction)</f>
        <v>966.27959999999996</v>
      </c>
      <c r="G16" s="23">
        <f t="shared" si="12"/>
        <v>956.616804</v>
      </c>
      <c r="H16" s="23">
        <f t="shared" si="12"/>
        <v>947.05063596000002</v>
      </c>
      <c r="I16" s="23">
        <f t="shared" si="12"/>
        <v>937.58012960040003</v>
      </c>
      <c r="J16" s="23">
        <f t="shared" si="12"/>
        <v>928.20432830439597</v>
      </c>
      <c r="K16" s="23">
        <f t="shared" si="12"/>
        <v>918.92228502135197</v>
      </c>
      <c r="L16" s="23">
        <f t="shared" si="12"/>
        <v>909.73306217113839</v>
      </c>
      <c r="M16" s="23">
        <f t="shared" si="12"/>
        <v>900.63573154942696</v>
      </c>
      <c r="N16" s="23">
        <f t="shared" si="12"/>
        <v>891.62937423393271</v>
      </c>
      <c r="O16" s="43">
        <f t="shared" si="12"/>
        <v>882.71308049159336</v>
      </c>
    </row>
    <row r="17" spans="1:15" x14ac:dyDescent="0.3">
      <c r="A17" t="str">
        <f t="shared" si="0"/>
        <v>MedCarPremiumPHEV50</v>
      </c>
      <c r="B17" s="79" t="str">
        <f>'Vehicle Attributes - Base Year'!B14</f>
        <v>MedCar</v>
      </c>
      <c r="C17" s="68" t="str">
        <f>'Vehicle Attributes - Base Year'!C14</f>
        <v>Base</v>
      </c>
      <c r="D17" s="68" t="str">
        <f>'Vehicle Attributes - Base Year'!D14</f>
        <v>PHEV50</v>
      </c>
      <c r="E17" s="23">
        <f>'Vehicle Attributes - Base Year'!AE14</f>
        <v>1062.0950684253394</v>
      </c>
      <c r="F17" s="23">
        <f t="shared" ref="F17:O17" si="13">E17*(1-Non_Battery_Annual_Cost_Reduction)</f>
        <v>1051.474117741086</v>
      </c>
      <c r="G17" s="23">
        <f t="shared" si="13"/>
        <v>1040.9593765636753</v>
      </c>
      <c r="H17" s="23">
        <f t="shared" si="13"/>
        <v>1030.5497827980384</v>
      </c>
      <c r="I17" s="23">
        <f t="shared" si="13"/>
        <v>1020.2442849700581</v>
      </c>
      <c r="J17" s="23">
        <f t="shared" si="13"/>
        <v>1010.0418421203575</v>
      </c>
      <c r="K17" s="23">
        <f t="shared" si="13"/>
        <v>999.94142369915392</v>
      </c>
      <c r="L17" s="23">
        <f t="shared" si="13"/>
        <v>989.94200946216233</v>
      </c>
      <c r="M17" s="23">
        <f t="shared" si="13"/>
        <v>980.0425893675407</v>
      </c>
      <c r="N17" s="23">
        <f t="shared" si="13"/>
        <v>970.24216347386528</v>
      </c>
      <c r="O17" s="43">
        <f t="shared" si="13"/>
        <v>960.53974183912658</v>
      </c>
    </row>
    <row r="18" spans="1:15" x14ac:dyDescent="0.3">
      <c r="A18" s="16" t="str">
        <f t="shared" si="0"/>
        <v>SmallSUVBasePHEV50</v>
      </c>
      <c r="B18" s="79" t="str">
        <f>'Vehicle Attributes - Base Year'!B15</f>
        <v>MedCar</v>
      </c>
      <c r="C18" s="68" t="str">
        <f>'Vehicle Attributes - Base Year'!C15</f>
        <v>Premium</v>
      </c>
      <c r="D18" s="68" t="str">
        <f>'Vehicle Attributes - Base Year'!D15</f>
        <v>PHEV50</v>
      </c>
      <c r="E18" s="23">
        <f>'Vehicle Attributes - Base Year'!AE15</f>
        <v>1062.0950684253394</v>
      </c>
      <c r="F18" s="23">
        <f t="shared" ref="F18:O18" si="14">E18*(1-Non_Battery_Annual_Cost_Reduction)</f>
        <v>1051.474117741086</v>
      </c>
      <c r="G18" s="23">
        <f t="shared" si="14"/>
        <v>1040.9593765636753</v>
      </c>
      <c r="H18" s="23">
        <f t="shared" si="14"/>
        <v>1030.5497827980384</v>
      </c>
      <c r="I18" s="23">
        <f t="shared" si="14"/>
        <v>1020.2442849700581</v>
      </c>
      <c r="J18" s="23">
        <f t="shared" si="14"/>
        <v>1010.0418421203575</v>
      </c>
      <c r="K18" s="23">
        <f t="shared" si="14"/>
        <v>999.94142369915392</v>
      </c>
      <c r="L18" s="23">
        <f t="shared" si="14"/>
        <v>989.94200946216233</v>
      </c>
      <c r="M18" s="23">
        <f t="shared" si="14"/>
        <v>980.0425893675407</v>
      </c>
      <c r="N18" s="23">
        <f t="shared" si="14"/>
        <v>970.24216347386528</v>
      </c>
      <c r="O18" s="43">
        <f t="shared" si="14"/>
        <v>960.53974183912658</v>
      </c>
    </row>
    <row r="19" spans="1:15" x14ac:dyDescent="0.3">
      <c r="A19" t="str">
        <f t="shared" si="0"/>
        <v>SmallSUVPremiumPHEV50</v>
      </c>
      <c r="B19" s="79" t="str">
        <f>'Vehicle Attributes - Base Year'!B16</f>
        <v>SmallSUV</v>
      </c>
      <c r="C19" s="68" t="str">
        <f>'Vehicle Attributes - Base Year'!C16</f>
        <v>Base</v>
      </c>
      <c r="D19" s="68" t="str">
        <f>'Vehicle Attributes - Base Year'!D16</f>
        <v>PHEV50</v>
      </c>
      <c r="E19" s="23">
        <f>'Vehicle Attributes - Base Year'!AE16</f>
        <v>1072.3585268962265</v>
      </c>
      <c r="F19" s="23">
        <f t="shared" ref="F19:O19" si="15">E19*(1-Non_Battery_Annual_Cost_Reduction)</f>
        <v>1061.6349416272642</v>
      </c>
      <c r="G19" s="23">
        <f t="shared" si="15"/>
        <v>1051.0185922109915</v>
      </c>
      <c r="H19" s="23">
        <f t="shared" si="15"/>
        <v>1040.5084062888816</v>
      </c>
      <c r="I19" s="23">
        <f t="shared" si="15"/>
        <v>1030.1033222259928</v>
      </c>
      <c r="J19" s="23">
        <f t="shared" si="15"/>
        <v>1019.8022890037329</v>
      </c>
      <c r="K19" s="23">
        <f t="shared" si="15"/>
        <v>1009.6042661136955</v>
      </c>
      <c r="L19" s="23">
        <f t="shared" si="15"/>
        <v>999.50822345255858</v>
      </c>
      <c r="M19" s="23">
        <f t="shared" si="15"/>
        <v>989.51314121803296</v>
      </c>
      <c r="N19" s="23">
        <f t="shared" si="15"/>
        <v>979.61800980585258</v>
      </c>
      <c r="O19" s="43">
        <f t="shared" si="15"/>
        <v>969.821829707794</v>
      </c>
    </row>
    <row r="20" spans="1:15" x14ac:dyDescent="0.3">
      <c r="A20" s="16" t="str">
        <f t="shared" si="0"/>
        <v>MedSUVBasePHEV50</v>
      </c>
      <c r="B20" s="79" t="str">
        <f>'Vehicle Attributes - Base Year'!B17</f>
        <v>SmallSUV</v>
      </c>
      <c r="C20" s="68" t="str">
        <f>'Vehicle Attributes - Base Year'!C17</f>
        <v>Premium</v>
      </c>
      <c r="D20" s="68" t="str">
        <f>'Vehicle Attributes - Base Year'!D17</f>
        <v>PHEV50</v>
      </c>
      <c r="E20" s="23">
        <f>'Vehicle Attributes - Base Year'!AE17</f>
        <v>1072.3585268962265</v>
      </c>
      <c r="F20" s="23">
        <f t="shared" ref="F20:O20" si="16">E20*(1-Non_Battery_Annual_Cost_Reduction)</f>
        <v>1061.6349416272642</v>
      </c>
      <c r="G20" s="23">
        <f t="shared" si="16"/>
        <v>1051.0185922109915</v>
      </c>
      <c r="H20" s="23">
        <f t="shared" si="16"/>
        <v>1040.5084062888816</v>
      </c>
      <c r="I20" s="23">
        <f t="shared" si="16"/>
        <v>1030.1033222259928</v>
      </c>
      <c r="J20" s="23">
        <f t="shared" si="16"/>
        <v>1019.8022890037329</v>
      </c>
      <c r="K20" s="23">
        <f t="shared" si="16"/>
        <v>1009.6042661136955</v>
      </c>
      <c r="L20" s="23">
        <f t="shared" si="16"/>
        <v>999.50822345255858</v>
      </c>
      <c r="M20" s="23">
        <f t="shared" si="16"/>
        <v>989.51314121803296</v>
      </c>
      <c r="N20" s="23">
        <f t="shared" si="16"/>
        <v>979.61800980585258</v>
      </c>
      <c r="O20" s="43">
        <f t="shared" si="16"/>
        <v>969.821829707794</v>
      </c>
    </row>
    <row r="21" spans="1:15" x14ac:dyDescent="0.3">
      <c r="A21" t="str">
        <f t="shared" si="0"/>
        <v>MedSUVPremiumPHEV50</v>
      </c>
      <c r="B21" s="79" t="str">
        <f>'Vehicle Attributes - Base Year'!B18</f>
        <v>MedSUV</v>
      </c>
      <c r="C21" s="68" t="str">
        <f>'Vehicle Attributes - Base Year'!C18</f>
        <v>Base</v>
      </c>
      <c r="D21" s="68" t="str">
        <f>'Vehicle Attributes - Base Year'!D18</f>
        <v>PHEV50</v>
      </c>
      <c r="E21" s="23">
        <f>'Vehicle Attributes - Base Year'!AE18</f>
        <v>1141.8265046085526</v>
      </c>
      <c r="F21" s="23">
        <f t="shared" ref="F21:O21" si="17">E21*(1-Non_Battery_Annual_Cost_Reduction)</f>
        <v>1130.4082395624671</v>
      </c>
      <c r="G21" s="23">
        <f t="shared" si="17"/>
        <v>1119.1041571668425</v>
      </c>
      <c r="H21" s="23">
        <f t="shared" si="17"/>
        <v>1107.9131155951741</v>
      </c>
      <c r="I21" s="23">
        <f t="shared" si="17"/>
        <v>1096.8339844392224</v>
      </c>
      <c r="J21" s="23">
        <f t="shared" si="17"/>
        <v>1085.8656445948302</v>
      </c>
      <c r="K21" s="23">
        <f t="shared" si="17"/>
        <v>1075.0069881488819</v>
      </c>
      <c r="L21" s="23">
        <f t="shared" si="17"/>
        <v>1064.2569182673931</v>
      </c>
      <c r="M21" s="23">
        <f t="shared" si="17"/>
        <v>1053.6143490847192</v>
      </c>
      <c r="N21" s="23">
        <f t="shared" si="17"/>
        <v>1043.0782055938719</v>
      </c>
      <c r="O21" s="43">
        <f t="shared" si="17"/>
        <v>1032.647423537933</v>
      </c>
    </row>
    <row r="22" spans="1:15" x14ac:dyDescent="0.3">
      <c r="A22" s="16" t="str">
        <f t="shared" si="0"/>
        <v>PickupBasePHEV50</v>
      </c>
      <c r="B22" s="79" t="str">
        <f>'Vehicle Attributes - Base Year'!B19</f>
        <v>MedSUV</v>
      </c>
      <c r="C22" s="68" t="str">
        <f>'Vehicle Attributes - Base Year'!C19</f>
        <v>Premium</v>
      </c>
      <c r="D22" s="68" t="str">
        <f>'Vehicle Attributes - Base Year'!D19</f>
        <v>PHEV50</v>
      </c>
      <c r="E22" s="23">
        <f>'Vehicle Attributes - Base Year'!AE19</f>
        <v>0</v>
      </c>
      <c r="F22" s="23">
        <f t="shared" ref="F22:O22" si="18">E22*(1-Non_Battery_Annual_Cost_Reduction)</f>
        <v>0</v>
      </c>
      <c r="G22" s="23">
        <f t="shared" si="18"/>
        <v>0</v>
      </c>
      <c r="H22" s="23">
        <f t="shared" si="18"/>
        <v>0</v>
      </c>
      <c r="I22" s="23">
        <f t="shared" si="18"/>
        <v>0</v>
      </c>
      <c r="J22" s="23">
        <f t="shared" si="18"/>
        <v>0</v>
      </c>
      <c r="K22" s="23">
        <f t="shared" si="18"/>
        <v>0</v>
      </c>
      <c r="L22" s="23">
        <f t="shared" si="18"/>
        <v>0</v>
      </c>
      <c r="M22" s="23">
        <f t="shared" si="18"/>
        <v>0</v>
      </c>
      <c r="N22" s="23">
        <f t="shared" si="18"/>
        <v>0</v>
      </c>
      <c r="O22" s="43">
        <f t="shared" si="18"/>
        <v>0</v>
      </c>
    </row>
    <row r="23" spans="1:15" x14ac:dyDescent="0.3">
      <c r="A23" t="str">
        <f t="shared" si="0"/>
        <v>PickupHTPHEV50</v>
      </c>
      <c r="B23" s="79" t="str">
        <f>'Vehicle Attributes - Base Year'!B20</f>
        <v>Pickup</v>
      </c>
      <c r="C23" s="68" t="str">
        <f>'Vehicle Attributes - Base Year'!C20</f>
        <v>Base</v>
      </c>
      <c r="D23" s="68" t="str">
        <f>'Vehicle Attributes - Base Year'!D20</f>
        <v>PHEV50</v>
      </c>
      <c r="E23" s="23">
        <f>'Vehicle Attributes - Base Year'!AE20</f>
        <v>0</v>
      </c>
      <c r="F23" s="23">
        <f t="shared" ref="F23:O23" si="19">E23*(1-Non_Battery_Annual_Cost_Reduction)</f>
        <v>0</v>
      </c>
      <c r="G23" s="23">
        <f t="shared" si="19"/>
        <v>0</v>
      </c>
      <c r="H23" s="23">
        <f t="shared" si="19"/>
        <v>0</v>
      </c>
      <c r="I23" s="23">
        <f t="shared" si="19"/>
        <v>0</v>
      </c>
      <c r="J23" s="23">
        <f t="shared" si="19"/>
        <v>0</v>
      </c>
      <c r="K23" s="23">
        <f t="shared" si="19"/>
        <v>0</v>
      </c>
      <c r="L23" s="23">
        <f t="shared" si="19"/>
        <v>0</v>
      </c>
      <c r="M23" s="23">
        <f t="shared" si="19"/>
        <v>0</v>
      </c>
      <c r="N23" s="23">
        <f t="shared" si="19"/>
        <v>0</v>
      </c>
      <c r="O23" s="43">
        <f t="shared" si="19"/>
        <v>0</v>
      </c>
    </row>
    <row r="24" spans="1:15" x14ac:dyDescent="0.3">
      <c r="A24" s="16" t="str">
        <f t="shared" si="0"/>
        <v>SmallCarBaseFCEV320</v>
      </c>
      <c r="B24" s="79" t="str">
        <f>'Vehicle Attributes - Base Year'!B21</f>
        <v>Pickup</v>
      </c>
      <c r="C24" s="68" t="str">
        <f>'Vehicle Attributes - Base Year'!C21</f>
        <v>HT</v>
      </c>
      <c r="D24" s="68" t="str">
        <f>'Vehicle Attributes - Base Year'!D21</f>
        <v>PHEV50</v>
      </c>
      <c r="E24" s="23">
        <f>'Vehicle Attributes - Base Year'!AE21</f>
        <v>0</v>
      </c>
      <c r="F24" s="23">
        <f t="shared" ref="F24:O24" si="20">E24*(1-Non_Battery_Annual_Cost_Reduction)</f>
        <v>0</v>
      </c>
      <c r="G24" s="23">
        <f t="shared" si="20"/>
        <v>0</v>
      </c>
      <c r="H24" s="23">
        <f t="shared" si="20"/>
        <v>0</v>
      </c>
      <c r="I24" s="23">
        <f t="shared" si="20"/>
        <v>0</v>
      </c>
      <c r="J24" s="23">
        <f t="shared" si="20"/>
        <v>0</v>
      </c>
      <c r="K24" s="23">
        <f t="shared" si="20"/>
        <v>0</v>
      </c>
      <c r="L24" s="23">
        <f t="shared" si="20"/>
        <v>0</v>
      </c>
      <c r="M24" s="23">
        <f t="shared" si="20"/>
        <v>0</v>
      </c>
      <c r="N24" s="23">
        <f t="shared" si="20"/>
        <v>0</v>
      </c>
      <c r="O24" s="43">
        <f t="shared" si="20"/>
        <v>0</v>
      </c>
    </row>
    <row r="25" spans="1:15" x14ac:dyDescent="0.3">
      <c r="A25" t="str">
        <f t="shared" si="0"/>
        <v>SmallCarPremiumFCEV320</v>
      </c>
      <c r="B25" s="79" t="str">
        <f>'Vehicle Attributes - Base Year'!B22</f>
        <v>SmallCar</v>
      </c>
      <c r="C25" s="68" t="str">
        <f>'Vehicle Attributes - Base Year'!C22</f>
        <v>Base</v>
      </c>
      <c r="D25" s="68" t="str">
        <f>'Vehicle Attributes - Base Year'!D22</f>
        <v>FCEV320</v>
      </c>
      <c r="E25" s="23">
        <f>'Vehicle Attributes - Base Year'!AE22</f>
        <v>976.82188500000007</v>
      </c>
      <c r="F25" s="23">
        <f t="shared" ref="F25:O25" si="21">E25*(1-Non_Battery_Annual_Cost_Reduction)</f>
        <v>967.05366615000003</v>
      </c>
      <c r="G25" s="23">
        <f t="shared" si="21"/>
        <v>957.3831294885</v>
      </c>
      <c r="H25" s="23">
        <f t="shared" si="21"/>
        <v>947.80929819361495</v>
      </c>
      <c r="I25" s="23">
        <f t="shared" si="21"/>
        <v>938.33120521167882</v>
      </c>
      <c r="J25" s="23">
        <f t="shared" si="21"/>
        <v>928.947893159562</v>
      </c>
      <c r="K25" s="23">
        <f t="shared" si="21"/>
        <v>919.65841422796632</v>
      </c>
      <c r="L25" s="23">
        <f t="shared" si="21"/>
        <v>910.46183008568664</v>
      </c>
      <c r="M25" s="23">
        <f t="shared" si="21"/>
        <v>901.35721178482981</v>
      </c>
      <c r="N25" s="23">
        <f t="shared" si="21"/>
        <v>892.34363966698152</v>
      </c>
      <c r="O25" s="43">
        <f t="shared" si="21"/>
        <v>883.42020327031173</v>
      </c>
    </row>
    <row r="26" spans="1:15" x14ac:dyDescent="0.3">
      <c r="A26" s="16" t="str">
        <f t="shared" si="0"/>
        <v>MedCarBaseFCEV320</v>
      </c>
      <c r="B26" s="79" t="str">
        <f>'Vehicle Attributes - Base Year'!B23</f>
        <v>SmallCar</v>
      </c>
      <c r="C26" s="68" t="str">
        <f>'Vehicle Attributes - Base Year'!C23</f>
        <v>Premium</v>
      </c>
      <c r="D26" s="68" t="str">
        <f>'Vehicle Attributes - Base Year'!D23</f>
        <v>FCEV320</v>
      </c>
      <c r="E26" s="23">
        <f>'Vehicle Attributes - Base Year'!AE23</f>
        <v>976.82188500000007</v>
      </c>
      <c r="F26" s="23">
        <f t="shared" ref="F26:O26" si="22">E26*(1-Non_Battery_Annual_Cost_Reduction)</f>
        <v>967.05366615000003</v>
      </c>
      <c r="G26" s="23">
        <f t="shared" si="22"/>
        <v>957.3831294885</v>
      </c>
      <c r="H26" s="23">
        <f t="shared" si="22"/>
        <v>947.80929819361495</v>
      </c>
      <c r="I26" s="23">
        <f t="shared" si="22"/>
        <v>938.33120521167882</v>
      </c>
      <c r="J26" s="23">
        <f t="shared" si="22"/>
        <v>928.947893159562</v>
      </c>
      <c r="K26" s="23">
        <f t="shared" si="22"/>
        <v>919.65841422796632</v>
      </c>
      <c r="L26" s="23">
        <f t="shared" si="22"/>
        <v>910.46183008568664</v>
      </c>
      <c r="M26" s="23">
        <f t="shared" si="22"/>
        <v>901.35721178482981</v>
      </c>
      <c r="N26" s="23">
        <f t="shared" si="22"/>
        <v>892.34363966698152</v>
      </c>
      <c r="O26" s="43">
        <f t="shared" si="22"/>
        <v>883.42020327031173</v>
      </c>
    </row>
    <row r="27" spans="1:15" x14ac:dyDescent="0.3">
      <c r="A27" t="str">
        <f t="shared" si="0"/>
        <v>MedCarPremiumFCEV320</v>
      </c>
      <c r="B27" s="79" t="str">
        <f>'Vehicle Attributes - Base Year'!B24</f>
        <v>MedCar</v>
      </c>
      <c r="C27" s="68" t="str">
        <f>'Vehicle Attributes - Base Year'!C24</f>
        <v>Base</v>
      </c>
      <c r="D27" s="68" t="str">
        <f>'Vehicle Attributes - Base Year'!D24</f>
        <v>FCEV320</v>
      </c>
      <c r="E27" s="23">
        <f>'Vehicle Attributes - Base Year'!AE24</f>
        <v>1103.1629950000001</v>
      </c>
      <c r="F27" s="23">
        <f t="shared" ref="F27:O27" si="23">E27*(1-Non_Battery_Annual_Cost_Reduction)</f>
        <v>1092.1313650500001</v>
      </c>
      <c r="G27" s="23">
        <f t="shared" si="23"/>
        <v>1081.2100513995001</v>
      </c>
      <c r="H27" s="23">
        <f t="shared" si="23"/>
        <v>1070.397950885505</v>
      </c>
      <c r="I27" s="23">
        <f t="shared" si="23"/>
        <v>1059.6939713766499</v>
      </c>
      <c r="J27" s="23">
        <f t="shared" si="23"/>
        <v>1049.0970316628834</v>
      </c>
      <c r="K27" s="23">
        <f t="shared" si="23"/>
        <v>1038.6060613462546</v>
      </c>
      <c r="L27" s="23">
        <f t="shared" si="23"/>
        <v>1028.220000732792</v>
      </c>
      <c r="M27" s="23">
        <f t="shared" si="23"/>
        <v>1017.9378007254641</v>
      </c>
      <c r="N27" s="23">
        <f t="shared" si="23"/>
        <v>1007.7584227182094</v>
      </c>
      <c r="O27" s="43">
        <f t="shared" si="23"/>
        <v>997.68083849102732</v>
      </c>
    </row>
    <row r="28" spans="1:15" x14ac:dyDescent="0.3">
      <c r="A28" s="16" t="str">
        <f t="shared" si="0"/>
        <v>SmallSUVBaseFCEV320</v>
      </c>
      <c r="B28" s="79" t="str">
        <f>'Vehicle Attributes - Base Year'!B25</f>
        <v>MedCar</v>
      </c>
      <c r="C28" s="68" t="str">
        <f>'Vehicle Attributes - Base Year'!C25</f>
        <v>Premium</v>
      </c>
      <c r="D28" s="68" t="str">
        <f>'Vehicle Attributes - Base Year'!D25</f>
        <v>FCEV320</v>
      </c>
      <c r="E28" s="23">
        <f>'Vehicle Attributes - Base Year'!AE25</f>
        <v>1103.1629950000001</v>
      </c>
      <c r="F28" s="23">
        <f t="shared" ref="F28:O28" si="24">E28*(1-Non_Battery_Annual_Cost_Reduction)</f>
        <v>1092.1313650500001</v>
      </c>
      <c r="G28" s="23">
        <f t="shared" si="24"/>
        <v>1081.2100513995001</v>
      </c>
      <c r="H28" s="23">
        <f t="shared" si="24"/>
        <v>1070.397950885505</v>
      </c>
      <c r="I28" s="23">
        <f t="shared" si="24"/>
        <v>1059.6939713766499</v>
      </c>
      <c r="J28" s="23">
        <f t="shared" si="24"/>
        <v>1049.0970316628834</v>
      </c>
      <c r="K28" s="23">
        <f t="shared" si="24"/>
        <v>1038.6060613462546</v>
      </c>
      <c r="L28" s="23">
        <f t="shared" si="24"/>
        <v>1028.220000732792</v>
      </c>
      <c r="M28" s="23">
        <f t="shared" si="24"/>
        <v>1017.9378007254641</v>
      </c>
      <c r="N28" s="23">
        <f t="shared" si="24"/>
        <v>1007.7584227182094</v>
      </c>
      <c r="O28" s="43">
        <f t="shared" si="24"/>
        <v>997.68083849102732</v>
      </c>
    </row>
    <row r="29" spans="1:15" x14ac:dyDescent="0.3">
      <c r="A29" t="str">
        <f t="shared" si="0"/>
        <v>SmallSUVPremiumFCEV320</v>
      </c>
      <c r="B29" s="79" t="str">
        <f>'Vehicle Attributes - Base Year'!B26</f>
        <v>SmallSUV</v>
      </c>
      <c r="C29" s="68" t="str">
        <f>'Vehicle Attributes - Base Year'!C26</f>
        <v>Base</v>
      </c>
      <c r="D29" s="68" t="str">
        <f>'Vehicle Attributes - Base Year'!D26</f>
        <v>FCEV320</v>
      </c>
      <c r="E29" s="23">
        <f>'Vehicle Attributes - Base Year'!AE26</f>
        <v>1089.0707600000001</v>
      </c>
      <c r="F29" s="23">
        <f t="shared" ref="F29:O29" si="25">E29*(1-Non_Battery_Annual_Cost_Reduction)</f>
        <v>1078.1800524</v>
      </c>
      <c r="G29" s="23">
        <f t="shared" si="25"/>
        <v>1067.3982518759999</v>
      </c>
      <c r="H29" s="23">
        <f t="shared" si="25"/>
        <v>1056.7242693572398</v>
      </c>
      <c r="I29" s="23">
        <f t="shared" si="25"/>
        <v>1046.1570266636675</v>
      </c>
      <c r="J29" s="23">
        <f t="shared" si="25"/>
        <v>1035.6954563970307</v>
      </c>
      <c r="K29" s="23">
        <f t="shared" si="25"/>
        <v>1025.3385018330605</v>
      </c>
      <c r="L29" s="23">
        <f t="shared" si="25"/>
        <v>1015.0851168147299</v>
      </c>
      <c r="M29" s="23">
        <f t="shared" si="25"/>
        <v>1004.9342656465826</v>
      </c>
      <c r="N29" s="23">
        <f t="shared" si="25"/>
        <v>994.88492299011682</v>
      </c>
      <c r="O29" s="43">
        <f t="shared" si="25"/>
        <v>984.93607376021566</v>
      </c>
    </row>
    <row r="30" spans="1:15" x14ac:dyDescent="0.3">
      <c r="A30" s="16" t="str">
        <f t="shared" si="0"/>
        <v>MedSUVBaseFCEV320</v>
      </c>
      <c r="B30" s="79" t="str">
        <f>'Vehicle Attributes - Base Year'!B27</f>
        <v>SmallSUV</v>
      </c>
      <c r="C30" s="68" t="str">
        <f>'Vehicle Attributes - Base Year'!C27</f>
        <v>Premium</v>
      </c>
      <c r="D30" s="68" t="str">
        <f>'Vehicle Attributes - Base Year'!D27</f>
        <v>FCEV320</v>
      </c>
      <c r="E30" s="23">
        <f>'Vehicle Attributes - Base Year'!AE27</f>
        <v>1089.0707600000001</v>
      </c>
      <c r="F30" s="23">
        <f t="shared" ref="F30:O30" si="26">E30*(1-Non_Battery_Annual_Cost_Reduction)</f>
        <v>1078.1800524</v>
      </c>
      <c r="G30" s="23">
        <f t="shared" si="26"/>
        <v>1067.3982518759999</v>
      </c>
      <c r="H30" s="23">
        <f t="shared" si="26"/>
        <v>1056.7242693572398</v>
      </c>
      <c r="I30" s="23">
        <f t="shared" si="26"/>
        <v>1046.1570266636675</v>
      </c>
      <c r="J30" s="23">
        <f t="shared" si="26"/>
        <v>1035.6954563970307</v>
      </c>
      <c r="K30" s="23">
        <f t="shared" si="26"/>
        <v>1025.3385018330605</v>
      </c>
      <c r="L30" s="23">
        <f t="shared" si="26"/>
        <v>1015.0851168147299</v>
      </c>
      <c r="M30" s="23">
        <f t="shared" si="26"/>
        <v>1004.9342656465826</v>
      </c>
      <c r="N30" s="23">
        <f t="shared" si="26"/>
        <v>994.88492299011682</v>
      </c>
      <c r="O30" s="43">
        <f t="shared" si="26"/>
        <v>984.93607376021566</v>
      </c>
    </row>
    <row r="31" spans="1:15" x14ac:dyDescent="0.3">
      <c r="A31" t="str">
        <f t="shared" si="0"/>
        <v>MedSUVPremiumFCEV320</v>
      </c>
      <c r="B31" s="79" t="str">
        <f>'Vehicle Attributes - Base Year'!B28</f>
        <v>MedSUV</v>
      </c>
      <c r="C31" s="68" t="str">
        <f>'Vehicle Attributes - Base Year'!C28</f>
        <v>Base</v>
      </c>
      <c r="D31" s="68" t="str">
        <f>'Vehicle Attributes - Base Year'!D28</f>
        <v>FCEV320</v>
      </c>
      <c r="E31" s="23">
        <f>'Vehicle Attributes - Base Year'!AE28</f>
        <v>1136.457175</v>
      </c>
      <c r="F31" s="23">
        <f t="shared" ref="F31:O31" si="27">E31*(1-Non_Battery_Annual_Cost_Reduction)</f>
        <v>1125.0926032499999</v>
      </c>
      <c r="G31" s="23">
        <f t="shared" si="27"/>
        <v>1113.8416772174999</v>
      </c>
      <c r="H31" s="23">
        <f t="shared" si="27"/>
        <v>1102.7032604453248</v>
      </c>
      <c r="I31" s="23">
        <f t="shared" si="27"/>
        <v>1091.6762278408714</v>
      </c>
      <c r="J31" s="23">
        <f t="shared" si="27"/>
        <v>1080.7594655624628</v>
      </c>
      <c r="K31" s="23">
        <f t="shared" si="27"/>
        <v>1069.9518709068382</v>
      </c>
      <c r="L31" s="23">
        <f t="shared" si="27"/>
        <v>1059.2523521977698</v>
      </c>
      <c r="M31" s="23">
        <f t="shared" si="27"/>
        <v>1048.6598286757921</v>
      </c>
      <c r="N31" s="23">
        <f t="shared" si="27"/>
        <v>1038.1732303890342</v>
      </c>
      <c r="O31" s="43">
        <f t="shared" si="27"/>
        <v>1027.7914980851438</v>
      </c>
    </row>
    <row r="32" spans="1:15" x14ac:dyDescent="0.3">
      <c r="A32" s="16" t="str">
        <f t="shared" si="0"/>
        <v>PickupBaseFCEV320</v>
      </c>
      <c r="B32" s="79" t="str">
        <f>'Vehicle Attributes - Base Year'!B29</f>
        <v>MedSUV</v>
      </c>
      <c r="C32" s="68" t="str">
        <f>'Vehicle Attributes - Base Year'!C29</f>
        <v>Premium</v>
      </c>
      <c r="D32" s="68" t="str">
        <f>'Vehicle Attributes - Base Year'!D29</f>
        <v>FCEV320</v>
      </c>
      <c r="E32" s="23">
        <f>'Vehicle Attributes - Base Year'!AE29</f>
        <v>1136.457175</v>
      </c>
      <c r="F32" s="23">
        <f t="shared" ref="F32:O32" si="28">E32*(1-Non_Battery_Annual_Cost_Reduction)</f>
        <v>1125.0926032499999</v>
      </c>
      <c r="G32" s="23">
        <f t="shared" si="28"/>
        <v>1113.8416772174999</v>
      </c>
      <c r="H32" s="23">
        <f t="shared" si="28"/>
        <v>1102.7032604453248</v>
      </c>
      <c r="I32" s="23">
        <f t="shared" si="28"/>
        <v>1091.6762278408714</v>
      </c>
      <c r="J32" s="23">
        <f t="shared" si="28"/>
        <v>1080.7594655624628</v>
      </c>
      <c r="K32" s="23">
        <f t="shared" si="28"/>
        <v>1069.9518709068382</v>
      </c>
      <c r="L32" s="23">
        <f t="shared" si="28"/>
        <v>1059.2523521977698</v>
      </c>
      <c r="M32" s="23">
        <f t="shared" si="28"/>
        <v>1048.6598286757921</v>
      </c>
      <c r="N32" s="23">
        <f t="shared" si="28"/>
        <v>1038.1732303890342</v>
      </c>
      <c r="O32" s="43">
        <f t="shared" si="28"/>
        <v>1027.7914980851438</v>
      </c>
    </row>
    <row r="33" spans="1:15" x14ac:dyDescent="0.3">
      <c r="A33" t="str">
        <f t="shared" si="0"/>
        <v>PickupHTFCEV320</v>
      </c>
      <c r="B33" s="79" t="str">
        <f>'Vehicle Attributes - Base Year'!B30</f>
        <v>Pickup</v>
      </c>
      <c r="C33" s="68" t="str">
        <f>'Vehicle Attributes - Base Year'!C30</f>
        <v>Base</v>
      </c>
      <c r="D33" s="68" t="str">
        <f>'Vehicle Attributes - Base Year'!D30</f>
        <v>FCEV320</v>
      </c>
      <c r="E33" s="23">
        <f>'Vehicle Attributes - Base Year'!AE30</f>
        <v>1210.5558150000002</v>
      </c>
      <c r="F33" s="23">
        <f t="shared" ref="F33:O33" si="29">E33*(1-Non_Battery_Annual_Cost_Reduction)</f>
        <v>1198.4502568500002</v>
      </c>
      <c r="G33" s="23">
        <f t="shared" si="29"/>
        <v>1186.4657542815003</v>
      </c>
      <c r="H33" s="23">
        <f t="shared" si="29"/>
        <v>1174.6010967386853</v>
      </c>
      <c r="I33" s="23">
        <f t="shared" si="29"/>
        <v>1162.8550857712985</v>
      </c>
      <c r="J33" s="23">
        <f t="shared" si="29"/>
        <v>1151.2265349135855</v>
      </c>
      <c r="K33" s="23">
        <f t="shared" si="29"/>
        <v>1139.7142695644498</v>
      </c>
      <c r="L33" s="23">
        <f t="shared" si="29"/>
        <v>1128.3171268688052</v>
      </c>
      <c r="M33" s="23">
        <f t="shared" si="29"/>
        <v>1117.0339556001172</v>
      </c>
      <c r="N33" s="23">
        <f t="shared" si="29"/>
        <v>1105.863616044116</v>
      </c>
      <c r="O33" s="43">
        <f t="shared" si="29"/>
        <v>1094.8049798836748</v>
      </c>
    </row>
    <row r="34" spans="1:15" x14ac:dyDescent="0.3">
      <c r="B34" s="79" t="str">
        <f>'Vehicle Attributes - Base Year'!B31</f>
        <v>Pickup</v>
      </c>
      <c r="C34" s="68" t="str">
        <f>'Vehicle Attributes - Base Year'!C31</f>
        <v>HT</v>
      </c>
      <c r="D34" s="68" t="str">
        <f>'Vehicle Attributes - Base Year'!D31</f>
        <v>FCEV320</v>
      </c>
      <c r="E34" s="23">
        <f>'Vehicle Attributes - Base Year'!AE31</f>
        <v>1210.5558150000002</v>
      </c>
      <c r="F34" s="23">
        <f t="shared" ref="F34:O34" si="30">E34*(1-Non_Battery_Annual_Cost_Reduction)</f>
        <v>1198.4502568500002</v>
      </c>
      <c r="G34" s="23">
        <f t="shared" si="30"/>
        <v>1186.4657542815003</v>
      </c>
      <c r="H34" s="23">
        <f t="shared" si="30"/>
        <v>1174.6010967386853</v>
      </c>
      <c r="I34" s="23">
        <f t="shared" si="30"/>
        <v>1162.8550857712985</v>
      </c>
      <c r="J34" s="23">
        <f t="shared" si="30"/>
        <v>1151.2265349135855</v>
      </c>
      <c r="K34" s="23">
        <f t="shared" si="30"/>
        <v>1139.7142695644498</v>
      </c>
      <c r="L34" s="23">
        <f t="shared" si="30"/>
        <v>1128.3171268688052</v>
      </c>
      <c r="M34" s="23">
        <f t="shared" si="30"/>
        <v>1117.0339556001172</v>
      </c>
      <c r="N34" s="23">
        <f t="shared" si="30"/>
        <v>1105.863616044116</v>
      </c>
      <c r="O34" s="43">
        <f t="shared" si="30"/>
        <v>1094.8049798836748</v>
      </c>
    </row>
  </sheetData>
  <mergeCells count="2">
    <mergeCell ref="E2:O2"/>
    <mergeCell ref="B1:O1"/>
  </mergeCells>
  <pageMargins left="0.7" right="0.7" top="0.75" bottom="0.75" header="0.3" footer="0.3"/>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10597B"/>
  </sheetPr>
  <dimension ref="A1:O34"/>
  <sheetViews>
    <sheetView topLeftCell="B1" workbookViewId="0">
      <selection activeCell="B1" sqref="B1:O1"/>
    </sheetView>
  </sheetViews>
  <sheetFormatPr defaultRowHeight="14.4" x14ac:dyDescent="0.3"/>
  <cols>
    <col min="1" max="1" width="0" hidden="1" customWidth="1"/>
    <col min="2" max="2" width="12.5546875" bestFit="1" customWidth="1"/>
    <col min="3" max="3" width="12.44140625" bestFit="1" customWidth="1"/>
    <col min="4" max="10" width="11" customWidth="1"/>
    <col min="11" max="15" width="12" customWidth="1"/>
  </cols>
  <sheetData>
    <row r="1" spans="1:15" x14ac:dyDescent="0.3">
      <c r="B1" s="170" t="s">
        <v>237</v>
      </c>
      <c r="C1" s="175"/>
      <c r="D1" s="175"/>
      <c r="E1" s="175"/>
      <c r="F1" s="175"/>
      <c r="G1" s="175"/>
      <c r="H1" s="175"/>
      <c r="I1" s="175"/>
      <c r="J1" s="175"/>
      <c r="K1" s="175"/>
      <c r="L1" s="175"/>
      <c r="M1" s="175"/>
      <c r="N1" s="175"/>
      <c r="O1" s="171"/>
    </row>
    <row r="2" spans="1:15" x14ac:dyDescent="0.3">
      <c r="B2" s="73"/>
      <c r="C2" s="73"/>
      <c r="D2" s="74"/>
      <c r="E2" s="195" t="s">
        <v>155</v>
      </c>
      <c r="F2" s="195"/>
      <c r="G2" s="195"/>
      <c r="H2" s="195"/>
      <c r="I2" s="195"/>
      <c r="J2" s="195"/>
      <c r="K2" s="195"/>
      <c r="L2" s="195"/>
      <c r="M2" s="195"/>
      <c r="N2" s="195"/>
      <c r="O2" s="196"/>
    </row>
    <row r="3" spans="1:15" x14ac:dyDescent="0.3">
      <c r="B3" s="75" t="s">
        <v>100</v>
      </c>
      <c r="C3" s="75" t="s">
        <v>101</v>
      </c>
      <c r="D3" s="76" t="s">
        <v>67</v>
      </c>
      <c r="E3" s="77">
        <v>2025</v>
      </c>
      <c r="F3" s="78">
        <v>2026</v>
      </c>
      <c r="G3" s="78">
        <v>2027</v>
      </c>
      <c r="H3" s="78">
        <v>2028</v>
      </c>
      <c r="I3" s="78">
        <v>2029</v>
      </c>
      <c r="J3" s="78">
        <v>2030</v>
      </c>
      <c r="K3" s="78">
        <v>2031</v>
      </c>
      <c r="L3" s="78">
        <v>2032</v>
      </c>
      <c r="M3" s="78">
        <v>2033</v>
      </c>
      <c r="N3" s="78">
        <v>2034</v>
      </c>
      <c r="O3" s="148">
        <v>2035</v>
      </c>
    </row>
    <row r="4" spans="1:15" x14ac:dyDescent="0.3">
      <c r="A4" s="16" t="str">
        <f t="shared" ref="A4:A33" si="0">CONCATENATE(B5,C5,D5)</f>
        <v>SmallCarBaseBEV300</v>
      </c>
      <c r="B4" s="79" t="s">
        <v>64</v>
      </c>
      <c r="C4" s="68" t="s">
        <v>65</v>
      </c>
      <c r="D4" s="68" t="s">
        <v>156</v>
      </c>
      <c r="E4" s="23" t="s">
        <v>157</v>
      </c>
      <c r="F4" s="23" t="s">
        <v>158</v>
      </c>
      <c r="G4" s="23" t="s">
        <v>159</v>
      </c>
      <c r="H4" s="23" t="s">
        <v>160</v>
      </c>
      <c r="I4" s="23" t="s">
        <v>161</v>
      </c>
      <c r="J4" s="23" t="s">
        <v>162</v>
      </c>
      <c r="K4" s="23" t="s">
        <v>163</v>
      </c>
      <c r="L4" s="23" t="s">
        <v>164</v>
      </c>
      <c r="M4" s="23" t="s">
        <v>165</v>
      </c>
      <c r="N4" s="23" t="s">
        <v>166</v>
      </c>
      <c r="O4" s="43" t="s">
        <v>167</v>
      </c>
    </row>
    <row r="5" spans="1:15" x14ac:dyDescent="0.3">
      <c r="A5" t="str">
        <f t="shared" si="0"/>
        <v>SmallCarPremiumBEV400</v>
      </c>
      <c r="B5" s="79" t="str">
        <f>'Vehicle Attributes - Base Year'!B2</f>
        <v>SmallCar</v>
      </c>
      <c r="C5" s="68" t="str">
        <f>'Vehicle Attributes - Base Year'!C2</f>
        <v>Base</v>
      </c>
      <c r="D5" s="68" t="str">
        <f>'Vehicle Attributes - Base Year'!D2</f>
        <v>BEV300</v>
      </c>
      <c r="E5" s="23">
        <v>0</v>
      </c>
      <c r="F5" s="23">
        <f t="shared" ref="F5:F34" si="1">E5*(1-Towing_Package_Annual_Efficiency_Improvement)</f>
        <v>0</v>
      </c>
      <c r="G5" s="23">
        <v>0</v>
      </c>
      <c r="H5" s="23">
        <v>0</v>
      </c>
      <c r="I5" s="23">
        <v>0</v>
      </c>
      <c r="J5" s="23">
        <v>0</v>
      </c>
      <c r="K5" s="23">
        <v>0</v>
      </c>
      <c r="L5" s="23">
        <v>0</v>
      </c>
      <c r="M5" s="23">
        <v>0</v>
      </c>
      <c r="N5" s="23">
        <v>0</v>
      </c>
      <c r="O5" s="43">
        <v>0</v>
      </c>
    </row>
    <row r="6" spans="1:15" x14ac:dyDescent="0.3">
      <c r="A6" s="16" t="str">
        <f t="shared" si="0"/>
        <v>MedCarBaseBEV300</v>
      </c>
      <c r="B6" s="79" t="str">
        <f>'Vehicle Attributes - Base Year'!B3</f>
        <v>SmallCar</v>
      </c>
      <c r="C6" s="68" t="str">
        <f>'Vehicle Attributes - Base Year'!C3</f>
        <v>Premium</v>
      </c>
      <c r="D6" s="68" t="str">
        <f>'Vehicle Attributes - Base Year'!D3</f>
        <v>BEV400</v>
      </c>
      <c r="E6" s="23">
        <v>0</v>
      </c>
      <c r="F6" s="23">
        <f t="shared" si="1"/>
        <v>0</v>
      </c>
      <c r="G6" s="23">
        <v>0</v>
      </c>
      <c r="H6" s="23">
        <v>0</v>
      </c>
      <c r="I6" s="23">
        <v>0</v>
      </c>
      <c r="J6" s="23">
        <v>0</v>
      </c>
      <c r="K6" s="23">
        <v>0</v>
      </c>
      <c r="L6" s="23">
        <v>0</v>
      </c>
      <c r="M6" s="23">
        <v>0</v>
      </c>
      <c r="N6" s="23">
        <v>0</v>
      </c>
      <c r="O6" s="43">
        <v>0</v>
      </c>
    </row>
    <row r="7" spans="1:15" x14ac:dyDescent="0.3">
      <c r="A7" t="str">
        <f t="shared" si="0"/>
        <v>MedCarPremiumBEV400</v>
      </c>
      <c r="B7" s="79" t="str">
        <f>'Vehicle Attributes - Base Year'!B4</f>
        <v>MedCar</v>
      </c>
      <c r="C7" s="68" t="str">
        <f>'Vehicle Attributes - Base Year'!C4</f>
        <v>Base</v>
      </c>
      <c r="D7" s="68" t="str">
        <f>'Vehicle Attributes - Base Year'!D4</f>
        <v>BEV300</v>
      </c>
      <c r="E7" s="23">
        <v>0</v>
      </c>
      <c r="F7" s="23">
        <f t="shared" si="1"/>
        <v>0</v>
      </c>
      <c r="G7" s="23">
        <v>0</v>
      </c>
      <c r="H7" s="23">
        <v>0</v>
      </c>
      <c r="I7" s="23">
        <v>0</v>
      </c>
      <c r="J7" s="23">
        <v>0</v>
      </c>
      <c r="K7" s="23">
        <v>0</v>
      </c>
      <c r="L7" s="23">
        <v>0</v>
      </c>
      <c r="M7" s="23">
        <v>0</v>
      </c>
      <c r="N7" s="23">
        <v>0</v>
      </c>
      <c r="O7" s="43">
        <v>0</v>
      </c>
    </row>
    <row r="8" spans="1:15" x14ac:dyDescent="0.3">
      <c r="A8" s="16" t="str">
        <f t="shared" si="0"/>
        <v>SmallSUVBaseBEV300</v>
      </c>
      <c r="B8" s="79" t="str">
        <f>'Vehicle Attributes - Base Year'!B5</f>
        <v>MedCar</v>
      </c>
      <c r="C8" s="68" t="str">
        <f>'Vehicle Attributes - Base Year'!C5</f>
        <v>Premium</v>
      </c>
      <c r="D8" s="68" t="str">
        <f>'Vehicle Attributes - Base Year'!D5</f>
        <v>BEV400</v>
      </c>
      <c r="E8" s="23">
        <v>0</v>
      </c>
      <c r="F8" s="23">
        <f t="shared" si="1"/>
        <v>0</v>
      </c>
      <c r="G8" s="23">
        <v>0</v>
      </c>
      <c r="H8" s="23">
        <v>0</v>
      </c>
      <c r="I8" s="23">
        <v>0</v>
      </c>
      <c r="J8" s="23">
        <v>0</v>
      </c>
      <c r="K8" s="23">
        <v>0</v>
      </c>
      <c r="L8" s="23">
        <v>0</v>
      </c>
      <c r="M8" s="23">
        <v>0</v>
      </c>
      <c r="N8" s="23">
        <v>0</v>
      </c>
      <c r="O8" s="43">
        <v>0</v>
      </c>
    </row>
    <row r="9" spans="1:15" x14ac:dyDescent="0.3">
      <c r="A9" t="str">
        <f t="shared" si="0"/>
        <v>SmallSUVPremiumBEV400</v>
      </c>
      <c r="B9" s="79" t="str">
        <f>'Vehicle Attributes - Base Year'!B6</f>
        <v>SmallSUV</v>
      </c>
      <c r="C9" s="68" t="str">
        <f>'Vehicle Attributes - Base Year'!C6</f>
        <v>Base</v>
      </c>
      <c r="D9" s="68" t="str">
        <f>'Vehicle Attributes - Base Year'!D6</f>
        <v>BEV300</v>
      </c>
      <c r="E9" s="23">
        <v>0</v>
      </c>
      <c r="F9" s="23">
        <f t="shared" si="1"/>
        <v>0</v>
      </c>
      <c r="G9" s="23">
        <v>0</v>
      </c>
      <c r="H9" s="23">
        <v>0</v>
      </c>
      <c r="I9" s="23">
        <v>0</v>
      </c>
      <c r="J9" s="23">
        <v>0</v>
      </c>
      <c r="K9" s="23">
        <v>0</v>
      </c>
      <c r="L9" s="23">
        <v>0</v>
      </c>
      <c r="M9" s="23">
        <v>0</v>
      </c>
      <c r="N9" s="23">
        <v>0</v>
      </c>
      <c r="O9" s="43">
        <v>0</v>
      </c>
    </row>
    <row r="10" spans="1:15" x14ac:dyDescent="0.3">
      <c r="A10" s="16" t="str">
        <f t="shared" si="0"/>
        <v>MedSUVBaseBEV300</v>
      </c>
      <c r="B10" s="79" t="str">
        <f>'Vehicle Attributes - Base Year'!B7</f>
        <v>SmallSUV</v>
      </c>
      <c r="C10" s="68" t="str">
        <f>'Vehicle Attributes - Base Year'!C7</f>
        <v>Premium</v>
      </c>
      <c r="D10" s="68" t="str">
        <f>'Vehicle Attributes - Base Year'!D7</f>
        <v>BEV400</v>
      </c>
      <c r="E10" s="23">
        <v>0</v>
      </c>
      <c r="F10" s="23">
        <f t="shared" si="1"/>
        <v>0</v>
      </c>
      <c r="G10" s="23">
        <v>0</v>
      </c>
      <c r="H10" s="23">
        <v>0</v>
      </c>
      <c r="I10" s="23">
        <v>0</v>
      </c>
      <c r="J10" s="23">
        <v>0</v>
      </c>
      <c r="K10" s="23">
        <v>0</v>
      </c>
      <c r="L10" s="23">
        <v>0</v>
      </c>
      <c r="M10" s="23">
        <v>0</v>
      </c>
      <c r="N10" s="23">
        <v>0</v>
      </c>
      <c r="O10" s="43">
        <v>0</v>
      </c>
    </row>
    <row r="11" spans="1:15" x14ac:dyDescent="0.3">
      <c r="A11" t="str">
        <f t="shared" si="0"/>
        <v>MedSUVPremiumBEV400</v>
      </c>
      <c r="B11" s="79" t="str">
        <f>'Vehicle Attributes - Base Year'!B8</f>
        <v>MedSUV</v>
      </c>
      <c r="C11" s="68" t="str">
        <f>'Vehicle Attributes - Base Year'!C8</f>
        <v>Base</v>
      </c>
      <c r="D11" s="68" t="str">
        <f>'Vehicle Attributes - Base Year'!D8</f>
        <v>BEV300</v>
      </c>
      <c r="E11" s="23">
        <v>88.776730091896511</v>
      </c>
      <c r="F11" s="23">
        <f t="shared" si="1"/>
        <v>88.332846441437027</v>
      </c>
      <c r="G11" s="23">
        <f t="shared" ref="G11:O11" si="2">F11*(1-Towing_Package_Annual_Efficiency_Improvement)</f>
        <v>87.891182209229839</v>
      </c>
      <c r="H11" s="23">
        <f t="shared" si="2"/>
        <v>87.451726298183686</v>
      </c>
      <c r="I11" s="23">
        <f t="shared" si="2"/>
        <v>87.014467666692767</v>
      </c>
      <c r="J11" s="23">
        <f t="shared" si="2"/>
        <v>86.579395328359297</v>
      </c>
      <c r="K11" s="23">
        <f t="shared" si="2"/>
        <v>86.146498351717497</v>
      </c>
      <c r="L11" s="23">
        <f t="shared" si="2"/>
        <v>85.715765859958907</v>
      </c>
      <c r="M11" s="23">
        <f t="shared" si="2"/>
        <v>85.287187030659112</v>
      </c>
      <c r="N11" s="23">
        <f t="shared" si="2"/>
        <v>84.860751095505819</v>
      </c>
      <c r="O11" s="43">
        <f t="shared" si="2"/>
        <v>84.436447340028295</v>
      </c>
    </row>
    <row r="12" spans="1:15" x14ac:dyDescent="0.3">
      <c r="A12" s="16" t="str">
        <f t="shared" si="0"/>
        <v>PickupBaseBEV300</v>
      </c>
      <c r="B12" s="79" t="str">
        <f>'Vehicle Attributes - Base Year'!B9</f>
        <v>MedSUV</v>
      </c>
      <c r="C12" s="68" t="str">
        <f>'Vehicle Attributes - Base Year'!C9</f>
        <v>Premium</v>
      </c>
      <c r="D12" s="68" t="str">
        <f>'Vehicle Attributes - Base Year'!D9</f>
        <v>BEV400</v>
      </c>
      <c r="E12" s="23">
        <v>69.231478696741902</v>
      </c>
      <c r="F12" s="23">
        <f t="shared" si="1"/>
        <v>68.885321303258195</v>
      </c>
      <c r="G12" s="23">
        <f t="shared" ref="G12:O12" si="3">F12*(1-Towing_Package_Annual_Efficiency_Improvement)</f>
        <v>68.540894696741901</v>
      </c>
      <c r="H12" s="23">
        <f t="shared" si="3"/>
        <v>68.198190223258194</v>
      </c>
      <c r="I12" s="23">
        <f t="shared" si="3"/>
        <v>67.857199272141898</v>
      </c>
      <c r="J12" s="23">
        <f t="shared" si="3"/>
        <v>67.517913275781183</v>
      </c>
      <c r="K12" s="23">
        <f t="shared" si="3"/>
        <v>67.180323709402273</v>
      </c>
      <c r="L12" s="23">
        <f t="shared" si="3"/>
        <v>66.844422090855261</v>
      </c>
      <c r="M12" s="23">
        <f t="shared" si="3"/>
        <v>66.510199980400984</v>
      </c>
      <c r="N12" s="23">
        <f t="shared" si="3"/>
        <v>66.177648980498972</v>
      </c>
      <c r="O12" s="43">
        <f t="shared" si="3"/>
        <v>65.846760735596476</v>
      </c>
    </row>
    <row r="13" spans="1:15" x14ac:dyDescent="0.3">
      <c r="A13" t="str">
        <f t="shared" si="0"/>
        <v>PickupHTBEV400</v>
      </c>
      <c r="B13" s="79" t="str">
        <f>'Vehicle Attributes - Base Year'!B10</f>
        <v>Pickup</v>
      </c>
      <c r="C13" s="68" t="str">
        <f>'Vehicle Attributes - Base Year'!C10</f>
        <v>Base</v>
      </c>
      <c r="D13" s="68" t="str">
        <f>'Vehicle Attributes - Base Year'!D10</f>
        <v>BEV300</v>
      </c>
      <c r="E13" s="23">
        <v>131.09347961904768</v>
      </c>
      <c r="F13" s="23">
        <f t="shared" si="1"/>
        <v>130.43801222095246</v>
      </c>
      <c r="G13" s="23">
        <f t="shared" ref="G13:O13" si="4">F13*(1-Towing_Package_Annual_Efficiency_Improvement)</f>
        <v>129.7858221598477</v>
      </c>
      <c r="H13" s="23">
        <f t="shared" si="4"/>
        <v>129.13689304904847</v>
      </c>
      <c r="I13" s="23">
        <f t="shared" si="4"/>
        <v>128.49120858380323</v>
      </c>
      <c r="J13" s="23">
        <f t="shared" si="4"/>
        <v>127.84875254088421</v>
      </c>
      <c r="K13" s="23">
        <f t="shared" si="4"/>
        <v>127.20950877817978</v>
      </c>
      <c r="L13" s="23">
        <f t="shared" si="4"/>
        <v>126.57346123428889</v>
      </c>
      <c r="M13" s="23">
        <f t="shared" si="4"/>
        <v>125.94059392811744</v>
      </c>
      <c r="N13" s="23">
        <f t="shared" si="4"/>
        <v>125.31089095847685</v>
      </c>
      <c r="O13" s="43">
        <f t="shared" si="4"/>
        <v>124.68433650368446</v>
      </c>
    </row>
    <row r="14" spans="1:15" x14ac:dyDescent="0.3">
      <c r="A14" s="16" t="str">
        <f t="shared" si="0"/>
        <v>SmallCarBasePHEV50</v>
      </c>
      <c r="B14" s="79" t="str">
        <f>'Vehicle Attributes - Base Year'!B11</f>
        <v>Pickup</v>
      </c>
      <c r="C14" s="68" t="str">
        <f>'Vehicle Attributes - Base Year'!C11</f>
        <v>HT</v>
      </c>
      <c r="D14" s="68" t="str">
        <f>'Vehicle Attributes - Base Year'!D11</f>
        <v>BEV400</v>
      </c>
      <c r="E14" s="23">
        <v>107.63917794486218</v>
      </c>
      <c r="F14" s="23">
        <f t="shared" si="1"/>
        <v>107.10098205513788</v>
      </c>
      <c r="G14" s="23">
        <f t="shared" ref="G14:O14" si="5">F14*(1-Towing_Package_Annual_Efficiency_Improvement)</f>
        <v>106.56547714486219</v>
      </c>
      <c r="H14" s="23">
        <f t="shared" si="5"/>
        <v>106.03264975913787</v>
      </c>
      <c r="I14" s="23">
        <f t="shared" si="5"/>
        <v>105.50248651034218</v>
      </c>
      <c r="J14" s="23">
        <f t="shared" si="5"/>
        <v>104.97497407779046</v>
      </c>
      <c r="K14" s="23">
        <f t="shared" si="5"/>
        <v>104.45009920740151</v>
      </c>
      <c r="L14" s="23">
        <f t="shared" si="5"/>
        <v>103.9278487113645</v>
      </c>
      <c r="M14" s="23">
        <f t="shared" si="5"/>
        <v>103.40820946780768</v>
      </c>
      <c r="N14" s="23">
        <f t="shared" si="5"/>
        <v>102.89116842046865</v>
      </c>
      <c r="O14" s="43">
        <f t="shared" si="5"/>
        <v>102.37671257836629</v>
      </c>
    </row>
    <row r="15" spans="1:15" x14ac:dyDescent="0.3">
      <c r="A15" t="str">
        <f t="shared" si="0"/>
        <v>SmallCarPremiumPHEV50</v>
      </c>
      <c r="B15" s="79" t="str">
        <f>'Vehicle Attributes - Base Year'!B12</f>
        <v>SmallCar</v>
      </c>
      <c r="C15" s="68" t="str">
        <f>'Vehicle Attributes - Base Year'!C12</f>
        <v>Base</v>
      </c>
      <c r="D15" s="68" t="str">
        <f>'Vehicle Attributes - Base Year'!D12</f>
        <v>PHEV50</v>
      </c>
      <c r="E15" s="23">
        <v>0</v>
      </c>
      <c r="F15" s="23">
        <f t="shared" si="1"/>
        <v>0</v>
      </c>
      <c r="G15" s="23">
        <v>0</v>
      </c>
      <c r="H15" s="23">
        <v>0</v>
      </c>
      <c r="I15" s="23">
        <v>0</v>
      </c>
      <c r="J15" s="23">
        <v>0</v>
      </c>
      <c r="K15" s="23">
        <v>0</v>
      </c>
      <c r="L15" s="23">
        <v>0</v>
      </c>
      <c r="M15" s="23">
        <v>0</v>
      </c>
      <c r="N15" s="23">
        <v>0</v>
      </c>
      <c r="O15" s="43">
        <v>0</v>
      </c>
    </row>
    <row r="16" spans="1:15" x14ac:dyDescent="0.3">
      <c r="A16" s="16" t="str">
        <f t="shared" si="0"/>
        <v>MedCarBasePHEV50</v>
      </c>
      <c r="B16" s="79" t="str">
        <f>'Vehicle Attributes - Base Year'!B13</f>
        <v>SmallCar</v>
      </c>
      <c r="C16" s="68" t="str">
        <f>'Vehicle Attributes - Base Year'!C13</f>
        <v>Premium</v>
      </c>
      <c r="D16" s="68" t="str">
        <f>'Vehicle Attributes - Base Year'!D13</f>
        <v>PHEV50</v>
      </c>
      <c r="E16" s="23">
        <v>0</v>
      </c>
      <c r="F16" s="23">
        <f t="shared" si="1"/>
        <v>0</v>
      </c>
      <c r="G16" s="23">
        <v>0</v>
      </c>
      <c r="H16" s="23">
        <v>0</v>
      </c>
      <c r="I16" s="23">
        <v>0</v>
      </c>
      <c r="J16" s="23">
        <v>0</v>
      </c>
      <c r="K16" s="23">
        <v>0</v>
      </c>
      <c r="L16" s="23">
        <v>0</v>
      </c>
      <c r="M16" s="23">
        <v>0</v>
      </c>
      <c r="N16" s="23">
        <v>0</v>
      </c>
      <c r="O16" s="43">
        <v>0</v>
      </c>
    </row>
    <row r="17" spans="1:15" x14ac:dyDescent="0.3">
      <c r="A17" t="str">
        <f t="shared" si="0"/>
        <v>MedCarPremiumPHEV50</v>
      </c>
      <c r="B17" s="79" t="str">
        <f>'Vehicle Attributes - Base Year'!B14</f>
        <v>MedCar</v>
      </c>
      <c r="C17" s="68" t="str">
        <f>'Vehicle Attributes - Base Year'!C14</f>
        <v>Base</v>
      </c>
      <c r="D17" s="68" t="str">
        <f>'Vehicle Attributes - Base Year'!D14</f>
        <v>PHEV50</v>
      </c>
      <c r="E17" s="23">
        <v>0</v>
      </c>
      <c r="F17" s="23">
        <f t="shared" si="1"/>
        <v>0</v>
      </c>
      <c r="G17" s="23">
        <v>0</v>
      </c>
      <c r="H17" s="23">
        <v>0</v>
      </c>
      <c r="I17" s="23">
        <v>0</v>
      </c>
      <c r="J17" s="23">
        <v>0</v>
      </c>
      <c r="K17" s="23">
        <v>0</v>
      </c>
      <c r="L17" s="23">
        <v>0</v>
      </c>
      <c r="M17" s="23">
        <v>0</v>
      </c>
      <c r="N17" s="23">
        <v>0</v>
      </c>
      <c r="O17" s="43">
        <v>0</v>
      </c>
    </row>
    <row r="18" spans="1:15" x14ac:dyDescent="0.3">
      <c r="A18" s="16" t="str">
        <f t="shared" si="0"/>
        <v>SmallSUVBasePHEV50</v>
      </c>
      <c r="B18" s="79" t="str">
        <f>'Vehicle Attributes - Base Year'!B15</f>
        <v>MedCar</v>
      </c>
      <c r="C18" s="68" t="str">
        <f>'Vehicle Attributes - Base Year'!C15</f>
        <v>Premium</v>
      </c>
      <c r="D18" s="68" t="str">
        <f>'Vehicle Attributes - Base Year'!D15</f>
        <v>PHEV50</v>
      </c>
      <c r="E18" s="23">
        <v>0</v>
      </c>
      <c r="F18" s="23">
        <f t="shared" si="1"/>
        <v>0</v>
      </c>
      <c r="G18" s="23">
        <v>0</v>
      </c>
      <c r="H18" s="23">
        <v>0</v>
      </c>
      <c r="I18" s="23">
        <v>0</v>
      </c>
      <c r="J18" s="23">
        <v>0</v>
      </c>
      <c r="K18" s="23">
        <v>0</v>
      </c>
      <c r="L18" s="23">
        <v>0</v>
      </c>
      <c r="M18" s="23">
        <v>0</v>
      </c>
      <c r="N18" s="23">
        <v>0</v>
      </c>
      <c r="O18" s="43">
        <v>0</v>
      </c>
    </row>
    <row r="19" spans="1:15" x14ac:dyDescent="0.3">
      <c r="A19" t="str">
        <f t="shared" si="0"/>
        <v>SmallSUVPremiumPHEV50</v>
      </c>
      <c r="B19" s="79" t="str">
        <f>'Vehicle Attributes - Base Year'!B16</f>
        <v>SmallSUV</v>
      </c>
      <c r="C19" s="68" t="str">
        <f>'Vehicle Attributes - Base Year'!C16</f>
        <v>Base</v>
      </c>
      <c r="D19" s="68" t="str">
        <f>'Vehicle Attributes - Base Year'!D16</f>
        <v>PHEV50</v>
      </c>
      <c r="E19" s="23">
        <v>0</v>
      </c>
      <c r="F19" s="23">
        <f t="shared" si="1"/>
        <v>0</v>
      </c>
      <c r="G19" s="23">
        <v>0</v>
      </c>
      <c r="H19" s="23">
        <v>0</v>
      </c>
      <c r="I19" s="23">
        <v>0</v>
      </c>
      <c r="J19" s="23">
        <v>0</v>
      </c>
      <c r="K19" s="23">
        <v>0</v>
      </c>
      <c r="L19" s="23">
        <v>0</v>
      </c>
      <c r="M19" s="23">
        <v>0</v>
      </c>
      <c r="N19" s="23">
        <v>0</v>
      </c>
      <c r="O19" s="43">
        <v>0</v>
      </c>
    </row>
    <row r="20" spans="1:15" x14ac:dyDescent="0.3">
      <c r="A20" s="16" t="str">
        <f t="shared" si="0"/>
        <v>MedSUVBasePHEV50</v>
      </c>
      <c r="B20" s="79" t="str">
        <f>'Vehicle Attributes - Base Year'!B17</f>
        <v>SmallSUV</v>
      </c>
      <c r="C20" s="68" t="str">
        <f>'Vehicle Attributes - Base Year'!C17</f>
        <v>Premium</v>
      </c>
      <c r="D20" s="68" t="str">
        <f>'Vehicle Attributes - Base Year'!D17</f>
        <v>PHEV50</v>
      </c>
      <c r="E20" s="23">
        <v>0</v>
      </c>
      <c r="F20" s="23">
        <f t="shared" si="1"/>
        <v>0</v>
      </c>
      <c r="G20" s="23">
        <v>0</v>
      </c>
      <c r="H20" s="23">
        <v>0</v>
      </c>
      <c r="I20" s="23">
        <v>0</v>
      </c>
      <c r="J20" s="23">
        <v>0</v>
      </c>
      <c r="K20" s="23">
        <v>0</v>
      </c>
      <c r="L20" s="23">
        <v>0</v>
      </c>
      <c r="M20" s="23">
        <v>0</v>
      </c>
      <c r="N20" s="23">
        <v>0</v>
      </c>
      <c r="O20" s="43">
        <v>0</v>
      </c>
    </row>
    <row r="21" spans="1:15" x14ac:dyDescent="0.3">
      <c r="A21" t="str">
        <f t="shared" si="0"/>
        <v>MedSUVPremiumPHEV50</v>
      </c>
      <c r="B21" s="79" t="str">
        <f>'Vehicle Attributes - Base Year'!B18</f>
        <v>MedSUV</v>
      </c>
      <c r="C21" s="68" t="str">
        <f>'Vehicle Attributes - Base Year'!C18</f>
        <v>Base</v>
      </c>
      <c r="D21" s="68" t="str">
        <f>'Vehicle Attributes - Base Year'!D18</f>
        <v>PHEV50</v>
      </c>
      <c r="E21" s="23">
        <v>0</v>
      </c>
      <c r="F21" s="23">
        <f t="shared" si="1"/>
        <v>0</v>
      </c>
      <c r="G21" s="23">
        <v>0</v>
      </c>
      <c r="H21" s="23">
        <v>0</v>
      </c>
      <c r="I21" s="23">
        <v>0</v>
      </c>
      <c r="J21" s="23">
        <v>0</v>
      </c>
      <c r="K21" s="23">
        <v>0</v>
      </c>
      <c r="L21" s="23">
        <v>0</v>
      </c>
      <c r="M21" s="23">
        <v>0</v>
      </c>
      <c r="N21" s="23">
        <v>0</v>
      </c>
      <c r="O21" s="43">
        <v>0</v>
      </c>
    </row>
    <row r="22" spans="1:15" x14ac:dyDescent="0.3">
      <c r="A22" s="16" t="str">
        <f t="shared" si="0"/>
        <v>PickupBasePHEV50</v>
      </c>
      <c r="B22" s="79" t="str">
        <f>'Vehicle Attributes - Base Year'!B19</f>
        <v>MedSUV</v>
      </c>
      <c r="C22" s="68" t="str">
        <f>'Vehicle Attributes - Base Year'!C19</f>
        <v>Premium</v>
      </c>
      <c r="D22" s="68" t="str">
        <f>'Vehicle Attributes - Base Year'!D19</f>
        <v>PHEV50</v>
      </c>
      <c r="E22" s="23">
        <v>0</v>
      </c>
      <c r="F22" s="23">
        <f t="shared" si="1"/>
        <v>0</v>
      </c>
      <c r="G22" s="23">
        <v>0</v>
      </c>
      <c r="H22" s="23">
        <v>0</v>
      </c>
      <c r="I22" s="23">
        <v>0</v>
      </c>
      <c r="J22" s="23">
        <v>0</v>
      </c>
      <c r="K22" s="23">
        <v>0</v>
      </c>
      <c r="L22" s="23">
        <v>0</v>
      </c>
      <c r="M22" s="23">
        <v>0</v>
      </c>
      <c r="N22" s="23">
        <v>0</v>
      </c>
      <c r="O22" s="43">
        <v>0</v>
      </c>
    </row>
    <row r="23" spans="1:15" x14ac:dyDescent="0.3">
      <c r="A23" t="str">
        <f t="shared" si="0"/>
        <v>PickupHTPHEV50</v>
      </c>
      <c r="B23" s="79" t="str">
        <f>'Vehicle Attributes - Base Year'!B20</f>
        <v>Pickup</v>
      </c>
      <c r="C23" s="68" t="str">
        <f>'Vehicle Attributes - Base Year'!C20</f>
        <v>Base</v>
      </c>
      <c r="D23" s="68" t="str">
        <f>'Vehicle Attributes - Base Year'!D20</f>
        <v>PHEV50</v>
      </c>
      <c r="E23" s="23">
        <v>0</v>
      </c>
      <c r="F23" s="23">
        <f t="shared" si="1"/>
        <v>0</v>
      </c>
      <c r="G23" s="23">
        <v>0</v>
      </c>
      <c r="H23" s="23">
        <v>0</v>
      </c>
      <c r="I23" s="23">
        <v>0</v>
      </c>
      <c r="J23" s="23">
        <v>0</v>
      </c>
      <c r="K23" s="23">
        <v>0</v>
      </c>
      <c r="L23" s="23">
        <v>0</v>
      </c>
      <c r="M23" s="23">
        <v>0</v>
      </c>
      <c r="N23" s="23">
        <v>0</v>
      </c>
      <c r="O23" s="43">
        <v>0</v>
      </c>
    </row>
    <row r="24" spans="1:15" x14ac:dyDescent="0.3">
      <c r="A24" s="16" t="str">
        <f t="shared" si="0"/>
        <v>SmallCarBaseFCEV320</v>
      </c>
      <c r="B24" s="79" t="str">
        <f>'Vehicle Attributes - Base Year'!B21</f>
        <v>Pickup</v>
      </c>
      <c r="C24" s="68" t="str">
        <f>'Vehicle Attributes - Base Year'!C21</f>
        <v>HT</v>
      </c>
      <c r="D24" s="68" t="str">
        <f>'Vehicle Attributes - Base Year'!D21</f>
        <v>PHEV50</v>
      </c>
      <c r="E24" s="23">
        <v>0</v>
      </c>
      <c r="F24" s="23">
        <f t="shared" si="1"/>
        <v>0</v>
      </c>
      <c r="G24" s="23">
        <v>0</v>
      </c>
      <c r="H24" s="23">
        <v>0</v>
      </c>
      <c r="I24" s="23">
        <v>0</v>
      </c>
      <c r="J24" s="23">
        <v>0</v>
      </c>
      <c r="K24" s="23">
        <v>0</v>
      </c>
      <c r="L24" s="23">
        <v>0</v>
      </c>
      <c r="M24" s="23">
        <v>0</v>
      </c>
      <c r="N24" s="23">
        <v>0</v>
      </c>
      <c r="O24" s="43">
        <v>0</v>
      </c>
    </row>
    <row r="25" spans="1:15" x14ac:dyDescent="0.3">
      <c r="A25" t="str">
        <f t="shared" si="0"/>
        <v>SmallCarPremiumFCEV320</v>
      </c>
      <c r="B25" s="79" t="str">
        <f>'Vehicle Attributes - Base Year'!B22</f>
        <v>SmallCar</v>
      </c>
      <c r="C25" s="68" t="str">
        <f>'Vehicle Attributes - Base Year'!C22</f>
        <v>Base</v>
      </c>
      <c r="D25" s="68" t="str">
        <f>'Vehicle Attributes - Base Year'!D22</f>
        <v>FCEV320</v>
      </c>
      <c r="E25" s="23">
        <v>0</v>
      </c>
      <c r="F25" s="23">
        <f t="shared" si="1"/>
        <v>0</v>
      </c>
      <c r="G25" s="23">
        <v>0</v>
      </c>
      <c r="H25" s="23">
        <v>0</v>
      </c>
      <c r="I25" s="23">
        <v>0</v>
      </c>
      <c r="J25" s="23">
        <v>0</v>
      </c>
      <c r="K25" s="23">
        <v>0</v>
      </c>
      <c r="L25" s="23">
        <v>0</v>
      </c>
      <c r="M25" s="23">
        <v>0</v>
      </c>
      <c r="N25" s="23">
        <v>0</v>
      </c>
      <c r="O25" s="43">
        <v>0</v>
      </c>
    </row>
    <row r="26" spans="1:15" x14ac:dyDescent="0.3">
      <c r="A26" s="16" t="str">
        <f t="shared" si="0"/>
        <v>MedCarBaseFCEV320</v>
      </c>
      <c r="B26" s="79" t="str">
        <f>'Vehicle Attributes - Base Year'!B23</f>
        <v>SmallCar</v>
      </c>
      <c r="C26" s="68" t="str">
        <f>'Vehicle Attributes - Base Year'!C23</f>
        <v>Premium</v>
      </c>
      <c r="D26" s="68" t="str">
        <f>'Vehicle Attributes - Base Year'!D23</f>
        <v>FCEV320</v>
      </c>
      <c r="E26" s="23">
        <v>0</v>
      </c>
      <c r="F26" s="23">
        <f t="shared" si="1"/>
        <v>0</v>
      </c>
      <c r="G26" s="23">
        <v>0</v>
      </c>
      <c r="H26" s="23">
        <v>0</v>
      </c>
      <c r="I26" s="23">
        <v>0</v>
      </c>
      <c r="J26" s="23">
        <v>0</v>
      </c>
      <c r="K26" s="23">
        <v>0</v>
      </c>
      <c r="L26" s="23">
        <v>0</v>
      </c>
      <c r="M26" s="23">
        <v>0</v>
      </c>
      <c r="N26" s="23">
        <v>0</v>
      </c>
      <c r="O26" s="43">
        <v>0</v>
      </c>
    </row>
    <row r="27" spans="1:15" x14ac:dyDescent="0.3">
      <c r="A27" t="str">
        <f t="shared" si="0"/>
        <v>MedCarPremiumFCEV320</v>
      </c>
      <c r="B27" s="79" t="str">
        <f>'Vehicle Attributes - Base Year'!B24</f>
        <v>MedCar</v>
      </c>
      <c r="C27" s="68" t="str">
        <f>'Vehicle Attributes - Base Year'!C24</f>
        <v>Base</v>
      </c>
      <c r="D27" s="68" t="str">
        <f>'Vehicle Attributes - Base Year'!D24</f>
        <v>FCEV320</v>
      </c>
      <c r="E27" s="23">
        <v>0</v>
      </c>
      <c r="F27" s="23">
        <f t="shared" si="1"/>
        <v>0</v>
      </c>
      <c r="G27" s="23">
        <v>0</v>
      </c>
      <c r="H27" s="23">
        <v>0</v>
      </c>
      <c r="I27" s="23">
        <v>0</v>
      </c>
      <c r="J27" s="23">
        <v>0</v>
      </c>
      <c r="K27" s="23">
        <v>0</v>
      </c>
      <c r="L27" s="23">
        <v>0</v>
      </c>
      <c r="M27" s="23">
        <v>0</v>
      </c>
      <c r="N27" s="23">
        <v>0</v>
      </c>
      <c r="O27" s="43">
        <v>0</v>
      </c>
    </row>
    <row r="28" spans="1:15" x14ac:dyDescent="0.3">
      <c r="A28" s="16" t="str">
        <f t="shared" si="0"/>
        <v>SmallSUVBaseFCEV320</v>
      </c>
      <c r="B28" s="79" t="str">
        <f>'Vehicle Attributes - Base Year'!B25</f>
        <v>MedCar</v>
      </c>
      <c r="C28" s="68" t="str">
        <f>'Vehicle Attributes - Base Year'!C25</f>
        <v>Premium</v>
      </c>
      <c r="D28" s="68" t="str">
        <f>'Vehicle Attributes - Base Year'!D25</f>
        <v>FCEV320</v>
      </c>
      <c r="E28" s="23">
        <v>0</v>
      </c>
      <c r="F28" s="23">
        <f t="shared" si="1"/>
        <v>0</v>
      </c>
      <c r="G28" s="23">
        <v>0</v>
      </c>
      <c r="H28" s="23">
        <v>0</v>
      </c>
      <c r="I28" s="23">
        <v>0</v>
      </c>
      <c r="J28" s="23">
        <v>0</v>
      </c>
      <c r="K28" s="23">
        <v>0</v>
      </c>
      <c r="L28" s="23">
        <v>0</v>
      </c>
      <c r="M28" s="23">
        <v>0</v>
      </c>
      <c r="N28" s="23">
        <v>0</v>
      </c>
      <c r="O28" s="43">
        <v>0</v>
      </c>
    </row>
    <row r="29" spans="1:15" x14ac:dyDescent="0.3">
      <c r="A29" t="str">
        <f t="shared" si="0"/>
        <v>SmallSUVPremiumFCEV320</v>
      </c>
      <c r="B29" s="79" t="str">
        <f>'Vehicle Attributes - Base Year'!B26</f>
        <v>SmallSUV</v>
      </c>
      <c r="C29" s="68" t="str">
        <f>'Vehicle Attributes - Base Year'!C26</f>
        <v>Base</v>
      </c>
      <c r="D29" s="68" t="str">
        <f>'Vehicle Attributes - Base Year'!D26</f>
        <v>FCEV320</v>
      </c>
      <c r="E29" s="23">
        <v>0</v>
      </c>
      <c r="F29" s="23">
        <f t="shared" si="1"/>
        <v>0</v>
      </c>
      <c r="G29" s="23">
        <v>0</v>
      </c>
      <c r="H29" s="23">
        <v>0</v>
      </c>
      <c r="I29" s="23">
        <v>0</v>
      </c>
      <c r="J29" s="23">
        <v>0</v>
      </c>
      <c r="K29" s="23">
        <v>0</v>
      </c>
      <c r="L29" s="23">
        <v>0</v>
      </c>
      <c r="M29" s="23">
        <v>0</v>
      </c>
      <c r="N29" s="23">
        <v>0</v>
      </c>
      <c r="O29" s="43">
        <v>0</v>
      </c>
    </row>
    <row r="30" spans="1:15" x14ac:dyDescent="0.3">
      <c r="A30" s="16" t="str">
        <f t="shared" si="0"/>
        <v>MedSUVBaseFCEV320</v>
      </c>
      <c r="B30" s="79" t="str">
        <f>'Vehicle Attributes - Base Year'!B27</f>
        <v>SmallSUV</v>
      </c>
      <c r="C30" s="68" t="str">
        <f>'Vehicle Attributes - Base Year'!C27</f>
        <v>Premium</v>
      </c>
      <c r="D30" s="68" t="str">
        <f>'Vehicle Attributes - Base Year'!D27</f>
        <v>FCEV320</v>
      </c>
      <c r="E30" s="23">
        <v>0</v>
      </c>
      <c r="F30" s="23">
        <f t="shared" si="1"/>
        <v>0</v>
      </c>
      <c r="G30" s="23">
        <v>0</v>
      </c>
      <c r="H30" s="23">
        <v>0</v>
      </c>
      <c r="I30" s="23">
        <v>0</v>
      </c>
      <c r="J30" s="23">
        <v>0</v>
      </c>
      <c r="K30" s="23">
        <v>0</v>
      </c>
      <c r="L30" s="23">
        <v>0</v>
      </c>
      <c r="M30" s="23">
        <v>0</v>
      </c>
      <c r="N30" s="23">
        <v>0</v>
      </c>
      <c r="O30" s="43">
        <v>0</v>
      </c>
    </row>
    <row r="31" spans="1:15" x14ac:dyDescent="0.3">
      <c r="A31" t="str">
        <f t="shared" si="0"/>
        <v>MedSUVPremiumFCEV320</v>
      </c>
      <c r="B31" s="79" t="str">
        <f>'Vehicle Attributes - Base Year'!B28</f>
        <v>MedSUV</v>
      </c>
      <c r="C31" s="68" t="str">
        <f>'Vehicle Attributes - Base Year'!C28</f>
        <v>Base</v>
      </c>
      <c r="D31" s="68" t="str">
        <f>'Vehicle Attributes - Base Year'!D28</f>
        <v>FCEV320</v>
      </c>
      <c r="E31" s="23">
        <v>0</v>
      </c>
      <c r="F31" s="23">
        <f t="shared" si="1"/>
        <v>0</v>
      </c>
      <c r="G31" s="23">
        <v>0</v>
      </c>
      <c r="H31" s="23">
        <v>0</v>
      </c>
      <c r="I31" s="23">
        <v>0</v>
      </c>
      <c r="J31" s="23">
        <v>0</v>
      </c>
      <c r="K31" s="23">
        <v>0</v>
      </c>
      <c r="L31" s="23">
        <v>0</v>
      </c>
      <c r="M31" s="23">
        <v>0</v>
      </c>
      <c r="N31" s="23">
        <v>0</v>
      </c>
      <c r="O31" s="43">
        <v>0</v>
      </c>
    </row>
    <row r="32" spans="1:15" x14ac:dyDescent="0.3">
      <c r="A32" s="16" t="str">
        <f t="shared" si="0"/>
        <v>PickupBaseFCEV320</v>
      </c>
      <c r="B32" s="79" t="str">
        <f>'Vehicle Attributes - Base Year'!B29</f>
        <v>MedSUV</v>
      </c>
      <c r="C32" s="68" t="str">
        <f>'Vehicle Attributes - Base Year'!C29</f>
        <v>Premium</v>
      </c>
      <c r="D32" s="68" t="str">
        <f>'Vehicle Attributes - Base Year'!D29</f>
        <v>FCEV320</v>
      </c>
      <c r="E32" s="23">
        <v>0</v>
      </c>
      <c r="F32" s="23">
        <f t="shared" si="1"/>
        <v>0</v>
      </c>
      <c r="G32" s="23">
        <v>0</v>
      </c>
      <c r="H32" s="23">
        <v>0</v>
      </c>
      <c r="I32" s="23">
        <v>0</v>
      </c>
      <c r="J32" s="23">
        <v>0</v>
      </c>
      <c r="K32" s="23">
        <v>0</v>
      </c>
      <c r="L32" s="23">
        <v>0</v>
      </c>
      <c r="M32" s="23">
        <v>0</v>
      </c>
      <c r="N32" s="23">
        <v>0</v>
      </c>
      <c r="O32" s="43">
        <v>0</v>
      </c>
    </row>
    <row r="33" spans="1:15" x14ac:dyDescent="0.3">
      <c r="A33" t="str">
        <f t="shared" si="0"/>
        <v>PickupHTFCEV320</v>
      </c>
      <c r="B33" s="79" t="str">
        <f>'Vehicle Attributes - Base Year'!B30</f>
        <v>Pickup</v>
      </c>
      <c r="C33" s="68" t="str">
        <f>'Vehicle Attributes - Base Year'!C30</f>
        <v>Base</v>
      </c>
      <c r="D33" s="68" t="str">
        <f>'Vehicle Attributes - Base Year'!D30</f>
        <v>FCEV320</v>
      </c>
      <c r="E33" s="23">
        <v>0</v>
      </c>
      <c r="F33" s="23">
        <f t="shared" si="1"/>
        <v>0</v>
      </c>
      <c r="G33" s="23">
        <v>0</v>
      </c>
      <c r="H33" s="23">
        <v>0</v>
      </c>
      <c r="I33" s="23">
        <v>0</v>
      </c>
      <c r="J33" s="23">
        <v>0</v>
      </c>
      <c r="K33" s="23">
        <v>0</v>
      </c>
      <c r="L33" s="23">
        <v>0</v>
      </c>
      <c r="M33" s="23">
        <v>0</v>
      </c>
      <c r="N33" s="23">
        <v>0</v>
      </c>
      <c r="O33" s="43">
        <v>0</v>
      </c>
    </row>
    <row r="34" spans="1:15" x14ac:dyDescent="0.3">
      <c r="B34" s="79" t="str">
        <f>'Vehicle Attributes - Base Year'!B31</f>
        <v>Pickup</v>
      </c>
      <c r="C34" s="68" t="str">
        <f>'Vehicle Attributes - Base Year'!C31</f>
        <v>HT</v>
      </c>
      <c r="D34" s="68" t="str">
        <f>'Vehicle Attributes - Base Year'!D31</f>
        <v>FCEV320</v>
      </c>
      <c r="E34" s="23">
        <v>0</v>
      </c>
      <c r="F34" s="23">
        <f t="shared" si="1"/>
        <v>0</v>
      </c>
      <c r="G34" s="23">
        <v>0</v>
      </c>
      <c r="H34" s="23">
        <v>0</v>
      </c>
      <c r="I34" s="23">
        <v>0</v>
      </c>
      <c r="J34" s="23">
        <v>0</v>
      </c>
      <c r="K34" s="23">
        <v>0</v>
      </c>
      <c r="L34" s="23">
        <v>0</v>
      </c>
      <c r="M34" s="23">
        <v>0</v>
      </c>
      <c r="N34" s="23">
        <v>0</v>
      </c>
      <c r="O34" s="43">
        <v>0</v>
      </c>
    </row>
  </sheetData>
  <mergeCells count="2">
    <mergeCell ref="E2:O2"/>
    <mergeCell ref="B1:O1"/>
  </mergeCells>
  <pageMargins left="0.7" right="0.7" top="0.75" bottom="0.75" header="0.3" footer="0.3"/>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36A393"/>
  </sheetPr>
  <dimension ref="A1:O34"/>
  <sheetViews>
    <sheetView topLeftCell="B1" workbookViewId="0">
      <selection activeCell="B1" sqref="B1:O1"/>
    </sheetView>
  </sheetViews>
  <sheetFormatPr defaultRowHeight="14.4" x14ac:dyDescent="0.3"/>
  <cols>
    <col min="1" max="1" width="0" hidden="1" customWidth="1"/>
    <col min="2" max="2" width="12.5546875" bestFit="1" customWidth="1"/>
    <col min="3" max="3" width="12.44140625" bestFit="1" customWidth="1"/>
    <col min="4" max="10" width="11" customWidth="1"/>
    <col min="11" max="15" width="12" customWidth="1"/>
  </cols>
  <sheetData>
    <row r="1" spans="1:15" x14ac:dyDescent="0.3">
      <c r="B1" s="170" t="s">
        <v>238</v>
      </c>
      <c r="C1" s="175"/>
      <c r="D1" s="175"/>
      <c r="E1" s="175"/>
      <c r="F1" s="175"/>
      <c r="G1" s="175"/>
      <c r="H1" s="175"/>
      <c r="I1" s="175"/>
      <c r="J1" s="175"/>
      <c r="K1" s="175"/>
      <c r="L1" s="175"/>
      <c r="M1" s="175"/>
      <c r="N1" s="175"/>
      <c r="O1" s="171"/>
    </row>
    <row r="2" spans="1:15" x14ac:dyDescent="0.3">
      <c r="B2" s="73"/>
      <c r="C2" s="73"/>
      <c r="D2" s="74"/>
      <c r="E2" s="195" t="s">
        <v>155</v>
      </c>
      <c r="F2" s="195"/>
      <c r="G2" s="195"/>
      <c r="H2" s="195"/>
      <c r="I2" s="195"/>
      <c r="J2" s="195"/>
      <c r="K2" s="195"/>
      <c r="L2" s="195"/>
      <c r="M2" s="195"/>
      <c r="N2" s="195"/>
      <c r="O2" s="196"/>
    </row>
    <row r="3" spans="1:15" x14ac:dyDescent="0.3">
      <c r="B3" s="75" t="s">
        <v>100</v>
      </c>
      <c r="C3" s="75" t="s">
        <v>101</v>
      </c>
      <c r="D3" s="76" t="s">
        <v>67</v>
      </c>
      <c r="E3" s="77">
        <v>2025</v>
      </c>
      <c r="F3" s="78">
        <v>2026</v>
      </c>
      <c r="G3" s="78">
        <v>2027</v>
      </c>
      <c r="H3" s="78">
        <v>2028</v>
      </c>
      <c r="I3" s="78">
        <v>2029</v>
      </c>
      <c r="J3" s="78">
        <v>2030</v>
      </c>
      <c r="K3" s="78">
        <v>2031</v>
      </c>
      <c r="L3" s="78">
        <v>2032</v>
      </c>
      <c r="M3" s="78">
        <v>2033</v>
      </c>
      <c r="N3" s="78">
        <v>2034</v>
      </c>
      <c r="O3" s="148">
        <v>2035</v>
      </c>
    </row>
    <row r="4" spans="1:15" x14ac:dyDescent="0.3">
      <c r="A4" s="16" t="str">
        <f t="shared" ref="A4:A33" si="0">CONCATENATE(B5,C5,D5,)</f>
        <v>SmallCarBaseBEV300</v>
      </c>
      <c r="B4" s="79" t="s">
        <v>64</v>
      </c>
      <c r="C4" s="68" t="s">
        <v>65</v>
      </c>
      <c r="D4" s="68" t="s">
        <v>156</v>
      </c>
      <c r="E4" s="23" t="s">
        <v>157</v>
      </c>
      <c r="F4" s="23" t="s">
        <v>158</v>
      </c>
      <c r="G4" s="23" t="s">
        <v>159</v>
      </c>
      <c r="H4" s="23" t="s">
        <v>160</v>
      </c>
      <c r="I4" s="23" t="s">
        <v>161</v>
      </c>
      <c r="J4" s="23" t="s">
        <v>162</v>
      </c>
      <c r="K4" s="23" t="s">
        <v>163</v>
      </c>
      <c r="L4" s="23" t="s">
        <v>164</v>
      </c>
      <c r="M4" s="23" t="s">
        <v>165</v>
      </c>
      <c r="N4" s="23" t="s">
        <v>166</v>
      </c>
      <c r="O4" s="43" t="s">
        <v>167</v>
      </c>
    </row>
    <row r="5" spans="1:15" x14ac:dyDescent="0.3">
      <c r="A5" t="str">
        <f t="shared" si="0"/>
        <v>SmallCarPremiumBEV400</v>
      </c>
      <c r="B5" s="79" t="str">
        <f>'Vehicle Attributes - Base Year'!B2</f>
        <v>SmallCar</v>
      </c>
      <c r="C5" s="68" t="str">
        <f>'Vehicle Attributes - Base Year'!C2</f>
        <v>Base</v>
      </c>
      <c r="D5" s="68" t="str">
        <f>'Vehicle Attributes - Base Year'!D2</f>
        <v>BEV300</v>
      </c>
      <c r="E5" s="23">
        <f>'Towing Package - Additional Bat'!E5*'Battery Costs'!R$6</f>
        <v>0</v>
      </c>
      <c r="F5" s="23">
        <f>'Towing Package - Additional Bat'!F5*'Battery Costs'!S$6</f>
        <v>0</v>
      </c>
      <c r="G5" s="23">
        <f>'Towing Package - Additional Bat'!G5*'Battery Costs'!T$6</f>
        <v>0</v>
      </c>
      <c r="H5" s="23">
        <f>'Towing Package - Additional Bat'!H5*'Battery Costs'!U$6</f>
        <v>0</v>
      </c>
      <c r="I5" s="23">
        <f>'Towing Package - Additional Bat'!I5*'Battery Costs'!V$6</f>
        <v>0</v>
      </c>
      <c r="J5" s="23">
        <f>'Towing Package - Additional Bat'!J5*'Battery Costs'!W$6</f>
        <v>0</v>
      </c>
      <c r="K5" s="23">
        <f>'Towing Package - Additional Bat'!K5*'Battery Costs'!X$6</f>
        <v>0</v>
      </c>
      <c r="L5" s="23">
        <f>'Towing Package - Additional Bat'!L5*'Battery Costs'!Y$6</f>
        <v>0</v>
      </c>
      <c r="M5" s="23">
        <f>'Towing Package - Additional Bat'!M5*'Battery Costs'!Z$6</f>
        <v>0</v>
      </c>
      <c r="N5" s="23">
        <f>'Towing Package - Additional Bat'!N5*'Battery Costs'!AA$6</f>
        <v>0</v>
      </c>
      <c r="O5" s="43">
        <f>'Towing Package - Additional Bat'!O5*'Battery Costs'!AB$6</f>
        <v>0</v>
      </c>
    </row>
    <row r="6" spans="1:15" x14ac:dyDescent="0.3">
      <c r="A6" s="16" t="str">
        <f t="shared" si="0"/>
        <v>MedCarBaseBEV300</v>
      </c>
      <c r="B6" s="79" t="str">
        <f>'Vehicle Attributes - Base Year'!B3</f>
        <v>SmallCar</v>
      </c>
      <c r="C6" s="68" t="str">
        <f>'Vehicle Attributes - Base Year'!C3</f>
        <v>Premium</v>
      </c>
      <c r="D6" s="68" t="str">
        <f>'Vehicle Attributes - Base Year'!D3</f>
        <v>BEV400</v>
      </c>
      <c r="E6" s="23">
        <f>'Towing Package - Additional Bat'!E6*'Battery Costs'!R$6</f>
        <v>0</v>
      </c>
      <c r="F6" s="23">
        <f>'Towing Package - Additional Bat'!F6*'Battery Costs'!S$6</f>
        <v>0</v>
      </c>
      <c r="G6" s="23">
        <f>'Towing Package - Additional Bat'!G6*'Battery Costs'!T$6</f>
        <v>0</v>
      </c>
      <c r="H6" s="23">
        <f>'Towing Package - Additional Bat'!H6*'Battery Costs'!U$6</f>
        <v>0</v>
      </c>
      <c r="I6" s="23">
        <f>'Towing Package - Additional Bat'!I6*'Battery Costs'!V$6</f>
        <v>0</v>
      </c>
      <c r="J6" s="23">
        <f>'Towing Package - Additional Bat'!J6*'Battery Costs'!W$6</f>
        <v>0</v>
      </c>
      <c r="K6" s="23">
        <f>'Towing Package - Additional Bat'!K6*'Battery Costs'!X$6</f>
        <v>0</v>
      </c>
      <c r="L6" s="23">
        <f>'Towing Package - Additional Bat'!L6*'Battery Costs'!Y$6</f>
        <v>0</v>
      </c>
      <c r="M6" s="23">
        <f>'Towing Package - Additional Bat'!M6*'Battery Costs'!Z$6</f>
        <v>0</v>
      </c>
      <c r="N6" s="23">
        <f>'Towing Package - Additional Bat'!N6*'Battery Costs'!AA$6</f>
        <v>0</v>
      </c>
      <c r="O6" s="43">
        <f>'Towing Package - Additional Bat'!O6*'Battery Costs'!AB$6</f>
        <v>0</v>
      </c>
    </row>
    <row r="7" spans="1:15" x14ac:dyDescent="0.3">
      <c r="A7" t="str">
        <f t="shared" si="0"/>
        <v>MedCarPremiumBEV400</v>
      </c>
      <c r="B7" s="79" t="str">
        <f>'Vehicle Attributes - Base Year'!B4</f>
        <v>MedCar</v>
      </c>
      <c r="C7" s="68" t="str">
        <f>'Vehicle Attributes - Base Year'!C4</f>
        <v>Base</v>
      </c>
      <c r="D7" s="68" t="str">
        <f>'Vehicle Attributes - Base Year'!D4</f>
        <v>BEV300</v>
      </c>
      <c r="E7" s="23">
        <f>'Towing Package - Additional Bat'!E7*'Battery Costs'!R$6</f>
        <v>0</v>
      </c>
      <c r="F7" s="23">
        <f>'Towing Package - Additional Bat'!F7*'Battery Costs'!S$6</f>
        <v>0</v>
      </c>
      <c r="G7" s="23">
        <f>'Towing Package - Additional Bat'!G7*'Battery Costs'!T$6</f>
        <v>0</v>
      </c>
      <c r="H7" s="23">
        <f>'Towing Package - Additional Bat'!H7*'Battery Costs'!U$6</f>
        <v>0</v>
      </c>
      <c r="I7" s="23">
        <f>'Towing Package - Additional Bat'!I7*'Battery Costs'!V$6</f>
        <v>0</v>
      </c>
      <c r="J7" s="23">
        <f>'Towing Package - Additional Bat'!J7*'Battery Costs'!W$6</f>
        <v>0</v>
      </c>
      <c r="K7" s="23">
        <f>'Towing Package - Additional Bat'!K7*'Battery Costs'!X$6</f>
        <v>0</v>
      </c>
      <c r="L7" s="23">
        <f>'Towing Package - Additional Bat'!L7*'Battery Costs'!Y$6</f>
        <v>0</v>
      </c>
      <c r="M7" s="23">
        <f>'Towing Package - Additional Bat'!M7*'Battery Costs'!Z$6</f>
        <v>0</v>
      </c>
      <c r="N7" s="23">
        <f>'Towing Package - Additional Bat'!N7*'Battery Costs'!AA$6</f>
        <v>0</v>
      </c>
      <c r="O7" s="43">
        <f>'Towing Package - Additional Bat'!O7*'Battery Costs'!AB$6</f>
        <v>0</v>
      </c>
    </row>
    <row r="8" spans="1:15" x14ac:dyDescent="0.3">
      <c r="A8" s="16" t="str">
        <f t="shared" si="0"/>
        <v>SmallSUVBaseBEV300</v>
      </c>
      <c r="B8" s="79" t="str">
        <f>'Vehicle Attributes - Base Year'!B5</f>
        <v>MedCar</v>
      </c>
      <c r="C8" s="68" t="str">
        <f>'Vehicle Attributes - Base Year'!C5</f>
        <v>Premium</v>
      </c>
      <c r="D8" s="68" t="str">
        <f>'Vehicle Attributes - Base Year'!D5</f>
        <v>BEV400</v>
      </c>
      <c r="E8" s="23">
        <f>'Towing Package - Additional Bat'!E8*'Battery Costs'!R$6</f>
        <v>0</v>
      </c>
      <c r="F8" s="23">
        <f>'Towing Package - Additional Bat'!F8*'Battery Costs'!S$6</f>
        <v>0</v>
      </c>
      <c r="G8" s="23">
        <f>'Towing Package - Additional Bat'!G8*'Battery Costs'!T$6</f>
        <v>0</v>
      </c>
      <c r="H8" s="23">
        <f>'Towing Package - Additional Bat'!H8*'Battery Costs'!U$6</f>
        <v>0</v>
      </c>
      <c r="I8" s="23">
        <f>'Towing Package - Additional Bat'!I8*'Battery Costs'!V$6</f>
        <v>0</v>
      </c>
      <c r="J8" s="23">
        <f>'Towing Package - Additional Bat'!J8*'Battery Costs'!W$6</f>
        <v>0</v>
      </c>
      <c r="K8" s="23">
        <f>'Towing Package - Additional Bat'!K8*'Battery Costs'!X$6</f>
        <v>0</v>
      </c>
      <c r="L8" s="23">
        <f>'Towing Package - Additional Bat'!L8*'Battery Costs'!Y$6</f>
        <v>0</v>
      </c>
      <c r="M8" s="23">
        <f>'Towing Package - Additional Bat'!M8*'Battery Costs'!Z$6</f>
        <v>0</v>
      </c>
      <c r="N8" s="23">
        <f>'Towing Package - Additional Bat'!N8*'Battery Costs'!AA$6</f>
        <v>0</v>
      </c>
      <c r="O8" s="43">
        <f>'Towing Package - Additional Bat'!O8*'Battery Costs'!AB$6</f>
        <v>0</v>
      </c>
    </row>
    <row r="9" spans="1:15" x14ac:dyDescent="0.3">
      <c r="A9" t="str">
        <f t="shared" si="0"/>
        <v>SmallSUVPremiumBEV400</v>
      </c>
      <c r="B9" s="79" t="str">
        <f>'Vehicle Attributes - Base Year'!B6</f>
        <v>SmallSUV</v>
      </c>
      <c r="C9" s="68" t="str">
        <f>'Vehicle Attributes - Base Year'!C6</f>
        <v>Base</v>
      </c>
      <c r="D9" s="68" t="str">
        <f>'Vehicle Attributes - Base Year'!D6</f>
        <v>BEV300</v>
      </c>
      <c r="E9" s="23">
        <f>'Towing Package - Additional Bat'!E9*'Battery Costs'!R$6</f>
        <v>0</v>
      </c>
      <c r="F9" s="23">
        <f>'Towing Package - Additional Bat'!F9*'Battery Costs'!S$6</f>
        <v>0</v>
      </c>
      <c r="G9" s="23">
        <f>'Towing Package - Additional Bat'!G9*'Battery Costs'!T$6</f>
        <v>0</v>
      </c>
      <c r="H9" s="23">
        <f>'Towing Package - Additional Bat'!H9*'Battery Costs'!U$6</f>
        <v>0</v>
      </c>
      <c r="I9" s="23">
        <f>'Towing Package - Additional Bat'!I9*'Battery Costs'!V$6</f>
        <v>0</v>
      </c>
      <c r="J9" s="23">
        <f>'Towing Package - Additional Bat'!J9*'Battery Costs'!W$6</f>
        <v>0</v>
      </c>
      <c r="K9" s="23">
        <f>'Towing Package - Additional Bat'!K9*'Battery Costs'!X$6</f>
        <v>0</v>
      </c>
      <c r="L9" s="23">
        <f>'Towing Package - Additional Bat'!L9*'Battery Costs'!Y$6</f>
        <v>0</v>
      </c>
      <c r="M9" s="23">
        <f>'Towing Package - Additional Bat'!M9*'Battery Costs'!Z$6</f>
        <v>0</v>
      </c>
      <c r="N9" s="23">
        <f>'Towing Package - Additional Bat'!N9*'Battery Costs'!AA$6</f>
        <v>0</v>
      </c>
      <c r="O9" s="43">
        <f>'Towing Package - Additional Bat'!O9*'Battery Costs'!AB$6</f>
        <v>0</v>
      </c>
    </row>
    <row r="10" spans="1:15" x14ac:dyDescent="0.3">
      <c r="A10" s="16" t="str">
        <f t="shared" si="0"/>
        <v>MedSUVBaseBEV300</v>
      </c>
      <c r="B10" s="79" t="str">
        <f>'Vehicle Attributes - Base Year'!B7</f>
        <v>SmallSUV</v>
      </c>
      <c r="C10" s="68" t="str">
        <f>'Vehicle Attributes - Base Year'!C7</f>
        <v>Premium</v>
      </c>
      <c r="D10" s="68" t="str">
        <f>'Vehicle Attributes - Base Year'!D7</f>
        <v>BEV400</v>
      </c>
      <c r="E10" s="23">
        <f>'Towing Package - Additional Bat'!E10*'Battery Costs'!R$6</f>
        <v>0</v>
      </c>
      <c r="F10" s="23">
        <f>'Towing Package - Additional Bat'!F10*'Battery Costs'!S$6</f>
        <v>0</v>
      </c>
      <c r="G10" s="23">
        <f>'Towing Package - Additional Bat'!G10*'Battery Costs'!T$6</f>
        <v>0</v>
      </c>
      <c r="H10" s="23">
        <f>'Towing Package - Additional Bat'!H10*'Battery Costs'!U$6</f>
        <v>0</v>
      </c>
      <c r="I10" s="23">
        <f>'Towing Package - Additional Bat'!I10*'Battery Costs'!V$6</f>
        <v>0</v>
      </c>
      <c r="J10" s="23">
        <f>'Towing Package - Additional Bat'!J10*'Battery Costs'!W$6</f>
        <v>0</v>
      </c>
      <c r="K10" s="23">
        <f>'Towing Package - Additional Bat'!K10*'Battery Costs'!X$6</f>
        <v>0</v>
      </c>
      <c r="L10" s="23">
        <f>'Towing Package - Additional Bat'!L10*'Battery Costs'!Y$6</f>
        <v>0</v>
      </c>
      <c r="M10" s="23">
        <f>'Towing Package - Additional Bat'!M10*'Battery Costs'!Z$6</f>
        <v>0</v>
      </c>
      <c r="N10" s="23">
        <f>'Towing Package - Additional Bat'!N10*'Battery Costs'!AA$6</f>
        <v>0</v>
      </c>
      <c r="O10" s="43">
        <f>'Towing Package - Additional Bat'!O10*'Battery Costs'!AB$6</f>
        <v>0</v>
      </c>
    </row>
    <row r="11" spans="1:15" x14ac:dyDescent="0.3">
      <c r="A11" t="str">
        <f t="shared" si="0"/>
        <v>MedSUVPremiumBEV400</v>
      </c>
      <c r="B11" s="79" t="str">
        <f>'Vehicle Attributes - Base Year'!B8</f>
        <v>MedSUV</v>
      </c>
      <c r="C11" s="68" t="str">
        <f>'Vehicle Attributes - Base Year'!C8</f>
        <v>Base</v>
      </c>
      <c r="D11" s="68" t="str">
        <f>'Vehicle Attributes - Base Year'!D8</f>
        <v>BEV300</v>
      </c>
      <c r="E11" s="23">
        <f>'Towing Package - Additional Bat'!E11*'Battery Costs'!R$6</f>
        <v>9099.6148344193916</v>
      </c>
      <c r="F11" s="23">
        <f>'Towing Package - Additional Bat'!F11*'Battery Costs'!S$6</f>
        <v>8420.3285870299842</v>
      </c>
      <c r="G11" s="23">
        <f>'Towing Package - Additional Bat'!G11*'Battery Costs'!T$6</f>
        <v>7791.7510580081971</v>
      </c>
      <c r="H11" s="23">
        <f>'Towing Package - Additional Bat'!H11*'Battery Costs'!U$6</f>
        <v>7210.0968415278849</v>
      </c>
      <c r="I11" s="23">
        <f>'Towing Package - Additional Bat'!I11*'Battery Costs'!V$6</f>
        <v>6671.8631123078276</v>
      </c>
      <c r="J11" s="23">
        <f>'Towing Package - Additional Bat'!J11*'Battery Costs'!W$6</f>
        <v>6277.0061613060489</v>
      </c>
      <c r="K11" s="23">
        <f>'Towing Package - Additional Bat'!K11*'Battery Costs'!X$6</f>
        <v>5933.340073974543</v>
      </c>
      <c r="L11" s="23">
        <f>'Towing Package - Additional Bat'!L11*'Battery Costs'!Y$6</f>
        <v>5608.4897049244355</v>
      </c>
      <c r="M11" s="23">
        <f>'Towing Package - Additional Bat'!M11*'Battery Costs'!Z$6</f>
        <v>5301.4248935798223</v>
      </c>
      <c r="N11" s="23">
        <f>'Towing Package - Additional Bat'!N11*'Battery Costs'!AA$6</f>
        <v>5011.1718806563276</v>
      </c>
      <c r="O11" s="43">
        <f>'Towing Package - Additional Bat'!O11*'Battery Costs'!AB$6</f>
        <v>4736.810220190393</v>
      </c>
    </row>
    <row r="12" spans="1:15" x14ac:dyDescent="0.3">
      <c r="A12" s="16" t="str">
        <f t="shared" si="0"/>
        <v>PickupBaseBEV300</v>
      </c>
      <c r="B12" s="79" t="str">
        <f>'Vehicle Attributes - Base Year'!B9</f>
        <v>MedSUV</v>
      </c>
      <c r="C12" s="68" t="str">
        <f>'Vehicle Attributes - Base Year'!C9</f>
        <v>Premium</v>
      </c>
      <c r="D12" s="68" t="str">
        <f>'Vehicle Attributes - Base Year'!D9</f>
        <v>BEV400</v>
      </c>
      <c r="E12" s="23">
        <f>'Towing Package - Additional Bat'!E12*'Battery Costs'!R$6</f>
        <v>7096.226566416045</v>
      </c>
      <c r="F12" s="23">
        <f>'Towing Package - Additional Bat'!F12*'Battery Costs'!S$6</f>
        <v>6566.4932532330877</v>
      </c>
      <c r="G12" s="23">
        <f>'Towing Package - Additional Bat'!G12*'Battery Costs'!T$6</f>
        <v>6076.3045318792374</v>
      </c>
      <c r="H12" s="23">
        <f>'Towing Package - Additional Bat'!H12*'Battery Costs'!U$6</f>
        <v>5622.708398574453</v>
      </c>
      <c r="I12" s="23">
        <f>'Towing Package - Additional Bat'!I12*'Battery Costs'!V$6</f>
        <v>5202.9732166208696</v>
      </c>
      <c r="J12" s="23">
        <f>'Towing Package - Additional Bat'!J12*'Battery Costs'!W$6</f>
        <v>4895.0487124941355</v>
      </c>
      <c r="K12" s="23">
        <f>'Towing Package - Additional Bat'!K12*'Battery Costs'!X$6</f>
        <v>4627.0447954850815</v>
      </c>
      <c r="L12" s="23">
        <f>'Towing Package - Additional Bat'!L12*'Battery Costs'!Y$6</f>
        <v>4373.7140929322732</v>
      </c>
      <c r="M12" s="23">
        <f>'Towing Package - Additional Bat'!M12*'Battery Costs'!Z$6</f>
        <v>4134.2532463442303</v>
      </c>
      <c r="N12" s="23">
        <f>'Towing Package - Additional Bat'!N12*'Battery Costs'!AA$6</f>
        <v>3907.9028811068833</v>
      </c>
      <c r="O12" s="43">
        <f>'Towing Package - Additional Bat'!O12*'Battery Costs'!AB$6</f>
        <v>3693.9451983662811</v>
      </c>
    </row>
    <row r="13" spans="1:15" x14ac:dyDescent="0.3">
      <c r="A13" t="str">
        <f t="shared" si="0"/>
        <v>PickupHTBEV400</v>
      </c>
      <c r="B13" s="79" t="str">
        <f>'Vehicle Attributes - Base Year'!B10</f>
        <v>Pickup</v>
      </c>
      <c r="C13" s="68" t="str">
        <f>'Vehicle Attributes - Base Year'!C10</f>
        <v>Base</v>
      </c>
      <c r="D13" s="68" t="str">
        <f>'Vehicle Attributes - Base Year'!D10</f>
        <v>BEV300</v>
      </c>
      <c r="E13" s="23">
        <f>'Towing Package - Additional Bat'!E13*'Battery Costs'!R$6</f>
        <v>13437.081660952388</v>
      </c>
      <c r="F13" s="23">
        <f>'Towing Package - Additional Bat'!F13*'Battery Costs'!S$6</f>
        <v>12434.003514962293</v>
      </c>
      <c r="G13" s="23">
        <f>'Towing Package - Additional Bat'!G13*'Battery Costs'!T$6</f>
        <v>11505.805152570359</v>
      </c>
      <c r="H13" s="23">
        <f>'Towing Package - Additional Bat'!H13*'Battery Costs'!U$6</f>
        <v>10646.896797930982</v>
      </c>
      <c r="I13" s="23">
        <f>'Towing Package - Additional Bat'!I13*'Battery Costs'!V$6</f>
        <v>9852.1059519654355</v>
      </c>
      <c r="J13" s="23">
        <f>'Towing Package - Additional Bat'!J13*'Battery Costs'!W$6</f>
        <v>9269.0345592141057</v>
      </c>
      <c r="K13" s="23">
        <f>'Towing Package - Additional Bat'!K13*'Battery Costs'!X$6</f>
        <v>8761.5549170971317</v>
      </c>
      <c r="L13" s="23">
        <f>'Towing Package - Additional Bat'!L13*'Battery Costs'!Y$6</f>
        <v>8281.8597853860629</v>
      </c>
      <c r="M13" s="23">
        <f>'Towing Package - Additional Bat'!M13*'Battery Costs'!Z$6</f>
        <v>7828.4279621361757</v>
      </c>
      <c r="N13" s="23">
        <f>'Towing Package - Additional Bat'!N13*'Battery Costs'!AA$6</f>
        <v>7399.8215312092198</v>
      </c>
      <c r="O13" s="43">
        <f>'Towing Package - Additional Bat'!O13*'Battery Costs'!AB$6</f>
        <v>6994.6813023755149</v>
      </c>
    </row>
    <row r="14" spans="1:15" x14ac:dyDescent="0.3">
      <c r="A14" s="16" t="str">
        <f t="shared" si="0"/>
        <v>SmallCarBasePHEV50</v>
      </c>
      <c r="B14" s="79" t="str">
        <f>'Vehicle Attributes - Base Year'!B11</f>
        <v>Pickup</v>
      </c>
      <c r="C14" s="68" t="str">
        <f>'Vehicle Attributes - Base Year'!C11</f>
        <v>HT</v>
      </c>
      <c r="D14" s="68" t="str">
        <f>'Vehicle Attributes - Base Year'!D11</f>
        <v>BEV400</v>
      </c>
      <c r="E14" s="23">
        <f>'Towing Package - Additional Bat'!E14*'Battery Costs'!R$6</f>
        <v>11033.015739348373</v>
      </c>
      <c r="F14" s="23">
        <f>'Towing Package - Additional Bat'!F14*'Battery Costs'!S$6</f>
        <v>10209.401114406019</v>
      </c>
      <c r="G14" s="23">
        <f>'Towing Package - Additional Bat'!G14*'Battery Costs'!T$6</f>
        <v>9447.26932121561</v>
      </c>
      <c r="H14" s="23">
        <f>'Towing Package - Additional Bat'!H14*'Battery Costs'!U$6</f>
        <v>8742.0306663868632</v>
      </c>
      <c r="I14" s="23">
        <f>'Towing Package - Additional Bat'!I14*'Battery Costs'!V$6</f>
        <v>8089.4380771410842</v>
      </c>
      <c r="J14" s="23">
        <f>'Towing Package - Additional Bat'!J14*'Battery Costs'!W$6</f>
        <v>7610.6856206398088</v>
      </c>
      <c r="K14" s="23">
        <f>'Towing Package - Additional Bat'!K14*'Battery Costs'!X$6</f>
        <v>7194.000582909779</v>
      </c>
      <c r="L14" s="23">
        <f>'Towing Package - Additional Bat'!L14*'Battery Costs'!Y$6</f>
        <v>6800.1290509954679</v>
      </c>
      <c r="M14" s="23">
        <f>'Towing Package - Additional Bat'!M14*'Battery Costs'!Z$6</f>
        <v>6427.8219854534655</v>
      </c>
      <c r="N14" s="23">
        <f>'Towing Package - Additional Bat'!N14*'Battery Costs'!AA$6</f>
        <v>6075.8987317498886</v>
      </c>
      <c r="O14" s="43">
        <f>'Towing Package - Additional Bat'!O14*'Battery Costs'!AB$6</f>
        <v>5743.2432761865812</v>
      </c>
    </row>
    <row r="15" spans="1:15" x14ac:dyDescent="0.3">
      <c r="A15" t="str">
        <f t="shared" si="0"/>
        <v>SmallCarPremiumPHEV50</v>
      </c>
      <c r="B15" s="79" t="str">
        <f>'Vehicle Attributes - Base Year'!B12</f>
        <v>SmallCar</v>
      </c>
      <c r="C15" s="68" t="str">
        <f>'Vehicle Attributes - Base Year'!C12</f>
        <v>Base</v>
      </c>
      <c r="D15" s="68" t="str">
        <f>'Vehicle Attributes - Base Year'!D12</f>
        <v>PHEV50</v>
      </c>
      <c r="E15" s="23">
        <f>'Towing Package - Additional Bat'!E15*'Battery Costs'!R$6</f>
        <v>0</v>
      </c>
      <c r="F15" s="23">
        <f>'Towing Package - Additional Bat'!F15*'Battery Costs'!S$6</f>
        <v>0</v>
      </c>
      <c r="G15" s="23">
        <f>'Towing Package - Additional Bat'!G15*'Battery Costs'!T$6</f>
        <v>0</v>
      </c>
      <c r="H15" s="23">
        <f>'Towing Package - Additional Bat'!H15*'Battery Costs'!U$6</f>
        <v>0</v>
      </c>
      <c r="I15" s="23">
        <f>'Towing Package - Additional Bat'!I15*'Battery Costs'!V$6</f>
        <v>0</v>
      </c>
      <c r="J15" s="23">
        <f>'Towing Package - Additional Bat'!J15*'Battery Costs'!W$6</f>
        <v>0</v>
      </c>
      <c r="K15" s="23">
        <f>'Towing Package - Additional Bat'!K15*'Battery Costs'!X$6</f>
        <v>0</v>
      </c>
      <c r="L15" s="23">
        <f>'Towing Package - Additional Bat'!L15*'Battery Costs'!Y$6</f>
        <v>0</v>
      </c>
      <c r="M15" s="23">
        <f>'Towing Package - Additional Bat'!M15*'Battery Costs'!Z$6</f>
        <v>0</v>
      </c>
      <c r="N15" s="23">
        <f>'Towing Package - Additional Bat'!N15*'Battery Costs'!AA$6</f>
        <v>0</v>
      </c>
      <c r="O15" s="43">
        <f>'Towing Package - Additional Bat'!O15*'Battery Costs'!AB$6</f>
        <v>0</v>
      </c>
    </row>
    <row r="16" spans="1:15" x14ac:dyDescent="0.3">
      <c r="A16" s="16" t="str">
        <f t="shared" si="0"/>
        <v>MedCarBasePHEV50</v>
      </c>
      <c r="B16" s="79" t="str">
        <f>'Vehicle Attributes - Base Year'!B13</f>
        <v>SmallCar</v>
      </c>
      <c r="C16" s="68" t="str">
        <f>'Vehicle Attributes - Base Year'!C13</f>
        <v>Premium</v>
      </c>
      <c r="D16" s="68" t="str">
        <f>'Vehicle Attributes - Base Year'!D13</f>
        <v>PHEV50</v>
      </c>
      <c r="E16" s="23">
        <f>'Towing Package - Additional Bat'!E16*'Battery Costs'!R$6</f>
        <v>0</v>
      </c>
      <c r="F16" s="23">
        <f>'Towing Package - Additional Bat'!F16*'Battery Costs'!S$6</f>
        <v>0</v>
      </c>
      <c r="G16" s="23">
        <f>'Towing Package - Additional Bat'!G16*'Battery Costs'!T$6</f>
        <v>0</v>
      </c>
      <c r="H16" s="23">
        <f>'Towing Package - Additional Bat'!H16*'Battery Costs'!U$6</f>
        <v>0</v>
      </c>
      <c r="I16" s="23">
        <f>'Towing Package - Additional Bat'!I16*'Battery Costs'!V$6</f>
        <v>0</v>
      </c>
      <c r="J16" s="23">
        <f>'Towing Package - Additional Bat'!J16*'Battery Costs'!W$6</f>
        <v>0</v>
      </c>
      <c r="K16" s="23">
        <f>'Towing Package - Additional Bat'!K16*'Battery Costs'!X$6</f>
        <v>0</v>
      </c>
      <c r="L16" s="23">
        <f>'Towing Package - Additional Bat'!L16*'Battery Costs'!Y$6</f>
        <v>0</v>
      </c>
      <c r="M16" s="23">
        <f>'Towing Package - Additional Bat'!M16*'Battery Costs'!Z$6</f>
        <v>0</v>
      </c>
      <c r="N16" s="23">
        <f>'Towing Package - Additional Bat'!N16*'Battery Costs'!AA$6</f>
        <v>0</v>
      </c>
      <c r="O16" s="43">
        <f>'Towing Package - Additional Bat'!O16*'Battery Costs'!AB$6</f>
        <v>0</v>
      </c>
    </row>
    <row r="17" spans="1:15" x14ac:dyDescent="0.3">
      <c r="A17" t="str">
        <f t="shared" si="0"/>
        <v>MedCarPremiumPHEV50</v>
      </c>
      <c r="B17" s="79" t="str">
        <f>'Vehicle Attributes - Base Year'!B14</f>
        <v>MedCar</v>
      </c>
      <c r="C17" s="68" t="str">
        <f>'Vehicle Attributes - Base Year'!C14</f>
        <v>Base</v>
      </c>
      <c r="D17" s="68" t="str">
        <f>'Vehicle Attributes - Base Year'!D14</f>
        <v>PHEV50</v>
      </c>
      <c r="E17" s="23">
        <f>'Towing Package - Additional Bat'!E17*'Battery Costs'!R$6</f>
        <v>0</v>
      </c>
      <c r="F17" s="23">
        <f>'Towing Package - Additional Bat'!F17*'Battery Costs'!S$6</f>
        <v>0</v>
      </c>
      <c r="G17" s="23">
        <f>'Towing Package - Additional Bat'!G17*'Battery Costs'!T$6</f>
        <v>0</v>
      </c>
      <c r="H17" s="23">
        <f>'Towing Package - Additional Bat'!H17*'Battery Costs'!U$6</f>
        <v>0</v>
      </c>
      <c r="I17" s="23">
        <f>'Towing Package - Additional Bat'!I17*'Battery Costs'!V$6</f>
        <v>0</v>
      </c>
      <c r="J17" s="23">
        <f>'Towing Package - Additional Bat'!J17*'Battery Costs'!W$6</f>
        <v>0</v>
      </c>
      <c r="K17" s="23">
        <f>'Towing Package - Additional Bat'!K17*'Battery Costs'!X$6</f>
        <v>0</v>
      </c>
      <c r="L17" s="23">
        <f>'Towing Package - Additional Bat'!L17*'Battery Costs'!Y$6</f>
        <v>0</v>
      </c>
      <c r="M17" s="23">
        <f>'Towing Package - Additional Bat'!M17*'Battery Costs'!Z$6</f>
        <v>0</v>
      </c>
      <c r="N17" s="23">
        <f>'Towing Package - Additional Bat'!N17*'Battery Costs'!AA$6</f>
        <v>0</v>
      </c>
      <c r="O17" s="43">
        <f>'Towing Package - Additional Bat'!O17*'Battery Costs'!AB$6</f>
        <v>0</v>
      </c>
    </row>
    <row r="18" spans="1:15" x14ac:dyDescent="0.3">
      <c r="A18" s="16" t="str">
        <f t="shared" si="0"/>
        <v>SmallSUVBasePHEV50</v>
      </c>
      <c r="B18" s="79" t="str">
        <f>'Vehicle Attributes - Base Year'!B15</f>
        <v>MedCar</v>
      </c>
      <c r="C18" s="68" t="str">
        <f>'Vehicle Attributes - Base Year'!C15</f>
        <v>Premium</v>
      </c>
      <c r="D18" s="68" t="str">
        <f>'Vehicle Attributes - Base Year'!D15</f>
        <v>PHEV50</v>
      </c>
      <c r="E18" s="23">
        <f>'Towing Package - Additional Bat'!E18*'Battery Costs'!R$6</f>
        <v>0</v>
      </c>
      <c r="F18" s="23">
        <f>'Towing Package - Additional Bat'!F18*'Battery Costs'!S$6</f>
        <v>0</v>
      </c>
      <c r="G18" s="23">
        <f>'Towing Package - Additional Bat'!G18*'Battery Costs'!T$6</f>
        <v>0</v>
      </c>
      <c r="H18" s="23">
        <f>'Towing Package - Additional Bat'!H18*'Battery Costs'!U$6</f>
        <v>0</v>
      </c>
      <c r="I18" s="23">
        <f>'Towing Package - Additional Bat'!I18*'Battery Costs'!V$6</f>
        <v>0</v>
      </c>
      <c r="J18" s="23">
        <f>'Towing Package - Additional Bat'!J18*'Battery Costs'!W$6</f>
        <v>0</v>
      </c>
      <c r="K18" s="23">
        <f>'Towing Package - Additional Bat'!K18*'Battery Costs'!X$6</f>
        <v>0</v>
      </c>
      <c r="L18" s="23">
        <f>'Towing Package - Additional Bat'!L18*'Battery Costs'!Y$6</f>
        <v>0</v>
      </c>
      <c r="M18" s="23">
        <f>'Towing Package - Additional Bat'!M18*'Battery Costs'!Z$6</f>
        <v>0</v>
      </c>
      <c r="N18" s="23">
        <f>'Towing Package - Additional Bat'!N18*'Battery Costs'!AA$6</f>
        <v>0</v>
      </c>
      <c r="O18" s="43">
        <f>'Towing Package - Additional Bat'!O18*'Battery Costs'!AB$6</f>
        <v>0</v>
      </c>
    </row>
    <row r="19" spans="1:15" x14ac:dyDescent="0.3">
      <c r="A19" t="str">
        <f t="shared" si="0"/>
        <v>SmallSUVPremiumPHEV50</v>
      </c>
      <c r="B19" s="79" t="str">
        <f>'Vehicle Attributes - Base Year'!B16</f>
        <v>SmallSUV</v>
      </c>
      <c r="C19" s="68" t="str">
        <f>'Vehicle Attributes - Base Year'!C16</f>
        <v>Base</v>
      </c>
      <c r="D19" s="68" t="str">
        <f>'Vehicle Attributes - Base Year'!D16</f>
        <v>PHEV50</v>
      </c>
      <c r="E19" s="23">
        <f>'Towing Package - Additional Bat'!E19*'Battery Costs'!R$6</f>
        <v>0</v>
      </c>
      <c r="F19" s="23">
        <f>'Towing Package - Additional Bat'!F19*'Battery Costs'!S$6</f>
        <v>0</v>
      </c>
      <c r="G19" s="23">
        <f>'Towing Package - Additional Bat'!G19*'Battery Costs'!T$6</f>
        <v>0</v>
      </c>
      <c r="H19" s="23">
        <f>'Towing Package - Additional Bat'!H19*'Battery Costs'!U$6</f>
        <v>0</v>
      </c>
      <c r="I19" s="23">
        <f>'Towing Package - Additional Bat'!I19*'Battery Costs'!V$6</f>
        <v>0</v>
      </c>
      <c r="J19" s="23">
        <f>'Towing Package - Additional Bat'!J19*'Battery Costs'!W$6</f>
        <v>0</v>
      </c>
      <c r="K19" s="23">
        <f>'Towing Package - Additional Bat'!K19*'Battery Costs'!X$6</f>
        <v>0</v>
      </c>
      <c r="L19" s="23">
        <f>'Towing Package - Additional Bat'!L19*'Battery Costs'!Y$6</f>
        <v>0</v>
      </c>
      <c r="M19" s="23">
        <f>'Towing Package - Additional Bat'!M19*'Battery Costs'!Z$6</f>
        <v>0</v>
      </c>
      <c r="N19" s="23">
        <f>'Towing Package - Additional Bat'!N19*'Battery Costs'!AA$6</f>
        <v>0</v>
      </c>
      <c r="O19" s="43">
        <f>'Towing Package - Additional Bat'!O19*'Battery Costs'!AB$6</f>
        <v>0</v>
      </c>
    </row>
    <row r="20" spans="1:15" x14ac:dyDescent="0.3">
      <c r="A20" s="16" t="str">
        <f t="shared" si="0"/>
        <v>MedSUVBasePHEV50</v>
      </c>
      <c r="B20" s="79" t="str">
        <f>'Vehicle Attributes - Base Year'!B17</f>
        <v>SmallSUV</v>
      </c>
      <c r="C20" s="68" t="str">
        <f>'Vehicle Attributes - Base Year'!C17</f>
        <v>Premium</v>
      </c>
      <c r="D20" s="68" t="str">
        <f>'Vehicle Attributes - Base Year'!D17</f>
        <v>PHEV50</v>
      </c>
      <c r="E20" s="23">
        <f>'Towing Package - Additional Bat'!E20*'Battery Costs'!R$6</f>
        <v>0</v>
      </c>
      <c r="F20" s="23">
        <f>'Towing Package - Additional Bat'!F20*'Battery Costs'!S$6</f>
        <v>0</v>
      </c>
      <c r="G20" s="23">
        <f>'Towing Package - Additional Bat'!G20*'Battery Costs'!T$6</f>
        <v>0</v>
      </c>
      <c r="H20" s="23">
        <f>'Towing Package - Additional Bat'!H20*'Battery Costs'!U$6</f>
        <v>0</v>
      </c>
      <c r="I20" s="23">
        <f>'Towing Package - Additional Bat'!I20*'Battery Costs'!V$6</f>
        <v>0</v>
      </c>
      <c r="J20" s="23">
        <f>'Towing Package - Additional Bat'!J20*'Battery Costs'!W$6</f>
        <v>0</v>
      </c>
      <c r="K20" s="23">
        <f>'Towing Package - Additional Bat'!K20*'Battery Costs'!X$6</f>
        <v>0</v>
      </c>
      <c r="L20" s="23">
        <f>'Towing Package - Additional Bat'!L20*'Battery Costs'!Y$6</f>
        <v>0</v>
      </c>
      <c r="M20" s="23">
        <f>'Towing Package - Additional Bat'!M20*'Battery Costs'!Z$6</f>
        <v>0</v>
      </c>
      <c r="N20" s="23">
        <f>'Towing Package - Additional Bat'!N20*'Battery Costs'!AA$6</f>
        <v>0</v>
      </c>
      <c r="O20" s="43">
        <f>'Towing Package - Additional Bat'!O20*'Battery Costs'!AB$6</f>
        <v>0</v>
      </c>
    </row>
    <row r="21" spans="1:15" x14ac:dyDescent="0.3">
      <c r="A21" t="str">
        <f t="shared" si="0"/>
        <v>MedSUVPremiumPHEV50</v>
      </c>
      <c r="B21" s="79" t="str">
        <f>'Vehicle Attributes - Base Year'!B18</f>
        <v>MedSUV</v>
      </c>
      <c r="C21" s="68" t="str">
        <f>'Vehicle Attributes - Base Year'!C18</f>
        <v>Base</v>
      </c>
      <c r="D21" s="68" t="str">
        <f>'Vehicle Attributes - Base Year'!D18</f>
        <v>PHEV50</v>
      </c>
      <c r="E21" s="23">
        <f>'Towing Package - Additional Bat'!E21*'Battery Costs'!R$6</f>
        <v>0</v>
      </c>
      <c r="F21" s="23">
        <f>'Towing Package - Additional Bat'!F21*'Battery Costs'!S$6</f>
        <v>0</v>
      </c>
      <c r="G21" s="23">
        <f>'Towing Package - Additional Bat'!G21*'Battery Costs'!T$6</f>
        <v>0</v>
      </c>
      <c r="H21" s="23">
        <f>'Towing Package - Additional Bat'!H21*'Battery Costs'!U$6</f>
        <v>0</v>
      </c>
      <c r="I21" s="23">
        <f>'Towing Package - Additional Bat'!I21*'Battery Costs'!V$6</f>
        <v>0</v>
      </c>
      <c r="J21" s="23">
        <f>'Towing Package - Additional Bat'!J21*'Battery Costs'!W$6</f>
        <v>0</v>
      </c>
      <c r="K21" s="23">
        <f>'Towing Package - Additional Bat'!K21*'Battery Costs'!X$6</f>
        <v>0</v>
      </c>
      <c r="L21" s="23">
        <f>'Towing Package - Additional Bat'!L21*'Battery Costs'!Y$6</f>
        <v>0</v>
      </c>
      <c r="M21" s="23">
        <f>'Towing Package - Additional Bat'!M21*'Battery Costs'!Z$6</f>
        <v>0</v>
      </c>
      <c r="N21" s="23">
        <f>'Towing Package - Additional Bat'!N21*'Battery Costs'!AA$6</f>
        <v>0</v>
      </c>
      <c r="O21" s="43">
        <f>'Towing Package - Additional Bat'!O21*'Battery Costs'!AB$6</f>
        <v>0</v>
      </c>
    </row>
    <row r="22" spans="1:15" x14ac:dyDescent="0.3">
      <c r="A22" s="16" t="str">
        <f t="shared" si="0"/>
        <v>PickupBasePHEV50</v>
      </c>
      <c r="B22" s="79" t="str">
        <f>'Vehicle Attributes - Base Year'!B19</f>
        <v>MedSUV</v>
      </c>
      <c r="C22" s="68" t="str">
        <f>'Vehicle Attributes - Base Year'!C19</f>
        <v>Premium</v>
      </c>
      <c r="D22" s="68" t="str">
        <f>'Vehicle Attributes - Base Year'!D19</f>
        <v>PHEV50</v>
      </c>
      <c r="E22" s="23">
        <f>'Towing Package - Additional Bat'!E22*'Battery Costs'!R$6</f>
        <v>0</v>
      </c>
      <c r="F22" s="23">
        <f>'Towing Package - Additional Bat'!F22*'Battery Costs'!S$6</f>
        <v>0</v>
      </c>
      <c r="G22" s="23">
        <f>'Towing Package - Additional Bat'!G22*'Battery Costs'!T$6</f>
        <v>0</v>
      </c>
      <c r="H22" s="23">
        <f>'Towing Package - Additional Bat'!H22*'Battery Costs'!U$6</f>
        <v>0</v>
      </c>
      <c r="I22" s="23">
        <f>'Towing Package - Additional Bat'!I22*'Battery Costs'!V$6</f>
        <v>0</v>
      </c>
      <c r="J22" s="23">
        <f>'Towing Package - Additional Bat'!J22*'Battery Costs'!W$6</f>
        <v>0</v>
      </c>
      <c r="K22" s="23">
        <f>'Towing Package - Additional Bat'!K22*'Battery Costs'!X$6</f>
        <v>0</v>
      </c>
      <c r="L22" s="23">
        <f>'Towing Package - Additional Bat'!L22*'Battery Costs'!Y$6</f>
        <v>0</v>
      </c>
      <c r="M22" s="23">
        <f>'Towing Package - Additional Bat'!M22*'Battery Costs'!Z$6</f>
        <v>0</v>
      </c>
      <c r="N22" s="23">
        <f>'Towing Package - Additional Bat'!N22*'Battery Costs'!AA$6</f>
        <v>0</v>
      </c>
      <c r="O22" s="43">
        <f>'Towing Package - Additional Bat'!O22*'Battery Costs'!AB$6</f>
        <v>0</v>
      </c>
    </row>
    <row r="23" spans="1:15" x14ac:dyDescent="0.3">
      <c r="A23" t="str">
        <f t="shared" si="0"/>
        <v>PickupHTPHEV50</v>
      </c>
      <c r="B23" s="79" t="str">
        <f>'Vehicle Attributes - Base Year'!B20</f>
        <v>Pickup</v>
      </c>
      <c r="C23" s="68" t="str">
        <f>'Vehicle Attributes - Base Year'!C20</f>
        <v>Base</v>
      </c>
      <c r="D23" s="68" t="str">
        <f>'Vehicle Attributes - Base Year'!D20</f>
        <v>PHEV50</v>
      </c>
      <c r="E23" s="23">
        <f>'Towing Package - Additional Bat'!E23*'Battery Costs'!R$6</f>
        <v>0</v>
      </c>
      <c r="F23" s="23">
        <f>'Towing Package - Additional Bat'!F23*'Battery Costs'!S$6</f>
        <v>0</v>
      </c>
      <c r="G23" s="23">
        <f>'Towing Package - Additional Bat'!G23*'Battery Costs'!T$6</f>
        <v>0</v>
      </c>
      <c r="H23" s="23">
        <f>'Towing Package - Additional Bat'!H23*'Battery Costs'!U$6</f>
        <v>0</v>
      </c>
      <c r="I23" s="23">
        <f>'Towing Package - Additional Bat'!I23*'Battery Costs'!V$6</f>
        <v>0</v>
      </c>
      <c r="J23" s="23">
        <f>'Towing Package - Additional Bat'!J23*'Battery Costs'!W$6</f>
        <v>0</v>
      </c>
      <c r="K23" s="23">
        <f>'Towing Package - Additional Bat'!K23*'Battery Costs'!X$6</f>
        <v>0</v>
      </c>
      <c r="L23" s="23">
        <f>'Towing Package - Additional Bat'!L23*'Battery Costs'!Y$6</f>
        <v>0</v>
      </c>
      <c r="M23" s="23">
        <f>'Towing Package - Additional Bat'!M23*'Battery Costs'!Z$6</f>
        <v>0</v>
      </c>
      <c r="N23" s="23">
        <f>'Towing Package - Additional Bat'!N23*'Battery Costs'!AA$6</f>
        <v>0</v>
      </c>
      <c r="O23" s="43">
        <f>'Towing Package - Additional Bat'!O23*'Battery Costs'!AB$6</f>
        <v>0</v>
      </c>
    </row>
    <row r="24" spans="1:15" x14ac:dyDescent="0.3">
      <c r="A24" s="16" t="str">
        <f t="shared" si="0"/>
        <v>SmallCarBaseFCEV320</v>
      </c>
      <c r="B24" s="79" t="str">
        <f>'Vehicle Attributes - Base Year'!B21</f>
        <v>Pickup</v>
      </c>
      <c r="C24" s="68" t="str">
        <f>'Vehicle Attributes - Base Year'!C21</f>
        <v>HT</v>
      </c>
      <c r="D24" s="68" t="str">
        <f>'Vehicle Attributes - Base Year'!D21</f>
        <v>PHEV50</v>
      </c>
      <c r="E24" s="23">
        <f>'Towing Package - Additional Bat'!E24*'Battery Costs'!R$6</f>
        <v>0</v>
      </c>
      <c r="F24" s="23">
        <f>'Towing Package - Additional Bat'!F24*'Battery Costs'!S$6</f>
        <v>0</v>
      </c>
      <c r="G24" s="23">
        <f>'Towing Package - Additional Bat'!G24*'Battery Costs'!T$6</f>
        <v>0</v>
      </c>
      <c r="H24" s="23">
        <f>'Towing Package - Additional Bat'!H24*'Battery Costs'!U$6</f>
        <v>0</v>
      </c>
      <c r="I24" s="23">
        <f>'Towing Package - Additional Bat'!I24*'Battery Costs'!V$6</f>
        <v>0</v>
      </c>
      <c r="J24" s="23">
        <f>'Towing Package - Additional Bat'!J24*'Battery Costs'!W$6</f>
        <v>0</v>
      </c>
      <c r="K24" s="23">
        <f>'Towing Package - Additional Bat'!K24*'Battery Costs'!X$6</f>
        <v>0</v>
      </c>
      <c r="L24" s="23">
        <f>'Towing Package - Additional Bat'!L24*'Battery Costs'!Y$6</f>
        <v>0</v>
      </c>
      <c r="M24" s="23">
        <f>'Towing Package - Additional Bat'!M24*'Battery Costs'!Z$6</f>
        <v>0</v>
      </c>
      <c r="N24" s="23">
        <f>'Towing Package - Additional Bat'!N24*'Battery Costs'!AA$6</f>
        <v>0</v>
      </c>
      <c r="O24" s="43">
        <f>'Towing Package - Additional Bat'!O24*'Battery Costs'!AB$6</f>
        <v>0</v>
      </c>
    </row>
    <row r="25" spans="1:15" x14ac:dyDescent="0.3">
      <c r="A25" t="str">
        <f t="shared" si="0"/>
        <v>SmallCarPremiumFCEV320</v>
      </c>
      <c r="B25" s="79" t="str">
        <f>'Vehicle Attributes - Base Year'!B22</f>
        <v>SmallCar</v>
      </c>
      <c r="C25" s="68" t="str">
        <f>'Vehicle Attributes - Base Year'!C22</f>
        <v>Base</v>
      </c>
      <c r="D25" s="68" t="str">
        <f>'Vehicle Attributes - Base Year'!D22</f>
        <v>FCEV320</v>
      </c>
      <c r="E25" s="23">
        <f>'Towing Package - Additional Bat'!E25*'Battery Costs'!R$6</f>
        <v>0</v>
      </c>
      <c r="F25" s="23">
        <f>'Towing Package - Additional Bat'!F25*'Battery Costs'!S$6</f>
        <v>0</v>
      </c>
      <c r="G25" s="23">
        <f>'Towing Package - Additional Bat'!G25*'Battery Costs'!T$6</f>
        <v>0</v>
      </c>
      <c r="H25" s="23">
        <f>'Towing Package - Additional Bat'!H25*'Battery Costs'!U$6</f>
        <v>0</v>
      </c>
      <c r="I25" s="23">
        <f>'Towing Package - Additional Bat'!I25*'Battery Costs'!V$6</f>
        <v>0</v>
      </c>
      <c r="J25" s="23">
        <f>'Towing Package - Additional Bat'!J25*'Battery Costs'!W$6</f>
        <v>0</v>
      </c>
      <c r="K25" s="23">
        <f>'Towing Package - Additional Bat'!K25*'Battery Costs'!X$6</f>
        <v>0</v>
      </c>
      <c r="L25" s="23">
        <f>'Towing Package - Additional Bat'!L25*'Battery Costs'!Y$6</f>
        <v>0</v>
      </c>
      <c r="M25" s="23">
        <f>'Towing Package - Additional Bat'!M25*'Battery Costs'!Z$6</f>
        <v>0</v>
      </c>
      <c r="N25" s="23">
        <f>'Towing Package - Additional Bat'!N25*'Battery Costs'!AA$6</f>
        <v>0</v>
      </c>
      <c r="O25" s="43">
        <f>'Towing Package - Additional Bat'!O25*'Battery Costs'!AB$6</f>
        <v>0</v>
      </c>
    </row>
    <row r="26" spans="1:15" x14ac:dyDescent="0.3">
      <c r="A26" s="16" t="str">
        <f t="shared" si="0"/>
        <v>MedCarBaseFCEV320</v>
      </c>
      <c r="B26" s="79" t="str">
        <f>'Vehicle Attributes - Base Year'!B23</f>
        <v>SmallCar</v>
      </c>
      <c r="C26" s="68" t="str">
        <f>'Vehicle Attributes - Base Year'!C23</f>
        <v>Premium</v>
      </c>
      <c r="D26" s="68" t="str">
        <f>'Vehicle Attributes - Base Year'!D23</f>
        <v>FCEV320</v>
      </c>
      <c r="E26" s="23">
        <f>'Towing Package - Additional Bat'!E26*'Battery Costs'!R$6</f>
        <v>0</v>
      </c>
      <c r="F26" s="23">
        <f>'Towing Package - Additional Bat'!F26*'Battery Costs'!S$6</f>
        <v>0</v>
      </c>
      <c r="G26" s="23">
        <f>'Towing Package - Additional Bat'!G26*'Battery Costs'!T$6</f>
        <v>0</v>
      </c>
      <c r="H26" s="23">
        <f>'Towing Package - Additional Bat'!H26*'Battery Costs'!U$6</f>
        <v>0</v>
      </c>
      <c r="I26" s="23">
        <f>'Towing Package - Additional Bat'!I26*'Battery Costs'!V$6</f>
        <v>0</v>
      </c>
      <c r="J26" s="23">
        <f>'Towing Package - Additional Bat'!J26*'Battery Costs'!W$6</f>
        <v>0</v>
      </c>
      <c r="K26" s="23">
        <f>'Towing Package - Additional Bat'!K26*'Battery Costs'!X$6</f>
        <v>0</v>
      </c>
      <c r="L26" s="23">
        <f>'Towing Package - Additional Bat'!L26*'Battery Costs'!Y$6</f>
        <v>0</v>
      </c>
      <c r="M26" s="23">
        <f>'Towing Package - Additional Bat'!M26*'Battery Costs'!Z$6</f>
        <v>0</v>
      </c>
      <c r="N26" s="23">
        <f>'Towing Package - Additional Bat'!N26*'Battery Costs'!AA$6</f>
        <v>0</v>
      </c>
      <c r="O26" s="43">
        <f>'Towing Package - Additional Bat'!O26*'Battery Costs'!AB$6</f>
        <v>0</v>
      </c>
    </row>
    <row r="27" spans="1:15" x14ac:dyDescent="0.3">
      <c r="A27" t="str">
        <f t="shared" si="0"/>
        <v>MedCarPremiumFCEV320</v>
      </c>
      <c r="B27" s="79" t="str">
        <f>'Vehicle Attributes - Base Year'!B24</f>
        <v>MedCar</v>
      </c>
      <c r="C27" s="68" t="str">
        <f>'Vehicle Attributes - Base Year'!C24</f>
        <v>Base</v>
      </c>
      <c r="D27" s="68" t="str">
        <f>'Vehicle Attributes - Base Year'!D24</f>
        <v>FCEV320</v>
      </c>
      <c r="E27" s="23">
        <f>'Towing Package - Additional Bat'!E27*'Battery Costs'!R$6</f>
        <v>0</v>
      </c>
      <c r="F27" s="23">
        <f>'Towing Package - Additional Bat'!F27*'Battery Costs'!S$6</f>
        <v>0</v>
      </c>
      <c r="G27" s="23">
        <f>'Towing Package - Additional Bat'!G27*'Battery Costs'!T$6</f>
        <v>0</v>
      </c>
      <c r="H27" s="23">
        <f>'Towing Package - Additional Bat'!H27*'Battery Costs'!U$6</f>
        <v>0</v>
      </c>
      <c r="I27" s="23">
        <f>'Towing Package - Additional Bat'!I27*'Battery Costs'!V$6</f>
        <v>0</v>
      </c>
      <c r="J27" s="23">
        <f>'Towing Package - Additional Bat'!J27*'Battery Costs'!W$6</f>
        <v>0</v>
      </c>
      <c r="K27" s="23">
        <f>'Towing Package - Additional Bat'!K27*'Battery Costs'!X$6</f>
        <v>0</v>
      </c>
      <c r="L27" s="23">
        <f>'Towing Package - Additional Bat'!L27*'Battery Costs'!Y$6</f>
        <v>0</v>
      </c>
      <c r="M27" s="23">
        <f>'Towing Package - Additional Bat'!M27*'Battery Costs'!Z$6</f>
        <v>0</v>
      </c>
      <c r="N27" s="23">
        <f>'Towing Package - Additional Bat'!N27*'Battery Costs'!AA$6</f>
        <v>0</v>
      </c>
      <c r="O27" s="43">
        <f>'Towing Package - Additional Bat'!O27*'Battery Costs'!AB$6</f>
        <v>0</v>
      </c>
    </row>
    <row r="28" spans="1:15" x14ac:dyDescent="0.3">
      <c r="A28" s="16" t="str">
        <f t="shared" si="0"/>
        <v>SmallSUVBaseFCEV320</v>
      </c>
      <c r="B28" s="79" t="str">
        <f>'Vehicle Attributes - Base Year'!B25</f>
        <v>MedCar</v>
      </c>
      <c r="C28" s="68" t="str">
        <f>'Vehicle Attributes - Base Year'!C25</f>
        <v>Premium</v>
      </c>
      <c r="D28" s="68" t="str">
        <f>'Vehicle Attributes - Base Year'!D25</f>
        <v>FCEV320</v>
      </c>
      <c r="E28" s="23">
        <f>'Towing Package - Additional Bat'!E28*'Battery Costs'!R$6</f>
        <v>0</v>
      </c>
      <c r="F28" s="23">
        <f>'Towing Package - Additional Bat'!F28*'Battery Costs'!S$6</f>
        <v>0</v>
      </c>
      <c r="G28" s="23">
        <f>'Towing Package - Additional Bat'!G28*'Battery Costs'!T$6</f>
        <v>0</v>
      </c>
      <c r="H28" s="23">
        <f>'Towing Package - Additional Bat'!H28*'Battery Costs'!U$6</f>
        <v>0</v>
      </c>
      <c r="I28" s="23">
        <f>'Towing Package - Additional Bat'!I28*'Battery Costs'!V$6</f>
        <v>0</v>
      </c>
      <c r="J28" s="23">
        <f>'Towing Package - Additional Bat'!J28*'Battery Costs'!W$6</f>
        <v>0</v>
      </c>
      <c r="K28" s="23">
        <f>'Towing Package - Additional Bat'!K28*'Battery Costs'!X$6</f>
        <v>0</v>
      </c>
      <c r="L28" s="23">
        <f>'Towing Package - Additional Bat'!L28*'Battery Costs'!Y$6</f>
        <v>0</v>
      </c>
      <c r="M28" s="23">
        <f>'Towing Package - Additional Bat'!M28*'Battery Costs'!Z$6</f>
        <v>0</v>
      </c>
      <c r="N28" s="23">
        <f>'Towing Package - Additional Bat'!N28*'Battery Costs'!AA$6</f>
        <v>0</v>
      </c>
      <c r="O28" s="43">
        <f>'Towing Package - Additional Bat'!O28*'Battery Costs'!AB$6</f>
        <v>0</v>
      </c>
    </row>
    <row r="29" spans="1:15" x14ac:dyDescent="0.3">
      <c r="A29" t="str">
        <f t="shared" si="0"/>
        <v>SmallSUVPremiumFCEV320</v>
      </c>
      <c r="B29" s="79" t="str">
        <f>'Vehicle Attributes - Base Year'!B26</f>
        <v>SmallSUV</v>
      </c>
      <c r="C29" s="68" t="str">
        <f>'Vehicle Attributes - Base Year'!C26</f>
        <v>Base</v>
      </c>
      <c r="D29" s="68" t="str">
        <f>'Vehicle Attributes - Base Year'!D26</f>
        <v>FCEV320</v>
      </c>
      <c r="E29" s="23">
        <f>'Towing Package - Additional Bat'!E29*'Battery Costs'!R$6</f>
        <v>0</v>
      </c>
      <c r="F29" s="23">
        <f>'Towing Package - Additional Bat'!F29*'Battery Costs'!S$6</f>
        <v>0</v>
      </c>
      <c r="G29" s="23">
        <f>'Towing Package - Additional Bat'!G29*'Battery Costs'!T$6</f>
        <v>0</v>
      </c>
      <c r="H29" s="23">
        <f>'Towing Package - Additional Bat'!H29*'Battery Costs'!U$6</f>
        <v>0</v>
      </c>
      <c r="I29" s="23">
        <f>'Towing Package - Additional Bat'!I29*'Battery Costs'!V$6</f>
        <v>0</v>
      </c>
      <c r="J29" s="23">
        <f>'Towing Package - Additional Bat'!J29*'Battery Costs'!W$6</f>
        <v>0</v>
      </c>
      <c r="K29" s="23">
        <f>'Towing Package - Additional Bat'!K29*'Battery Costs'!X$6</f>
        <v>0</v>
      </c>
      <c r="L29" s="23">
        <f>'Towing Package - Additional Bat'!L29*'Battery Costs'!Y$6</f>
        <v>0</v>
      </c>
      <c r="M29" s="23">
        <f>'Towing Package - Additional Bat'!M29*'Battery Costs'!Z$6</f>
        <v>0</v>
      </c>
      <c r="N29" s="23">
        <f>'Towing Package - Additional Bat'!N29*'Battery Costs'!AA$6</f>
        <v>0</v>
      </c>
      <c r="O29" s="43">
        <f>'Towing Package - Additional Bat'!O29*'Battery Costs'!AB$6</f>
        <v>0</v>
      </c>
    </row>
    <row r="30" spans="1:15" x14ac:dyDescent="0.3">
      <c r="A30" s="16" t="str">
        <f t="shared" si="0"/>
        <v>MedSUVBaseFCEV320</v>
      </c>
      <c r="B30" s="79" t="str">
        <f>'Vehicle Attributes - Base Year'!B27</f>
        <v>SmallSUV</v>
      </c>
      <c r="C30" s="68" t="str">
        <f>'Vehicle Attributes - Base Year'!C27</f>
        <v>Premium</v>
      </c>
      <c r="D30" s="68" t="str">
        <f>'Vehicle Attributes - Base Year'!D27</f>
        <v>FCEV320</v>
      </c>
      <c r="E30" s="23">
        <f>'Towing Package - Additional Bat'!E30*'Battery Costs'!R$6</f>
        <v>0</v>
      </c>
      <c r="F30" s="23">
        <f>'Towing Package - Additional Bat'!F30*'Battery Costs'!S$6</f>
        <v>0</v>
      </c>
      <c r="G30" s="23">
        <f>'Towing Package - Additional Bat'!G30*'Battery Costs'!T$6</f>
        <v>0</v>
      </c>
      <c r="H30" s="23">
        <f>'Towing Package - Additional Bat'!H30*'Battery Costs'!U$6</f>
        <v>0</v>
      </c>
      <c r="I30" s="23">
        <f>'Towing Package - Additional Bat'!I30*'Battery Costs'!V$6</f>
        <v>0</v>
      </c>
      <c r="J30" s="23">
        <f>'Towing Package - Additional Bat'!J30*'Battery Costs'!W$6</f>
        <v>0</v>
      </c>
      <c r="K30" s="23">
        <f>'Towing Package - Additional Bat'!K30*'Battery Costs'!X$6</f>
        <v>0</v>
      </c>
      <c r="L30" s="23">
        <f>'Towing Package - Additional Bat'!L30*'Battery Costs'!Y$6</f>
        <v>0</v>
      </c>
      <c r="M30" s="23">
        <f>'Towing Package - Additional Bat'!M30*'Battery Costs'!Z$6</f>
        <v>0</v>
      </c>
      <c r="N30" s="23">
        <f>'Towing Package - Additional Bat'!N30*'Battery Costs'!AA$6</f>
        <v>0</v>
      </c>
      <c r="O30" s="43">
        <f>'Towing Package - Additional Bat'!O30*'Battery Costs'!AB$6</f>
        <v>0</v>
      </c>
    </row>
    <row r="31" spans="1:15" x14ac:dyDescent="0.3">
      <c r="A31" t="str">
        <f t="shared" si="0"/>
        <v>MedSUVPremiumFCEV320</v>
      </c>
      <c r="B31" s="79" t="str">
        <f>'Vehicle Attributes - Base Year'!B28</f>
        <v>MedSUV</v>
      </c>
      <c r="C31" s="68" t="str">
        <f>'Vehicle Attributes - Base Year'!C28</f>
        <v>Base</v>
      </c>
      <c r="D31" s="68" t="str">
        <f>'Vehicle Attributes - Base Year'!D28</f>
        <v>FCEV320</v>
      </c>
      <c r="E31" s="23">
        <f>'Towing Package - Additional Bat'!E31*'Battery Costs'!R$6</f>
        <v>0</v>
      </c>
      <c r="F31" s="23">
        <f>'Towing Package - Additional Bat'!F31*'Battery Costs'!S$6</f>
        <v>0</v>
      </c>
      <c r="G31" s="23">
        <f>'Towing Package - Additional Bat'!G31*'Battery Costs'!T$6</f>
        <v>0</v>
      </c>
      <c r="H31" s="23">
        <f>'Towing Package - Additional Bat'!H31*'Battery Costs'!U$6</f>
        <v>0</v>
      </c>
      <c r="I31" s="23">
        <f>'Towing Package - Additional Bat'!I31*'Battery Costs'!V$6</f>
        <v>0</v>
      </c>
      <c r="J31" s="23">
        <f>'Towing Package - Additional Bat'!J31*'Battery Costs'!W$6</f>
        <v>0</v>
      </c>
      <c r="K31" s="23">
        <f>'Towing Package - Additional Bat'!K31*'Battery Costs'!X$6</f>
        <v>0</v>
      </c>
      <c r="L31" s="23">
        <f>'Towing Package - Additional Bat'!L31*'Battery Costs'!Y$6</f>
        <v>0</v>
      </c>
      <c r="M31" s="23">
        <f>'Towing Package - Additional Bat'!M31*'Battery Costs'!Z$6</f>
        <v>0</v>
      </c>
      <c r="N31" s="23">
        <f>'Towing Package - Additional Bat'!N31*'Battery Costs'!AA$6</f>
        <v>0</v>
      </c>
      <c r="O31" s="43">
        <f>'Towing Package - Additional Bat'!O31*'Battery Costs'!AB$6</f>
        <v>0</v>
      </c>
    </row>
    <row r="32" spans="1:15" x14ac:dyDescent="0.3">
      <c r="A32" s="16" t="str">
        <f t="shared" si="0"/>
        <v>PickupBaseFCEV320</v>
      </c>
      <c r="B32" s="79" t="str">
        <f>'Vehicle Attributes - Base Year'!B29</f>
        <v>MedSUV</v>
      </c>
      <c r="C32" s="68" t="str">
        <f>'Vehicle Attributes - Base Year'!C29</f>
        <v>Premium</v>
      </c>
      <c r="D32" s="68" t="str">
        <f>'Vehicle Attributes - Base Year'!D29</f>
        <v>FCEV320</v>
      </c>
      <c r="E32" s="23">
        <f>'Towing Package - Additional Bat'!E32*'Battery Costs'!R$6</f>
        <v>0</v>
      </c>
      <c r="F32" s="23">
        <f>'Towing Package - Additional Bat'!F32*'Battery Costs'!S$6</f>
        <v>0</v>
      </c>
      <c r="G32" s="23">
        <f>'Towing Package - Additional Bat'!G32*'Battery Costs'!T$6</f>
        <v>0</v>
      </c>
      <c r="H32" s="23">
        <f>'Towing Package - Additional Bat'!H32*'Battery Costs'!U$6</f>
        <v>0</v>
      </c>
      <c r="I32" s="23">
        <f>'Towing Package - Additional Bat'!I32*'Battery Costs'!V$6</f>
        <v>0</v>
      </c>
      <c r="J32" s="23">
        <f>'Towing Package - Additional Bat'!J32*'Battery Costs'!W$6</f>
        <v>0</v>
      </c>
      <c r="K32" s="23">
        <f>'Towing Package - Additional Bat'!K32*'Battery Costs'!X$6</f>
        <v>0</v>
      </c>
      <c r="L32" s="23">
        <f>'Towing Package - Additional Bat'!L32*'Battery Costs'!Y$6</f>
        <v>0</v>
      </c>
      <c r="M32" s="23">
        <f>'Towing Package - Additional Bat'!M32*'Battery Costs'!Z$6</f>
        <v>0</v>
      </c>
      <c r="N32" s="23">
        <f>'Towing Package - Additional Bat'!N32*'Battery Costs'!AA$6</f>
        <v>0</v>
      </c>
      <c r="O32" s="43">
        <f>'Towing Package - Additional Bat'!O32*'Battery Costs'!AB$6</f>
        <v>0</v>
      </c>
    </row>
    <row r="33" spans="1:15" x14ac:dyDescent="0.3">
      <c r="A33" t="str">
        <f t="shared" si="0"/>
        <v>PickupHTFCEV320</v>
      </c>
      <c r="B33" s="79" t="str">
        <f>'Vehicle Attributes - Base Year'!B30</f>
        <v>Pickup</v>
      </c>
      <c r="C33" s="68" t="str">
        <f>'Vehicle Attributes - Base Year'!C30</f>
        <v>Base</v>
      </c>
      <c r="D33" s="68" t="str">
        <f>'Vehicle Attributes - Base Year'!D30</f>
        <v>FCEV320</v>
      </c>
      <c r="E33" s="23">
        <f>'Towing Package - Additional Bat'!E33*'Battery Costs'!R$6</f>
        <v>0</v>
      </c>
      <c r="F33" s="23">
        <f>'Towing Package - Additional Bat'!F33*'Battery Costs'!S$6</f>
        <v>0</v>
      </c>
      <c r="G33" s="23">
        <f>'Towing Package - Additional Bat'!G33*'Battery Costs'!T$6</f>
        <v>0</v>
      </c>
      <c r="H33" s="23">
        <f>'Towing Package - Additional Bat'!H33*'Battery Costs'!U$6</f>
        <v>0</v>
      </c>
      <c r="I33" s="23">
        <f>'Towing Package - Additional Bat'!I33*'Battery Costs'!V$6</f>
        <v>0</v>
      </c>
      <c r="J33" s="23">
        <f>'Towing Package - Additional Bat'!J33*'Battery Costs'!W$6</f>
        <v>0</v>
      </c>
      <c r="K33" s="23">
        <f>'Towing Package - Additional Bat'!K33*'Battery Costs'!X$6</f>
        <v>0</v>
      </c>
      <c r="L33" s="23">
        <f>'Towing Package - Additional Bat'!L33*'Battery Costs'!Y$6</f>
        <v>0</v>
      </c>
      <c r="M33" s="23">
        <f>'Towing Package - Additional Bat'!M33*'Battery Costs'!Z$6</f>
        <v>0</v>
      </c>
      <c r="N33" s="23">
        <f>'Towing Package - Additional Bat'!N33*'Battery Costs'!AA$6</f>
        <v>0</v>
      </c>
      <c r="O33" s="43">
        <f>'Towing Package - Additional Bat'!O33*'Battery Costs'!AB$6</f>
        <v>0</v>
      </c>
    </row>
    <row r="34" spans="1:15" x14ac:dyDescent="0.3">
      <c r="B34" s="79" t="str">
        <f>'Vehicle Attributes - Base Year'!B31</f>
        <v>Pickup</v>
      </c>
      <c r="C34" s="68" t="str">
        <f>'Vehicle Attributes - Base Year'!C31</f>
        <v>HT</v>
      </c>
      <c r="D34" s="68" t="str">
        <f>'Vehicle Attributes - Base Year'!D31</f>
        <v>FCEV320</v>
      </c>
      <c r="E34" s="23">
        <f>'Towing Package - Additional Bat'!E34*'Battery Costs'!R$6</f>
        <v>0</v>
      </c>
      <c r="F34" s="23">
        <f>'Towing Package - Additional Bat'!F34*'Battery Costs'!S$6</f>
        <v>0</v>
      </c>
      <c r="G34" s="23">
        <f>'Towing Package - Additional Bat'!G34*'Battery Costs'!T$6</f>
        <v>0</v>
      </c>
      <c r="H34" s="23">
        <f>'Towing Package - Additional Bat'!H34*'Battery Costs'!U$6</f>
        <v>0</v>
      </c>
      <c r="I34" s="23">
        <f>'Towing Package - Additional Bat'!I34*'Battery Costs'!V$6</f>
        <v>0</v>
      </c>
      <c r="J34" s="23">
        <f>'Towing Package - Additional Bat'!J34*'Battery Costs'!W$6</f>
        <v>0</v>
      </c>
      <c r="K34" s="23">
        <f>'Towing Package - Additional Bat'!K34*'Battery Costs'!X$6</f>
        <v>0</v>
      </c>
      <c r="L34" s="23">
        <f>'Towing Package - Additional Bat'!L34*'Battery Costs'!Y$6</f>
        <v>0</v>
      </c>
      <c r="M34" s="23">
        <f>'Towing Package - Additional Bat'!M34*'Battery Costs'!Z$6</f>
        <v>0</v>
      </c>
      <c r="N34" s="23">
        <f>'Towing Package - Additional Bat'!N34*'Battery Costs'!AA$6</f>
        <v>0</v>
      </c>
      <c r="O34" s="43">
        <f>'Towing Package - Additional Bat'!O34*'Battery Costs'!AB$6</f>
        <v>0</v>
      </c>
    </row>
  </sheetData>
  <mergeCells count="2">
    <mergeCell ref="E2:O2"/>
    <mergeCell ref="B1:O1"/>
  </mergeCells>
  <pageMargins left="0.7" right="0.7" top="0.75" bottom="0.75" header="0.3" footer="0.3"/>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36A393"/>
  </sheetPr>
  <dimension ref="A1:U243"/>
  <sheetViews>
    <sheetView tabSelected="1" topLeftCell="B1" zoomScaleNormal="100" workbookViewId="0">
      <selection activeCell="B2" sqref="B2:D2"/>
    </sheetView>
  </sheetViews>
  <sheetFormatPr defaultRowHeight="14.4" x14ac:dyDescent="0.3"/>
  <cols>
    <col min="1" max="1" width="0" hidden="1" customWidth="1"/>
    <col min="2" max="2" width="14.88671875" customWidth="1"/>
    <col min="3" max="3" width="14.5546875" customWidth="1"/>
    <col min="4" max="4" width="12" customWidth="1"/>
    <col min="5" max="6" width="9.109375" customWidth="1"/>
    <col min="7" max="7" width="9.5546875" customWidth="1"/>
    <col min="8" max="8" width="18.44140625" bestFit="1" customWidth="1"/>
    <col min="9" max="19" width="9.109375" customWidth="1"/>
  </cols>
  <sheetData>
    <row r="1" spans="1:19" x14ac:dyDescent="0.3">
      <c r="B1" s="212" t="s">
        <v>239</v>
      </c>
      <c r="C1" s="213"/>
      <c r="D1" s="213"/>
      <c r="E1" s="213"/>
      <c r="F1" s="213"/>
      <c r="G1" s="213"/>
      <c r="H1" s="213"/>
      <c r="I1" s="213"/>
      <c r="J1" s="213"/>
      <c r="K1" s="213"/>
      <c r="L1" s="213"/>
      <c r="M1" s="213"/>
      <c r="N1" s="213"/>
      <c r="O1" s="213"/>
      <c r="P1" s="213"/>
      <c r="Q1" s="213"/>
      <c r="R1" s="213"/>
      <c r="S1" s="214"/>
    </row>
    <row r="2" spans="1:19" x14ac:dyDescent="0.3">
      <c r="B2" s="131" t="s">
        <v>240</v>
      </c>
      <c r="C2" s="131" t="s">
        <v>240</v>
      </c>
      <c r="D2" s="131" t="s">
        <v>240</v>
      </c>
      <c r="E2" s="200" t="s">
        <v>241</v>
      </c>
      <c r="F2" s="200"/>
      <c r="G2" s="217"/>
      <c r="H2" s="155"/>
      <c r="I2" s="215" t="s">
        <v>155</v>
      </c>
      <c r="J2" s="200"/>
      <c r="K2" s="200"/>
      <c r="L2" s="200"/>
      <c r="M2" s="200"/>
      <c r="N2" s="200"/>
      <c r="O2" s="200"/>
      <c r="P2" s="200"/>
      <c r="Q2" s="200"/>
      <c r="R2" s="200"/>
      <c r="S2" s="216"/>
    </row>
    <row r="3" spans="1:19" x14ac:dyDescent="0.3">
      <c r="B3" s="132" t="s">
        <v>100</v>
      </c>
      <c r="C3" s="132" t="s">
        <v>101</v>
      </c>
      <c r="D3" s="132" t="s">
        <v>67</v>
      </c>
      <c r="E3" s="133" t="s">
        <v>69</v>
      </c>
      <c r="F3" s="134" t="s">
        <v>70</v>
      </c>
      <c r="G3" s="134" t="s">
        <v>71</v>
      </c>
      <c r="H3" s="134" t="s">
        <v>248</v>
      </c>
      <c r="I3" s="135" t="s">
        <v>102</v>
      </c>
      <c r="J3" s="135" t="s">
        <v>103</v>
      </c>
      <c r="K3" s="135" t="s">
        <v>104</v>
      </c>
      <c r="L3" s="135" t="s">
        <v>105</v>
      </c>
      <c r="M3" s="135" t="s">
        <v>106</v>
      </c>
      <c r="N3" s="135" t="s">
        <v>107</v>
      </c>
      <c r="O3" s="135" t="s">
        <v>108</v>
      </c>
      <c r="P3" s="135" t="s">
        <v>109</v>
      </c>
      <c r="Q3" s="135" t="s">
        <v>110</v>
      </c>
      <c r="R3" s="135" t="s">
        <v>111</v>
      </c>
      <c r="S3" s="136" t="s">
        <v>112</v>
      </c>
    </row>
    <row r="4" spans="1:19" x14ac:dyDescent="0.3">
      <c r="A4" s="28" t="str">
        <f>CONCATENATE(B4,C4,D4)</f>
        <v>SmallCarBaseBEV300</v>
      </c>
      <c r="B4" s="90" t="str">
        <f>'Vehicle Attributes - Base Year'!B2</f>
        <v>SmallCar</v>
      </c>
      <c r="C4" s="68" t="str">
        <f>'Vehicle Attributes - Base Year'!C2</f>
        <v>Base</v>
      </c>
      <c r="D4" s="68" t="str">
        <f>'Vehicle Attributes - Base Year'!D2</f>
        <v>BEV300</v>
      </c>
      <c r="E4" s="124" t="s">
        <v>77</v>
      </c>
      <c r="F4" s="124" t="s">
        <v>77</v>
      </c>
      <c r="G4" s="125" t="s">
        <v>77</v>
      </c>
      <c r="H4" s="156" t="s">
        <v>76</v>
      </c>
      <c r="I4" s="157">
        <f>IF(Table44[[#This Row],[Applicable Package?]:[Applicable Package?]]="Y",SUM('Rolled Up Non-Incremental Costs'!E5,'ICE Removal Cost'!E5,'Trans Removal Cost'!E5,'LEV3 Criteria Emissions Cost'!E5,'ZEV Assembly Reductions'!E5,'ACCII Criteria Compliance Cost'!E5,'ACCII GHG Compliance'!E5,'Current GHG Compliance'!E5)+IF(Table44[[#This Row],[Cold]:[Cold]]="Y",'Cold Weather Package'!E5,0)+IF(Table44[[#This Row],[eAWD]:[eAWD]]="Y",'eAWD Package'!E5,0)+IF(Table44[[#This Row],[Towing]:[Towing]]="Y",'Towing Bat Cost'!E5,0),"N/A")</f>
        <v>3834.5668421052633</v>
      </c>
      <c r="J4" s="157">
        <f>IF(Table44[[#This Row],[Applicable Package?]:[Applicable Package?]]="Y",SUM('Rolled Up Non-Incremental Costs'!F5,'ICE Removal Cost'!F5,'Trans Removal Cost'!F5,'LEV3 Criteria Emissions Cost'!F5,'ZEV Assembly Reductions'!F5,'ACCII Criteria Compliance Cost'!F5,'ACCII GHG Compliance'!F5,'Current GHG Compliance'!F5)+IF(Table44[[#This Row],[Cold]:[Cold]]="Y",'Cold Weather Package'!F5,0)+IF(Table44[[#This Row],[eAWD]:[eAWD]]="Y",'eAWD Package'!F5,0)+IF(Table44[[#This Row],[Towing]:[Towing]]="Y",'Towing Bat Cost'!F5,0),"N/A")</f>
        <v>3238.5889368421049</v>
      </c>
      <c r="K4" s="157">
        <f>IF(Table44[[#This Row],[Applicable Package?]:[Applicable Package?]]="Y",SUM('Rolled Up Non-Incremental Costs'!G5,'ICE Removal Cost'!G5,'Trans Removal Cost'!G5,'LEV3 Criteria Emissions Cost'!G5,'ZEV Assembly Reductions'!G5,'ACCII Criteria Compliance Cost'!G5,'ACCII GHG Compliance'!G5,'Current GHG Compliance'!G5)+IF(Table44[[#This Row],[Cold]:[Cold]]="Y",'Cold Weather Package'!G5,0)+IF(Table44[[#This Row],[eAWD]:[eAWD]]="Y",'eAWD Package'!G5,0)+IF(Table44[[#This Row],[Towing]:[Towing]]="Y",'Towing Bat Cost'!G5,0),"N/A")</f>
        <v>2684.5000226118427</v>
      </c>
      <c r="L4" s="157">
        <f>IF(Table44[[#This Row],[Applicable Package?]:[Applicable Package?]]="Y",SUM('Rolled Up Non-Incremental Costs'!H5,'ICE Removal Cost'!H5,'Trans Removal Cost'!H5,'LEV3 Criteria Emissions Cost'!H5,'ZEV Assembly Reductions'!H5,'ACCII Criteria Compliance Cost'!H5,'ACCII GHG Compliance'!H5,'Current GHG Compliance'!H5)+IF(Table44[[#This Row],[Cold]:[Cold]]="Y",'Cold Weather Package'!H5,0)+IF(Table44[[#This Row],[eAWD]:[eAWD]]="Y",'eAWD Package'!H5,0)+IF(Table44[[#This Row],[Towing]:[Towing]]="Y",'Towing Bat Cost'!H5,0),"N/A")</f>
        <v>2169.1990938298186</v>
      </c>
      <c r="M4" s="157">
        <f>IF(Table44[[#This Row],[Applicable Package?]:[Applicable Package?]]="Y",SUM('Rolled Up Non-Incremental Costs'!I5,'ICE Removal Cost'!I5,'Trans Removal Cost'!I5,'LEV3 Criteria Emissions Cost'!I5,'ZEV Assembly Reductions'!I5,'ACCII Criteria Compliance Cost'!I5,'ACCII GHG Compliance'!I5,'Current GHG Compliance'!I5)+IF(Table44[[#This Row],[Cold]:[Cold]]="Y",'Cold Weather Package'!I5,0)+IF(Table44[[#This Row],[eAWD]:[eAWD]]="Y",'eAWD Package'!I5,0)+IF(Table44[[#This Row],[Towing]:[Towing]]="Y",'Towing Bat Cost'!I5,0),"N/A")</f>
        <v>1689.8163749023133</v>
      </c>
      <c r="N4" s="157">
        <f>IF(Table44[[#This Row],[Applicable Package?]:[Applicable Package?]]="Y",SUM('Rolled Up Non-Incremental Costs'!J5,'ICE Removal Cost'!J5,'Trans Removal Cost'!J5,'LEV3 Criteria Emissions Cost'!J5,'ZEV Assembly Reductions'!J5,'ACCII Criteria Compliance Cost'!J5,'ACCII GHG Compliance'!J5,'Current GHG Compliance'!J5)+IF(Table44[[#This Row],[Cold]:[Cold]]="Y",'Cold Weather Package'!J5,0)+IF(Table44[[#This Row],[eAWD]:[eAWD]]="Y",'eAWD Package'!J5,0)+IF(Table44[[#This Row],[Towing]:[Towing]]="Y",'Towing Bat Cost'!J5,0),"N/A")</f>
        <v>1328.1259208520369</v>
      </c>
      <c r="O4" s="157">
        <f>IF(Table44[[#This Row],[Applicable Package?]:[Applicable Package?]]="Y",SUM('Rolled Up Non-Incremental Costs'!K5,'ICE Removal Cost'!K5,'Trans Removal Cost'!K5,'LEV3 Criteria Emissions Cost'!K5,'ZEV Assembly Reductions'!K5,'ACCII Criteria Compliance Cost'!K5,'ACCII GHG Compliance'!K5,'Current GHG Compliance'!K5)+IF(Table44[[#This Row],[Cold]:[Cold]]="Y",'Cold Weather Package'!K5,0)+IF(Table44[[#This Row],[eAWD]:[eAWD]]="Y",'eAWD Package'!K5,0)+IF(Table44[[#This Row],[Towing]:[Towing]]="Y",'Towing Bat Cost'!K5,0),"N/A")</f>
        <v>1008.7030674695434</v>
      </c>
      <c r="P4" s="157">
        <f>IF(Table44[[#This Row],[Applicable Package?]:[Applicable Package?]]="Y",SUM('Rolled Up Non-Incremental Costs'!L5,'ICE Removal Cost'!L5,'Trans Removal Cost'!L5,'LEV3 Criteria Emissions Cost'!L5,'ZEV Assembly Reductions'!L5,'ACCII Criteria Compliance Cost'!L5,'ACCII GHG Compliance'!L5,'Current GHG Compliance'!L5)+IF(Table44[[#This Row],[Cold]:[Cold]]="Y",'Cold Weather Package'!L5,0)+IF(Table44[[#This Row],[eAWD]:[eAWD]]="Y",'eAWD Package'!L5,0)+IF(Table44[[#This Row],[Towing]:[Towing]]="Y",'Towing Bat Cost'!L5,0),"N/A")</f>
        <v>705.05662740189837</v>
      </c>
      <c r="Q4" s="157">
        <f>IF(Table44[[#This Row],[Applicable Package?]:[Applicable Package?]]="Y",SUM('Rolled Up Non-Incremental Costs'!M5,'ICE Removal Cost'!M5,'Trans Removal Cost'!M5,'LEV3 Criteria Emissions Cost'!M5,'ZEV Assembly Reductions'!M5,'ACCII Criteria Compliance Cost'!M5,'ACCII GHG Compliance'!M5,'Current GHG Compliance'!M5)+IF(Table44[[#This Row],[Cold]:[Cold]]="Y",'Cold Weather Package'!M5,0)+IF(Table44[[#This Row],[eAWD]:[eAWD]]="Y",'eAWD Package'!M5,0)+IF(Table44[[#This Row],[Towing]:[Towing]]="Y",'Towing Bat Cost'!M5,0),"N/A")</f>
        <v>416.33996189919526</v>
      </c>
      <c r="R4" s="157">
        <f>IF(Table44[[#This Row],[Applicable Package?]:[Applicable Package?]]="Y",SUM('Rolled Up Non-Incremental Costs'!N5,'ICE Removal Cost'!N5,'Trans Removal Cost'!N5,'LEV3 Criteria Emissions Cost'!N5,'ZEV Assembly Reductions'!N5,'ACCII Criteria Compliance Cost'!N5,'ACCII GHG Compliance'!N5,'Current GHG Compliance'!N5)+IF(Table44[[#This Row],[Cold]:[Cold]]="Y",'Cold Weather Package'!N5,0)+IF(Table44[[#This Row],[eAWD]:[eAWD]]="Y",'eAWD Package'!N5,0)+IF(Table44[[#This Row],[Towing]:[Towing]]="Y",'Towing Bat Cost'!N5,0),"N/A")</f>
        <v>141.75261448428864</v>
      </c>
      <c r="S4" s="157">
        <f>IF(Table44[[#This Row],[Applicable Package?]:[Applicable Package?]]="Y",SUM('Rolled Up Non-Incremental Costs'!O5,'ICE Removal Cost'!O5,'Trans Removal Cost'!O5,'LEV3 Criteria Emissions Cost'!O5,'ZEV Assembly Reductions'!O5,'ACCII Criteria Compliance Cost'!O5,'ACCII GHG Compliance'!O5,'Current GHG Compliance'!O5)+IF(Table44[[#This Row],[Cold]:[Cold]]="Y",'Cold Weather Package'!O5,0)+IF(Table44[[#This Row],[eAWD]:[eAWD]]="Y",'eAWD Package'!O5,0)+IF(Table44[[#This Row],[Towing]:[Towing]]="Y",'Towing Bat Cost'!O5,0),"N/A")</f>
        <v>-119.46221581464215</v>
      </c>
    </row>
    <row r="5" spans="1:19" x14ac:dyDescent="0.3">
      <c r="A5" t="str">
        <f t="shared" ref="A5:A33" si="0">CONCATENATE(B5,C5,D5)</f>
        <v>SmallCarPremiumBEV400</v>
      </c>
      <c r="B5" s="90" t="str">
        <f>'Vehicle Attributes - Base Year'!B3</f>
        <v>SmallCar</v>
      </c>
      <c r="C5" s="68" t="str">
        <f>'Vehicle Attributes - Base Year'!C3</f>
        <v>Premium</v>
      </c>
      <c r="D5" s="68" t="str">
        <f>'Vehicle Attributes - Base Year'!D3</f>
        <v>BEV400</v>
      </c>
      <c r="E5" s="124" t="s">
        <v>77</v>
      </c>
      <c r="F5" s="124" t="s">
        <v>77</v>
      </c>
      <c r="G5" s="125" t="s">
        <v>77</v>
      </c>
      <c r="H5" s="156" t="s">
        <v>76</v>
      </c>
      <c r="I5" s="157">
        <f>IF(Table44[[#This Row],[Applicable Package?]:[Applicable Package?]]="Y",SUM('Rolled Up Non-Incremental Costs'!E6,'ICE Removal Cost'!E6,'Trans Removal Cost'!E6,'LEV3 Criteria Emissions Cost'!E6,'ZEV Assembly Reductions'!E6,'ACCII Criteria Compliance Cost'!E6,'ACCII GHG Compliance'!E6,'Current GHG Compliance'!E6)+IF(Table44[[#This Row],[Cold]:[Cold]]="Y",'Cold Weather Package'!E6,0)+IF(Table44[[#This Row],[eAWD]:[eAWD]]="Y",'eAWD Package'!E6,0)+IF(Table44[[#This Row],[Towing]:[Towing]]="Y",'Towing Bat Cost'!E6,0),"N/A")</f>
        <v>6896.4052631578961</v>
      </c>
      <c r="J5" s="157">
        <f>IF(Table44[[#This Row],[Applicable Package?]:[Applicable Package?]]="Y",SUM('Rolled Up Non-Incremental Costs'!F6,'ICE Removal Cost'!F6,'Trans Removal Cost'!F6,'LEV3 Criteria Emissions Cost'!F6,'ZEV Assembly Reductions'!F6,'ACCII Criteria Compliance Cost'!F6,'ACCII GHG Compliance'!F6,'Current GHG Compliance'!F6)+IF(Table44[[#This Row],[Cold]:[Cold]]="Y",'Cold Weather Package'!F6,0)+IF(Table44[[#This Row],[eAWD]:[eAWD]]="Y",'eAWD Package'!F6,0)+IF(Table44[[#This Row],[Towing]:[Towing]]="Y",'Towing Bat Cost'!F6,0),"N/A")</f>
        <v>6095.4241052631587</v>
      </c>
      <c r="K5" s="157">
        <f>IF(Table44[[#This Row],[Applicable Package?]:[Applicable Package?]]="Y",SUM('Rolled Up Non-Incremental Costs'!G6,'ICE Removal Cost'!G6,'Trans Removal Cost'!G6,'LEV3 Criteria Emissions Cost'!G6,'ZEV Assembly Reductions'!G6,'ACCII Criteria Compliance Cost'!G6,'ACCII GHG Compliance'!G6,'Current GHG Compliance'!G6)+IF(Table44[[#This Row],[Cold]:[Cold]]="Y",'Cold Weather Package'!G6,0)+IF(Table44[[#This Row],[eAWD]:[eAWD]]="Y",'eAWD Package'!G6,0)+IF(Table44[[#This Row],[Towing]:[Towing]]="Y",'Towing Bat Cost'!G6,0),"N/A")</f>
        <v>5351.3998013552664</v>
      </c>
      <c r="L5" s="157">
        <f>IF(Table44[[#This Row],[Applicable Package?]:[Applicable Package?]]="Y",SUM('Rolled Up Non-Incremental Costs'!H6,'ICE Removal Cost'!H6,'Trans Removal Cost'!H6,'LEV3 Criteria Emissions Cost'!H6,'ZEV Assembly Reductions'!H6,'ACCII Criteria Compliance Cost'!H6,'ACCII GHG Compliance'!H6,'Current GHG Compliance'!H6)+IF(Table44[[#This Row],[Cold]:[Cold]]="Y",'Cold Weather Package'!H6,0)+IF(Table44[[#This Row],[eAWD]:[eAWD]]="Y",'eAWD Package'!H6,0)+IF(Table44[[#This Row],[Towing]:[Towing]]="Y",'Towing Bat Cost'!H6,0),"N/A")</f>
        <v>4660.1088861785938</v>
      </c>
      <c r="M5" s="157">
        <f>IF(Table44[[#This Row],[Applicable Package?]:[Applicable Package?]]="Y",SUM('Rolled Up Non-Incremental Costs'!I6,'ICE Removal Cost'!I6,'Trans Removal Cost'!I6,'LEV3 Criteria Emissions Cost'!I6,'ZEV Assembly Reductions'!I6,'ACCII Criteria Compliance Cost'!I6,'ACCII GHG Compliance'!I6,'Current GHG Compliance'!I6)+IF(Table44[[#This Row],[Cold]:[Cold]]="Y",'Cold Weather Package'!I6,0)+IF(Table44[[#This Row],[eAWD]:[eAWD]]="Y",'eAWD Package'!I6,0)+IF(Table44[[#This Row],[Towing]:[Towing]]="Y",'Towing Bat Cost'!I6,0),"N/A")</f>
        <v>4017.6428925199143</v>
      </c>
      <c r="N5" s="157">
        <f>IF(Table44[[#This Row],[Applicable Package?]:[Applicable Package?]]="Y",SUM('Rolled Up Non-Incremental Costs'!J6,'ICE Removal Cost'!J6,'Trans Removal Cost'!J6,'LEV3 Criteria Emissions Cost'!J6,'ZEV Assembly Reductions'!J6,'ACCII Criteria Compliance Cost'!J6,'ACCII GHG Compliance'!J6,'Current GHG Compliance'!J6)+IF(Table44[[#This Row],[Cold]:[Cold]]="Y",'Cold Weather Package'!J6,0)+IF(Table44[[#This Row],[eAWD]:[eAWD]]="Y",'eAWD Package'!J6,0)+IF(Table44[[#This Row],[Towing]:[Towing]]="Y",'Towing Bat Cost'!J6,0),"N/A")</f>
        <v>3535.405227532141</v>
      </c>
      <c r="O5" s="157">
        <f>IF(Table44[[#This Row],[Applicable Package?]:[Applicable Package?]]="Y",SUM('Rolled Up Non-Incremental Costs'!K6,'ICE Removal Cost'!K6,'Trans Removal Cost'!K6,'LEV3 Criteria Emissions Cost'!K6,'ZEV Assembly Reductions'!K6,'ACCII Criteria Compliance Cost'!K6,'ACCII GHG Compliance'!K6,'Current GHG Compliance'!K6)+IF(Table44[[#This Row],[Cold]:[Cold]]="Y",'Cold Weather Package'!K6,0)+IF(Table44[[#This Row],[eAWD]:[eAWD]]="Y",'eAWD Package'!K6,0)+IF(Table44[[#This Row],[Towing]:[Towing]]="Y",'Towing Bat Cost'!K6,0),"N/A")</f>
        <v>3110.6445107299587</v>
      </c>
      <c r="P5" s="157">
        <f>IF(Table44[[#This Row],[Applicable Package?]:[Applicable Package?]]="Y",SUM('Rolled Up Non-Incremental Costs'!L6,'ICE Removal Cost'!L6,'Trans Removal Cost'!L6,'LEV3 Criteria Emissions Cost'!L6,'ZEV Assembly Reductions'!L6,'ACCII Criteria Compliance Cost'!L6,'ACCII GHG Compliance'!L6,'Current GHG Compliance'!L6)+IF(Table44[[#This Row],[Cold]:[Cold]]="Y",'Cold Weather Package'!L6,0)+IF(Table44[[#This Row],[eAWD]:[eAWD]]="Y",'eAWD Package'!L6,0)+IF(Table44[[#This Row],[Towing]:[Towing]]="Y",'Towing Bat Cost'!L6,0),"N/A")</f>
        <v>2707.2723484786402</v>
      </c>
      <c r="Q5" s="157">
        <f>IF(Table44[[#This Row],[Applicable Package?]:[Applicable Package?]]="Y",SUM('Rolled Up Non-Incremental Costs'!M6,'ICE Removal Cost'!M6,'Trans Removal Cost'!M6,'LEV3 Criteria Emissions Cost'!M6,'ZEV Assembly Reductions'!M6,'ACCII Criteria Compliance Cost'!M6,'ACCII GHG Compliance'!M6,'Current GHG Compliance'!M6)+IF(Table44[[#This Row],[Cold]:[Cold]]="Y",'Cold Weather Package'!M6,0)+IF(Table44[[#This Row],[eAWD]:[eAWD]]="Y",'eAWD Package'!M6,0)+IF(Table44[[#This Row],[Towing]:[Towing]]="Y",'Towing Bat Cost'!M6,0),"N/A")</f>
        <v>2324.1363883634713</v>
      </c>
      <c r="R5" s="157">
        <f>IF(Table44[[#This Row],[Applicable Package?]:[Applicable Package?]]="Y",SUM('Rolled Up Non-Incremental Costs'!N6,'ICE Removal Cost'!N6,'Trans Removal Cost'!N6,'LEV3 Criteria Emissions Cost'!N6,'ZEV Assembly Reductions'!N6,'ACCII Criteria Compliance Cost'!N6,'ACCII GHG Compliance'!N6,'Current GHG Compliance'!N6)+IF(Table44[[#This Row],[Cold]:[Cold]]="Y",'Cold Weather Package'!N6,0)+IF(Table44[[#This Row],[eAWD]:[eAWD]]="Y",'eAWD Package'!N6,0)+IF(Table44[[#This Row],[Towing]:[Towing]]="Y",'Towing Bat Cost'!N6,0),"N/A")</f>
        <v>1960.1471825549688</v>
      </c>
      <c r="S5" s="157">
        <f>IF(Table44[[#This Row],[Applicable Package?]:[Applicable Package?]]="Y",SUM('Rolled Up Non-Incremental Costs'!O6,'ICE Removal Cost'!O6,'Trans Removal Cost'!O6,'LEV3 Criteria Emissions Cost'!O6,'ZEV Assembly Reductions'!O6,'ACCII Criteria Compliance Cost'!O6,'ACCII GHG Compliance'!O6,'Current GHG Compliance'!O6)+IF(Table44[[#This Row],[Cold]:[Cold]]="Y",'Cold Weather Package'!O6,0)+IF(Table44[[#This Row],[eAWD]:[eAWD]]="Y",'eAWD Package'!O6,0)+IF(Table44[[#This Row],[Towing]:[Towing]]="Y",'Towing Bat Cost'!O6,0),"N/A")</f>
        <v>1614.2747456499364</v>
      </c>
    </row>
    <row r="6" spans="1:19" x14ac:dyDescent="0.3">
      <c r="A6" s="28" t="str">
        <f t="shared" si="0"/>
        <v>MedCarBaseBEV300</v>
      </c>
      <c r="B6" s="90" t="str">
        <f>'Vehicle Attributes - Base Year'!B4</f>
        <v>MedCar</v>
      </c>
      <c r="C6" s="68" t="str">
        <f>'Vehicle Attributes - Base Year'!C4</f>
        <v>Base</v>
      </c>
      <c r="D6" s="68" t="str">
        <f>'Vehicle Attributes - Base Year'!D4</f>
        <v>BEV300</v>
      </c>
      <c r="E6" s="124" t="s">
        <v>77</v>
      </c>
      <c r="F6" s="124" t="s">
        <v>77</v>
      </c>
      <c r="G6" s="125" t="s">
        <v>77</v>
      </c>
      <c r="H6" s="156" t="s">
        <v>76</v>
      </c>
      <c r="I6" s="157">
        <f>IF(Table44[[#This Row],[Applicable Package?]:[Applicable Package?]]="Y",SUM('Rolled Up Non-Incremental Costs'!E7,'ICE Removal Cost'!E7,'Trans Removal Cost'!E7,'LEV3 Criteria Emissions Cost'!E7,'ZEV Assembly Reductions'!E7,'ACCII Criteria Compliance Cost'!E7,'ACCII GHG Compliance'!E7,'Current GHG Compliance'!E7)+IF(Table44[[#This Row],[Cold]:[Cold]]="Y",'Cold Weather Package'!E7,0)+IF(Table44[[#This Row],[eAWD]:[eAWD]]="Y",'eAWD Package'!E7,0)+IF(Table44[[#This Row],[Towing]:[Towing]]="Y",'Towing Bat Cost'!E7,0),"N/A")</f>
        <v>4460.8610526315806</v>
      </c>
      <c r="J6" s="157">
        <f>IF(Table44[[#This Row],[Applicable Package?]:[Applicable Package?]]="Y",SUM('Rolled Up Non-Incremental Costs'!F7,'ICE Removal Cost'!F7,'Trans Removal Cost'!F7,'LEV3 Criteria Emissions Cost'!F7,'ZEV Assembly Reductions'!F7,'ACCII Criteria Compliance Cost'!F7,'ACCII GHG Compliance'!F7,'Current GHG Compliance'!F7)+IF(Table44[[#This Row],[Cold]:[Cold]]="Y",'Cold Weather Package'!F7,0)+IF(Table44[[#This Row],[eAWD]:[eAWD]]="Y",'eAWD Package'!F7,0)+IF(Table44[[#This Row],[Towing]:[Towing]]="Y",'Towing Bat Cost'!F7,0),"N/A")</f>
        <v>3837.6940210526336</v>
      </c>
      <c r="K6" s="157">
        <f>IF(Table44[[#This Row],[Applicable Package?]:[Applicable Package?]]="Y",SUM('Rolled Up Non-Incremental Costs'!G7,'ICE Removal Cost'!G7,'Trans Removal Cost'!G7,'LEV3 Criteria Emissions Cost'!G7,'ZEV Assembly Reductions'!G7,'ACCII Criteria Compliance Cost'!G7,'ACCII GHG Compliance'!G7,'Current GHG Compliance'!G7)+IF(Table44[[#This Row],[Cold]:[Cold]]="Y",'Cold Weather Package'!G7,0)+IF(Table44[[#This Row],[eAWD]:[eAWD]]="Y",'eAWD Package'!G7,0)+IF(Table44[[#This Row],[Towing]:[Towing]]="Y",'Towing Bat Cost'!G7,0),"N/A")</f>
        <v>3258.2500114210543</v>
      </c>
      <c r="L6" s="157">
        <f>IF(Table44[[#This Row],[Applicable Package?]:[Applicable Package?]]="Y",SUM('Rolled Up Non-Incremental Costs'!H7,'ICE Removal Cost'!H7,'Trans Removal Cost'!H7,'LEV3 Criteria Emissions Cost'!H7,'ZEV Assembly Reductions'!H7,'ACCII Criteria Compliance Cost'!H7,'ACCII GHG Compliance'!H7,'Current GHG Compliance'!H7)+IF(Table44[[#This Row],[Cold]:[Cold]]="Y",'Cold Weather Package'!H7,0)+IF(Table44[[#This Row],[eAWD]:[eAWD]]="Y",'eAWD Package'!H7,0)+IF(Table44[[#This Row],[Towing]:[Towing]]="Y",'Towing Bat Cost'!H7,0),"N/A")</f>
        <v>2719.2930641180719</v>
      </c>
      <c r="M6" s="157">
        <f>IF(Table44[[#This Row],[Applicable Package?]:[Applicable Package?]]="Y",SUM('Rolled Up Non-Incremental Costs'!I7,'ICE Removal Cost'!I7,'Trans Removal Cost'!I7,'LEV3 Criteria Emissions Cost'!I7,'ZEV Assembly Reductions'!I7,'ACCII Criteria Compliance Cost'!I7,'ACCII GHG Compliance'!I7,'Current GHG Compliance'!I7)+IF(Table44[[#This Row],[Cold]:[Cold]]="Y",'Cold Weather Package'!I7,0)+IF(Table44[[#This Row],[eAWD]:[eAWD]]="Y",'eAWD Package'!I7,0)+IF(Table44[[#This Row],[Towing]:[Towing]]="Y",'Towing Bat Cost'!I7,0),"N/A")</f>
        <v>2217.8285042707612</v>
      </c>
      <c r="N6" s="157">
        <f>IF(Table44[[#This Row],[Applicable Package?]:[Applicable Package?]]="Y",SUM('Rolled Up Non-Incremental Costs'!J7,'ICE Removal Cost'!J7,'Trans Removal Cost'!J7,'LEV3 Criteria Emissions Cost'!J7,'ZEV Assembly Reductions'!J7,'ACCII Criteria Compliance Cost'!J7,'ACCII GHG Compliance'!J7,'Current GHG Compliance'!J7)+IF(Table44[[#This Row],[Cold]:[Cold]]="Y",'Cold Weather Package'!J7,0)+IF(Table44[[#This Row],[eAWD]:[eAWD]]="Y",'eAWD Package'!J7,0)+IF(Table44[[#This Row],[Towing]:[Towing]]="Y",'Towing Bat Cost'!J7,0),"N/A")</f>
        <v>1839.1856554354436</v>
      </c>
      <c r="O6" s="157">
        <f>IF(Table44[[#This Row],[Applicable Package?]:[Applicable Package?]]="Y",SUM('Rolled Up Non-Incremental Costs'!K7,'ICE Removal Cost'!K7,'Trans Removal Cost'!K7,'LEV3 Criteria Emissions Cost'!K7,'ZEV Assembly Reductions'!K7,'ACCII Criteria Compliance Cost'!K7,'ACCII GHG Compliance'!K7,'Current GHG Compliance'!K7)+IF(Table44[[#This Row],[Cold]:[Cold]]="Y",'Cold Weather Package'!K7,0)+IF(Table44[[#This Row],[eAWD]:[eAWD]]="Y",'eAWD Package'!K7,0)+IF(Table44[[#This Row],[Towing]:[Towing]]="Y",'Towing Bat Cost'!K7,0),"N/A")</f>
        <v>1504.6603962647696</v>
      </c>
      <c r="P6" s="157">
        <f>IF(Table44[[#This Row],[Applicable Package?]:[Applicable Package?]]="Y",SUM('Rolled Up Non-Incremental Costs'!L7,'ICE Removal Cost'!L7,'Trans Removal Cost'!L7,'LEV3 Criteria Emissions Cost'!L7,'ZEV Assembly Reductions'!L7,'ACCII Criteria Compliance Cost'!L7,'ACCII GHG Compliance'!L7,'Current GHG Compliance'!L7)+IF(Table44[[#This Row],[Cold]:[Cold]]="Y",'Cold Weather Package'!L7,0)+IF(Table44[[#This Row],[eAWD]:[eAWD]]="Y",'eAWD Package'!L7,0)+IF(Table44[[#This Row],[Towing]:[Towing]]="Y",'Towing Bat Cost'!L7,0),"N/A")</f>
        <v>1186.6096259790447</v>
      </c>
      <c r="Q6" s="157">
        <f>IF(Table44[[#This Row],[Applicable Package?]:[Applicable Package?]]="Y",SUM('Rolled Up Non-Incremental Costs'!M7,'ICE Removal Cost'!M7,'Trans Removal Cost'!M7,'LEV3 Criteria Emissions Cost'!M7,'ZEV Assembly Reductions'!M7,'ACCII Criteria Compliance Cost'!M7,'ACCII GHG Compliance'!M7,'Current GHG Compliance'!M7)+IF(Table44[[#This Row],[Cold]:[Cold]]="Y",'Cold Weather Package'!M7,0)+IF(Table44[[#This Row],[eAWD]:[eAWD]]="Y",'eAWD Package'!M7,0)+IF(Table44[[#This Row],[Towing]:[Towing]]="Y",'Towing Bat Cost'!M7,0),"N/A")</f>
        <v>884.14977400236603</v>
      </c>
      <c r="R6" s="157">
        <f>IF(Table44[[#This Row],[Applicable Package?]:[Applicable Package?]]="Y",SUM('Rolled Up Non-Incremental Costs'!N7,'ICE Removal Cost'!N7,'Trans Removal Cost'!N7,'LEV3 Criteria Emissions Cost'!N7,'ZEV Assembly Reductions'!N7,'ACCII Criteria Compliance Cost'!N7,'ACCII GHG Compliance'!N7,'Current GHG Compliance'!N7)+IF(Table44[[#This Row],[Cold]:[Cold]]="Y",'Cold Weather Package'!N7,0)+IF(Table44[[#This Row],[eAWD]:[eAWD]]="Y",'eAWD Package'!N7,0)+IF(Table44[[#This Row],[Towing]:[Towing]]="Y",'Towing Bat Cost'!N7,0),"N/A")</f>
        <v>596.4454611709516</v>
      </c>
      <c r="S6" s="157">
        <f>IF(Table44[[#This Row],[Applicable Package?]:[Applicable Package?]]="Y",SUM('Rolled Up Non-Incremental Costs'!O7,'ICE Removal Cost'!O7,'Trans Removal Cost'!O7,'LEV3 Criteria Emissions Cost'!O7,'ZEV Assembly Reductions'!O7,'ACCII Criteria Compliance Cost'!O7,'ACCII GHG Compliance'!O7,'Current GHG Compliance'!O7)+IF(Table44[[#This Row],[Cold]:[Cold]]="Y",'Cold Weather Package'!O7,0)+IF(Table44[[#This Row],[eAWD]:[eAWD]]="Y",'eAWD Package'!O7,0)+IF(Table44[[#This Row],[Towing]:[Towing]]="Y",'Towing Bat Cost'!O7,0),"N/A")</f>
        <v>322.70686309410758</v>
      </c>
    </row>
    <row r="7" spans="1:19" x14ac:dyDescent="0.3">
      <c r="A7" t="str">
        <f t="shared" si="0"/>
        <v>MedCarPremiumBEV400</v>
      </c>
      <c r="B7" s="90" t="str">
        <f>'Vehicle Attributes - Base Year'!B5</f>
        <v>MedCar</v>
      </c>
      <c r="C7" s="68" t="str">
        <f>'Vehicle Attributes - Base Year'!C5</f>
        <v>Premium</v>
      </c>
      <c r="D7" s="68" t="str">
        <f>'Vehicle Attributes - Base Year'!D5</f>
        <v>BEV400</v>
      </c>
      <c r="E7" s="124" t="s">
        <v>77</v>
      </c>
      <c r="F7" s="124" t="s">
        <v>77</v>
      </c>
      <c r="G7" s="125" t="s">
        <v>77</v>
      </c>
      <c r="H7" s="156" t="s">
        <v>76</v>
      </c>
      <c r="I7" s="157">
        <f>IF(Table44[[#This Row],[Applicable Package?]:[Applicable Package?]]="Y",SUM('Rolled Up Non-Incremental Costs'!E8,'ICE Removal Cost'!E8,'Trans Removal Cost'!E8,'LEV3 Criteria Emissions Cost'!E8,'ZEV Assembly Reductions'!E8,'ACCII Criteria Compliance Cost'!E8,'ACCII GHG Compliance'!E8,'Current GHG Compliance'!E8)+IF(Table44[[#This Row],[Cold]:[Cold]]="Y",'Cold Weather Package'!E8,0)+IF(Table44[[#This Row],[eAWD]:[eAWD]]="Y",'eAWD Package'!E8,0)+IF(Table44[[#This Row],[Towing]:[Towing]]="Y",'Towing Bat Cost'!E8,0),"N/A")</f>
        <v>8070.78947368421</v>
      </c>
      <c r="J7" s="157">
        <f>IF(Table44[[#This Row],[Applicable Package?]:[Applicable Package?]]="Y",SUM('Rolled Up Non-Incremental Costs'!F8,'ICE Removal Cost'!F8,'Trans Removal Cost'!F8,'LEV3 Criteria Emissions Cost'!F8,'ZEV Assembly Reductions'!F8,'ACCII Criteria Compliance Cost'!F8,'ACCII GHG Compliance'!F8,'Current GHG Compliance'!F8)+IF(Table44[[#This Row],[Cold]:[Cold]]="Y",'Cold Weather Package'!F8,0)+IF(Table44[[#This Row],[eAWD]:[eAWD]]="Y",'eAWD Package'!F8,0)+IF(Table44[[#This Row],[Towing]:[Towing]]="Y",'Towing Bat Cost'!F8,0),"N/A")</f>
        <v>7210.6317894736858</v>
      </c>
      <c r="K7" s="157">
        <f>IF(Table44[[#This Row],[Applicable Package?]:[Applicable Package?]]="Y",SUM('Rolled Up Non-Incremental Costs'!G8,'ICE Removal Cost'!G8,'Trans Removal Cost'!G8,'LEV3 Criteria Emissions Cost'!G8,'ZEV Assembly Reductions'!G8,'ACCII Criteria Compliance Cost'!G8,'ACCII GHG Compliance'!G8,'Current GHG Compliance'!G8)+IF(Table44[[#This Row],[Cold]:[Cold]]="Y",'Cold Weather Package'!G8,0)+IF(Table44[[#This Row],[eAWD]:[eAWD]]="Y",'eAWD Package'!G8,0)+IF(Table44[[#This Row],[Towing]:[Towing]]="Y",'Towing Bat Cost'!G8,0),"N/A")</f>
        <v>6411.5635743894763</v>
      </c>
      <c r="L7" s="157">
        <f>IF(Table44[[#This Row],[Applicable Package?]:[Applicable Package?]]="Y",SUM('Rolled Up Non-Incremental Costs'!H8,'ICE Removal Cost'!H8,'Trans Removal Cost'!H8,'LEV3 Criteria Emissions Cost'!H8,'ZEV Assembly Reductions'!H8,'ACCII Criteria Compliance Cost'!H8,'ACCII GHG Compliance'!H8,'Current GHG Compliance'!H8)+IF(Table44[[#This Row],[Cold]:[Cold]]="Y",'Cold Weather Package'!H8,0)+IF(Table44[[#This Row],[eAWD]:[eAWD]]="Y",'eAWD Package'!H8,0)+IF(Table44[[#This Row],[Towing]:[Towing]]="Y",'Towing Bat Cost'!H8,0),"N/A")</f>
        <v>5669.0557125812993</v>
      </c>
      <c r="M7" s="157">
        <f>IF(Table44[[#This Row],[Applicable Package?]:[Applicable Package?]]="Y",SUM('Rolled Up Non-Incremental Costs'!I8,'ICE Removal Cost'!I8,'Trans Removal Cost'!I8,'LEV3 Criteria Emissions Cost'!I8,'ZEV Assembly Reductions'!I8,'ACCII Criteria Compliance Cost'!I8,'ACCII GHG Compliance'!I8,'Current GHG Compliance'!I8)+IF(Table44[[#This Row],[Cold]:[Cold]]="Y",'Cold Weather Package'!I8,0)+IF(Table44[[#This Row],[eAWD]:[eAWD]]="Y",'eAWD Package'!I8,0)+IF(Table44[[#This Row],[Towing]:[Towing]]="Y",'Towing Bat Cost'!I8,0),"N/A")</f>
        <v>4978.9168745669049</v>
      </c>
      <c r="N7" s="157">
        <f>IF(Table44[[#This Row],[Applicable Package?]:[Applicable Package?]]="Y",SUM('Rolled Up Non-Incremental Costs'!J8,'ICE Removal Cost'!J8,'Trans Removal Cost'!J8,'LEV3 Criteria Emissions Cost'!J8,'ZEV Assembly Reductions'!J8,'ACCII Criteria Compliance Cost'!J8,'ACCII GHG Compliance'!J8,'Current GHG Compliance'!J8)+IF(Table44[[#This Row],[Cold]:[Cold]]="Y",'Cold Weather Package'!J8,0)+IF(Table44[[#This Row],[eAWD]:[eAWD]]="Y",'eAWD Package'!J8,0)+IF(Table44[[#This Row],[Towing]:[Towing]]="Y",'Towing Bat Cost'!J8,0),"N/A")</f>
        <v>4460.6093165115817</v>
      </c>
      <c r="O7" s="157">
        <f>IF(Table44[[#This Row],[Applicable Package?]:[Applicable Package?]]="Y",SUM('Rolled Up Non-Incremental Costs'!K8,'ICE Removal Cost'!K8,'Trans Removal Cost'!K8,'LEV3 Criteria Emissions Cost'!K8,'ZEV Assembly Reductions'!K8,'ACCII Criteria Compliance Cost'!K8,'ACCII GHG Compliance'!K8,'Current GHG Compliance'!K8)+IF(Table44[[#This Row],[Cold]:[Cold]]="Y",'Cold Weather Package'!K8,0)+IF(Table44[[#This Row],[eAWD]:[eAWD]]="Y",'eAWD Package'!K8,0)+IF(Table44[[#This Row],[Towing]:[Towing]]="Y",'Towing Bat Cost'!K8,0),"N/A")</f>
        <v>4003.9484596836173</v>
      </c>
      <c r="P7" s="157">
        <f>IF(Table44[[#This Row],[Applicable Package?]:[Applicable Package?]]="Y",SUM('Rolled Up Non-Incremental Costs'!L8,'ICE Removal Cost'!L8,'Trans Removal Cost'!L8,'LEV3 Criteria Emissions Cost'!L8,'ZEV Assembly Reductions'!L8,'ACCII Criteria Compliance Cost'!L8,'ACCII GHG Compliance'!L8,'Current GHG Compliance'!L8)+IF(Table44[[#This Row],[Cold]:[Cold]]="Y",'Cold Weather Package'!L8,0)+IF(Table44[[#This Row],[eAWD]:[eAWD]]="Y",'eAWD Package'!L8,0)+IF(Table44[[#This Row],[Towing]:[Towing]]="Y",'Towing Bat Cost'!L8,0),"N/A")</f>
        <v>3570.2351422344727</v>
      </c>
      <c r="Q7" s="157">
        <f>IF(Table44[[#This Row],[Applicable Package?]:[Applicable Package?]]="Y",SUM('Rolled Up Non-Incremental Costs'!M8,'ICE Removal Cost'!M8,'Trans Removal Cost'!M8,'LEV3 Criteria Emissions Cost'!M8,'ZEV Assembly Reductions'!M8,'ACCII Criteria Compliance Cost'!M8,'ACCII GHG Compliance'!M8,'Current GHG Compliance'!M8)+IF(Table44[[#This Row],[Cold]:[Cold]]="Y",'Cold Weather Package'!M8,0)+IF(Table44[[#This Row],[eAWD]:[eAWD]]="Y",'eAWD Package'!M8,0)+IF(Table44[[#This Row],[Towing]:[Towing]]="Y",'Towing Bat Cost'!M8,0),"N/A")</f>
        <v>3158.2335328084846</v>
      </c>
      <c r="R7" s="157">
        <f>IF(Table44[[#This Row],[Applicable Package?]:[Applicable Package?]]="Y",SUM('Rolled Up Non-Incremental Costs'!N8,'ICE Removal Cost'!N8,'Trans Removal Cost'!N8,'LEV3 Criteria Emissions Cost'!N8,'ZEV Assembly Reductions'!N8,'ACCII Criteria Compliance Cost'!N8,'ACCII GHG Compliance'!N8,'Current GHG Compliance'!N8)+IF(Table44[[#This Row],[Cold]:[Cold]]="Y",'Cold Weather Package'!N8,0)+IF(Table44[[#This Row],[eAWD]:[eAWD]]="Y",'eAWD Package'!N8,0)+IF(Table44[[#This Row],[Towing]:[Towing]]="Y",'Towing Bat Cost'!N8,0),"N/A")</f>
        <v>2766.7752563524555</v>
      </c>
      <c r="S7" s="157">
        <f>IF(Table44[[#This Row],[Applicable Package?]:[Applicable Package?]]="Y",SUM('Rolled Up Non-Incremental Costs'!O8,'ICE Removal Cost'!O8,'Trans Removal Cost'!O8,'LEV3 Criteria Emissions Cost'!O8,'ZEV Assembly Reductions'!O8,'ACCII Criteria Compliance Cost'!O8,'ACCII GHG Compliance'!O8,'Current GHG Compliance'!O8)+IF(Table44[[#This Row],[Cold]:[Cold]]="Y",'Cold Weather Package'!O8,0)+IF(Table44[[#This Row],[eAWD]:[eAWD]]="Y",'eAWD Package'!O8,0)+IF(Table44[[#This Row],[Towing]:[Towing]]="Y",'Towing Bat Cost'!O8,0),"N/A")</f>
        <v>2394.7557029377422</v>
      </c>
    </row>
    <row r="8" spans="1:19" x14ac:dyDescent="0.3">
      <c r="A8" s="28" t="str">
        <f t="shared" si="0"/>
        <v>SmallSUVBaseBEV300</v>
      </c>
      <c r="B8" s="90" t="str">
        <f>'Vehicle Attributes - Base Year'!B6</f>
        <v>SmallSUV</v>
      </c>
      <c r="C8" s="68" t="str">
        <f>'Vehicle Attributes - Base Year'!C6</f>
        <v>Base</v>
      </c>
      <c r="D8" s="68" t="str">
        <f>'Vehicle Attributes - Base Year'!D6</f>
        <v>BEV300</v>
      </c>
      <c r="E8" s="124" t="s">
        <v>77</v>
      </c>
      <c r="F8" s="124" t="s">
        <v>77</v>
      </c>
      <c r="G8" s="125" t="s">
        <v>77</v>
      </c>
      <c r="H8" s="156" t="s">
        <v>76</v>
      </c>
      <c r="I8" s="157">
        <f>IF(Table44[[#This Row],[Applicable Package?]:[Applicable Package?]]="Y",SUM('Rolled Up Non-Incremental Costs'!E9,'ICE Removal Cost'!E9,'Trans Removal Cost'!E9,'LEV3 Criteria Emissions Cost'!E9,'ZEV Assembly Reductions'!E9,'ACCII Criteria Compliance Cost'!E9,'ACCII GHG Compliance'!E9,'Current GHG Compliance'!E9)+IF(Table44[[#This Row],[Cold]:[Cold]]="Y",'Cold Weather Package'!E9,0)+IF(Table44[[#This Row],[eAWD]:[eAWD]]="Y",'eAWD Package'!E9,0)+IF(Table44[[#This Row],[Towing]:[Towing]]="Y",'Towing Bat Cost'!E9,0),"N/A")</f>
        <v>4424.8081578947385</v>
      </c>
      <c r="J8" s="157">
        <f>IF(Table44[[#This Row],[Applicable Package?]:[Applicable Package?]]="Y",SUM('Rolled Up Non-Incremental Costs'!F9,'ICE Removal Cost'!F9,'Trans Removal Cost'!F9,'LEV3 Criteria Emissions Cost'!F9,'ZEV Assembly Reductions'!F9,'ACCII Criteria Compliance Cost'!F9,'ACCII GHG Compliance'!F9,'Current GHG Compliance'!F9)+IF(Table44[[#This Row],[Cold]:[Cold]]="Y",'Cold Weather Package'!F9,0)+IF(Table44[[#This Row],[eAWD]:[eAWD]]="Y",'eAWD Package'!F9,0)+IF(Table44[[#This Row],[Towing]:[Towing]]="Y",'Towing Bat Cost'!F9,0),"N/A")</f>
        <v>3791.5385631578938</v>
      </c>
      <c r="K8" s="157">
        <f>IF(Table44[[#This Row],[Applicable Package?]:[Applicable Package?]]="Y",SUM('Rolled Up Non-Incremental Costs'!G9,'ICE Removal Cost'!G9,'Trans Removal Cost'!G9,'LEV3 Criteria Emissions Cost'!G9,'ZEV Assembly Reductions'!G9,'ACCII Criteria Compliance Cost'!G9,'ACCII GHG Compliance'!G9,'Current GHG Compliance'!G9)+IF(Table44[[#This Row],[Cold]:[Cold]]="Y",'Cold Weather Package'!G9,0)+IF(Table44[[#This Row],[eAWD]:[eAWD]]="Y",'eAWD Package'!G9,0)+IF(Table44[[#This Row],[Towing]:[Towing]]="Y",'Towing Bat Cost'!G9,0),"N/A")</f>
        <v>3202.8740858256606</v>
      </c>
      <c r="L8" s="157">
        <f>IF(Table44[[#This Row],[Applicable Package?]:[Applicable Package?]]="Y",SUM('Rolled Up Non-Incremental Costs'!H9,'ICE Removal Cost'!H9,'Trans Removal Cost'!H9,'LEV3 Criteria Emissions Cost'!H9,'ZEV Assembly Reductions'!H9,'ACCII Criteria Compliance Cost'!H9,'ACCII GHG Compliance'!H9,'Current GHG Compliance'!H9)+IF(Table44[[#This Row],[Cold]:[Cold]]="Y",'Cold Weather Package'!H9,0)+IF(Table44[[#This Row],[eAWD]:[eAWD]]="Y",'eAWD Package'!H9,0)+IF(Table44[[#This Row],[Towing]:[Towing]]="Y",'Towing Bat Cost'!H9,0),"N/A")</f>
        <v>2655.5116384621979</v>
      </c>
      <c r="M8" s="157">
        <f>IF(Table44[[#This Row],[Applicable Package?]:[Applicable Package?]]="Y",SUM('Rolled Up Non-Incremental Costs'!I9,'ICE Removal Cost'!I9,'Trans Removal Cost'!I9,'LEV3 Criteria Emissions Cost'!I9,'ZEV Assembly Reductions'!I9,'ACCII Criteria Compliance Cost'!I9,'ACCII GHG Compliance'!I9,'Current GHG Compliance'!I9)+IF(Table44[[#This Row],[Cold]:[Cold]]="Y",'Cold Weather Package'!I9,0)+IF(Table44[[#This Row],[eAWD]:[eAWD]]="Y",'eAWD Package'!I9,0)+IF(Table44[[#This Row],[Towing]:[Towing]]="Y",'Towing Bat Cost'!I9,0),"N/A")</f>
        <v>2146.3944422629866</v>
      </c>
      <c r="N8" s="157">
        <f>IF(Table44[[#This Row],[Applicable Package?]:[Applicable Package?]]="Y",SUM('Rolled Up Non-Incremental Costs'!J9,'ICE Removal Cost'!J9,'Trans Removal Cost'!J9,'LEV3 Criteria Emissions Cost'!J9,'ZEV Assembly Reductions'!J9,'ACCII Criteria Compliance Cost'!J9,'ACCII GHG Compliance'!J9,'Current GHG Compliance'!J9)+IF(Table44[[#This Row],[Cold]:[Cold]]="Y",'Cold Weather Package'!J9,0)+IF(Table44[[#This Row],[eAWD]:[eAWD]]="Y",'eAWD Package'!J9,0)+IF(Table44[[#This Row],[Towing]:[Towing]]="Y",'Towing Bat Cost'!J9,0),"N/A")</f>
        <v>1762.6297973020664</v>
      </c>
      <c r="O8" s="157">
        <f>IF(Table44[[#This Row],[Applicable Package?]:[Applicable Package?]]="Y",SUM('Rolled Up Non-Incremental Costs'!K9,'ICE Removal Cost'!K9,'Trans Removal Cost'!K9,'LEV3 Criteria Emissions Cost'!K9,'ZEV Assembly Reductions'!K9,'ACCII Criteria Compliance Cost'!K9,'ACCII GHG Compliance'!K9,'Current GHG Compliance'!K9)+IF(Table44[[#This Row],[Cold]:[Cold]]="Y",'Cold Weather Package'!K9,0)+IF(Table44[[#This Row],[eAWD]:[eAWD]]="Y",'eAWD Package'!K9,0)+IF(Table44[[#This Row],[Towing]:[Towing]]="Y",'Towing Bat Cost'!K9,0),"N/A")</f>
        <v>1423.8741924915521</v>
      </c>
      <c r="P8" s="157">
        <f>IF(Table44[[#This Row],[Applicable Package?]:[Applicable Package?]]="Y",SUM('Rolled Up Non-Incremental Costs'!L9,'ICE Removal Cost'!L9,'Trans Removal Cost'!L9,'LEV3 Criteria Emissions Cost'!L9,'ZEV Assembly Reductions'!L9,'ACCII Criteria Compliance Cost'!L9,'ACCII GHG Compliance'!L9,'Current GHG Compliance'!L9)+IF(Table44[[#This Row],[Cold]:[Cold]]="Y",'Cold Weather Package'!L9,0)+IF(Table44[[#This Row],[eAWD]:[eAWD]]="Y",'eAWD Package'!L9,0)+IF(Table44[[#This Row],[Towing]:[Towing]]="Y",'Towing Bat Cost'!L9,0),"N/A")</f>
        <v>1101.908905778495</v>
      </c>
      <c r="Q8" s="157">
        <f>IF(Table44[[#This Row],[Applicable Package?]:[Applicable Package?]]="Y",SUM('Rolled Up Non-Incremental Costs'!M9,'ICE Removal Cost'!M9,'Trans Removal Cost'!M9,'LEV3 Criteria Emissions Cost'!M9,'ZEV Assembly Reductions'!M9,'ACCII Criteria Compliance Cost'!M9,'ACCII GHG Compliance'!M9,'Current GHG Compliance'!M9)+IF(Table44[[#This Row],[Cold]:[Cold]]="Y",'Cold Weather Package'!M9,0)+IF(Table44[[#This Row],[eAWD]:[eAWD]]="Y",'eAWD Package'!M9,0)+IF(Table44[[#This Row],[Towing]:[Towing]]="Y",'Towing Bat Cost'!M9,0),"N/A")</f>
        <v>795.83223275971977</v>
      </c>
      <c r="R8" s="157">
        <f>IF(Table44[[#This Row],[Applicable Package?]:[Applicable Package?]]="Y",SUM('Rolled Up Non-Incremental Costs'!N9,'ICE Removal Cost'!N9,'Trans Removal Cost'!N9,'LEV3 Criteria Emissions Cost'!N9,'ZEV Assembly Reductions'!N9,'ACCII Criteria Compliance Cost'!N9,'ACCII GHG Compliance'!N9,'Current GHG Compliance'!N9)+IF(Table44[[#This Row],[Cold]:[Cold]]="Y",'Cold Weather Package'!N9,0)+IF(Table44[[#This Row],[eAWD]:[eAWD]]="Y",'eAWD Package'!N9,0)+IF(Table44[[#This Row],[Towing]:[Towing]]="Y",'Towing Bat Cost'!N9,0),"N/A")</f>
        <v>504.79166169299606</v>
      </c>
      <c r="S8" s="157">
        <f>IF(Table44[[#This Row],[Applicable Package?]:[Applicable Package?]]="Y",SUM('Rolled Up Non-Incremental Costs'!O9,'ICE Removal Cost'!O9,'Trans Removal Cost'!O9,'LEV3 Criteria Emissions Cost'!O9,'ZEV Assembly Reductions'!O9,'ACCII Criteria Compliance Cost'!O9,'ACCII GHG Compliance'!O9,'Current GHG Compliance'!O9)+IF(Table44[[#This Row],[Cold]:[Cold]]="Y",'Cold Weather Package'!O9,0)+IF(Table44[[#This Row],[eAWD]:[eAWD]]="Y",'eAWD Package'!O9,0)+IF(Table44[[#This Row],[Towing]:[Towing]]="Y",'Towing Bat Cost'!O9,0),"N/A")</f>
        <v>227.98118195540701</v>
      </c>
    </row>
    <row r="9" spans="1:19" x14ac:dyDescent="0.3">
      <c r="A9" t="str">
        <f t="shared" si="0"/>
        <v>SmallSUVPremiumBEV400</v>
      </c>
      <c r="B9" s="90" t="str">
        <f>'Vehicle Attributes - Base Year'!B7</f>
        <v>SmallSUV</v>
      </c>
      <c r="C9" s="68" t="str">
        <f>'Vehicle Attributes - Base Year'!C7</f>
        <v>Premium</v>
      </c>
      <c r="D9" s="68" t="str">
        <f>'Vehicle Attributes - Base Year'!D7</f>
        <v>BEV400</v>
      </c>
      <c r="E9" s="124" t="s">
        <v>77</v>
      </c>
      <c r="F9" s="124" t="s">
        <v>77</v>
      </c>
      <c r="G9" s="125" t="s">
        <v>77</v>
      </c>
      <c r="H9" s="156" t="s">
        <v>76</v>
      </c>
      <c r="I9" s="157">
        <f>IF(Table44[[#This Row],[Applicable Package?]:[Applicable Package?]]="Y",SUM('Rolled Up Non-Incremental Costs'!E10,'ICE Removal Cost'!E10,'Trans Removal Cost'!E10,'LEV3 Criteria Emissions Cost'!E10,'ZEV Assembly Reductions'!E10,'ACCII Criteria Compliance Cost'!E10,'ACCII GHG Compliance'!E10,'Current GHG Compliance'!E10)+IF(Table44[[#This Row],[Cold]:[Cold]]="Y",'Cold Weather Package'!E10,0)+IF(Table44[[#This Row],[eAWD]:[eAWD]]="Y",'eAWD Package'!E10,0)+IF(Table44[[#This Row],[Towing]:[Towing]]="Y",'Towing Bat Cost'!E10,0),"N/A")</f>
        <v>8022.7189473684211</v>
      </c>
      <c r="J9" s="157">
        <f>IF(Table44[[#This Row],[Applicable Package?]:[Applicable Package?]]="Y",SUM('Rolled Up Non-Incremental Costs'!F10,'ICE Removal Cost'!F10,'Trans Removal Cost'!F10,'LEV3 Criteria Emissions Cost'!F10,'ZEV Assembly Reductions'!F10,'ACCII Criteria Compliance Cost'!F10,'ACCII GHG Compliance'!F10,'Current GHG Compliance'!F10)+IF(Table44[[#This Row],[Cold]:[Cold]]="Y",'Cold Weather Package'!F10,0)+IF(Table44[[#This Row],[eAWD]:[eAWD]]="Y",'eAWD Package'!F10,0)+IF(Table44[[#This Row],[Towing]:[Towing]]="Y",'Towing Bat Cost'!F10,0),"N/A")</f>
        <v>7149.0911789473685</v>
      </c>
      <c r="K9" s="157">
        <f>IF(Table44[[#This Row],[Applicable Package?]:[Applicable Package?]]="Y",SUM('Rolled Up Non-Incremental Costs'!G10,'ICE Removal Cost'!G10,'Trans Removal Cost'!G10,'LEV3 Criteria Emissions Cost'!G10,'ZEV Assembly Reductions'!G10,'ACCII Criteria Compliance Cost'!G10,'ACCII GHG Compliance'!G10,'Current GHG Compliance'!G10)+IF(Table44[[#This Row],[Cold]:[Cold]]="Y",'Cold Weather Package'!G10,0)+IF(Table44[[#This Row],[eAWD]:[eAWD]]="Y",'eAWD Package'!G10,0)+IF(Table44[[#This Row],[Towing]:[Towing]]="Y",'Towing Bat Cost'!G10,0),"N/A")</f>
        <v>6337.7290069289484</v>
      </c>
      <c r="L9" s="157">
        <f>IF(Table44[[#This Row],[Applicable Package?]:[Applicable Package?]]="Y",SUM('Rolled Up Non-Incremental Costs'!H10,'ICE Removal Cost'!H10,'Trans Removal Cost'!H10,'LEV3 Criteria Emissions Cost'!H10,'ZEV Assembly Reductions'!H10,'ACCII Criteria Compliance Cost'!H10,'ACCII GHG Compliance'!H10,'Current GHG Compliance'!H10)+IF(Table44[[#This Row],[Cold]:[Cold]]="Y",'Cold Weather Package'!H10,0)+IF(Table44[[#This Row],[eAWD]:[eAWD]]="Y",'eAWD Package'!H10,0)+IF(Table44[[#This Row],[Towing]:[Towing]]="Y",'Towing Bat Cost'!H10,0),"N/A")</f>
        <v>5584.0138117068018</v>
      </c>
      <c r="M9" s="157">
        <f>IF(Table44[[#This Row],[Applicable Package?]:[Applicable Package?]]="Y",SUM('Rolled Up Non-Incremental Costs'!I10,'ICE Removal Cost'!I10,'Trans Removal Cost'!I10,'LEV3 Criteria Emissions Cost'!I10,'ZEV Assembly Reductions'!I10,'ACCII Criteria Compliance Cost'!I10,'ACCII GHG Compliance'!I10,'Current GHG Compliance'!I10)+IF(Table44[[#This Row],[Cold]:[Cold]]="Y",'Cold Weather Package'!I10,0)+IF(Table44[[#This Row],[eAWD]:[eAWD]]="Y",'eAWD Package'!I10,0)+IF(Table44[[#This Row],[Towing]:[Towing]]="Y",'Towing Bat Cost'!I10,0),"N/A")</f>
        <v>4883.6714585565369</v>
      </c>
      <c r="N9" s="157">
        <f>IF(Table44[[#This Row],[Applicable Package?]:[Applicable Package?]]="Y",SUM('Rolled Up Non-Incremental Costs'!J10,'ICE Removal Cost'!J10,'Trans Removal Cost'!J10,'LEV3 Criteria Emissions Cost'!J10,'ZEV Assembly Reductions'!J10,'ACCII Criteria Compliance Cost'!J10,'ACCII GHG Compliance'!J10,'Current GHG Compliance'!J10)+IF(Table44[[#This Row],[Cold]:[Cold]]="Y",'Cold Weather Package'!J10,0)+IF(Table44[[#This Row],[eAWD]:[eAWD]]="Y",'eAWD Package'!J10,0)+IF(Table44[[#This Row],[Towing]:[Towing]]="Y",'Towing Bat Cost'!J10,0),"N/A")</f>
        <v>4358.534839000411</v>
      </c>
      <c r="O9" s="157">
        <f>IF(Table44[[#This Row],[Applicable Package?]:[Applicable Package?]]="Y",SUM('Rolled Up Non-Incremental Costs'!K10,'ICE Removal Cost'!K10,'Trans Removal Cost'!K10,'LEV3 Criteria Emissions Cost'!K10,'ZEV Assembly Reductions'!K10,'ACCII Criteria Compliance Cost'!K10,'ACCII GHG Compliance'!K10,'Current GHG Compliance'!K10)+IF(Table44[[#This Row],[Cold]:[Cold]]="Y",'Cold Weather Package'!K10,0)+IF(Table44[[#This Row],[eAWD]:[eAWD]]="Y",'eAWD Package'!K10,0)+IF(Table44[[#This Row],[Towing]:[Towing]]="Y",'Towing Bat Cost'!K10,0),"N/A")</f>
        <v>3896.2335213193255</v>
      </c>
      <c r="P9" s="157">
        <f>IF(Table44[[#This Row],[Applicable Package?]:[Applicable Package?]]="Y",SUM('Rolled Up Non-Incremental Costs'!L10,'ICE Removal Cost'!L10,'Trans Removal Cost'!L10,'LEV3 Criteria Emissions Cost'!L10,'ZEV Assembly Reductions'!L10,'ACCII Criteria Compliance Cost'!L10,'ACCII GHG Compliance'!L10,'Current GHG Compliance'!L10)+IF(Table44[[#This Row],[Cold]:[Cold]]="Y",'Cold Weather Package'!L10,0)+IF(Table44[[#This Row],[eAWD]:[eAWD]]="Y",'eAWD Package'!L10,0)+IF(Table44[[#This Row],[Towing]:[Towing]]="Y",'Towing Bat Cost'!L10,0),"N/A")</f>
        <v>3457.3008486337385</v>
      </c>
      <c r="Q9" s="157">
        <f>IF(Table44[[#This Row],[Applicable Package?]:[Applicable Package?]]="Y",SUM('Rolled Up Non-Incremental Costs'!M10,'ICE Removal Cost'!M10,'Trans Removal Cost'!M10,'LEV3 Criteria Emissions Cost'!M10,'ZEV Assembly Reductions'!M10,'ACCII Criteria Compliance Cost'!M10,'ACCII GHG Compliance'!M10,'Current GHG Compliance'!M10)+IF(Table44[[#This Row],[Cold]:[Cold]]="Y",'Cold Weather Package'!M10,0)+IF(Table44[[#This Row],[eAWD]:[eAWD]]="Y",'eAWD Package'!M10,0)+IF(Table44[[#This Row],[Towing]:[Towing]]="Y",'Towing Bat Cost'!M10,0),"N/A")</f>
        <v>3040.4768111516241</v>
      </c>
      <c r="R9" s="157">
        <f>IF(Table44[[#This Row],[Applicable Package?]:[Applicable Package?]]="Y",SUM('Rolled Up Non-Incremental Costs'!N10,'ICE Removal Cost'!N10,'Trans Removal Cost'!N10,'LEV3 Criteria Emissions Cost'!N10,'ZEV Assembly Reductions'!N10,'ACCII Criteria Compliance Cost'!N10,'ACCII GHG Compliance'!N10,'Current GHG Compliance'!N10)+IF(Table44[[#This Row],[Cold]:[Cold]]="Y",'Cold Weather Package'!N10,0)+IF(Table44[[#This Row],[eAWD]:[eAWD]]="Y",'eAWD Package'!N10,0)+IF(Table44[[#This Row],[Towing]:[Towing]]="Y",'Towing Bat Cost'!N10,0),"N/A")</f>
        <v>2644.5701903818444</v>
      </c>
      <c r="S9" s="157">
        <f>IF(Table44[[#This Row],[Applicable Package?]:[Applicable Package?]]="Y",SUM('Rolled Up Non-Incremental Costs'!O10,'ICE Removal Cost'!O10,'Trans Removal Cost'!O10,'LEV3 Criteria Emissions Cost'!O10,'ZEV Assembly Reductions'!O10,'ACCII Criteria Compliance Cost'!O10,'ACCII GHG Compliance'!O10,'Current GHG Compliance'!O10)+IF(Table44[[#This Row],[Cold]:[Cold]]="Y",'Cold Weather Package'!O10,0)+IF(Table44[[#This Row],[eAWD]:[eAWD]]="Y",'eAWD Package'!O10,0)+IF(Table44[[#This Row],[Towing]:[Towing]]="Y",'Towing Bat Cost'!O10,0),"N/A")</f>
        <v>2268.4547947528063</v>
      </c>
    </row>
    <row r="10" spans="1:19" x14ac:dyDescent="0.3">
      <c r="A10" s="28" t="str">
        <f t="shared" si="0"/>
        <v>MedSUVBaseBEV300</v>
      </c>
      <c r="B10" s="90" t="str">
        <f>'Vehicle Attributes - Base Year'!B8</f>
        <v>MedSUV</v>
      </c>
      <c r="C10" s="68" t="str">
        <f>'Vehicle Attributes - Base Year'!C8</f>
        <v>Base</v>
      </c>
      <c r="D10" s="68" t="str">
        <f>'Vehicle Attributes - Base Year'!D8</f>
        <v>BEV300</v>
      </c>
      <c r="E10" s="124" t="s">
        <v>77</v>
      </c>
      <c r="F10" s="124" t="s">
        <v>77</v>
      </c>
      <c r="G10" s="125" t="s">
        <v>77</v>
      </c>
      <c r="H10" s="156" t="s">
        <v>76</v>
      </c>
      <c r="I10" s="157">
        <f>IF(Table44[[#This Row],[Applicable Package?]:[Applicable Package?]]="Y",SUM('Rolled Up Non-Incremental Costs'!E11,'ICE Removal Cost'!E11,'Trans Removal Cost'!E11,'LEV3 Criteria Emissions Cost'!E11,'ZEV Assembly Reductions'!E11,'ACCII Criteria Compliance Cost'!E11,'ACCII GHG Compliance'!E11,'Current GHG Compliance'!E11)+IF(Table44[[#This Row],[Cold]:[Cold]]="Y",'Cold Weather Package'!E11,0)+IF(Table44[[#This Row],[eAWD]:[eAWD]]="Y",'eAWD Package'!E11,0)+IF(Table44[[#This Row],[Towing]:[Towing]]="Y",'Towing Bat Cost'!E11,0),"N/A")</f>
        <v>5218.3460526315794</v>
      </c>
      <c r="J10" s="157">
        <f>IF(Table44[[#This Row],[Applicable Package?]:[Applicable Package?]]="Y",SUM('Rolled Up Non-Incremental Costs'!F11,'ICE Removal Cost'!F11,'Trans Removal Cost'!F11,'LEV3 Criteria Emissions Cost'!F11,'ZEV Assembly Reductions'!F11,'ACCII Criteria Compliance Cost'!F11,'ACCII GHG Compliance'!F11,'Current GHG Compliance'!F11)+IF(Table44[[#This Row],[Cold]:[Cold]]="Y",'Cold Weather Package'!F11,0)+IF(Table44[[#This Row],[eAWD]:[eAWD]]="Y",'eAWD Package'!F11,0)+IF(Table44[[#This Row],[Towing]:[Towing]]="Y",'Towing Bat Cost'!F11,0),"N/A")</f>
        <v>4452.5549210526333</v>
      </c>
      <c r="K10" s="157">
        <f>IF(Table44[[#This Row],[Applicable Package?]:[Applicable Package?]]="Y",SUM('Rolled Up Non-Incremental Costs'!G11,'ICE Removal Cost'!G11,'Trans Removal Cost'!G11,'LEV3 Criteria Emissions Cost'!G11,'ZEV Assembly Reductions'!G11,'ACCII Criteria Compliance Cost'!G11,'ACCII GHG Compliance'!G11,'Current GHG Compliance'!G11)+IF(Table44[[#This Row],[Cold]:[Cold]]="Y",'Cold Weather Package'!G11,0)+IF(Table44[[#This Row],[eAWD]:[eAWD]]="Y",'eAWD Package'!G11,0)+IF(Table44[[#This Row],[Towing]:[Towing]]="Y",'Towing Bat Cost'!G11,0),"N/A")</f>
        <v>3740.8172484335537</v>
      </c>
      <c r="L10" s="157">
        <f>IF(Table44[[#This Row],[Applicable Package?]:[Applicable Package?]]="Y",SUM('Rolled Up Non-Incremental Costs'!H11,'ICE Removal Cost'!H11,'Trans Removal Cost'!H11,'LEV3 Criteria Emissions Cost'!H11,'ZEV Assembly Reductions'!H11,'ACCII Criteria Compliance Cost'!H11,'ACCII GHG Compliance'!H11,'Current GHG Compliance'!H11)+IF(Table44[[#This Row],[Cold]:[Cold]]="Y",'Cold Weather Package'!H11,0)+IF(Table44[[#This Row],[eAWD]:[eAWD]]="Y",'eAWD Package'!H11,0)+IF(Table44[[#This Row],[Towing]:[Towing]]="Y",'Towing Bat Cost'!H11,0),"N/A")</f>
        <v>3079.1290725531144</v>
      </c>
      <c r="M10" s="157">
        <f>IF(Table44[[#This Row],[Applicable Package?]:[Applicable Package?]]="Y",SUM('Rolled Up Non-Incremental Costs'!I11,'ICE Removal Cost'!I11,'Trans Removal Cost'!I11,'LEV3 Criteria Emissions Cost'!I11,'ZEV Assembly Reductions'!I11,'ACCII Criteria Compliance Cost'!I11,'ACCII GHG Compliance'!I11,'Current GHG Compliance'!I11)+IF(Table44[[#This Row],[Cold]:[Cold]]="Y",'Cold Weather Package'!I11,0)+IF(Table44[[#This Row],[eAWD]:[eAWD]]="Y",'eAWD Package'!I11,0)+IF(Table44[[#This Row],[Towing]:[Towing]]="Y",'Towing Bat Cost'!I11,0),"N/A")</f>
        <v>2463.7850156849963</v>
      </c>
      <c r="N10" s="157">
        <f>IF(Table44[[#This Row],[Applicable Package?]:[Applicable Package?]]="Y",SUM('Rolled Up Non-Incremental Costs'!J11,'ICE Removal Cost'!J11,'Trans Removal Cost'!J11,'LEV3 Criteria Emissions Cost'!J11,'ZEV Assembly Reductions'!J11,'ACCII Criteria Compliance Cost'!J11,'ACCII GHG Compliance'!J11,'Current GHG Compliance'!J11)+IF(Table44[[#This Row],[Cold]:[Cold]]="Y",'Cold Weather Package'!J11,0)+IF(Table44[[#This Row],[eAWD]:[eAWD]]="Y",'eAWD Package'!J11,0)+IF(Table44[[#This Row],[Towing]:[Towing]]="Y",'Towing Bat Cost'!J11,0),"N/A")</f>
        <v>2000.3806428347889</v>
      </c>
      <c r="O10" s="157">
        <f>IF(Table44[[#This Row],[Applicable Package?]:[Applicable Package?]]="Y",SUM('Rolled Up Non-Incremental Costs'!K11,'ICE Removal Cost'!K11,'Trans Removal Cost'!K11,'LEV3 Criteria Emissions Cost'!K11,'ZEV Assembly Reductions'!K11,'ACCII Criteria Compliance Cost'!K11,'ACCII GHG Compliance'!K11,'Current GHG Compliance'!K11)+IF(Table44[[#This Row],[Cold]:[Cold]]="Y",'Cold Weather Package'!K11,0)+IF(Table44[[#This Row],[eAWD]:[eAWD]]="Y",'eAWD Package'!K11,0)+IF(Table44[[#This Row],[Towing]:[Towing]]="Y",'Towing Bat Cost'!K11,0),"N/A")</f>
        <v>1591.5201256687433</v>
      </c>
      <c r="P10" s="157">
        <f>IF(Table44[[#This Row],[Applicable Package?]:[Applicable Package?]]="Y",SUM('Rolled Up Non-Incremental Costs'!L11,'ICE Removal Cost'!L11,'Trans Removal Cost'!L11,'LEV3 Criteria Emissions Cost'!L11,'ZEV Assembly Reductions'!L11,'ACCII Criteria Compliance Cost'!L11,'ACCII GHG Compliance'!L11,'Current GHG Compliance'!L11)+IF(Table44[[#This Row],[Cold]:[Cold]]="Y",'Cold Weather Package'!L11,0)+IF(Table44[[#This Row],[eAWD]:[eAWD]]="Y",'eAWD Package'!L11,0)+IF(Table44[[#This Row],[Towing]:[Towing]]="Y",'Towing Bat Cost'!L11,0),"N/A")</f>
        <v>1202.9956435872482</v>
      </c>
      <c r="Q10" s="157">
        <f>IF(Table44[[#This Row],[Applicable Package?]:[Applicable Package?]]="Y",SUM('Rolled Up Non-Incremental Costs'!M11,'ICE Removal Cost'!M11,'Trans Removal Cost'!M11,'LEV3 Criteria Emissions Cost'!M11,'ZEV Assembly Reductions'!M11,'ACCII Criteria Compliance Cost'!M11,'ACCII GHG Compliance'!M11,'Current GHG Compliance'!M11)+IF(Table44[[#This Row],[Cold]:[Cold]]="Y",'Cold Weather Package'!M11,0)+IF(Table44[[#This Row],[eAWD]:[eAWD]]="Y",'eAWD Package'!M11,0)+IF(Table44[[#This Row],[Towing]:[Towing]]="Y",'Towing Bat Cost'!M11,0),"N/A")</f>
        <v>833.71428945172738</v>
      </c>
      <c r="R10" s="157">
        <f>IF(Table44[[#This Row],[Applicable Package?]:[Applicable Package?]]="Y",SUM('Rolled Up Non-Incremental Costs'!N11,'ICE Removal Cost'!N11,'Trans Removal Cost'!N11,'LEV3 Criteria Emissions Cost'!N11,'ZEV Assembly Reductions'!N11,'ACCII Criteria Compliance Cost'!N11,'ACCII GHG Compliance'!N11,'Current GHG Compliance'!N11)+IF(Table44[[#This Row],[Cold]:[Cold]]="Y",'Cold Weather Package'!N11,0)+IF(Table44[[#This Row],[eAWD]:[eAWD]]="Y",'eAWD Package'!N11,0)+IF(Table44[[#This Row],[Towing]:[Towing]]="Y",'Towing Bat Cost'!N11,0),"N/A")</f>
        <v>482.64278788161755</v>
      </c>
      <c r="S10" s="157">
        <f>IF(Table44[[#This Row],[Applicable Package?]:[Applicable Package?]]="Y",SUM('Rolled Up Non-Incremental Costs'!O11,'ICE Removal Cost'!O11,'Trans Removal Cost'!O11,'LEV3 Criteria Emissions Cost'!O11,'ZEV Assembly Reductions'!O11,'ACCII Criteria Compliance Cost'!O11,'ACCII GHG Compliance'!O11,'Current GHG Compliance'!O11)+IF(Table44[[#This Row],[Cold]:[Cold]]="Y",'Cold Weather Package'!O11,0)+IF(Table44[[#This Row],[eAWD]:[eAWD]]="Y",'eAWD Package'!O11,0)+IF(Table44[[#This Row],[Towing]:[Towing]]="Y",'Towing Bat Cost'!O11,0),"N/A")</f>
        <v>148.804232464694</v>
      </c>
    </row>
    <row r="11" spans="1:19" x14ac:dyDescent="0.3">
      <c r="A11" t="str">
        <f t="shared" si="0"/>
        <v>MedSUVPremiumBEV400</v>
      </c>
      <c r="B11" s="90" t="str">
        <f>'Vehicle Attributes - Base Year'!B9</f>
        <v>MedSUV</v>
      </c>
      <c r="C11" s="68" t="str">
        <f>'Vehicle Attributes - Base Year'!C9</f>
        <v>Premium</v>
      </c>
      <c r="D11" s="68" t="str">
        <f>'Vehicle Attributes - Base Year'!D9</f>
        <v>BEV400</v>
      </c>
      <c r="E11" s="124" t="s">
        <v>77</v>
      </c>
      <c r="F11" s="124" t="s">
        <v>77</v>
      </c>
      <c r="G11" s="125" t="s">
        <v>77</v>
      </c>
      <c r="H11" s="156" t="s">
        <v>76</v>
      </c>
      <c r="I11" s="157">
        <f>IF(Table44[[#This Row],[Applicable Package?]:[Applicable Package?]]="Y",SUM('Rolled Up Non-Incremental Costs'!E12,'ICE Removal Cost'!E12,'Trans Removal Cost'!E12,'LEV3 Criteria Emissions Cost'!E12,'ZEV Assembly Reductions'!E12,'ACCII Criteria Compliance Cost'!E12,'ACCII GHG Compliance'!E12,'Current GHG Compliance'!E12)+IF(Table44[[#This Row],[Cold]:[Cold]]="Y",'Cold Weather Package'!E12,0)+IF(Table44[[#This Row],[eAWD]:[eAWD]]="Y",'eAWD Package'!E12,0)+IF(Table44[[#This Row],[Towing]:[Towing]]="Y",'Towing Bat Cost'!E12,0),"N/A")</f>
        <v>9118.4631578947374</v>
      </c>
      <c r="J11" s="157">
        <f>IF(Table44[[#This Row],[Applicable Package?]:[Applicable Package?]]="Y",SUM('Rolled Up Non-Incremental Costs'!F12,'ICE Removal Cost'!F12,'Trans Removal Cost'!F12,'LEV3 Criteria Emissions Cost'!F12,'ZEV Assembly Reductions'!F12,'ACCII Criteria Compliance Cost'!F12,'ACCII GHG Compliance'!F12,'Current GHG Compliance'!F12)+IF(Table44[[#This Row],[Cold]:[Cold]]="Y",'Cold Weather Package'!F12,0)+IF(Table44[[#This Row],[eAWD]:[eAWD]]="Y",'eAWD Package'!F12,0)+IF(Table44[[#This Row],[Towing]:[Towing]]="Y",'Towing Bat Cost'!F12,0),"N/A")</f>
        <v>8059.6492631578949</v>
      </c>
      <c r="K11" s="157">
        <f>IF(Table44[[#This Row],[Applicable Package?]:[Applicable Package?]]="Y",SUM('Rolled Up Non-Incremental Costs'!G12,'ICE Removal Cost'!G12,'Trans Removal Cost'!G12,'LEV3 Criteria Emissions Cost'!G12,'ZEV Assembly Reductions'!G12,'ACCII Criteria Compliance Cost'!G12,'ACCII GHG Compliance'!G12,'Current GHG Compliance'!G12)+IF(Table44[[#This Row],[Cold]:[Cold]]="Y",'Cold Weather Package'!G12,0)+IF(Table44[[#This Row],[eAWD]:[eAWD]]="Y",'eAWD Package'!G12,0)+IF(Table44[[#This Row],[Towing]:[Towing]]="Y",'Towing Bat Cost'!G12,0),"N/A")</f>
        <v>7076.4085168631573</v>
      </c>
      <c r="L11" s="157">
        <f>IF(Table44[[#This Row],[Applicable Package?]:[Applicable Package?]]="Y",SUM('Rolled Up Non-Incremental Costs'!H12,'ICE Removal Cost'!H12,'Trans Removal Cost'!H12,'LEV3 Criteria Emissions Cost'!H12,'ZEV Assembly Reductions'!H12,'ACCII Criteria Compliance Cost'!H12,'ACCII GHG Compliance'!H12,'Current GHG Compliance'!H12)+IF(Table44[[#This Row],[Cold]:[Cold]]="Y",'Cold Weather Package'!H12,0)+IF(Table44[[#This Row],[eAWD]:[eAWD]]="Y",'eAWD Package'!H12,0)+IF(Table44[[#This Row],[Towing]:[Towing]]="Y",'Towing Bat Cost'!H12,0),"N/A")</f>
        <v>6163.1340565673236</v>
      </c>
      <c r="M11" s="157">
        <f>IF(Table44[[#This Row],[Applicable Package?]:[Applicable Package?]]="Y",SUM('Rolled Up Non-Incremental Costs'!I12,'ICE Removal Cost'!I12,'Trans Removal Cost'!I12,'LEV3 Criteria Emissions Cost'!I12,'ZEV Assembly Reductions'!I12,'ACCII Criteria Compliance Cost'!I12,'ACCII GHG Compliance'!I12,'Current GHG Compliance'!I12)+IF(Table44[[#This Row],[Cold]:[Cold]]="Y",'Cold Weather Package'!I12,0)+IF(Table44[[#This Row],[eAWD]:[eAWD]]="Y",'eAWD Package'!I12,0)+IF(Table44[[#This Row],[Towing]:[Towing]]="Y",'Towing Bat Cost'!I12,0),"N/A")</f>
        <v>5314.6372253776899</v>
      </c>
      <c r="N11" s="157">
        <f>IF(Table44[[#This Row],[Applicable Package?]:[Applicable Package?]]="Y",SUM('Rolled Up Non-Incremental Costs'!J12,'ICE Removal Cost'!J12,'Trans Removal Cost'!J12,'LEV3 Criteria Emissions Cost'!J12,'ZEV Assembly Reductions'!J12,'ACCII Criteria Compliance Cost'!J12,'ACCII GHG Compliance'!J12,'Current GHG Compliance'!J12)+IF(Table44[[#This Row],[Cold]:[Cold]]="Y",'Cold Weather Package'!J12,0)+IF(Table44[[#This Row],[eAWD]:[eAWD]]="Y",'eAWD Package'!J12,0)+IF(Table44[[#This Row],[Towing]:[Towing]]="Y",'Towing Bat Cost'!J12,0),"N/A")</f>
        <v>4678.8242758833894</v>
      </c>
      <c r="O11" s="157">
        <f>IF(Table44[[#This Row],[Applicable Package?]:[Applicable Package?]]="Y",SUM('Rolled Up Non-Incremental Costs'!K12,'ICE Removal Cost'!K12,'Trans Removal Cost'!K12,'LEV3 Criteria Emissions Cost'!K12,'ZEV Assembly Reductions'!K12,'ACCII Criteria Compliance Cost'!K12,'ACCII GHG Compliance'!K12,'Current GHG Compliance'!K12)+IF(Table44[[#This Row],[Cold]:[Cold]]="Y",'Cold Weather Package'!K12,0)+IF(Table44[[#This Row],[eAWD]:[eAWD]]="Y",'eAWD Package'!K12,0)+IF(Table44[[#This Row],[Towing]:[Towing]]="Y",'Towing Bat Cost'!K12,0),"N/A")</f>
        <v>4119.2768019229334</v>
      </c>
      <c r="P11" s="157">
        <f>IF(Table44[[#This Row],[Applicable Package?]:[Applicable Package?]]="Y",SUM('Rolled Up Non-Incremental Costs'!L12,'ICE Removal Cost'!L12,'Trans Removal Cost'!L12,'LEV3 Criteria Emissions Cost'!L12,'ZEV Assembly Reductions'!L12,'ACCII Criteria Compliance Cost'!L12,'ACCII GHG Compliance'!L12,'Current GHG Compliance'!L12)+IF(Table44[[#This Row],[Cold]:[Cold]]="Y",'Cold Weather Package'!L12,0)+IF(Table44[[#This Row],[eAWD]:[eAWD]]="Y",'eAWD Package'!L12,0)+IF(Table44[[#This Row],[Towing]:[Towing]]="Y",'Towing Bat Cost'!L12,0),"N/A")</f>
        <v>3588.0821456103695</v>
      </c>
      <c r="Q11" s="157">
        <f>IF(Table44[[#This Row],[Applicable Package?]:[Applicable Package?]]="Y",SUM('Rolled Up Non-Incremental Costs'!M12,'ICE Removal Cost'!M12,'Trans Removal Cost'!M12,'LEV3 Criteria Emissions Cost'!M12,'ZEV Assembly Reductions'!M12,'ACCII Criteria Compliance Cost'!M12,'ACCII GHG Compliance'!M12,'Current GHG Compliance'!M12)+IF(Table44[[#This Row],[Cold]:[Cold]]="Y",'Cold Weather Package'!M12,0)+IF(Table44[[#This Row],[eAWD]:[eAWD]]="Y",'eAWD Package'!M12,0)+IF(Table44[[#This Row],[Towing]:[Towing]]="Y",'Towing Bat Cost'!M12,0),"N/A")</f>
        <v>3083.7108142449906</v>
      </c>
      <c r="R11" s="157">
        <f>IF(Table44[[#This Row],[Applicable Package?]:[Applicable Package?]]="Y",SUM('Rolled Up Non-Incremental Costs'!N12,'ICE Removal Cost'!N12,'Trans Removal Cost'!N12,'LEV3 Criteria Emissions Cost'!N12,'ZEV Assembly Reductions'!N12,'ACCII Criteria Compliance Cost'!N12,'ACCII GHG Compliance'!N12,'Current GHG Compliance'!N12)+IF(Table44[[#This Row],[Cold]:[Cold]]="Y",'Cold Weather Package'!N12,0)+IF(Table44[[#This Row],[eAWD]:[eAWD]]="Y",'eAWD Package'!N12,0)+IF(Table44[[#This Row],[Towing]:[Towing]]="Y",'Towing Bat Cost'!N12,0),"N/A")</f>
        <v>2604.7168266108019</v>
      </c>
      <c r="S11" s="157">
        <f>IF(Table44[[#This Row],[Applicable Package?]:[Applicable Package?]]="Y",SUM('Rolled Up Non-Incremental Costs'!O12,'ICE Removal Cost'!O12,'Trans Removal Cost'!O12,'LEV3 Criteria Emissions Cost'!O12,'ZEV Assembly Reductions'!O12,'ACCII Criteria Compliance Cost'!O12,'ACCII GHG Compliance'!O12,'Current GHG Compliance'!O12)+IF(Table44[[#This Row],[Cold]:[Cold]]="Y",'Cold Weather Package'!O12,0)+IF(Table44[[#This Row],[eAWD]:[eAWD]]="Y",'eAWD Package'!O12,0)+IF(Table44[[#This Row],[Towing]:[Towing]]="Y",'Towing Bat Cost'!O12,0),"N/A")</f>
        <v>2149.7331430051254</v>
      </c>
    </row>
    <row r="12" spans="1:19" x14ac:dyDescent="0.3">
      <c r="A12" s="28" t="str">
        <f t="shared" si="0"/>
        <v>PickupBaseBEV300</v>
      </c>
      <c r="B12" s="90" t="str">
        <f>'Vehicle Attributes - Base Year'!B10</f>
        <v>Pickup</v>
      </c>
      <c r="C12" s="68" t="str">
        <f>'Vehicle Attributes - Base Year'!C10</f>
        <v>Base</v>
      </c>
      <c r="D12" s="68" t="str">
        <f>'Vehicle Attributes - Base Year'!D10</f>
        <v>BEV300</v>
      </c>
      <c r="E12" s="124" t="s">
        <v>77</v>
      </c>
      <c r="F12" s="124" t="s">
        <v>77</v>
      </c>
      <c r="G12" s="125" t="s">
        <v>77</v>
      </c>
      <c r="H12" s="156" t="s">
        <v>76</v>
      </c>
      <c r="I12" s="157">
        <f>IF(Table44[[#This Row],[Applicable Package?]:[Applicable Package?]]="Y",SUM('Rolled Up Non-Incremental Costs'!E13,'ICE Removal Cost'!E13,'Trans Removal Cost'!E13,'LEV3 Criteria Emissions Cost'!E13,'ZEV Assembly Reductions'!E13,'ACCII Criteria Compliance Cost'!E13,'ACCII GHG Compliance'!E13,'Current GHG Compliance'!E13)+IF(Table44[[#This Row],[Cold]:[Cold]]="Y",'Cold Weather Package'!E13,0)+IF(Table44[[#This Row],[eAWD]:[eAWD]]="Y",'eAWD Package'!E13,0)+IF(Table44[[#This Row],[Towing]:[Towing]]="Y",'Towing Bat Cost'!E13,0),"N/A")</f>
        <v>7002.8001169590643</v>
      </c>
      <c r="J12" s="157">
        <f>IF(Table44[[#This Row],[Applicable Package?]:[Applicable Package?]]="Y",SUM('Rolled Up Non-Incremental Costs'!F13,'ICE Removal Cost'!F13,'Trans Removal Cost'!F13,'LEV3 Criteria Emissions Cost'!F13,'ZEV Assembly Reductions'!F13,'ACCII Criteria Compliance Cost'!F13,'ACCII GHG Compliance'!F13,'Current GHG Compliance'!F13)+IF(Table44[[#This Row],[Cold]:[Cold]]="Y",'Cold Weather Package'!F13,0)+IF(Table44[[#This Row],[eAWD]:[eAWD]]="Y",'eAWD Package'!F13,0)+IF(Table44[[#This Row],[Towing]:[Towing]]="Y",'Towing Bat Cost'!F13,0),"N/A")</f>
        <v>6090.6999578947361</v>
      </c>
      <c r="K12" s="157">
        <f>IF(Table44[[#This Row],[Applicable Package?]:[Applicable Package?]]="Y",SUM('Rolled Up Non-Incremental Costs'!G13,'ICE Removal Cost'!G13,'Trans Removal Cost'!G13,'LEV3 Criteria Emissions Cost'!G13,'ZEV Assembly Reductions'!G13,'ACCII Criteria Compliance Cost'!G13,'ACCII GHG Compliance'!G13,'Current GHG Compliance'!G13)+IF(Table44[[#This Row],[Cold]:[Cold]]="Y",'Cold Weather Package'!G13,0)+IF(Table44[[#This Row],[eAWD]:[eAWD]]="Y",'eAWD Package'!G13,0)+IF(Table44[[#This Row],[Towing]:[Towing]]="Y",'Towing Bat Cost'!G13,0),"N/A")</f>
        <v>5243.3329720078982</v>
      </c>
      <c r="L12" s="157">
        <f>IF(Table44[[#This Row],[Applicable Package?]:[Applicable Package?]]="Y",SUM('Rolled Up Non-Incremental Costs'!H13,'ICE Removal Cost'!H13,'Trans Removal Cost'!H13,'LEV3 Criteria Emissions Cost'!H13,'ZEV Assembly Reductions'!H13,'ACCII Criteria Compliance Cost'!H13,'ACCII GHG Compliance'!H13,'Current GHG Compliance'!H13)+IF(Table44[[#This Row],[Cold]:[Cold]]="Y",'Cold Weather Package'!H13,0)+IF(Table44[[#This Row],[eAWD]:[eAWD]]="Y",'eAWD Package'!H13,0)+IF(Table44[[#This Row],[Towing]:[Towing]]="Y",'Towing Bat Cost'!H13,0),"N/A")</f>
        <v>4455.9003789578073</v>
      </c>
      <c r="M12" s="157">
        <f>IF(Table44[[#This Row],[Applicable Package?]:[Applicable Package?]]="Y",SUM('Rolled Up Non-Incremental Costs'!I13,'ICE Removal Cost'!I13,'Trans Removal Cost'!I13,'LEV3 Criteria Emissions Cost'!I13,'ZEV Assembly Reductions'!I13,'ACCII Criteria Compliance Cost'!I13,'ACCII GHG Compliance'!I13,'Current GHG Compliance'!I13)+IF(Table44[[#This Row],[Cold]:[Cold]]="Y",'Cold Weather Package'!I13,0)+IF(Table44[[#This Row],[eAWD]:[eAWD]]="Y",'eAWD Package'!I13,0)+IF(Table44[[#This Row],[Towing]:[Towing]]="Y",'Towing Bat Cost'!I13,0),"N/A")</f>
        <v>3723.9612918458042</v>
      </c>
      <c r="N12" s="157">
        <f>IF(Table44[[#This Row],[Applicable Package?]:[Applicable Package?]]="Y",SUM('Rolled Up Non-Incremental Costs'!J13,'ICE Removal Cost'!J13,'Trans Removal Cost'!J13,'LEV3 Criteria Emissions Cost'!J13,'ZEV Assembly Reductions'!J13,'ACCII Criteria Compliance Cost'!J13,'ACCII GHG Compliance'!J13,'Current GHG Compliance'!J13)+IF(Table44[[#This Row],[Cold]:[Cold]]="Y",'Cold Weather Package'!J13,0)+IF(Table44[[#This Row],[eAWD]:[eAWD]]="Y",'eAWD Package'!J13,0)+IF(Table44[[#This Row],[Towing]:[Towing]]="Y",'Towing Bat Cost'!J13,0),"N/A")</f>
        <v>3174.0887426349746</v>
      </c>
      <c r="O12" s="157">
        <f>IF(Table44[[#This Row],[Applicable Package?]:[Applicable Package?]]="Y",SUM('Rolled Up Non-Incremental Costs'!K13,'ICE Removal Cost'!K13,'Trans Removal Cost'!K13,'LEV3 Criteria Emissions Cost'!K13,'ZEV Assembly Reductions'!K13,'ACCII Criteria Compliance Cost'!K13,'ACCII GHG Compliance'!K13,'Current GHG Compliance'!K13)+IF(Table44[[#This Row],[Cold]:[Cold]]="Y",'Cold Weather Package'!K13,0)+IF(Table44[[#This Row],[eAWD]:[eAWD]]="Y",'eAWD Package'!K13,0)+IF(Table44[[#This Row],[Towing]:[Towing]]="Y",'Towing Bat Cost'!K13,0),"N/A")</f>
        <v>2689.5394746610818</v>
      </c>
      <c r="P12" s="157">
        <f>IF(Table44[[#This Row],[Applicable Package?]:[Applicable Package?]]="Y",SUM('Rolled Up Non-Incremental Costs'!L13,'ICE Removal Cost'!L13,'Trans Removal Cost'!L13,'LEV3 Criteria Emissions Cost'!L13,'ZEV Assembly Reductions'!L13,'ACCII Criteria Compliance Cost'!L13,'ACCII GHG Compliance'!L13,'Current GHG Compliance'!L13)+IF(Table44[[#This Row],[Cold]:[Cold]]="Y",'Cold Weather Package'!L13,0)+IF(Table44[[#This Row],[eAWD]:[eAWD]]="Y",'eAWD Package'!L13,0)+IF(Table44[[#This Row],[Towing]:[Towing]]="Y",'Towing Bat Cost'!L13,0),"N/A")</f>
        <v>2229.3107332019063</v>
      </c>
      <c r="Q12" s="157">
        <f>IF(Table44[[#This Row],[Applicable Package?]:[Applicable Package?]]="Y",SUM('Rolled Up Non-Incremental Costs'!M13,'ICE Removal Cost'!M13,'Trans Removal Cost'!M13,'LEV3 Criteria Emissions Cost'!M13,'ZEV Assembly Reductions'!M13,'ACCII Criteria Compliance Cost'!M13,'ACCII GHG Compliance'!M13,'Current GHG Compliance'!M13)+IF(Table44[[#This Row],[Cold]:[Cold]]="Y",'Cold Weather Package'!M13,0)+IF(Table44[[#This Row],[eAWD]:[eAWD]]="Y",'eAWD Package'!M13,0)+IF(Table44[[#This Row],[Towing]:[Towing]]="Y",'Towing Bat Cost'!M13,0),"N/A")</f>
        <v>1792.0930548898377</v>
      </c>
      <c r="R12" s="157">
        <f>IF(Table44[[#This Row],[Applicable Package?]:[Applicable Package?]]="Y",SUM('Rolled Up Non-Incremental Costs'!N13,'ICE Removal Cost'!N13,'Trans Removal Cost'!N13,'LEV3 Criteria Emissions Cost'!N13,'ZEV Assembly Reductions'!N13,'ACCII Criteria Compliance Cost'!N13,'ACCII GHG Compliance'!N13,'Current GHG Compliance'!N13)+IF(Table44[[#This Row],[Cold]:[Cold]]="Y",'Cold Weather Package'!N13,0)+IF(Table44[[#This Row],[eAWD]:[eAWD]]="Y",'eAWD Package'!N13,0)+IF(Table44[[#This Row],[Towing]:[Towing]]="Y",'Towing Bat Cost'!N13,0),"N/A")</f>
        <v>1376.6484486220434</v>
      </c>
      <c r="S12" s="157">
        <f>IF(Table44[[#This Row],[Applicable Package?]:[Applicable Package?]]="Y",SUM('Rolled Up Non-Incremental Costs'!O13,'ICE Removal Cost'!O13,'Trans Removal Cost'!O13,'LEV3 Criteria Emissions Cost'!O13,'ZEV Assembly Reductions'!O13,'ACCII Criteria Compliance Cost'!O13,'ACCII GHG Compliance'!O13,'Current GHG Compliance'!O13)+IF(Table44[[#This Row],[Cold]:[Cold]]="Y",'Cold Weather Package'!O13,0)+IF(Table44[[#This Row],[eAWD]:[eAWD]]="Y",'eAWD Package'!O13,0)+IF(Table44[[#This Row],[Towing]:[Towing]]="Y",'Towing Bat Cost'!O13,0),"N/A")</f>
        <v>981.80648466254024</v>
      </c>
    </row>
    <row r="13" spans="1:19" x14ac:dyDescent="0.3">
      <c r="A13" t="str">
        <f t="shared" si="0"/>
        <v>PickupHTBEV400</v>
      </c>
      <c r="B13" s="90" t="str">
        <f>'Vehicle Attributes - Base Year'!B11</f>
        <v>Pickup</v>
      </c>
      <c r="C13" s="68" t="str">
        <f>'Vehicle Attributes - Base Year'!C11</f>
        <v>HT</v>
      </c>
      <c r="D13" s="68" t="str">
        <f>'Vehicle Attributes - Base Year'!D11</f>
        <v>BEV400</v>
      </c>
      <c r="E13" s="124" t="s">
        <v>77</v>
      </c>
      <c r="F13" s="124" t="s">
        <v>77</v>
      </c>
      <c r="G13" s="125" t="s">
        <v>77</v>
      </c>
      <c r="H13" s="156" t="s">
        <v>76</v>
      </c>
      <c r="I13" s="157">
        <f>IF(Table44[[#This Row],[Applicable Package?]:[Applicable Package?]]="Y",SUM('Rolled Up Non-Incremental Costs'!E14,'ICE Removal Cost'!E14,'Trans Removal Cost'!E14,'LEV3 Criteria Emissions Cost'!E14,'ZEV Assembly Reductions'!E14,'ACCII Criteria Compliance Cost'!E14,'ACCII GHG Compliance'!E14,'Current GHG Compliance'!E14)+IF(Table44[[#This Row],[Cold]:[Cold]]="Y",'Cold Weather Package'!E14,0)+IF(Table44[[#This Row],[eAWD]:[eAWD]]="Y",'eAWD Package'!E14,0)+IF(Table44[[#This Row],[Towing]:[Towing]]="Y",'Towing Bat Cost'!E14,0),"N/A")</f>
        <v>12110.612631578948</v>
      </c>
      <c r="J13" s="157">
        <f>IF(Table44[[#This Row],[Applicable Package?]:[Applicable Package?]]="Y",SUM('Rolled Up Non-Incremental Costs'!F14,'ICE Removal Cost'!F14,'Trans Removal Cost'!F14,'LEV3 Criteria Emissions Cost'!F14,'ZEV Assembly Reductions'!F14,'ACCII Criteria Compliance Cost'!F14,'ACCII GHG Compliance'!F14,'Current GHG Compliance'!F14)+IF(Table44[[#This Row],[Cold]:[Cold]]="Y",'Cold Weather Package'!F14,0)+IF(Table44[[#This Row],[eAWD]:[eAWD]]="Y",'eAWD Package'!F14,0)+IF(Table44[[#This Row],[Towing]:[Towing]]="Y",'Towing Bat Cost'!F14,0),"N/A")</f>
        <v>10848.887452631581</v>
      </c>
      <c r="K13" s="157">
        <f>IF(Table44[[#This Row],[Applicable Package?]:[Applicable Package?]]="Y",SUM('Rolled Up Non-Incremental Costs'!G14,'ICE Removal Cost'!G14,'Trans Removal Cost'!G14,'LEV3 Criteria Emissions Cost'!G14,'ZEV Assembly Reductions'!G14,'ACCII Criteria Compliance Cost'!G14,'ACCII GHG Compliance'!G14,'Current GHG Compliance'!G14)+IF(Table44[[#This Row],[Cold]:[Cold]]="Y",'Cold Weather Package'!G14,0)+IF(Table44[[#This Row],[eAWD]:[eAWD]]="Y",'eAWD Package'!G14,0)+IF(Table44[[#This Row],[Towing]:[Towing]]="Y",'Towing Bat Cost'!G14,0),"N/A")</f>
        <v>9677.6782227526346</v>
      </c>
      <c r="L13" s="157">
        <f>IF(Table44[[#This Row],[Applicable Package?]:[Applicable Package?]]="Y",SUM('Rolled Up Non-Incremental Costs'!H14,'ICE Removal Cost'!H14,'Trans Removal Cost'!H14,'LEV3 Criteria Emissions Cost'!H14,'ZEV Assembly Reductions'!H14,'ACCII Criteria Compliance Cost'!H14,'ACCII GHG Compliance'!H14,'Current GHG Compliance'!H14)+IF(Table44[[#This Row],[Cold]:[Cold]]="Y",'Cold Weather Package'!H14,0)+IF(Table44[[#This Row],[eAWD]:[eAWD]]="Y",'eAWD Package'!H14,0)+IF(Table44[[#This Row],[Towing]:[Towing]]="Y",'Towing Bat Cost'!H14,0),"N/A")</f>
        <v>8590.2646446995459</v>
      </c>
      <c r="M13" s="157">
        <f>IF(Table44[[#This Row],[Applicable Package?]:[Applicable Package?]]="Y",SUM('Rolled Up Non-Incremental Costs'!I14,'ICE Removal Cost'!I14,'Trans Removal Cost'!I14,'LEV3 Criteria Emissions Cost'!I14,'ZEV Assembly Reductions'!I14,'ACCII Criteria Compliance Cost'!I14,'ACCII GHG Compliance'!I14,'Current GHG Compliance'!I14)+IF(Table44[[#This Row],[Cold]:[Cold]]="Y",'Cold Weather Package'!I14,0)+IF(Table44[[#This Row],[eAWD]:[eAWD]]="Y",'eAWD Package'!I14,0)+IF(Table44[[#This Row],[Towing]:[Towing]]="Y",'Towing Bat Cost'!I14,0),"N/A")</f>
        <v>7580.427724235371</v>
      </c>
      <c r="N13" s="157">
        <f>IF(Table44[[#This Row],[Applicable Package?]:[Applicable Package?]]="Y",SUM('Rolled Up Non-Incremental Costs'!J14,'ICE Removal Cost'!J14,'Trans Removal Cost'!J14,'LEV3 Criteria Emissions Cost'!J14,'ZEV Assembly Reductions'!J14,'ACCII Criteria Compliance Cost'!J14,'ACCII GHG Compliance'!J14,'Current GHG Compliance'!J14)+IF(Table44[[#This Row],[Cold]:[Cold]]="Y",'Cold Weather Package'!J14,0)+IF(Table44[[#This Row],[eAWD]:[eAWD]]="Y",'eAWD Package'!J14,0)+IF(Table44[[#This Row],[Towing]:[Towing]]="Y",'Towing Bat Cost'!J14,0),"N/A")</f>
        <v>6825.4660755572622</v>
      </c>
      <c r="O13" s="157">
        <f>IF(Table44[[#This Row],[Applicable Package?]:[Applicable Package?]]="Y",SUM('Rolled Up Non-Incremental Costs'!K14,'ICE Removal Cost'!K14,'Trans Removal Cost'!K14,'LEV3 Criteria Emissions Cost'!K14,'ZEV Assembly Reductions'!K14,'ACCII Criteria Compliance Cost'!K14,'ACCII GHG Compliance'!K14,'Current GHG Compliance'!K14)+IF(Table44[[#This Row],[Cold]:[Cold]]="Y",'Cold Weather Package'!K14,0)+IF(Table44[[#This Row],[eAWD]:[eAWD]]="Y",'eAWD Package'!K14,0)+IF(Table44[[#This Row],[Towing]:[Towing]]="Y",'Towing Bat Cost'!K14,0),"N/A")</f>
        <v>6161.8532338099994</v>
      </c>
      <c r="P13" s="157">
        <f>IF(Table44[[#This Row],[Applicable Package?]:[Applicable Package?]]="Y",SUM('Rolled Up Non-Incremental Costs'!L14,'ICE Removal Cost'!L14,'Trans Removal Cost'!L14,'LEV3 Criteria Emissions Cost'!L14,'ZEV Assembly Reductions'!L14,'ACCII Criteria Compliance Cost'!L14,'ACCII GHG Compliance'!L14,'Current GHG Compliance'!L14)+IF(Table44[[#This Row],[Cold]:[Cold]]="Y",'Cold Weather Package'!L14,0)+IF(Table44[[#This Row],[eAWD]:[eAWD]]="Y",'eAWD Package'!L14,0)+IF(Table44[[#This Row],[Towing]:[Towing]]="Y",'Towing Bat Cost'!L14,0),"N/A")</f>
        <v>5532.1561558895046</v>
      </c>
      <c r="Q13" s="157">
        <f>IF(Table44[[#This Row],[Applicable Package?]:[Applicable Package?]]="Y",SUM('Rolled Up Non-Incremental Costs'!M14,'ICE Removal Cost'!M14,'Trans Removal Cost'!M14,'LEV3 Criteria Emissions Cost'!M14,'ZEV Assembly Reductions'!M14,'ACCII Criteria Compliance Cost'!M14,'ACCII GHG Compliance'!M14,'Current GHG Compliance'!M14)+IF(Table44[[#This Row],[Cold]:[Cold]]="Y",'Cold Weather Package'!M14,0)+IF(Table44[[#This Row],[eAWD]:[eAWD]]="Y",'eAWD Package'!M14,0)+IF(Table44[[#This Row],[Towing]:[Towing]]="Y",'Towing Bat Cost'!M14,0),"N/A")</f>
        <v>4934.5421241188524</v>
      </c>
      <c r="R13" s="157">
        <f>IF(Table44[[#This Row],[Applicable Package?]:[Applicable Package?]]="Y",SUM('Rolled Up Non-Incremental Costs'!N14,'ICE Removal Cost'!N14,'Trans Removal Cost'!N14,'LEV3 Criteria Emissions Cost'!N14,'ZEV Assembly Reductions'!N14,'ACCII Criteria Compliance Cost'!N14,'ACCII GHG Compliance'!N14,'Current GHG Compliance'!N14)+IF(Table44[[#This Row],[Cold]:[Cold]]="Y",'Cold Weather Package'!N14,0)+IF(Table44[[#This Row],[eAWD]:[eAWD]]="Y",'eAWD Package'!N14,0)+IF(Table44[[#This Row],[Towing]:[Towing]]="Y",'Towing Bat Cost'!N14,0),"N/A")</f>
        <v>4367.2785204100001</v>
      </c>
      <c r="S13" s="157">
        <f>IF(Table44[[#This Row],[Applicable Package?]:[Applicable Package?]]="Y",SUM('Rolled Up Non-Incremental Costs'!O14,'ICE Removal Cost'!O14,'Trans Removal Cost'!O14,'LEV3 Criteria Emissions Cost'!O14,'ZEV Assembly Reductions'!O14,'ACCII Criteria Compliance Cost'!O14,'ACCII GHG Compliance'!O14,'Current GHG Compliance'!O14)+IF(Table44[[#This Row],[Cold]:[Cold]]="Y",'Cold Weather Package'!O14,0)+IF(Table44[[#This Row],[eAWD]:[eAWD]]="Y",'eAWD Package'!O14,0)+IF(Table44[[#This Row],[Towing]:[Towing]]="Y",'Towing Bat Cost'!O14,0),"N/A")</f>
        <v>3828.7273482283399</v>
      </c>
    </row>
    <row r="14" spans="1:19" x14ac:dyDescent="0.3">
      <c r="A14" s="28" t="str">
        <f t="shared" si="0"/>
        <v>SmallCarBasePHEV50</v>
      </c>
      <c r="B14" s="90" t="str">
        <f>'Vehicle Attributes - Base Year'!B12</f>
        <v>SmallCar</v>
      </c>
      <c r="C14" s="68" t="str">
        <f>'Vehicle Attributes - Base Year'!C12</f>
        <v>Base</v>
      </c>
      <c r="D14" s="68" t="str">
        <f>'Vehicle Attributes - Base Year'!D12</f>
        <v>PHEV50</v>
      </c>
      <c r="E14" s="124" t="s">
        <v>77</v>
      </c>
      <c r="F14" s="124" t="s">
        <v>77</v>
      </c>
      <c r="G14" s="125" t="s">
        <v>77</v>
      </c>
      <c r="H14" s="156" t="s">
        <v>76</v>
      </c>
      <c r="I14" s="157">
        <f>IF(Table44[[#This Row],[Applicable Package?]:[Applicable Package?]]="Y",SUM('Rolled Up Non-Incremental Costs'!E15,'ICE Removal Cost'!E15,'Trans Removal Cost'!E15,'LEV3 Criteria Emissions Cost'!E15,'ZEV Assembly Reductions'!E15,'ACCII Criteria Compliance Cost'!E15,'ACCII GHG Compliance'!E15,'Current GHG Compliance'!E15)+IF(Table44[[#This Row],[Cold]:[Cold]]="Y",'Cold Weather Package'!E15,0)+IF(Table44[[#This Row],[eAWD]:[eAWD]]="Y",'eAWD Package'!E15,0)+IF(Table44[[#This Row],[Towing]:[Towing]]="Y",'Towing Bat Cost'!E15,0),"N/A")</f>
        <v>3845.7448529411768</v>
      </c>
      <c r="J14" s="157">
        <f>IF(Table44[[#This Row],[Applicable Package?]:[Applicable Package?]]="Y",SUM('Rolled Up Non-Incremental Costs'!F15,'ICE Removal Cost'!F15,'Trans Removal Cost'!F15,'LEV3 Criteria Emissions Cost'!F15,'ZEV Assembly Reductions'!F15,'ACCII Criteria Compliance Cost'!F15,'ACCII GHG Compliance'!F15,'Current GHG Compliance'!F15)+IF(Table44[[#This Row],[Cold]:[Cold]]="Y",'Cold Weather Package'!F15,0)+IF(Table44[[#This Row],[eAWD]:[eAWD]]="Y",'eAWD Package'!F15,0)+IF(Table44[[#This Row],[Towing]:[Towing]]="Y",'Towing Bat Cost'!F15,0),"N/A")</f>
        <v>3638.8322852941174</v>
      </c>
      <c r="K14" s="157">
        <f>IF(Table44[[#This Row],[Applicable Package?]:[Applicable Package?]]="Y",SUM('Rolled Up Non-Incremental Costs'!G15,'ICE Removal Cost'!G15,'Trans Removal Cost'!G15,'LEV3 Criteria Emissions Cost'!G15,'ZEV Assembly Reductions'!G15,'ACCII Criteria Compliance Cost'!G15,'ACCII GHG Compliance'!G15,'Current GHG Compliance'!G15)+IF(Table44[[#This Row],[Cold]:[Cold]]="Y",'Cold Weather Package'!G15,0)+IF(Table44[[#This Row],[eAWD]:[eAWD]]="Y",'eAWD Package'!G15,0)+IF(Table44[[#This Row],[Towing]:[Towing]]="Y",'Towing Bat Cost'!G15,0),"N/A")</f>
        <v>3445.8436454656621</v>
      </c>
      <c r="L14" s="157">
        <f>IF(Table44[[#This Row],[Applicable Package?]:[Applicable Package?]]="Y",SUM('Rolled Up Non-Incremental Costs'!H15,'ICE Removal Cost'!H15,'Trans Removal Cost'!H15,'LEV3 Criteria Emissions Cost'!H15,'ZEV Assembly Reductions'!H15,'ACCII Criteria Compliance Cost'!H15,'ACCII GHG Compliance'!H15,'Current GHG Compliance'!H15)+IF(Table44[[#This Row],[Cold]:[Cold]]="Y",'Cold Weather Package'!H15,0)+IF(Table44[[#This Row],[eAWD]:[eAWD]]="Y",'eAWD Package'!H15,0)+IF(Table44[[#This Row],[Towing]:[Towing]]="Y",'Towing Bat Cost'!H15,0),"N/A")</f>
        <v>3265.754733197713</v>
      </c>
      <c r="M14" s="157">
        <f>IF(Table44[[#This Row],[Applicable Package?]:[Applicable Package?]]="Y",SUM('Rolled Up Non-Incremental Costs'!I15,'ICE Removal Cost'!I15,'Trans Removal Cost'!I15,'LEV3 Criteria Emissions Cost'!I15,'ZEV Assembly Reductions'!I15,'ACCII Criteria Compliance Cost'!I15,'ACCII GHG Compliance'!I15,'Current GHG Compliance'!I15)+IF(Table44[[#This Row],[Cold]:[Cold]]="Y",'Cold Weather Package'!I15,0)+IF(Table44[[#This Row],[eAWD]:[eAWD]]="Y",'eAWD Package'!I15,0)+IF(Table44[[#This Row],[Towing]:[Towing]]="Y",'Towing Bat Cost'!I15,0),"N/A")</f>
        <v>3097.6176525719056</v>
      </c>
      <c r="N14" s="157">
        <f>IF(Table44[[#This Row],[Applicable Package?]:[Applicable Package?]]="Y",SUM('Rolled Up Non-Incremental Costs'!J15,'ICE Removal Cost'!J15,'Trans Removal Cost'!J15,'LEV3 Criteria Emissions Cost'!J15,'ZEV Assembly Reductions'!J15,'ACCII Criteria Compliance Cost'!J15,'ACCII GHG Compliance'!J15,'Current GHG Compliance'!J15)+IF(Table44[[#This Row],[Cold]:[Cold]]="Y",'Cold Weather Package'!J15,0)+IF(Table44[[#This Row],[eAWD]:[eAWD]]="Y",'eAWD Package'!J15,0)+IF(Table44[[#This Row],[Towing]:[Towing]]="Y",'Towing Bat Cost'!J15,0),"N/A")</f>
        <v>2968.4126523332334</v>
      </c>
      <c r="O14" s="157">
        <f>IF(Table44[[#This Row],[Applicable Package?]:[Applicable Package?]]="Y",SUM('Rolled Up Non-Incremental Costs'!K15,'ICE Removal Cost'!K15,'Trans Removal Cost'!K15,'LEV3 Criteria Emissions Cost'!K15,'ZEV Assembly Reductions'!K15,'ACCII Criteria Compliance Cost'!K15,'ACCII GHG Compliance'!K15,'Current GHG Compliance'!K15)+IF(Table44[[#This Row],[Cold]:[Cold]]="Y",'Cold Weather Package'!K15,0)+IF(Table44[[#This Row],[eAWD]:[eAWD]]="Y",'eAWD Package'!K15,0)+IF(Table44[[#This Row],[Towing]:[Towing]]="Y",'Towing Bat Cost'!K15,0),"N/A")</f>
        <v>2853.2524548012457</v>
      </c>
      <c r="P14" s="157">
        <f>IF(Table44[[#This Row],[Applicable Package?]:[Applicable Package?]]="Y",SUM('Rolled Up Non-Incremental Costs'!L15,'ICE Removal Cost'!L15,'Trans Removal Cost'!L15,'LEV3 Criteria Emissions Cost'!L15,'ZEV Assembly Reductions'!L15,'ACCII Criteria Compliance Cost'!L15,'ACCII GHG Compliance'!L15,'Current GHG Compliance'!L15)+IF(Table44[[#This Row],[Cold]:[Cold]]="Y",'Cold Weather Package'!L15,0)+IF(Table44[[#This Row],[eAWD]:[eAWD]]="Y",'eAWD Package'!L15,0)+IF(Table44[[#This Row],[Towing]:[Towing]]="Y",'Towing Bat Cost'!L15,0),"N/A")</f>
        <v>2743.3953366323012</v>
      </c>
      <c r="Q14" s="157">
        <f>IF(Table44[[#This Row],[Applicable Package?]:[Applicable Package?]]="Y",SUM('Rolled Up Non-Incremental Costs'!M15,'ICE Removal Cost'!M15,'Trans Removal Cost'!M15,'LEV3 Criteria Emissions Cost'!M15,'ZEV Assembly Reductions'!M15,'ACCII Criteria Compliance Cost'!M15,'ACCII GHG Compliance'!M15,'Current GHG Compliance'!M15)+IF(Table44[[#This Row],[Cold]:[Cold]]="Y",'Cold Weather Package'!M15,0)+IF(Table44[[#This Row],[eAWD]:[eAWD]]="Y",'eAWD Package'!M15,0)+IF(Table44[[#This Row],[Towing]:[Towing]]="Y",'Towing Bat Cost'!M15,0),"N/A")</f>
        <v>2638.5609736457927</v>
      </c>
      <c r="R14" s="157">
        <f>IF(Table44[[#This Row],[Applicable Package?]:[Applicable Package?]]="Y",SUM('Rolled Up Non-Incremental Costs'!N15,'ICE Removal Cost'!N15,'Trans Removal Cost'!N15,'LEV3 Criteria Emissions Cost'!N15,'ZEV Assembly Reductions'!N15,'ACCII Criteria Compliance Cost'!N15,'ACCII GHG Compliance'!N15,'Current GHG Compliance'!N15)+IF(Table44[[#This Row],[Cold]:[Cold]]="Y",'Cold Weather Package'!N15,0)+IF(Table44[[#This Row],[eAWD]:[eAWD]]="Y",'eAWD Package'!N15,0)+IF(Table44[[#This Row],[Towing]:[Towing]]="Y",'Towing Bat Cost'!N15,0),"N/A")</f>
        <v>2538.484289215854</v>
      </c>
      <c r="S14" s="157">
        <f>IF(Table44[[#This Row],[Applicable Package?]:[Applicable Package?]]="Y",SUM('Rolled Up Non-Incremental Costs'!O15,'ICE Removal Cost'!O15,'Trans Removal Cost'!O15,'LEV3 Criteria Emissions Cost'!O15,'ZEV Assembly Reductions'!O15,'ACCII Criteria Compliance Cost'!O15,'ACCII GHG Compliance'!O15,'Current GHG Compliance'!O15)+IF(Table44[[#This Row],[Cold]:[Cold]]="Y",'Cold Weather Package'!O15,0)+IF(Table44[[#This Row],[eAWD]:[eAWD]]="Y",'eAWD Package'!O15,0)+IF(Table44[[#This Row],[Towing]:[Towing]]="Y",'Towing Bat Cost'!O15,0),"N/A")</f>
        <v>2442.9146204696826</v>
      </c>
    </row>
    <row r="15" spans="1:19" x14ac:dyDescent="0.3">
      <c r="A15" t="str">
        <f t="shared" si="0"/>
        <v>SmallCarPremiumPHEV50</v>
      </c>
      <c r="B15" s="90" t="str">
        <f>'Vehicle Attributes - Base Year'!B13</f>
        <v>SmallCar</v>
      </c>
      <c r="C15" s="68" t="str">
        <f>'Vehicle Attributes - Base Year'!C13</f>
        <v>Premium</v>
      </c>
      <c r="D15" s="68" t="str">
        <f>'Vehicle Attributes - Base Year'!D13</f>
        <v>PHEV50</v>
      </c>
      <c r="E15" s="124" t="s">
        <v>77</v>
      </c>
      <c r="F15" s="124" t="s">
        <v>77</v>
      </c>
      <c r="G15" s="125" t="s">
        <v>77</v>
      </c>
      <c r="H15" s="156" t="s">
        <v>76</v>
      </c>
      <c r="I15" s="157">
        <f>IF(Table44[[#This Row],[Applicable Package?]:[Applicable Package?]]="Y",SUM('Rolled Up Non-Incremental Costs'!E16,'ICE Removal Cost'!E16,'Trans Removal Cost'!E16,'LEV3 Criteria Emissions Cost'!E16,'ZEV Assembly Reductions'!E16,'ACCII Criteria Compliance Cost'!E16,'ACCII GHG Compliance'!E16,'Current GHG Compliance'!E16)+IF(Table44[[#This Row],[Cold]:[Cold]]="Y",'Cold Weather Package'!E16,0)+IF(Table44[[#This Row],[eAWD]:[eAWD]]="Y",'eAWD Package'!E16,0)+IF(Table44[[#This Row],[Towing]:[Towing]]="Y",'Towing Bat Cost'!E16,0),"N/A")</f>
        <v>3845.7448529411768</v>
      </c>
      <c r="J15" s="157">
        <f>IF(Table44[[#This Row],[Applicable Package?]:[Applicable Package?]]="Y",SUM('Rolled Up Non-Incremental Costs'!F16,'ICE Removal Cost'!F16,'Trans Removal Cost'!F16,'LEV3 Criteria Emissions Cost'!F16,'ZEV Assembly Reductions'!F16,'ACCII Criteria Compliance Cost'!F16,'ACCII GHG Compliance'!F16,'Current GHG Compliance'!F16)+IF(Table44[[#This Row],[Cold]:[Cold]]="Y",'Cold Weather Package'!F16,0)+IF(Table44[[#This Row],[eAWD]:[eAWD]]="Y",'eAWD Package'!F16,0)+IF(Table44[[#This Row],[Towing]:[Towing]]="Y",'Towing Bat Cost'!F16,0),"N/A")</f>
        <v>3638.8322852941174</v>
      </c>
      <c r="K15" s="157">
        <f>IF(Table44[[#This Row],[Applicable Package?]:[Applicable Package?]]="Y",SUM('Rolled Up Non-Incremental Costs'!G16,'ICE Removal Cost'!G16,'Trans Removal Cost'!G16,'LEV3 Criteria Emissions Cost'!G16,'ZEV Assembly Reductions'!G16,'ACCII Criteria Compliance Cost'!G16,'ACCII GHG Compliance'!G16,'Current GHG Compliance'!G16)+IF(Table44[[#This Row],[Cold]:[Cold]]="Y",'Cold Weather Package'!G16,0)+IF(Table44[[#This Row],[eAWD]:[eAWD]]="Y",'eAWD Package'!G16,0)+IF(Table44[[#This Row],[Towing]:[Towing]]="Y",'Towing Bat Cost'!G16,0),"N/A")</f>
        <v>3445.8436454656621</v>
      </c>
      <c r="L15" s="157">
        <f>IF(Table44[[#This Row],[Applicable Package?]:[Applicable Package?]]="Y",SUM('Rolled Up Non-Incremental Costs'!H16,'ICE Removal Cost'!H16,'Trans Removal Cost'!H16,'LEV3 Criteria Emissions Cost'!H16,'ZEV Assembly Reductions'!H16,'ACCII Criteria Compliance Cost'!H16,'ACCII GHG Compliance'!H16,'Current GHG Compliance'!H16)+IF(Table44[[#This Row],[Cold]:[Cold]]="Y",'Cold Weather Package'!H16,0)+IF(Table44[[#This Row],[eAWD]:[eAWD]]="Y",'eAWD Package'!H16,0)+IF(Table44[[#This Row],[Towing]:[Towing]]="Y",'Towing Bat Cost'!H16,0),"N/A")</f>
        <v>3265.754733197713</v>
      </c>
      <c r="M15" s="157">
        <f>IF(Table44[[#This Row],[Applicable Package?]:[Applicable Package?]]="Y",SUM('Rolled Up Non-Incremental Costs'!I16,'ICE Removal Cost'!I16,'Trans Removal Cost'!I16,'LEV3 Criteria Emissions Cost'!I16,'ZEV Assembly Reductions'!I16,'ACCII Criteria Compliance Cost'!I16,'ACCII GHG Compliance'!I16,'Current GHG Compliance'!I16)+IF(Table44[[#This Row],[Cold]:[Cold]]="Y",'Cold Weather Package'!I16,0)+IF(Table44[[#This Row],[eAWD]:[eAWD]]="Y",'eAWD Package'!I16,0)+IF(Table44[[#This Row],[Towing]:[Towing]]="Y",'Towing Bat Cost'!I16,0),"N/A")</f>
        <v>3097.6176525719056</v>
      </c>
      <c r="N15" s="157">
        <f>IF(Table44[[#This Row],[Applicable Package?]:[Applicable Package?]]="Y",SUM('Rolled Up Non-Incremental Costs'!J16,'ICE Removal Cost'!J16,'Trans Removal Cost'!J16,'LEV3 Criteria Emissions Cost'!J16,'ZEV Assembly Reductions'!J16,'ACCII Criteria Compliance Cost'!J16,'ACCII GHG Compliance'!J16,'Current GHG Compliance'!J16)+IF(Table44[[#This Row],[Cold]:[Cold]]="Y",'Cold Weather Package'!J16,0)+IF(Table44[[#This Row],[eAWD]:[eAWD]]="Y",'eAWD Package'!J16,0)+IF(Table44[[#This Row],[Towing]:[Towing]]="Y",'Towing Bat Cost'!J16,0),"N/A")</f>
        <v>2968.4126523332334</v>
      </c>
      <c r="O15" s="157">
        <f>IF(Table44[[#This Row],[Applicable Package?]:[Applicable Package?]]="Y",SUM('Rolled Up Non-Incremental Costs'!K16,'ICE Removal Cost'!K16,'Trans Removal Cost'!K16,'LEV3 Criteria Emissions Cost'!K16,'ZEV Assembly Reductions'!K16,'ACCII Criteria Compliance Cost'!K16,'ACCII GHG Compliance'!K16,'Current GHG Compliance'!K16)+IF(Table44[[#This Row],[Cold]:[Cold]]="Y",'Cold Weather Package'!K16,0)+IF(Table44[[#This Row],[eAWD]:[eAWD]]="Y",'eAWD Package'!K16,0)+IF(Table44[[#This Row],[Towing]:[Towing]]="Y",'Towing Bat Cost'!K16,0),"N/A")</f>
        <v>2853.2524548012457</v>
      </c>
      <c r="P15" s="157">
        <f>IF(Table44[[#This Row],[Applicable Package?]:[Applicable Package?]]="Y",SUM('Rolled Up Non-Incremental Costs'!L16,'ICE Removal Cost'!L16,'Trans Removal Cost'!L16,'LEV3 Criteria Emissions Cost'!L16,'ZEV Assembly Reductions'!L16,'ACCII Criteria Compliance Cost'!L16,'ACCII GHG Compliance'!L16,'Current GHG Compliance'!L16)+IF(Table44[[#This Row],[Cold]:[Cold]]="Y",'Cold Weather Package'!L16,0)+IF(Table44[[#This Row],[eAWD]:[eAWD]]="Y",'eAWD Package'!L16,0)+IF(Table44[[#This Row],[Towing]:[Towing]]="Y",'Towing Bat Cost'!L16,0),"N/A")</f>
        <v>2743.3953366323012</v>
      </c>
      <c r="Q15" s="157">
        <f>IF(Table44[[#This Row],[Applicable Package?]:[Applicable Package?]]="Y",SUM('Rolled Up Non-Incremental Costs'!M16,'ICE Removal Cost'!M16,'Trans Removal Cost'!M16,'LEV3 Criteria Emissions Cost'!M16,'ZEV Assembly Reductions'!M16,'ACCII Criteria Compliance Cost'!M16,'ACCII GHG Compliance'!M16,'Current GHG Compliance'!M16)+IF(Table44[[#This Row],[Cold]:[Cold]]="Y",'Cold Weather Package'!M16,0)+IF(Table44[[#This Row],[eAWD]:[eAWD]]="Y",'eAWD Package'!M16,0)+IF(Table44[[#This Row],[Towing]:[Towing]]="Y",'Towing Bat Cost'!M16,0),"N/A")</f>
        <v>2638.5609736457927</v>
      </c>
      <c r="R15" s="157">
        <f>IF(Table44[[#This Row],[Applicable Package?]:[Applicable Package?]]="Y",SUM('Rolled Up Non-Incremental Costs'!N16,'ICE Removal Cost'!N16,'Trans Removal Cost'!N16,'LEV3 Criteria Emissions Cost'!N16,'ZEV Assembly Reductions'!N16,'ACCII Criteria Compliance Cost'!N16,'ACCII GHG Compliance'!N16,'Current GHG Compliance'!N16)+IF(Table44[[#This Row],[Cold]:[Cold]]="Y",'Cold Weather Package'!N16,0)+IF(Table44[[#This Row],[eAWD]:[eAWD]]="Y",'eAWD Package'!N16,0)+IF(Table44[[#This Row],[Towing]:[Towing]]="Y",'Towing Bat Cost'!N16,0),"N/A")</f>
        <v>2538.484289215854</v>
      </c>
      <c r="S15" s="157">
        <f>IF(Table44[[#This Row],[Applicable Package?]:[Applicable Package?]]="Y",SUM('Rolled Up Non-Incremental Costs'!O16,'ICE Removal Cost'!O16,'Trans Removal Cost'!O16,'LEV3 Criteria Emissions Cost'!O16,'ZEV Assembly Reductions'!O16,'ACCII Criteria Compliance Cost'!O16,'ACCII GHG Compliance'!O16,'Current GHG Compliance'!O16)+IF(Table44[[#This Row],[Cold]:[Cold]]="Y",'Cold Weather Package'!O16,0)+IF(Table44[[#This Row],[eAWD]:[eAWD]]="Y",'eAWD Package'!O16,0)+IF(Table44[[#This Row],[Towing]:[Towing]]="Y",'Towing Bat Cost'!O16,0),"N/A")</f>
        <v>2442.9146204696826</v>
      </c>
    </row>
    <row r="16" spans="1:19" x14ac:dyDescent="0.3">
      <c r="A16" s="28" t="str">
        <f t="shared" si="0"/>
        <v>MedCarBasePHEV50</v>
      </c>
      <c r="B16" s="90" t="str">
        <f>'Vehicle Attributes - Base Year'!B14</f>
        <v>MedCar</v>
      </c>
      <c r="C16" s="68" t="str">
        <f>'Vehicle Attributes - Base Year'!C14</f>
        <v>Base</v>
      </c>
      <c r="D16" s="68" t="str">
        <f>'Vehicle Attributes - Base Year'!D14</f>
        <v>PHEV50</v>
      </c>
      <c r="E16" s="124" t="s">
        <v>77</v>
      </c>
      <c r="F16" s="124" t="s">
        <v>77</v>
      </c>
      <c r="G16" s="125" t="s">
        <v>77</v>
      </c>
      <c r="H16" s="156" t="s">
        <v>76</v>
      </c>
      <c r="I16" s="157">
        <f>IF(Table44[[#This Row],[Applicable Package?]:[Applicable Package?]]="Y",SUM('Rolled Up Non-Incremental Costs'!E17,'ICE Removal Cost'!E17,'Trans Removal Cost'!E17,'LEV3 Criteria Emissions Cost'!E17,'ZEV Assembly Reductions'!E17,'ACCII Criteria Compliance Cost'!E17,'ACCII GHG Compliance'!E17,'Current GHG Compliance'!E17)+IF(Table44[[#This Row],[Cold]:[Cold]]="Y",'Cold Weather Package'!E17,0)+IF(Table44[[#This Row],[eAWD]:[eAWD]]="Y",'eAWD Package'!E17,0)+IF(Table44[[#This Row],[Towing]:[Towing]]="Y",'Towing Bat Cost'!E17,0),"N/A")</f>
        <v>4182.5249994570131</v>
      </c>
      <c r="J16" s="157">
        <f>IF(Table44[[#This Row],[Applicable Package?]:[Applicable Package?]]="Y",SUM('Rolled Up Non-Incremental Costs'!F17,'ICE Removal Cost'!F17,'Trans Removal Cost'!F17,'LEV3 Criteria Emissions Cost'!F17,'ZEV Assembly Reductions'!F17,'ACCII Criteria Compliance Cost'!F17,'ACCII GHG Compliance'!F17,'Current GHG Compliance'!F17)+IF(Table44[[#This Row],[Cold]:[Cold]]="Y",'Cold Weather Package'!F17,0)+IF(Table44[[#This Row],[eAWD]:[eAWD]]="Y",'eAWD Package'!F17,0)+IF(Table44[[#This Row],[Towing]:[Towing]]="Y",'Towing Bat Cost'!F17,0),"N/A")</f>
        <v>3960.7844671095027</v>
      </c>
      <c r="K16" s="157">
        <f>IF(Table44[[#This Row],[Applicable Package?]:[Applicable Package?]]="Y",SUM('Rolled Up Non-Incremental Costs'!G17,'ICE Removal Cost'!G17,'Trans Removal Cost'!G17,'LEV3 Criteria Emissions Cost'!G17,'ZEV Assembly Reductions'!G17,'ACCII Criteria Compliance Cost'!G17,'ACCII GHG Compliance'!G17,'Current GHG Compliance'!G17)+IF(Table44[[#This Row],[Cold]:[Cold]]="Y",'Cold Weather Package'!G17,0)+IF(Table44[[#This Row],[eAWD]:[eAWD]]="Y",'eAWD Package'!G17,0)+IF(Table44[[#This Row],[Towing]:[Towing]]="Y",'Towing Bat Cost'!G17,0),"N/A")</f>
        <v>3753.9716434131133</v>
      </c>
      <c r="L16" s="157">
        <f>IF(Table44[[#This Row],[Applicable Package?]:[Applicable Package?]]="Y",SUM('Rolled Up Non-Incremental Costs'!H17,'ICE Removal Cost'!H17,'Trans Removal Cost'!H17,'LEV3 Criteria Emissions Cost'!H17,'ZEV Assembly Reductions'!H17,'ACCII Criteria Compliance Cost'!H17,'ACCII GHG Compliance'!H17,'Current GHG Compliance'!H17)+IF(Table44[[#This Row],[Cold]:[Cold]]="Y",'Cold Weather Package'!H17,0)+IF(Table44[[#This Row],[eAWD]:[eAWD]]="Y",'eAWD Package'!H17,0)+IF(Table44[[#This Row],[Towing]:[Towing]]="Y",'Towing Bat Cost'!H17,0),"N/A")</f>
        <v>3560.988427137926</v>
      </c>
      <c r="M16" s="157">
        <f>IF(Table44[[#This Row],[Applicable Package?]:[Applicable Package?]]="Y",SUM('Rolled Up Non-Incremental Costs'!I17,'ICE Removal Cost'!I17,'Trans Removal Cost'!I17,'LEV3 Criteria Emissions Cost'!I17,'ZEV Assembly Reductions'!I17,'ACCII Criteria Compliance Cost'!I17,'ACCII GHG Compliance'!I17,'Current GHG Compliance'!I17)+IF(Table44[[#This Row],[Cold]:[Cold]]="Y",'Cold Weather Package'!I17,0)+IF(Table44[[#This Row],[eAWD]:[eAWD]]="Y",'eAWD Package'!I17,0)+IF(Table44[[#This Row],[Towing]:[Towing]]="Y",'Towing Bat Cost'!I17,0),"N/A")</f>
        <v>3380.818527788625</v>
      </c>
      <c r="N16" s="157">
        <f>IF(Table44[[#This Row],[Applicable Package?]:[Applicable Package?]]="Y",SUM('Rolled Up Non-Incremental Costs'!J17,'ICE Removal Cost'!J17,'Trans Removal Cost'!J17,'LEV3 Criteria Emissions Cost'!J17,'ZEV Assembly Reductions'!J17,'ACCII Criteria Compliance Cost'!J17,'ACCII GHG Compliance'!J17,'Current GHG Compliance'!J17)+IF(Table44[[#This Row],[Cold]:[Cold]]="Y",'Cold Weather Package'!J17,0)+IF(Table44[[#This Row],[eAWD]:[eAWD]]="Y",'eAWD Package'!J17,0)+IF(Table44[[#This Row],[Towing]:[Towing]]="Y",'Towing Bat Cost'!J17,0),"N/A")</f>
        <v>3242.3892325504603</v>
      </c>
      <c r="O16" s="157">
        <f>IF(Table44[[#This Row],[Applicable Package?]:[Applicable Package?]]="Y",SUM('Rolled Up Non-Incremental Costs'!K17,'ICE Removal Cost'!K17,'Trans Removal Cost'!K17,'LEV3 Criteria Emissions Cost'!K17,'ZEV Assembly Reductions'!K17,'ACCII Criteria Compliance Cost'!K17,'ACCII GHG Compliance'!K17,'Current GHG Compliance'!K17)+IF(Table44[[#This Row],[Cold]:[Cold]]="Y",'Cold Weather Package'!K17,0)+IF(Table44[[#This Row],[eAWD]:[eAWD]]="Y",'eAWD Package'!K17,0)+IF(Table44[[#This Row],[Towing]:[Towing]]="Y",'Towing Bat Cost'!K17,0),"N/A")</f>
        <v>3119.0172847105205</v>
      </c>
      <c r="P16" s="157">
        <f>IF(Table44[[#This Row],[Applicable Package?]:[Applicable Package?]]="Y",SUM('Rolled Up Non-Incremental Costs'!L17,'ICE Removal Cost'!L17,'Trans Removal Cost'!L17,'LEV3 Criteria Emissions Cost'!L17,'ZEV Assembly Reductions'!L17,'ACCII Criteria Compliance Cost'!L17,'ACCII GHG Compliance'!L17,'Current GHG Compliance'!L17)+IF(Table44[[#This Row],[Cold]:[Cold]]="Y",'Cold Weather Package'!L17,0)+IF(Table44[[#This Row],[eAWD]:[eAWD]]="Y",'eAWD Package'!L17,0)+IF(Table44[[#This Row],[Towing]:[Towing]]="Y",'Towing Bat Cost'!L17,0),"N/A")</f>
        <v>3001.3301248883954</v>
      </c>
      <c r="Q16" s="157">
        <f>IF(Table44[[#This Row],[Applicable Package?]:[Applicable Package?]]="Y",SUM('Rolled Up Non-Incremental Costs'!M17,'ICE Removal Cost'!M17,'Trans Removal Cost'!M17,'LEV3 Criteria Emissions Cost'!M17,'ZEV Assembly Reductions'!M17,'ACCII Criteria Compliance Cost'!M17,'ACCII GHG Compliance'!M17,'Current GHG Compliance'!M17)+IF(Table44[[#This Row],[Cold]:[Cold]]="Y",'Cold Weather Package'!M17,0)+IF(Table44[[#This Row],[eAWD]:[eAWD]]="Y",'eAWD Package'!M17,0)+IF(Table44[[#This Row],[Towing]:[Towing]]="Y",'Towing Bat Cost'!M17,0),"N/A")</f>
        <v>2889.0272092013747</v>
      </c>
      <c r="R16" s="157">
        <f>IF(Table44[[#This Row],[Applicable Package?]:[Applicable Package?]]="Y",SUM('Rolled Up Non-Incremental Costs'!N17,'ICE Removal Cost'!N17,'Trans Removal Cost'!N17,'LEV3 Criteria Emissions Cost'!N17,'ZEV Assembly Reductions'!N17,'ACCII Criteria Compliance Cost'!N17,'ACCII GHG Compliance'!N17,'Current GHG Compliance'!N17)+IF(Table44[[#This Row],[Cold]:[Cold]]="Y",'Cold Weather Package'!N17,0)+IF(Table44[[#This Row],[eAWD]:[eAWD]]="Y",'eAWD Package'!N17,0)+IF(Table44[[#This Row],[Towing]:[Towing]]="Y",'Towing Bat Cost'!N17,0),"N/A")</f>
        <v>2781.8243415617117</v>
      </c>
      <c r="S16" s="157">
        <f>IF(Table44[[#This Row],[Applicable Package?]:[Applicable Package?]]="Y",SUM('Rolled Up Non-Incremental Costs'!O17,'ICE Removal Cost'!O17,'Trans Removal Cost'!O17,'LEV3 Criteria Emissions Cost'!O17,'ZEV Assembly Reductions'!O17,'ACCII Criteria Compliance Cost'!O17,'ACCII GHG Compliance'!O17,'Current GHG Compliance'!O17)+IF(Table44[[#This Row],[Cold]:[Cold]]="Y",'Cold Weather Package'!O17,0)+IF(Table44[[#This Row],[eAWD]:[eAWD]]="Y",'eAWD Package'!O17,0)+IF(Table44[[#This Row],[Towing]:[Towing]]="Y",'Towing Bat Cost'!O17,0),"N/A")</f>
        <v>2679.4527797046785</v>
      </c>
    </row>
    <row r="17" spans="1:21" x14ac:dyDescent="0.3">
      <c r="A17" t="str">
        <f t="shared" si="0"/>
        <v>MedCarPremiumPHEV50</v>
      </c>
      <c r="B17" s="90" t="str">
        <f>'Vehicle Attributes - Base Year'!B15</f>
        <v>MedCar</v>
      </c>
      <c r="C17" s="68" t="str">
        <f>'Vehicle Attributes - Base Year'!C15</f>
        <v>Premium</v>
      </c>
      <c r="D17" s="68" t="str">
        <f>'Vehicle Attributes - Base Year'!D15</f>
        <v>PHEV50</v>
      </c>
      <c r="E17" s="124" t="s">
        <v>77</v>
      </c>
      <c r="F17" s="124" t="s">
        <v>77</v>
      </c>
      <c r="G17" s="125" t="s">
        <v>77</v>
      </c>
      <c r="H17" s="156" t="s">
        <v>76</v>
      </c>
      <c r="I17" s="157">
        <f>IF(Table44[[#This Row],[Applicable Package?]:[Applicable Package?]]="Y",SUM('Rolled Up Non-Incremental Costs'!E18,'ICE Removal Cost'!E18,'Trans Removal Cost'!E18,'LEV3 Criteria Emissions Cost'!E18,'ZEV Assembly Reductions'!E18,'ACCII Criteria Compliance Cost'!E18,'ACCII GHG Compliance'!E18,'Current GHG Compliance'!E18)+IF(Table44[[#This Row],[Cold]:[Cold]]="Y",'Cold Weather Package'!E18,0)+IF(Table44[[#This Row],[eAWD]:[eAWD]]="Y",'eAWD Package'!E18,0)+IF(Table44[[#This Row],[Towing]:[Towing]]="Y",'Towing Bat Cost'!E18,0),"N/A")</f>
        <v>4182.5249994570131</v>
      </c>
      <c r="J17" s="157">
        <f>IF(Table44[[#This Row],[Applicable Package?]:[Applicable Package?]]="Y",SUM('Rolled Up Non-Incremental Costs'!F18,'ICE Removal Cost'!F18,'Trans Removal Cost'!F18,'LEV3 Criteria Emissions Cost'!F18,'ZEV Assembly Reductions'!F18,'ACCII Criteria Compliance Cost'!F18,'ACCII GHG Compliance'!F18,'Current GHG Compliance'!F18)+IF(Table44[[#This Row],[Cold]:[Cold]]="Y",'Cold Weather Package'!F18,0)+IF(Table44[[#This Row],[eAWD]:[eAWD]]="Y",'eAWD Package'!F18,0)+IF(Table44[[#This Row],[Towing]:[Towing]]="Y",'Towing Bat Cost'!F18,0),"N/A")</f>
        <v>3960.7844671095027</v>
      </c>
      <c r="K17" s="157">
        <f>IF(Table44[[#This Row],[Applicable Package?]:[Applicable Package?]]="Y",SUM('Rolled Up Non-Incremental Costs'!G18,'ICE Removal Cost'!G18,'Trans Removal Cost'!G18,'LEV3 Criteria Emissions Cost'!G18,'ZEV Assembly Reductions'!G18,'ACCII Criteria Compliance Cost'!G18,'ACCII GHG Compliance'!G18,'Current GHG Compliance'!G18)+IF(Table44[[#This Row],[Cold]:[Cold]]="Y",'Cold Weather Package'!G18,0)+IF(Table44[[#This Row],[eAWD]:[eAWD]]="Y",'eAWD Package'!G18,0)+IF(Table44[[#This Row],[Towing]:[Towing]]="Y",'Towing Bat Cost'!G18,0),"N/A")</f>
        <v>3753.9716434131133</v>
      </c>
      <c r="L17" s="157">
        <f>IF(Table44[[#This Row],[Applicable Package?]:[Applicable Package?]]="Y",SUM('Rolled Up Non-Incremental Costs'!H18,'ICE Removal Cost'!H18,'Trans Removal Cost'!H18,'LEV3 Criteria Emissions Cost'!H18,'ZEV Assembly Reductions'!H18,'ACCII Criteria Compliance Cost'!H18,'ACCII GHG Compliance'!H18,'Current GHG Compliance'!H18)+IF(Table44[[#This Row],[Cold]:[Cold]]="Y",'Cold Weather Package'!H18,0)+IF(Table44[[#This Row],[eAWD]:[eAWD]]="Y",'eAWD Package'!H18,0)+IF(Table44[[#This Row],[Towing]:[Towing]]="Y",'Towing Bat Cost'!H18,0),"N/A")</f>
        <v>3560.988427137926</v>
      </c>
      <c r="M17" s="157">
        <f>IF(Table44[[#This Row],[Applicable Package?]:[Applicable Package?]]="Y",SUM('Rolled Up Non-Incremental Costs'!I18,'ICE Removal Cost'!I18,'Trans Removal Cost'!I18,'LEV3 Criteria Emissions Cost'!I18,'ZEV Assembly Reductions'!I18,'ACCII Criteria Compliance Cost'!I18,'ACCII GHG Compliance'!I18,'Current GHG Compliance'!I18)+IF(Table44[[#This Row],[Cold]:[Cold]]="Y",'Cold Weather Package'!I18,0)+IF(Table44[[#This Row],[eAWD]:[eAWD]]="Y",'eAWD Package'!I18,0)+IF(Table44[[#This Row],[Towing]:[Towing]]="Y",'Towing Bat Cost'!I18,0),"N/A")</f>
        <v>3380.818527788625</v>
      </c>
      <c r="N17" s="157">
        <f>IF(Table44[[#This Row],[Applicable Package?]:[Applicable Package?]]="Y",SUM('Rolled Up Non-Incremental Costs'!J18,'ICE Removal Cost'!J18,'Trans Removal Cost'!J18,'LEV3 Criteria Emissions Cost'!J18,'ZEV Assembly Reductions'!J18,'ACCII Criteria Compliance Cost'!J18,'ACCII GHG Compliance'!J18,'Current GHG Compliance'!J18)+IF(Table44[[#This Row],[Cold]:[Cold]]="Y",'Cold Weather Package'!J18,0)+IF(Table44[[#This Row],[eAWD]:[eAWD]]="Y",'eAWD Package'!J18,0)+IF(Table44[[#This Row],[Towing]:[Towing]]="Y",'Towing Bat Cost'!J18,0),"N/A")</f>
        <v>3242.3892325504603</v>
      </c>
      <c r="O17" s="157">
        <f>IF(Table44[[#This Row],[Applicable Package?]:[Applicable Package?]]="Y",SUM('Rolled Up Non-Incremental Costs'!K18,'ICE Removal Cost'!K18,'Trans Removal Cost'!K18,'LEV3 Criteria Emissions Cost'!K18,'ZEV Assembly Reductions'!K18,'ACCII Criteria Compliance Cost'!K18,'ACCII GHG Compliance'!K18,'Current GHG Compliance'!K18)+IF(Table44[[#This Row],[Cold]:[Cold]]="Y",'Cold Weather Package'!K18,0)+IF(Table44[[#This Row],[eAWD]:[eAWD]]="Y",'eAWD Package'!K18,0)+IF(Table44[[#This Row],[Towing]:[Towing]]="Y",'Towing Bat Cost'!K18,0),"N/A")</f>
        <v>3119.0172847105205</v>
      </c>
      <c r="P17" s="157">
        <f>IF(Table44[[#This Row],[Applicable Package?]:[Applicable Package?]]="Y",SUM('Rolled Up Non-Incremental Costs'!L18,'ICE Removal Cost'!L18,'Trans Removal Cost'!L18,'LEV3 Criteria Emissions Cost'!L18,'ZEV Assembly Reductions'!L18,'ACCII Criteria Compliance Cost'!L18,'ACCII GHG Compliance'!L18,'Current GHG Compliance'!L18)+IF(Table44[[#This Row],[Cold]:[Cold]]="Y",'Cold Weather Package'!L18,0)+IF(Table44[[#This Row],[eAWD]:[eAWD]]="Y",'eAWD Package'!L18,0)+IF(Table44[[#This Row],[Towing]:[Towing]]="Y",'Towing Bat Cost'!L18,0),"N/A")</f>
        <v>3001.3301248883954</v>
      </c>
      <c r="Q17" s="157">
        <f>IF(Table44[[#This Row],[Applicable Package?]:[Applicable Package?]]="Y",SUM('Rolled Up Non-Incremental Costs'!M18,'ICE Removal Cost'!M18,'Trans Removal Cost'!M18,'LEV3 Criteria Emissions Cost'!M18,'ZEV Assembly Reductions'!M18,'ACCII Criteria Compliance Cost'!M18,'ACCII GHG Compliance'!M18,'Current GHG Compliance'!M18)+IF(Table44[[#This Row],[Cold]:[Cold]]="Y",'Cold Weather Package'!M18,0)+IF(Table44[[#This Row],[eAWD]:[eAWD]]="Y",'eAWD Package'!M18,0)+IF(Table44[[#This Row],[Towing]:[Towing]]="Y",'Towing Bat Cost'!M18,0),"N/A")</f>
        <v>2889.0272092013747</v>
      </c>
      <c r="R17" s="157">
        <f>IF(Table44[[#This Row],[Applicable Package?]:[Applicable Package?]]="Y",SUM('Rolled Up Non-Incremental Costs'!N18,'ICE Removal Cost'!N18,'Trans Removal Cost'!N18,'LEV3 Criteria Emissions Cost'!N18,'ZEV Assembly Reductions'!N18,'ACCII Criteria Compliance Cost'!N18,'ACCII GHG Compliance'!N18,'Current GHG Compliance'!N18)+IF(Table44[[#This Row],[Cold]:[Cold]]="Y",'Cold Weather Package'!N18,0)+IF(Table44[[#This Row],[eAWD]:[eAWD]]="Y",'eAWD Package'!N18,0)+IF(Table44[[#This Row],[Towing]:[Towing]]="Y",'Towing Bat Cost'!N18,0),"N/A")</f>
        <v>2781.8243415617117</v>
      </c>
      <c r="S17" s="157">
        <f>IF(Table44[[#This Row],[Applicable Package?]:[Applicable Package?]]="Y",SUM('Rolled Up Non-Incremental Costs'!O18,'ICE Removal Cost'!O18,'Trans Removal Cost'!O18,'LEV3 Criteria Emissions Cost'!O18,'ZEV Assembly Reductions'!O18,'ACCII Criteria Compliance Cost'!O18,'ACCII GHG Compliance'!O18,'Current GHG Compliance'!O18)+IF(Table44[[#This Row],[Cold]:[Cold]]="Y",'Cold Weather Package'!O18,0)+IF(Table44[[#This Row],[eAWD]:[eAWD]]="Y",'eAWD Package'!O18,0)+IF(Table44[[#This Row],[Towing]:[Towing]]="Y",'Towing Bat Cost'!O18,0),"N/A")</f>
        <v>2679.4527797046785</v>
      </c>
    </row>
    <row r="18" spans="1:21" x14ac:dyDescent="0.3">
      <c r="A18" s="28" t="str">
        <f t="shared" si="0"/>
        <v>SmallSUVBasePHEV50</v>
      </c>
      <c r="B18" s="90" t="str">
        <f>'Vehicle Attributes - Base Year'!B16</f>
        <v>SmallSUV</v>
      </c>
      <c r="C18" s="68" t="str">
        <f>'Vehicle Attributes - Base Year'!C16</f>
        <v>Base</v>
      </c>
      <c r="D18" s="68" t="str">
        <f>'Vehicle Attributes - Base Year'!D16</f>
        <v>PHEV50</v>
      </c>
      <c r="E18" s="124" t="s">
        <v>77</v>
      </c>
      <c r="F18" s="124" t="s">
        <v>77</v>
      </c>
      <c r="G18" s="125" t="s">
        <v>77</v>
      </c>
      <c r="H18" s="156" t="s">
        <v>76</v>
      </c>
      <c r="I18" s="157">
        <f>IF(Table44[[#This Row],[Applicable Package?]:[Applicable Package?]]="Y",SUM('Rolled Up Non-Incremental Costs'!E19,'ICE Removal Cost'!E19,'Trans Removal Cost'!E19,'LEV3 Criteria Emissions Cost'!E19,'ZEV Assembly Reductions'!E19,'ACCII Criteria Compliance Cost'!E19,'ACCII GHG Compliance'!E19,'Current GHG Compliance'!E19)+IF(Table44[[#This Row],[Cold]:[Cold]]="Y",'Cold Weather Package'!E19,0)+IF(Table44[[#This Row],[eAWD]:[eAWD]]="Y",'eAWD Package'!E19,0)+IF(Table44[[#This Row],[Towing]:[Towing]]="Y",'Towing Bat Cost'!E19,0),"N/A")</f>
        <v>4606.6983843951166</v>
      </c>
      <c r="J18" s="157">
        <f>IF(Table44[[#This Row],[Applicable Package?]:[Applicable Package?]]="Y",SUM('Rolled Up Non-Incremental Costs'!F19,'ICE Removal Cost'!F19,'Trans Removal Cost'!F19,'LEV3 Criteria Emissions Cost'!F19,'ZEV Assembly Reductions'!F19,'ACCII Criteria Compliance Cost'!F19,'ACCII GHG Compliance'!F19,'Current GHG Compliance'!F19)+IF(Table44[[#This Row],[Cold]:[Cold]]="Y",'Cold Weather Package'!F19,0)+IF(Table44[[#This Row],[eAWD]:[eAWD]]="Y",'eAWD Package'!F19,0)+IF(Table44[[#This Row],[Towing]:[Towing]]="Y",'Towing Bat Cost'!F19,0),"N/A")</f>
        <v>4355.6129034923415</v>
      </c>
      <c r="K18" s="157">
        <f>IF(Table44[[#This Row],[Applicable Package?]:[Applicable Package?]]="Y",SUM('Rolled Up Non-Incremental Costs'!G19,'ICE Removal Cost'!G19,'Trans Removal Cost'!G19,'LEV3 Criteria Emissions Cost'!G19,'ZEV Assembly Reductions'!G19,'ACCII Criteria Compliance Cost'!G19,'ACCII GHG Compliance'!G19,'Current GHG Compliance'!G19)+IF(Table44[[#This Row],[Cold]:[Cold]]="Y",'Cold Weather Package'!G19,0)+IF(Table44[[#This Row],[eAWD]:[eAWD]]="Y",'eAWD Package'!G19,0)+IF(Table44[[#This Row],[Towing]:[Towing]]="Y",'Towing Bat Cost'!G19,0),"N/A")</f>
        <v>4121.6225357040366</v>
      </c>
      <c r="L18" s="157">
        <f>IF(Table44[[#This Row],[Applicable Package?]:[Applicable Package?]]="Y",SUM('Rolled Up Non-Incremental Costs'!H19,'ICE Removal Cost'!H19,'Trans Removal Cost'!H19,'LEV3 Criteria Emissions Cost'!H19,'ZEV Assembly Reductions'!H19,'ACCII Criteria Compliance Cost'!H19,'ACCII GHG Compliance'!H19,'Current GHG Compliance'!H19)+IF(Table44[[#This Row],[Cold]:[Cold]]="Y",'Cold Weather Package'!H19,0)+IF(Table44[[#This Row],[eAWD]:[eAWD]]="Y",'eAWD Package'!H19,0)+IF(Table44[[#This Row],[Towing]:[Towing]]="Y",'Towing Bat Cost'!H19,0),"N/A")</f>
        <v>3903.4676150165524</v>
      </c>
      <c r="M18" s="157">
        <f>IF(Table44[[#This Row],[Applicable Package?]:[Applicable Package?]]="Y",SUM('Rolled Up Non-Incremental Costs'!I19,'ICE Removal Cost'!I19,'Trans Removal Cost'!I19,'LEV3 Criteria Emissions Cost'!I19,'ZEV Assembly Reductions'!I19,'ACCII Criteria Compliance Cost'!I19,'ACCII GHG Compliance'!I19,'Current GHG Compliance'!I19)+IF(Table44[[#This Row],[Cold]:[Cold]]="Y",'Cold Weather Package'!I19,0)+IF(Table44[[#This Row],[eAWD]:[eAWD]]="Y",'eAWD Package'!I19,0)+IF(Table44[[#This Row],[Towing]:[Towing]]="Y",'Towing Bat Cost'!I19,0),"N/A")</f>
        <v>3699.9823446423625</v>
      </c>
      <c r="N18" s="157">
        <f>IF(Table44[[#This Row],[Applicable Package?]:[Applicable Package?]]="Y",SUM('Rolled Up Non-Incremental Costs'!J19,'ICE Removal Cost'!J19,'Trans Removal Cost'!J19,'LEV3 Criteria Emissions Cost'!J19,'ZEV Assembly Reductions'!J19,'ACCII Criteria Compliance Cost'!J19,'ACCII GHG Compliance'!J19,'Current GHG Compliance'!J19)+IF(Table44[[#This Row],[Cold]:[Cold]]="Y",'Cold Weather Package'!J19,0)+IF(Table44[[#This Row],[eAWD]:[eAWD]]="Y",'eAWD Package'!J19,0)+IF(Table44[[#This Row],[Towing]:[Towing]]="Y",'Towing Bat Cost'!J19,0),"N/A")</f>
        <v>3544.3592604081823</v>
      </c>
      <c r="O18" s="157">
        <f>IF(Table44[[#This Row],[Applicable Package?]:[Applicable Package?]]="Y",SUM('Rolled Up Non-Incremental Costs'!K19,'ICE Removal Cost'!K19,'Trans Removal Cost'!K19,'LEV3 Criteria Emissions Cost'!K19,'ZEV Assembly Reductions'!K19,'ACCII Criteria Compliance Cost'!K19,'ACCII GHG Compliance'!K19,'Current GHG Compliance'!K19)+IF(Table44[[#This Row],[Cold]:[Cold]]="Y",'Cold Weather Package'!K19,0)+IF(Table44[[#This Row],[eAWD]:[eAWD]]="Y",'eAWD Package'!K19,0)+IF(Table44[[#This Row],[Towing]:[Towing]]="Y",'Towing Bat Cost'!K19,0),"N/A")</f>
        <v>3405.9813605151012</v>
      </c>
      <c r="P18" s="157">
        <f>IF(Table44[[#This Row],[Applicable Package?]:[Applicable Package?]]="Y",SUM('Rolled Up Non-Incremental Costs'!L19,'ICE Removal Cost'!L19,'Trans Removal Cost'!L19,'LEV3 Criteria Emissions Cost'!L19,'ZEV Assembly Reductions'!L19,'ACCII Criteria Compliance Cost'!L19,'ACCII GHG Compliance'!L19,'Current GHG Compliance'!L19)+IF(Table44[[#This Row],[Cold]:[Cold]]="Y",'Cold Weather Package'!L19,0)+IF(Table44[[#This Row],[eAWD]:[eAWD]]="Y",'eAWD Package'!L19,0)+IF(Table44[[#This Row],[Towing]:[Towing]]="Y",'Towing Bat Cost'!L19,0),"N/A")</f>
        <v>3274.0945554450245</v>
      </c>
      <c r="Q18" s="157">
        <f>IF(Table44[[#This Row],[Applicable Package?]:[Applicable Package?]]="Y",SUM('Rolled Up Non-Incremental Costs'!M19,'ICE Removal Cost'!M19,'Trans Removal Cost'!M19,'LEV3 Criteria Emissions Cost'!M19,'ZEV Assembly Reductions'!M19,'ACCII Criteria Compliance Cost'!M19,'ACCII GHG Compliance'!M19,'Current GHG Compliance'!M19)+IF(Table44[[#This Row],[Cold]:[Cold]]="Y",'Cold Weather Package'!M19,0)+IF(Table44[[#This Row],[eAWD]:[eAWD]]="Y",'eAWD Package'!M19,0)+IF(Table44[[#This Row],[Towing]:[Towing]]="Y",'Towing Bat Cost'!M19,0),"N/A")</f>
        <v>3148.3543087083526</v>
      </c>
      <c r="R18" s="157">
        <f>IF(Table44[[#This Row],[Applicable Package?]:[Applicable Package?]]="Y",SUM('Rolled Up Non-Incremental Costs'!N19,'ICE Removal Cost'!N19,'Trans Removal Cost'!N19,'LEV3 Criteria Emissions Cost'!N19,'ZEV Assembly Reductions'!N19,'ACCII Criteria Compliance Cost'!N19,'ACCII GHG Compliance'!N19,'Current GHG Compliance'!N19)+IF(Table44[[#This Row],[Cold]:[Cold]]="Y",'Cold Weather Package'!N19,0)+IF(Table44[[#This Row],[eAWD]:[eAWD]]="Y",'eAWD Package'!N19,0)+IF(Table44[[#This Row],[Towing]:[Towing]]="Y",'Towing Bat Cost'!N19,0),"N/A")</f>
        <v>3028.4348386787738</v>
      </c>
      <c r="S18" s="157">
        <f>IF(Table44[[#This Row],[Applicable Package?]:[Applicable Package?]]="Y",SUM('Rolled Up Non-Incremental Costs'!O19,'ICE Removal Cost'!O19,'Trans Removal Cost'!O19,'LEV3 Criteria Emissions Cost'!O19,'ZEV Assembly Reductions'!O19,'ACCII Criteria Compliance Cost'!O19,'ACCII GHG Compliance'!O19,'Current GHG Compliance'!O19)+IF(Table44[[#This Row],[Cold]:[Cold]]="Y",'Cold Weather Package'!O19,0)+IF(Table44[[#This Row],[eAWD]:[eAWD]]="Y",'eAWD Package'!O19,0)+IF(Table44[[#This Row],[Towing]:[Towing]]="Y",'Towing Bat Cost'!O19,0),"N/A")</f>
        <v>2914.0280928495927</v>
      </c>
    </row>
    <row r="19" spans="1:21" x14ac:dyDescent="0.3">
      <c r="A19" t="str">
        <f t="shared" si="0"/>
        <v>SmallSUVPremiumPHEV50</v>
      </c>
      <c r="B19" s="90" t="str">
        <f>'Vehicle Attributes - Base Year'!B17</f>
        <v>SmallSUV</v>
      </c>
      <c r="C19" s="68" t="str">
        <f>'Vehicle Attributes - Base Year'!C17</f>
        <v>Premium</v>
      </c>
      <c r="D19" s="68" t="str">
        <f>'Vehicle Attributes - Base Year'!D17</f>
        <v>PHEV50</v>
      </c>
      <c r="E19" s="124" t="s">
        <v>77</v>
      </c>
      <c r="F19" s="124" t="s">
        <v>77</v>
      </c>
      <c r="G19" s="125" t="s">
        <v>77</v>
      </c>
      <c r="H19" s="156" t="s">
        <v>76</v>
      </c>
      <c r="I19" s="157">
        <f>IF(Table44[[#This Row],[Applicable Package?]:[Applicable Package?]]="Y",SUM('Rolled Up Non-Incremental Costs'!E20,'ICE Removal Cost'!E20,'Trans Removal Cost'!E20,'LEV3 Criteria Emissions Cost'!E20,'ZEV Assembly Reductions'!E20,'ACCII Criteria Compliance Cost'!E20,'ACCII GHG Compliance'!E20,'Current GHG Compliance'!E20)+IF(Table44[[#This Row],[Cold]:[Cold]]="Y",'Cold Weather Package'!E20,0)+IF(Table44[[#This Row],[eAWD]:[eAWD]]="Y",'eAWD Package'!E20,0)+IF(Table44[[#This Row],[Towing]:[Towing]]="Y",'Towing Bat Cost'!E20,0),"N/A")</f>
        <v>4606.6983843951166</v>
      </c>
      <c r="J19" s="157">
        <f>IF(Table44[[#This Row],[Applicable Package?]:[Applicable Package?]]="Y",SUM('Rolled Up Non-Incremental Costs'!F20,'ICE Removal Cost'!F20,'Trans Removal Cost'!F20,'LEV3 Criteria Emissions Cost'!F20,'ZEV Assembly Reductions'!F20,'ACCII Criteria Compliance Cost'!F20,'ACCII GHG Compliance'!F20,'Current GHG Compliance'!F20)+IF(Table44[[#This Row],[Cold]:[Cold]]="Y",'Cold Weather Package'!F20,0)+IF(Table44[[#This Row],[eAWD]:[eAWD]]="Y",'eAWD Package'!F20,0)+IF(Table44[[#This Row],[Towing]:[Towing]]="Y",'Towing Bat Cost'!F20,0),"N/A")</f>
        <v>4355.6129034923415</v>
      </c>
      <c r="K19" s="157">
        <f>IF(Table44[[#This Row],[Applicable Package?]:[Applicable Package?]]="Y",SUM('Rolled Up Non-Incremental Costs'!G20,'ICE Removal Cost'!G20,'Trans Removal Cost'!G20,'LEV3 Criteria Emissions Cost'!G20,'ZEV Assembly Reductions'!G20,'ACCII Criteria Compliance Cost'!G20,'ACCII GHG Compliance'!G20,'Current GHG Compliance'!G20)+IF(Table44[[#This Row],[Cold]:[Cold]]="Y",'Cold Weather Package'!G20,0)+IF(Table44[[#This Row],[eAWD]:[eAWD]]="Y",'eAWD Package'!G20,0)+IF(Table44[[#This Row],[Towing]:[Towing]]="Y",'Towing Bat Cost'!G20,0),"N/A")</f>
        <v>4121.6225357040366</v>
      </c>
      <c r="L19" s="157">
        <f>IF(Table44[[#This Row],[Applicable Package?]:[Applicable Package?]]="Y",SUM('Rolled Up Non-Incremental Costs'!H20,'ICE Removal Cost'!H20,'Trans Removal Cost'!H20,'LEV3 Criteria Emissions Cost'!H20,'ZEV Assembly Reductions'!H20,'ACCII Criteria Compliance Cost'!H20,'ACCII GHG Compliance'!H20,'Current GHG Compliance'!H20)+IF(Table44[[#This Row],[Cold]:[Cold]]="Y",'Cold Weather Package'!H20,0)+IF(Table44[[#This Row],[eAWD]:[eAWD]]="Y",'eAWD Package'!H20,0)+IF(Table44[[#This Row],[Towing]:[Towing]]="Y",'Towing Bat Cost'!H20,0),"N/A")</f>
        <v>3903.4676150165524</v>
      </c>
      <c r="M19" s="157">
        <f>IF(Table44[[#This Row],[Applicable Package?]:[Applicable Package?]]="Y",SUM('Rolled Up Non-Incremental Costs'!I20,'ICE Removal Cost'!I20,'Trans Removal Cost'!I20,'LEV3 Criteria Emissions Cost'!I20,'ZEV Assembly Reductions'!I20,'ACCII Criteria Compliance Cost'!I20,'ACCII GHG Compliance'!I20,'Current GHG Compliance'!I20)+IF(Table44[[#This Row],[Cold]:[Cold]]="Y",'Cold Weather Package'!I20,0)+IF(Table44[[#This Row],[eAWD]:[eAWD]]="Y",'eAWD Package'!I20,0)+IF(Table44[[#This Row],[Towing]:[Towing]]="Y",'Towing Bat Cost'!I20,0),"N/A")</f>
        <v>3699.9823446423625</v>
      </c>
      <c r="N19" s="157">
        <f>IF(Table44[[#This Row],[Applicable Package?]:[Applicable Package?]]="Y",SUM('Rolled Up Non-Incremental Costs'!J20,'ICE Removal Cost'!J20,'Trans Removal Cost'!J20,'LEV3 Criteria Emissions Cost'!J20,'ZEV Assembly Reductions'!J20,'ACCII Criteria Compliance Cost'!J20,'ACCII GHG Compliance'!J20,'Current GHG Compliance'!J20)+IF(Table44[[#This Row],[Cold]:[Cold]]="Y",'Cold Weather Package'!J20,0)+IF(Table44[[#This Row],[eAWD]:[eAWD]]="Y",'eAWD Package'!J20,0)+IF(Table44[[#This Row],[Towing]:[Towing]]="Y",'Towing Bat Cost'!J20,0),"N/A")</f>
        <v>3544.3592604081823</v>
      </c>
      <c r="O19" s="157">
        <f>IF(Table44[[#This Row],[Applicable Package?]:[Applicable Package?]]="Y",SUM('Rolled Up Non-Incremental Costs'!K20,'ICE Removal Cost'!K20,'Trans Removal Cost'!K20,'LEV3 Criteria Emissions Cost'!K20,'ZEV Assembly Reductions'!K20,'ACCII Criteria Compliance Cost'!K20,'ACCII GHG Compliance'!K20,'Current GHG Compliance'!K20)+IF(Table44[[#This Row],[Cold]:[Cold]]="Y",'Cold Weather Package'!K20,0)+IF(Table44[[#This Row],[eAWD]:[eAWD]]="Y",'eAWD Package'!K20,0)+IF(Table44[[#This Row],[Towing]:[Towing]]="Y",'Towing Bat Cost'!K20,0),"N/A")</f>
        <v>3405.9813605151012</v>
      </c>
      <c r="P19" s="157">
        <f>IF(Table44[[#This Row],[Applicable Package?]:[Applicable Package?]]="Y",SUM('Rolled Up Non-Incremental Costs'!L20,'ICE Removal Cost'!L20,'Trans Removal Cost'!L20,'LEV3 Criteria Emissions Cost'!L20,'ZEV Assembly Reductions'!L20,'ACCII Criteria Compliance Cost'!L20,'ACCII GHG Compliance'!L20,'Current GHG Compliance'!L20)+IF(Table44[[#This Row],[Cold]:[Cold]]="Y",'Cold Weather Package'!L20,0)+IF(Table44[[#This Row],[eAWD]:[eAWD]]="Y",'eAWD Package'!L20,0)+IF(Table44[[#This Row],[Towing]:[Towing]]="Y",'Towing Bat Cost'!L20,0),"N/A")</f>
        <v>3274.0945554450245</v>
      </c>
      <c r="Q19" s="157">
        <f>IF(Table44[[#This Row],[Applicable Package?]:[Applicable Package?]]="Y",SUM('Rolled Up Non-Incremental Costs'!M20,'ICE Removal Cost'!M20,'Trans Removal Cost'!M20,'LEV3 Criteria Emissions Cost'!M20,'ZEV Assembly Reductions'!M20,'ACCII Criteria Compliance Cost'!M20,'ACCII GHG Compliance'!M20,'Current GHG Compliance'!M20)+IF(Table44[[#This Row],[Cold]:[Cold]]="Y",'Cold Weather Package'!M20,0)+IF(Table44[[#This Row],[eAWD]:[eAWD]]="Y",'eAWD Package'!M20,0)+IF(Table44[[#This Row],[Towing]:[Towing]]="Y",'Towing Bat Cost'!M20,0),"N/A")</f>
        <v>3148.3543087083526</v>
      </c>
      <c r="R19" s="157">
        <f>IF(Table44[[#This Row],[Applicable Package?]:[Applicable Package?]]="Y",SUM('Rolled Up Non-Incremental Costs'!N20,'ICE Removal Cost'!N20,'Trans Removal Cost'!N20,'LEV3 Criteria Emissions Cost'!N20,'ZEV Assembly Reductions'!N20,'ACCII Criteria Compliance Cost'!N20,'ACCII GHG Compliance'!N20,'Current GHG Compliance'!N20)+IF(Table44[[#This Row],[Cold]:[Cold]]="Y",'Cold Weather Package'!N20,0)+IF(Table44[[#This Row],[eAWD]:[eAWD]]="Y",'eAWD Package'!N20,0)+IF(Table44[[#This Row],[Towing]:[Towing]]="Y",'Towing Bat Cost'!N20,0),"N/A")</f>
        <v>3028.4348386787738</v>
      </c>
      <c r="S19" s="157">
        <f>IF(Table44[[#This Row],[Applicable Package?]:[Applicable Package?]]="Y",SUM('Rolled Up Non-Incremental Costs'!O20,'ICE Removal Cost'!O20,'Trans Removal Cost'!O20,'LEV3 Criteria Emissions Cost'!O20,'ZEV Assembly Reductions'!O20,'ACCII Criteria Compliance Cost'!O20,'ACCII GHG Compliance'!O20,'Current GHG Compliance'!O20)+IF(Table44[[#This Row],[Cold]:[Cold]]="Y",'Cold Weather Package'!O20,0)+IF(Table44[[#This Row],[eAWD]:[eAWD]]="Y",'eAWD Package'!O20,0)+IF(Table44[[#This Row],[Towing]:[Towing]]="Y",'Towing Bat Cost'!O20,0),"N/A")</f>
        <v>2914.0280928495927</v>
      </c>
    </row>
    <row r="20" spans="1:21" x14ac:dyDescent="0.3">
      <c r="A20" s="28" t="str">
        <f t="shared" si="0"/>
        <v>MedSUVBasePHEV50</v>
      </c>
      <c r="B20" s="90" t="str">
        <f>'Vehicle Attributes - Base Year'!B18</f>
        <v>MedSUV</v>
      </c>
      <c r="C20" s="68" t="str">
        <f>'Vehicle Attributes - Base Year'!C18</f>
        <v>Base</v>
      </c>
      <c r="D20" s="68" t="str">
        <f>'Vehicle Attributes - Base Year'!D18</f>
        <v>PHEV50</v>
      </c>
      <c r="E20" s="124" t="s">
        <v>77</v>
      </c>
      <c r="F20" s="124" t="s">
        <v>77</v>
      </c>
      <c r="G20" s="125" t="s">
        <v>77</v>
      </c>
      <c r="H20" s="156" t="s">
        <v>76</v>
      </c>
      <c r="I20" s="157">
        <f>IF(Table44[[#This Row],[Applicable Package?]:[Applicable Package?]]="Y",SUM('Rolled Up Non-Incremental Costs'!E21,'ICE Removal Cost'!E21,'Trans Removal Cost'!E21,'LEV3 Criteria Emissions Cost'!E21,'ZEV Assembly Reductions'!E21,'ACCII Criteria Compliance Cost'!E21,'ACCII GHG Compliance'!E21,'Current GHG Compliance'!E21)+IF(Table44[[#This Row],[Cold]:[Cold]]="Y",'Cold Weather Package'!E21,0)+IF(Table44[[#This Row],[eAWD]:[eAWD]]="Y",'eAWD Package'!E21,0)+IF(Table44[[#This Row],[Towing]:[Towing]]="Y",'Towing Bat Cost'!E21,0),"N/A")</f>
        <v>4976.1012098839019</v>
      </c>
      <c r="J20" s="157">
        <f>IF(Table44[[#This Row],[Applicable Package?]:[Applicable Package?]]="Y",SUM('Rolled Up Non-Incremental Costs'!F21,'ICE Removal Cost'!F21,'Trans Removal Cost'!F21,'LEV3 Criteria Emissions Cost'!F21,'ZEV Assembly Reductions'!F21,'ACCII Criteria Compliance Cost'!F21,'ACCII GHG Compliance'!F21,'Current GHG Compliance'!F21)+IF(Table44[[#This Row],[Cold]:[Cold]]="Y",'Cold Weather Package'!F21,0)+IF(Table44[[#This Row],[eAWD]:[eAWD]]="Y",'eAWD Package'!F21,0)+IF(Table44[[#This Row],[Towing]:[Towing]]="Y",'Towing Bat Cost'!F21,0),"N/A")</f>
        <v>4706.0414830791797</v>
      </c>
      <c r="K20" s="157">
        <f>IF(Table44[[#This Row],[Applicable Package?]:[Applicable Package?]]="Y",SUM('Rolled Up Non-Incremental Costs'!G21,'ICE Removal Cost'!G21,'Trans Removal Cost'!G21,'LEV3 Criteria Emissions Cost'!G21,'ZEV Assembly Reductions'!G21,'ACCII Criteria Compliance Cost'!G21,'ACCII GHG Compliance'!G21,'Current GHG Compliance'!G21)+IF(Table44[[#This Row],[Cold]:[Cold]]="Y",'Cold Weather Package'!G21,0)+IF(Table44[[#This Row],[eAWD]:[eAWD]]="Y",'eAWD Package'!G21,0)+IF(Table44[[#This Row],[Towing]:[Towing]]="Y",'Towing Bat Cost'!G21,0),"N/A")</f>
        <v>4454.4072800952999</v>
      </c>
      <c r="L20" s="157">
        <f>IF(Table44[[#This Row],[Applicable Package?]:[Applicable Package?]]="Y",SUM('Rolled Up Non-Incremental Costs'!H21,'ICE Removal Cost'!H21,'Trans Removal Cost'!H21,'LEV3 Criteria Emissions Cost'!H21,'ZEV Assembly Reductions'!H21,'ACCII Criteria Compliance Cost'!H21,'ACCII GHG Compliance'!H21,'Current GHG Compliance'!H21)+IF(Table44[[#This Row],[Cold]:[Cold]]="Y",'Cold Weather Package'!H21,0)+IF(Table44[[#This Row],[eAWD]:[eAWD]]="Y",'eAWD Package'!H21,0)+IF(Table44[[#This Row],[Towing]:[Towing]]="Y",'Towing Bat Cost'!H21,0),"N/A")</f>
        <v>4219.8404799268865</v>
      </c>
      <c r="M20" s="157">
        <f>IF(Table44[[#This Row],[Applicable Package?]:[Applicable Package?]]="Y",SUM('Rolled Up Non-Incremental Costs'!I21,'ICE Removal Cost'!I21,'Trans Removal Cost'!I21,'LEV3 Criteria Emissions Cost'!I21,'ZEV Assembly Reductions'!I21,'ACCII Criteria Compliance Cost'!I21,'ACCII GHG Compliance'!I21,'Current GHG Compliance'!I21)+IF(Table44[[#This Row],[Cold]:[Cold]]="Y",'Cold Weather Package'!I21,0)+IF(Table44[[#This Row],[eAWD]:[eAWD]]="Y",'eAWD Package'!I21,0)+IF(Table44[[#This Row],[Towing]:[Towing]]="Y",'Towing Bat Cost'!I21,0),"N/A")</f>
        <v>4001.0841718581378</v>
      </c>
      <c r="N20" s="157">
        <f>IF(Table44[[#This Row],[Applicable Package?]:[Applicable Package?]]="Y",SUM('Rolled Up Non-Incremental Costs'!J21,'ICE Removal Cost'!J21,'Trans Removal Cost'!J21,'LEV3 Criteria Emissions Cost'!J21,'ZEV Assembly Reductions'!J21,'ACCII Criteria Compliance Cost'!J21,'ACCII GHG Compliance'!J21,'Current GHG Compliance'!J21)+IF(Table44[[#This Row],[Cold]:[Cold]]="Y",'Cold Weather Package'!J21,0)+IF(Table44[[#This Row],[eAWD]:[eAWD]]="Y",'eAWD Package'!J21,0)+IF(Table44[[#This Row],[Towing]:[Towing]]="Y",'Towing Bat Cost'!J21,0),"N/A")</f>
        <v>3833.9270210220329</v>
      </c>
      <c r="O20" s="157">
        <f>IF(Table44[[#This Row],[Applicable Package?]:[Applicable Package?]]="Y",SUM('Rolled Up Non-Incremental Costs'!K21,'ICE Removal Cost'!K21,'Trans Removal Cost'!K21,'LEV3 Criteria Emissions Cost'!K21,'ZEV Assembly Reductions'!K21,'ACCII Criteria Compliance Cost'!K21,'ACCII GHG Compliance'!K21,'Current GHG Compliance'!K21)+IF(Table44[[#This Row],[Cold]:[Cold]]="Y",'Cold Weather Package'!K21,0)+IF(Table44[[#This Row],[eAWD]:[eAWD]]="Y",'eAWD Package'!K21,0)+IF(Table44[[#This Row],[Towing]:[Towing]]="Y",'Towing Bat Cost'!K21,0),"N/A")</f>
        <v>3685.357464181774</v>
      </c>
      <c r="P20" s="157">
        <f>IF(Table44[[#This Row],[Applicable Package?]:[Applicable Package?]]="Y",SUM('Rolled Up Non-Incremental Costs'!L21,'ICE Removal Cost'!L21,'Trans Removal Cost'!L21,'LEV3 Criteria Emissions Cost'!L21,'ZEV Assembly Reductions'!L21,'ACCII Criteria Compliance Cost'!L21,'ACCII GHG Compliance'!L21,'Current GHG Compliance'!L21)+IF(Table44[[#This Row],[Cold]:[Cold]]="Y",'Cold Weather Package'!L21,0)+IF(Table44[[#This Row],[eAWD]:[eAWD]]="Y",'eAWD Package'!L21,0)+IF(Table44[[#This Row],[Towing]:[Towing]]="Y",'Towing Bat Cost'!L21,0),"N/A")</f>
        <v>3543.7803736029127</v>
      </c>
      <c r="Q20" s="157">
        <f>IF(Table44[[#This Row],[Applicable Package?]:[Applicable Package?]]="Y",SUM('Rolled Up Non-Incremental Costs'!M21,'ICE Removal Cost'!M21,'Trans Removal Cost'!M21,'LEV3 Criteria Emissions Cost'!M21,'ZEV Assembly Reductions'!M21,'ACCII Criteria Compliance Cost'!M21,'ACCII GHG Compliance'!M21,'Current GHG Compliance'!M21)+IF(Table44[[#This Row],[Cold]:[Cold]]="Y",'Cold Weather Package'!M21,0)+IF(Table44[[#This Row],[eAWD]:[eAWD]]="Y",'eAWD Package'!M21,0)+IF(Table44[[#This Row],[Towing]:[Towing]]="Y",'Towing Bat Cost'!M21,0),"N/A")</f>
        <v>3408.8243289273923</v>
      </c>
      <c r="R20" s="157">
        <f>IF(Table44[[#This Row],[Applicable Package?]:[Applicable Package?]]="Y",SUM('Rolled Up Non-Incremental Costs'!N21,'ICE Removal Cost'!N21,'Trans Removal Cost'!N21,'LEV3 Criteria Emissions Cost'!N21,'ZEV Assembly Reductions'!N21,'ACCII Criteria Compliance Cost'!N21,'ACCII GHG Compliance'!N21,'Current GHG Compliance'!N21)+IF(Table44[[#This Row],[Cold]:[Cold]]="Y",'Cold Weather Package'!N21,0)+IF(Table44[[#This Row],[eAWD]:[eAWD]]="Y",'eAWD Package'!N21,0)+IF(Table44[[#This Row],[Towing]:[Towing]]="Y",'Towing Bat Cost'!N21,0),"N/A")</f>
        <v>3280.1381308900654</v>
      </c>
      <c r="S20" s="157">
        <f>IF(Table44[[#This Row],[Applicable Package?]:[Applicable Package?]]="Y",SUM('Rolled Up Non-Incremental Costs'!O21,'ICE Removal Cost'!O21,'Trans Removal Cost'!O21,'LEV3 Criteria Emissions Cost'!O21,'ZEV Assembly Reductions'!O21,'ACCII Criteria Compliance Cost'!O21,'ACCII GHG Compliance'!O21,'Current GHG Compliance'!O21)+IF(Table44[[#This Row],[Cold]:[Cold]]="Y",'Cold Weather Package'!O21,0)+IF(Table44[[#This Row],[eAWD]:[eAWD]]="Y",'eAWD Package'!O21,0)+IF(Table44[[#This Row],[Towing]:[Towing]]="Y",'Towing Bat Cost'!O21,0),"N/A")</f>
        <v>3157.3896953555668</v>
      </c>
    </row>
    <row r="21" spans="1:21" x14ac:dyDescent="0.3">
      <c r="A21" t="str">
        <f t="shared" si="0"/>
        <v>MedSUVPremiumPHEV50</v>
      </c>
      <c r="B21" s="90" t="str">
        <f>'Vehicle Attributes - Base Year'!B19</f>
        <v>MedSUV</v>
      </c>
      <c r="C21" s="68" t="str">
        <f>'Vehicle Attributes - Base Year'!C19</f>
        <v>Premium</v>
      </c>
      <c r="D21" s="68" t="str">
        <f>'Vehicle Attributes - Base Year'!D19</f>
        <v>PHEV50</v>
      </c>
      <c r="E21" s="124" t="s">
        <v>77</v>
      </c>
      <c r="F21" s="124" t="s">
        <v>77</v>
      </c>
      <c r="G21" s="125" t="s">
        <v>77</v>
      </c>
      <c r="H21" s="156" t="s">
        <v>76</v>
      </c>
      <c r="I21" s="157">
        <f>IF(Table44[[#This Row],[Applicable Package?]:[Applicable Package?]]="Y",SUM('Rolled Up Non-Incremental Costs'!E22,'ICE Removal Cost'!E22,'Trans Removal Cost'!E22,'LEV3 Criteria Emissions Cost'!E22,'ZEV Assembly Reductions'!E22,'ACCII Criteria Compliance Cost'!E22,'ACCII GHG Compliance'!E22,'Current GHG Compliance'!E22)+IF(Table44[[#This Row],[Cold]:[Cold]]="Y",'Cold Weather Package'!E22,0)+IF(Table44[[#This Row],[eAWD]:[eAWD]]="Y",'eAWD Package'!E22,0)+IF(Table44[[#This Row],[Towing]:[Towing]]="Y",'Towing Bat Cost'!E22,0),"N/A")</f>
        <v>4976.1012098839019</v>
      </c>
      <c r="J21" s="157">
        <f>IF(Table44[[#This Row],[Applicable Package?]:[Applicable Package?]]="Y",SUM('Rolled Up Non-Incremental Costs'!F22,'ICE Removal Cost'!F22,'Trans Removal Cost'!F22,'LEV3 Criteria Emissions Cost'!F22,'ZEV Assembly Reductions'!F22,'ACCII Criteria Compliance Cost'!F22,'ACCII GHG Compliance'!F22,'Current GHG Compliance'!F22)+IF(Table44[[#This Row],[Cold]:[Cold]]="Y",'Cold Weather Package'!F22,0)+IF(Table44[[#This Row],[eAWD]:[eAWD]]="Y",'eAWD Package'!F22,0)+IF(Table44[[#This Row],[Towing]:[Towing]]="Y",'Towing Bat Cost'!F22,0),"N/A")</f>
        <v>4706.0414830791797</v>
      </c>
      <c r="K21" s="157">
        <f>IF(Table44[[#This Row],[Applicable Package?]:[Applicable Package?]]="Y",SUM('Rolled Up Non-Incremental Costs'!G22,'ICE Removal Cost'!G22,'Trans Removal Cost'!G22,'LEV3 Criteria Emissions Cost'!G22,'ZEV Assembly Reductions'!G22,'ACCII Criteria Compliance Cost'!G22,'ACCII GHG Compliance'!G22,'Current GHG Compliance'!G22)+IF(Table44[[#This Row],[Cold]:[Cold]]="Y",'Cold Weather Package'!G22,0)+IF(Table44[[#This Row],[eAWD]:[eAWD]]="Y",'eAWD Package'!G22,0)+IF(Table44[[#This Row],[Towing]:[Towing]]="Y",'Towing Bat Cost'!G22,0),"N/A")</f>
        <v>4454.4072800952999</v>
      </c>
      <c r="L21" s="157">
        <f>IF(Table44[[#This Row],[Applicable Package?]:[Applicable Package?]]="Y",SUM('Rolled Up Non-Incremental Costs'!H22,'ICE Removal Cost'!H22,'Trans Removal Cost'!H22,'LEV3 Criteria Emissions Cost'!H22,'ZEV Assembly Reductions'!H22,'ACCII Criteria Compliance Cost'!H22,'ACCII GHG Compliance'!H22,'Current GHG Compliance'!H22)+IF(Table44[[#This Row],[Cold]:[Cold]]="Y",'Cold Weather Package'!H22,0)+IF(Table44[[#This Row],[eAWD]:[eAWD]]="Y",'eAWD Package'!H22,0)+IF(Table44[[#This Row],[Towing]:[Towing]]="Y",'Towing Bat Cost'!H22,0),"N/A")</f>
        <v>4219.8404799268865</v>
      </c>
      <c r="M21" s="157">
        <f>IF(Table44[[#This Row],[Applicable Package?]:[Applicable Package?]]="Y",SUM('Rolled Up Non-Incremental Costs'!I22,'ICE Removal Cost'!I22,'Trans Removal Cost'!I22,'LEV3 Criteria Emissions Cost'!I22,'ZEV Assembly Reductions'!I22,'ACCII Criteria Compliance Cost'!I22,'ACCII GHG Compliance'!I22,'Current GHG Compliance'!I22)+IF(Table44[[#This Row],[Cold]:[Cold]]="Y",'Cold Weather Package'!I22,0)+IF(Table44[[#This Row],[eAWD]:[eAWD]]="Y",'eAWD Package'!I22,0)+IF(Table44[[#This Row],[Towing]:[Towing]]="Y",'Towing Bat Cost'!I22,0),"N/A")</f>
        <v>4001.0841718581378</v>
      </c>
      <c r="N21" s="157">
        <f>IF(Table44[[#This Row],[Applicable Package?]:[Applicable Package?]]="Y",SUM('Rolled Up Non-Incremental Costs'!J22,'ICE Removal Cost'!J22,'Trans Removal Cost'!J22,'LEV3 Criteria Emissions Cost'!J22,'ZEV Assembly Reductions'!J22,'ACCII Criteria Compliance Cost'!J22,'ACCII GHG Compliance'!J22,'Current GHG Compliance'!J22)+IF(Table44[[#This Row],[Cold]:[Cold]]="Y",'Cold Weather Package'!J22,0)+IF(Table44[[#This Row],[eAWD]:[eAWD]]="Y",'eAWD Package'!J22,0)+IF(Table44[[#This Row],[Towing]:[Towing]]="Y",'Towing Bat Cost'!J22,0),"N/A")</f>
        <v>3833.9270210220329</v>
      </c>
      <c r="O21" s="157">
        <f>IF(Table44[[#This Row],[Applicable Package?]:[Applicable Package?]]="Y",SUM('Rolled Up Non-Incremental Costs'!K22,'ICE Removal Cost'!K22,'Trans Removal Cost'!K22,'LEV3 Criteria Emissions Cost'!K22,'ZEV Assembly Reductions'!K22,'ACCII Criteria Compliance Cost'!K22,'ACCII GHG Compliance'!K22,'Current GHG Compliance'!K22)+IF(Table44[[#This Row],[Cold]:[Cold]]="Y",'Cold Weather Package'!K22,0)+IF(Table44[[#This Row],[eAWD]:[eAWD]]="Y",'eAWD Package'!K22,0)+IF(Table44[[#This Row],[Towing]:[Towing]]="Y",'Towing Bat Cost'!K22,0),"N/A")</f>
        <v>3685.357464181774</v>
      </c>
      <c r="P21" s="157">
        <f>IF(Table44[[#This Row],[Applicable Package?]:[Applicable Package?]]="Y",SUM('Rolled Up Non-Incremental Costs'!L22,'ICE Removal Cost'!L22,'Trans Removal Cost'!L22,'LEV3 Criteria Emissions Cost'!L22,'ZEV Assembly Reductions'!L22,'ACCII Criteria Compliance Cost'!L22,'ACCII GHG Compliance'!L22,'Current GHG Compliance'!L22)+IF(Table44[[#This Row],[Cold]:[Cold]]="Y",'Cold Weather Package'!L22,0)+IF(Table44[[#This Row],[eAWD]:[eAWD]]="Y",'eAWD Package'!L22,0)+IF(Table44[[#This Row],[Towing]:[Towing]]="Y",'Towing Bat Cost'!L22,0),"N/A")</f>
        <v>3543.7803736029127</v>
      </c>
      <c r="Q21" s="157">
        <f>IF(Table44[[#This Row],[Applicable Package?]:[Applicable Package?]]="Y",SUM('Rolled Up Non-Incremental Costs'!M22,'ICE Removal Cost'!M22,'Trans Removal Cost'!M22,'LEV3 Criteria Emissions Cost'!M22,'ZEV Assembly Reductions'!M22,'ACCII Criteria Compliance Cost'!M22,'ACCII GHG Compliance'!M22,'Current GHG Compliance'!M22)+IF(Table44[[#This Row],[Cold]:[Cold]]="Y",'Cold Weather Package'!M22,0)+IF(Table44[[#This Row],[eAWD]:[eAWD]]="Y",'eAWD Package'!M22,0)+IF(Table44[[#This Row],[Towing]:[Towing]]="Y",'Towing Bat Cost'!M22,0),"N/A")</f>
        <v>3408.8243289273923</v>
      </c>
      <c r="R21" s="157">
        <f>IF(Table44[[#This Row],[Applicable Package?]:[Applicable Package?]]="Y",SUM('Rolled Up Non-Incremental Costs'!N22,'ICE Removal Cost'!N22,'Trans Removal Cost'!N22,'LEV3 Criteria Emissions Cost'!N22,'ZEV Assembly Reductions'!N22,'ACCII Criteria Compliance Cost'!N22,'ACCII GHG Compliance'!N22,'Current GHG Compliance'!N22)+IF(Table44[[#This Row],[Cold]:[Cold]]="Y",'Cold Weather Package'!N22,0)+IF(Table44[[#This Row],[eAWD]:[eAWD]]="Y",'eAWD Package'!N22,0)+IF(Table44[[#This Row],[Towing]:[Towing]]="Y",'Towing Bat Cost'!N22,0),"N/A")</f>
        <v>3280.1381308900654</v>
      </c>
      <c r="S21" s="157">
        <f>IF(Table44[[#This Row],[Applicable Package?]:[Applicable Package?]]="Y",SUM('Rolled Up Non-Incremental Costs'!O22,'ICE Removal Cost'!O22,'Trans Removal Cost'!O22,'LEV3 Criteria Emissions Cost'!O22,'ZEV Assembly Reductions'!O22,'ACCII Criteria Compliance Cost'!O22,'ACCII GHG Compliance'!O22,'Current GHG Compliance'!O22)+IF(Table44[[#This Row],[Cold]:[Cold]]="Y",'Cold Weather Package'!O22,0)+IF(Table44[[#This Row],[eAWD]:[eAWD]]="Y",'eAWD Package'!O22,0)+IF(Table44[[#This Row],[Towing]:[Towing]]="Y",'Towing Bat Cost'!O22,0),"N/A")</f>
        <v>3157.3896953555668</v>
      </c>
    </row>
    <row r="22" spans="1:21" x14ac:dyDescent="0.3">
      <c r="A22" s="28" t="str">
        <f t="shared" si="0"/>
        <v>PickupBasePHEV50</v>
      </c>
      <c r="B22" s="90" t="str">
        <f>'Vehicle Attributes - Base Year'!B20</f>
        <v>Pickup</v>
      </c>
      <c r="C22" s="68" t="str">
        <f>'Vehicle Attributes - Base Year'!C20</f>
        <v>Base</v>
      </c>
      <c r="D22" s="68" t="str">
        <f>'Vehicle Attributes - Base Year'!D20</f>
        <v>PHEV50</v>
      </c>
      <c r="E22" s="124" t="s">
        <v>77</v>
      </c>
      <c r="F22" s="124" t="s">
        <v>77</v>
      </c>
      <c r="G22" s="125" t="s">
        <v>77</v>
      </c>
      <c r="H22" s="156" t="s">
        <v>76</v>
      </c>
      <c r="I22" s="157">
        <f>IF(Table44[[#This Row],[Applicable Package?]:[Applicable Package?]]="Y",SUM('Rolled Up Non-Incremental Costs'!E23,'ICE Removal Cost'!E23,'Trans Removal Cost'!E23,'LEV3 Criteria Emissions Cost'!E23,'ZEV Assembly Reductions'!E23,'ACCII Criteria Compliance Cost'!E23,'ACCII GHG Compliance'!E23,'Current GHG Compliance'!E23)+IF(Table44[[#This Row],[Cold]:[Cold]]="Y",'Cold Weather Package'!E23,0)+IF(Table44[[#This Row],[eAWD]:[eAWD]]="Y",'eAWD Package'!E23,0)+IF(Table44[[#This Row],[Towing]:[Towing]]="Y",'Towing Bat Cost'!E23,0),"N/A")</f>
        <v>5876.5135809680669</v>
      </c>
      <c r="J22" s="157">
        <f>IF(Table44[[#This Row],[Applicable Package?]:[Applicable Package?]]="Y",SUM('Rolled Up Non-Incremental Costs'!F23,'ICE Removal Cost'!F23,'Trans Removal Cost'!F23,'LEV3 Criteria Emissions Cost'!F23,'ZEV Assembly Reductions'!F23,'ACCII Criteria Compliance Cost'!F23,'ACCII GHG Compliance'!F23,'Current GHG Compliance'!F23)+IF(Table44[[#This Row],[Cold]:[Cold]]="Y",'Cold Weather Package'!F23,0)+IF(Table44[[#This Row],[eAWD]:[eAWD]]="Y",'eAWD Package'!F23,0)+IF(Table44[[#This Row],[Towing]:[Towing]]="Y",'Towing Bat Cost'!F23,0),"N/A")</f>
        <v>5555.4291319230924</v>
      </c>
      <c r="K22" s="157">
        <f>IF(Table44[[#This Row],[Applicable Package?]:[Applicable Package?]]="Y",SUM('Rolled Up Non-Incremental Costs'!G23,'ICE Removal Cost'!G23,'Trans Removal Cost'!G23,'LEV3 Criteria Emissions Cost'!G23,'ZEV Assembly Reductions'!G23,'ACCII Criteria Compliance Cost'!G23,'ACCII GHG Compliance'!G23,'Current GHG Compliance'!G23)+IF(Table44[[#This Row],[Cold]:[Cold]]="Y",'Cold Weather Package'!G23,0)+IF(Table44[[#This Row],[eAWD]:[eAWD]]="Y",'eAWD Package'!G23,0)+IF(Table44[[#This Row],[Towing]:[Towing]]="Y",'Towing Bat Cost'!G23,0),"N/A")</f>
        <v>5256.4172916015823</v>
      </c>
      <c r="L22" s="157">
        <f>IF(Table44[[#This Row],[Applicable Package?]:[Applicable Package?]]="Y",SUM('Rolled Up Non-Incremental Costs'!H23,'ICE Removal Cost'!H23,'Trans Removal Cost'!H23,'LEV3 Criteria Emissions Cost'!H23,'ZEV Assembly Reductions'!H23,'ACCII Criteria Compliance Cost'!H23,'ACCII GHG Compliance'!H23,'Current GHG Compliance'!H23)+IF(Table44[[#This Row],[Cold]:[Cold]]="Y",'Cold Weather Package'!H23,0)+IF(Table44[[#This Row],[eAWD]:[eAWD]]="Y",'eAWD Package'!H23,0)+IF(Table44[[#This Row],[Towing]:[Towing]]="Y",'Towing Bat Cost'!H23,0),"N/A")</f>
        <v>4977.8493032163069</v>
      </c>
      <c r="M22" s="157">
        <f>IF(Table44[[#This Row],[Applicable Package?]:[Applicable Package?]]="Y",SUM('Rolled Up Non-Incremental Costs'!I23,'ICE Removal Cost'!I23,'Trans Removal Cost'!I23,'LEV3 Criteria Emissions Cost'!I23,'ZEV Assembly Reductions'!I23,'ACCII Criteria Compliance Cost'!I23,'ACCII GHG Compliance'!I23,'Current GHG Compliance'!I23)+IF(Table44[[#This Row],[Cold]:[Cold]]="Y",'Cold Weather Package'!I23,0)+IF(Table44[[#This Row],[eAWD]:[eAWD]]="Y",'eAWD Package'!I23,0)+IF(Table44[[#This Row],[Towing]:[Towing]]="Y",'Towing Bat Cost'!I23,0),"N/A")</f>
        <v>4718.2178070396649</v>
      </c>
      <c r="N22" s="157">
        <f>IF(Table44[[#This Row],[Applicable Package?]:[Applicable Package?]]="Y",SUM('Rolled Up Non-Incremental Costs'!J23,'ICE Removal Cost'!J23,'Trans Removal Cost'!J23,'LEV3 Criteria Emissions Cost'!J23,'ZEV Assembly Reductions'!J23,'ACCII Criteria Compliance Cost'!J23,'ACCII GHG Compliance'!J23,'Current GHG Compliance'!J23)+IF(Table44[[#This Row],[Cold]:[Cold]]="Y",'Cold Weather Package'!J23,0)+IF(Table44[[#This Row],[eAWD]:[eAWD]]="Y",'eAWD Package'!J23,0)+IF(Table44[[#This Row],[Towing]:[Towing]]="Y",'Towing Bat Cost'!J23,0),"N/A")</f>
        <v>4520.4509369448788</v>
      </c>
      <c r="O22" s="157">
        <f>IF(Table44[[#This Row],[Applicable Package?]:[Applicable Package?]]="Y",SUM('Rolled Up Non-Incremental Costs'!K23,'ICE Removal Cost'!K23,'Trans Removal Cost'!K23,'LEV3 Criteria Emissions Cost'!K23,'ZEV Assembly Reductions'!K23,'ACCII Criteria Compliance Cost'!K23,'ACCII GHG Compliance'!K23,'Current GHG Compliance'!K23)+IF(Table44[[#This Row],[Cold]:[Cold]]="Y",'Cold Weather Package'!K23,0)+IF(Table44[[#This Row],[eAWD]:[eAWD]]="Y",'eAWD Package'!K23,0)+IF(Table44[[#This Row],[Towing]:[Towing]]="Y",'Towing Bat Cost'!K23,0),"N/A")</f>
        <v>4344.952197757535</v>
      </c>
      <c r="P22" s="157">
        <f>IF(Table44[[#This Row],[Applicable Package?]:[Applicable Package?]]="Y",SUM('Rolled Up Non-Incremental Costs'!L23,'ICE Removal Cost'!L23,'Trans Removal Cost'!L23,'LEV3 Criteria Emissions Cost'!L23,'ZEV Assembly Reductions'!L23,'ACCII Criteria Compliance Cost'!L23,'ACCII GHG Compliance'!L23,'Current GHG Compliance'!L23)+IF(Table44[[#This Row],[Cold]:[Cold]]="Y",'Cold Weather Package'!L23,0)+IF(Table44[[#This Row],[eAWD]:[eAWD]]="Y",'eAWD Package'!L23,0)+IF(Table44[[#This Row],[Towing]:[Towing]]="Y",'Towing Bat Cost'!L23,0),"N/A")</f>
        <v>4177.8137175445936</v>
      </c>
      <c r="Q22" s="157">
        <f>IF(Table44[[#This Row],[Applicable Package?]:[Applicable Package?]]="Y",SUM('Rolled Up Non-Incremental Costs'!M23,'ICE Removal Cost'!M23,'Trans Removal Cost'!M23,'LEV3 Criteria Emissions Cost'!M23,'ZEV Assembly Reductions'!M23,'ACCII Criteria Compliance Cost'!M23,'ACCII GHG Compliance'!M23,'Current GHG Compliance'!M23)+IF(Table44[[#This Row],[Cold]:[Cold]]="Y",'Cold Weather Package'!M23,0)+IF(Table44[[#This Row],[eAWD]:[eAWD]]="Y",'eAWD Package'!M23,0)+IF(Table44[[#This Row],[Towing]:[Towing]]="Y",'Towing Bat Cost'!M23,0),"N/A")</f>
        <v>4018.5902550971678</v>
      </c>
      <c r="R22" s="157">
        <f>IF(Table44[[#This Row],[Applicable Package?]:[Applicable Package?]]="Y",SUM('Rolled Up Non-Incremental Costs'!N23,'ICE Removal Cost'!N23,'Trans Removal Cost'!N23,'LEV3 Criteria Emissions Cost'!N23,'ZEV Assembly Reductions'!N23,'ACCII Criteria Compliance Cost'!N23,'ACCII GHG Compliance'!N23,'Current GHG Compliance'!N23)+IF(Table44[[#This Row],[Cold]:[Cold]]="Y",'Cold Weather Package'!N23,0)+IF(Table44[[#This Row],[eAWD]:[eAWD]]="Y",'eAWD Package'!N23,0)+IF(Table44[[#This Row],[Towing]:[Towing]]="Y",'Towing Bat Cost'!N23,0),"N/A")</f>
        <v>3866.8608213328571</v>
      </c>
      <c r="S22" s="157">
        <f>IF(Table44[[#This Row],[Applicable Package?]:[Applicable Package?]]="Y",SUM('Rolled Up Non-Incremental Costs'!O23,'ICE Removal Cost'!O23,'Trans Removal Cost'!O23,'LEV3 Criteria Emissions Cost'!O23,'ZEV Assembly Reductions'!O23,'ACCII Criteria Compliance Cost'!O23,'ACCII GHG Compliance'!O23,'Current GHG Compliance'!O23)+IF(Table44[[#This Row],[Cold]:[Cold]]="Y",'Cold Weather Package'!O23,0)+IF(Table44[[#This Row],[eAWD]:[eAWD]]="Y",'eAWD Package'!O23,0)+IF(Table44[[#This Row],[Towing]:[Towing]]="Y",'Towing Bat Cost'!O23,0),"N/A")</f>
        <v>3722.2273527401212</v>
      </c>
    </row>
    <row r="23" spans="1:21" x14ac:dyDescent="0.3">
      <c r="A23" t="str">
        <f t="shared" si="0"/>
        <v>PickupHTPHEV50</v>
      </c>
      <c r="B23" s="90" t="str">
        <f>'Vehicle Attributes - Base Year'!B21</f>
        <v>Pickup</v>
      </c>
      <c r="C23" s="68" t="str">
        <f>'Vehicle Attributes - Base Year'!C21</f>
        <v>HT</v>
      </c>
      <c r="D23" s="68" t="str">
        <f>'Vehicle Attributes - Base Year'!D21</f>
        <v>PHEV50</v>
      </c>
      <c r="E23" s="124" t="s">
        <v>77</v>
      </c>
      <c r="F23" s="124" t="s">
        <v>77</v>
      </c>
      <c r="G23" s="125" t="s">
        <v>77</v>
      </c>
      <c r="H23" s="156" t="s">
        <v>76</v>
      </c>
      <c r="I23" s="157">
        <f>IF(Table44[[#This Row],[Applicable Package?]:[Applicable Package?]]="Y",SUM('Rolled Up Non-Incremental Costs'!E24,'ICE Removal Cost'!E24,'Trans Removal Cost'!E24,'LEV3 Criteria Emissions Cost'!E24,'ZEV Assembly Reductions'!E24,'ACCII Criteria Compliance Cost'!E24,'ACCII GHG Compliance'!E24,'Current GHG Compliance'!E24)+IF(Table44[[#This Row],[Cold]:[Cold]]="Y",'Cold Weather Package'!E24,0)+IF(Table44[[#This Row],[eAWD]:[eAWD]]="Y",'eAWD Package'!E24,0)+IF(Table44[[#This Row],[Towing]:[Towing]]="Y",'Towing Bat Cost'!E24,0),"N/A")</f>
        <v>5876.5135809680669</v>
      </c>
      <c r="J23" s="157">
        <f>IF(Table44[[#This Row],[Applicable Package?]:[Applicable Package?]]="Y",SUM('Rolled Up Non-Incremental Costs'!F24,'ICE Removal Cost'!F24,'Trans Removal Cost'!F24,'LEV3 Criteria Emissions Cost'!F24,'ZEV Assembly Reductions'!F24,'ACCII Criteria Compliance Cost'!F24,'ACCII GHG Compliance'!F24,'Current GHG Compliance'!F24)+IF(Table44[[#This Row],[Cold]:[Cold]]="Y",'Cold Weather Package'!F24,0)+IF(Table44[[#This Row],[eAWD]:[eAWD]]="Y",'eAWD Package'!F24,0)+IF(Table44[[#This Row],[Towing]:[Towing]]="Y",'Towing Bat Cost'!F24,0),"N/A")</f>
        <v>5555.4291319230924</v>
      </c>
      <c r="K23" s="157">
        <f>IF(Table44[[#This Row],[Applicable Package?]:[Applicable Package?]]="Y",SUM('Rolled Up Non-Incremental Costs'!G24,'ICE Removal Cost'!G24,'Trans Removal Cost'!G24,'LEV3 Criteria Emissions Cost'!G24,'ZEV Assembly Reductions'!G24,'ACCII Criteria Compliance Cost'!G24,'ACCII GHG Compliance'!G24,'Current GHG Compliance'!G24)+IF(Table44[[#This Row],[Cold]:[Cold]]="Y",'Cold Weather Package'!G24,0)+IF(Table44[[#This Row],[eAWD]:[eAWD]]="Y",'eAWD Package'!G24,0)+IF(Table44[[#This Row],[Towing]:[Towing]]="Y",'Towing Bat Cost'!G24,0),"N/A")</f>
        <v>5256.4172916015823</v>
      </c>
      <c r="L23" s="157">
        <f>IF(Table44[[#This Row],[Applicable Package?]:[Applicable Package?]]="Y",SUM('Rolled Up Non-Incremental Costs'!H24,'ICE Removal Cost'!H24,'Trans Removal Cost'!H24,'LEV3 Criteria Emissions Cost'!H24,'ZEV Assembly Reductions'!H24,'ACCII Criteria Compliance Cost'!H24,'ACCII GHG Compliance'!H24,'Current GHG Compliance'!H24)+IF(Table44[[#This Row],[Cold]:[Cold]]="Y",'Cold Weather Package'!H24,0)+IF(Table44[[#This Row],[eAWD]:[eAWD]]="Y",'eAWD Package'!H24,0)+IF(Table44[[#This Row],[Towing]:[Towing]]="Y",'Towing Bat Cost'!H24,0),"N/A")</f>
        <v>4977.8493032163069</v>
      </c>
      <c r="M23" s="157">
        <f>IF(Table44[[#This Row],[Applicable Package?]:[Applicable Package?]]="Y",SUM('Rolled Up Non-Incremental Costs'!I24,'ICE Removal Cost'!I24,'Trans Removal Cost'!I24,'LEV3 Criteria Emissions Cost'!I24,'ZEV Assembly Reductions'!I24,'ACCII Criteria Compliance Cost'!I24,'ACCII GHG Compliance'!I24,'Current GHG Compliance'!I24)+IF(Table44[[#This Row],[Cold]:[Cold]]="Y",'Cold Weather Package'!I24,0)+IF(Table44[[#This Row],[eAWD]:[eAWD]]="Y",'eAWD Package'!I24,0)+IF(Table44[[#This Row],[Towing]:[Towing]]="Y",'Towing Bat Cost'!I24,0),"N/A")</f>
        <v>4718.2178070396649</v>
      </c>
      <c r="N23" s="157">
        <f>IF(Table44[[#This Row],[Applicable Package?]:[Applicable Package?]]="Y",SUM('Rolled Up Non-Incremental Costs'!J24,'ICE Removal Cost'!J24,'Trans Removal Cost'!J24,'LEV3 Criteria Emissions Cost'!J24,'ZEV Assembly Reductions'!J24,'ACCII Criteria Compliance Cost'!J24,'ACCII GHG Compliance'!J24,'Current GHG Compliance'!J24)+IF(Table44[[#This Row],[Cold]:[Cold]]="Y",'Cold Weather Package'!J24,0)+IF(Table44[[#This Row],[eAWD]:[eAWD]]="Y",'eAWD Package'!J24,0)+IF(Table44[[#This Row],[Towing]:[Towing]]="Y",'Towing Bat Cost'!J24,0),"N/A")</f>
        <v>4520.4509369448788</v>
      </c>
      <c r="O23" s="157">
        <f>IF(Table44[[#This Row],[Applicable Package?]:[Applicable Package?]]="Y",SUM('Rolled Up Non-Incremental Costs'!K24,'ICE Removal Cost'!K24,'Trans Removal Cost'!K24,'LEV3 Criteria Emissions Cost'!K24,'ZEV Assembly Reductions'!K24,'ACCII Criteria Compliance Cost'!K24,'ACCII GHG Compliance'!K24,'Current GHG Compliance'!K24)+IF(Table44[[#This Row],[Cold]:[Cold]]="Y",'Cold Weather Package'!K24,0)+IF(Table44[[#This Row],[eAWD]:[eAWD]]="Y",'eAWD Package'!K24,0)+IF(Table44[[#This Row],[Towing]:[Towing]]="Y",'Towing Bat Cost'!K24,0),"N/A")</f>
        <v>4344.952197757535</v>
      </c>
      <c r="P23" s="157">
        <f>IF(Table44[[#This Row],[Applicable Package?]:[Applicable Package?]]="Y",SUM('Rolled Up Non-Incremental Costs'!L24,'ICE Removal Cost'!L24,'Trans Removal Cost'!L24,'LEV3 Criteria Emissions Cost'!L24,'ZEV Assembly Reductions'!L24,'ACCII Criteria Compliance Cost'!L24,'ACCII GHG Compliance'!L24,'Current GHG Compliance'!L24)+IF(Table44[[#This Row],[Cold]:[Cold]]="Y",'Cold Weather Package'!L24,0)+IF(Table44[[#This Row],[eAWD]:[eAWD]]="Y",'eAWD Package'!L24,0)+IF(Table44[[#This Row],[Towing]:[Towing]]="Y",'Towing Bat Cost'!L24,0),"N/A")</f>
        <v>4177.8137175445936</v>
      </c>
      <c r="Q23" s="157">
        <f>IF(Table44[[#This Row],[Applicable Package?]:[Applicable Package?]]="Y",SUM('Rolled Up Non-Incremental Costs'!M24,'ICE Removal Cost'!M24,'Trans Removal Cost'!M24,'LEV3 Criteria Emissions Cost'!M24,'ZEV Assembly Reductions'!M24,'ACCII Criteria Compliance Cost'!M24,'ACCII GHG Compliance'!M24,'Current GHG Compliance'!M24)+IF(Table44[[#This Row],[Cold]:[Cold]]="Y",'Cold Weather Package'!M24,0)+IF(Table44[[#This Row],[eAWD]:[eAWD]]="Y",'eAWD Package'!M24,0)+IF(Table44[[#This Row],[Towing]:[Towing]]="Y",'Towing Bat Cost'!M24,0),"N/A")</f>
        <v>4018.5902550971678</v>
      </c>
      <c r="R23" s="157">
        <f>IF(Table44[[#This Row],[Applicable Package?]:[Applicable Package?]]="Y",SUM('Rolled Up Non-Incremental Costs'!N24,'ICE Removal Cost'!N24,'Trans Removal Cost'!N24,'LEV3 Criteria Emissions Cost'!N24,'ZEV Assembly Reductions'!N24,'ACCII Criteria Compliance Cost'!N24,'ACCII GHG Compliance'!N24,'Current GHG Compliance'!N24)+IF(Table44[[#This Row],[Cold]:[Cold]]="Y",'Cold Weather Package'!N24,0)+IF(Table44[[#This Row],[eAWD]:[eAWD]]="Y",'eAWD Package'!N24,0)+IF(Table44[[#This Row],[Towing]:[Towing]]="Y",'Towing Bat Cost'!N24,0),"N/A")</f>
        <v>3866.8608213328571</v>
      </c>
      <c r="S23" s="157">
        <f>IF(Table44[[#This Row],[Applicable Package?]:[Applicable Package?]]="Y",SUM('Rolled Up Non-Incremental Costs'!O24,'ICE Removal Cost'!O24,'Trans Removal Cost'!O24,'LEV3 Criteria Emissions Cost'!O24,'ZEV Assembly Reductions'!O24,'ACCII Criteria Compliance Cost'!O24,'ACCII GHG Compliance'!O24,'Current GHG Compliance'!O24)+IF(Table44[[#This Row],[Cold]:[Cold]]="Y",'Cold Weather Package'!O24,0)+IF(Table44[[#This Row],[eAWD]:[eAWD]]="Y",'eAWD Package'!O24,0)+IF(Table44[[#This Row],[Towing]:[Towing]]="Y",'Towing Bat Cost'!O24,0),"N/A")</f>
        <v>3722.2273527401212</v>
      </c>
    </row>
    <row r="24" spans="1:21" x14ac:dyDescent="0.3">
      <c r="A24" s="28" t="str">
        <f t="shared" si="0"/>
        <v>SmallCarBaseFCEV320</v>
      </c>
      <c r="B24" s="90" t="str">
        <f>'Vehicle Attributes - Base Year'!B22</f>
        <v>SmallCar</v>
      </c>
      <c r="C24" s="68" t="str">
        <f>'Vehicle Attributes - Base Year'!C22</f>
        <v>Base</v>
      </c>
      <c r="D24" s="68" t="str">
        <f>'Vehicle Attributes - Base Year'!D22</f>
        <v>FCEV320</v>
      </c>
      <c r="E24" s="124" t="s">
        <v>77</v>
      </c>
      <c r="F24" s="124" t="s">
        <v>77</v>
      </c>
      <c r="G24" s="125" t="s">
        <v>77</v>
      </c>
      <c r="H24" s="156" t="s">
        <v>76</v>
      </c>
      <c r="I24" s="157">
        <f>IF(Table44[[#This Row],[Applicable Package?]:[Applicable Package?]]="Y",SUM('Rolled Up Non-Incremental Costs'!E25,'ICE Removal Cost'!E25,'Trans Removal Cost'!E25,'LEV3 Criteria Emissions Cost'!E25,'ZEV Assembly Reductions'!E25,'ACCII Criteria Compliance Cost'!E25,'ACCII GHG Compliance'!E25,'Current GHG Compliance'!E25)+IF(Table44[[#This Row],[Cold]:[Cold]]="Y",'Cold Weather Package'!E25,0)+IF(Table44[[#This Row],[eAWD]:[eAWD]]="Y",'eAWD Package'!E25,0)+IF(Table44[[#This Row],[Towing]:[Towing]]="Y",'Towing Bat Cost'!E25,0),"N/A")</f>
        <v>7081.4450199268249</v>
      </c>
      <c r="J24" s="157">
        <f>IF(Table44[[#This Row],[Applicable Package?]:[Applicable Package?]]="Y",SUM('Rolled Up Non-Incremental Costs'!F25,'ICE Removal Cost'!F25,'Trans Removal Cost'!F25,'LEV3 Criteria Emissions Cost'!F25,'ZEV Assembly Reductions'!F25,'ACCII Criteria Compliance Cost'!F25,'ACCII GHG Compliance'!F25,'Current GHG Compliance'!F25)+IF(Table44[[#This Row],[Cold]:[Cold]]="Y",'Cold Weather Package'!F25,0)+IF(Table44[[#This Row],[eAWD]:[eAWD]]="Y",'eAWD Package'!F25,0)+IF(Table44[[#This Row],[Towing]:[Towing]]="Y",'Towing Bat Cost'!F25,0),"N/A")</f>
        <v>6255.825616983424</v>
      </c>
      <c r="K24" s="157">
        <f>IF(Table44[[#This Row],[Applicable Package?]:[Applicable Package?]]="Y",SUM('Rolled Up Non-Incremental Costs'!G25,'ICE Removal Cost'!G25,'Trans Removal Cost'!G25,'LEV3 Criteria Emissions Cost'!G25,'ZEV Assembly Reductions'!G25,'ACCII Criteria Compliance Cost'!G25,'ACCII GHG Compliance'!G25,'Current GHG Compliance'!G25)+IF(Table44[[#This Row],[Cold]:[Cold]]="Y",'Cold Weather Package'!G25,0)+IF(Table44[[#This Row],[eAWD]:[eAWD]]="Y",'eAWD Package'!G25,0)+IF(Table44[[#This Row],[Towing]:[Towing]]="Y",'Towing Bat Cost'!G25,0),"N/A")</f>
        <v>5442.0639934352857</v>
      </c>
      <c r="L24" s="157">
        <f>IF(Table44[[#This Row],[Applicable Package?]:[Applicable Package?]]="Y",SUM('Rolled Up Non-Incremental Costs'!H25,'ICE Removal Cost'!H25,'Trans Removal Cost'!H25,'LEV3 Criteria Emissions Cost'!H25,'ZEV Assembly Reductions'!H25,'ACCII Criteria Compliance Cost'!H25,'ACCII GHG Compliance'!H25,'Current GHG Compliance'!H25)+IF(Table44[[#This Row],[Cold]:[Cold]]="Y",'Cold Weather Package'!H25,0)+IF(Table44[[#This Row],[eAWD]:[eAWD]]="Y",'eAWD Package'!H25,0)+IF(Table44[[#This Row],[Towing]:[Towing]]="Y",'Towing Bat Cost'!H25,0),"N/A")</f>
        <v>4640.1566859172563</v>
      </c>
      <c r="M24" s="157">
        <f>IF(Table44[[#This Row],[Applicable Package?]:[Applicable Package?]]="Y",SUM('Rolled Up Non-Incremental Costs'!I25,'ICE Removal Cost'!I25,'Trans Removal Cost'!I25,'LEV3 Criteria Emissions Cost'!I25,'ZEV Assembly Reductions'!I25,'ACCII Criteria Compliance Cost'!I25,'ACCII GHG Compliance'!I25,'Current GHG Compliance'!I25)+IF(Table44[[#This Row],[Cold]:[Cold]]="Y",'Cold Weather Package'!I25,0)+IF(Table44[[#This Row],[eAWD]:[eAWD]]="Y",'eAWD Package'!I25,0)+IF(Table44[[#This Row],[Towing]:[Towing]]="Y",'Towing Bat Cost'!I25,0),"N/A")</f>
        <v>3850.1002656978399</v>
      </c>
      <c r="N24" s="157">
        <f>IF(Table44[[#This Row],[Applicable Package?]:[Applicable Package?]]="Y",SUM('Rolled Up Non-Incremental Costs'!J25,'ICE Removal Cost'!J25,'Trans Removal Cost'!J25,'LEV3 Criteria Emissions Cost'!J25,'ZEV Assembly Reductions'!J25,'ACCII Criteria Compliance Cost'!J25,'ACCII GHG Compliance'!J25,'Current GHG Compliance'!J25)+IF(Table44[[#This Row],[Cold]:[Cold]]="Y",'Cold Weather Package'!J25,0)+IF(Table44[[#This Row],[eAWD]:[eAWD]]="Y",'eAWD Package'!J25,0)+IF(Table44[[#This Row],[Towing]:[Towing]]="Y",'Towing Bat Cost'!J25,0),"N/A")</f>
        <v>3071.8913383328436</v>
      </c>
      <c r="O24" s="157">
        <f>IF(Table44[[#This Row],[Applicable Package?]:[Applicable Package?]]="Y",SUM('Rolled Up Non-Incremental Costs'!K25,'ICE Removal Cost'!K25,'Trans Removal Cost'!K25,'LEV3 Criteria Emissions Cost'!K25,'ZEV Assembly Reductions'!K25,'ACCII Criteria Compliance Cost'!K25,'ACCII GHG Compliance'!K25,'Current GHG Compliance'!K25)+IF(Table44[[#This Row],[Cold]:[Cold]]="Y",'Cold Weather Package'!K25,0)+IF(Table44[[#This Row],[eAWD]:[eAWD]]="Y",'eAWD Package'!K25,0)+IF(Table44[[#This Row],[Towing]:[Towing]]="Y",'Towing Bat Cost'!K25,0),"N/A")</f>
        <v>2776.0091371296712</v>
      </c>
      <c r="P24" s="157">
        <f>IF(Table44[[#This Row],[Applicable Package?]:[Applicable Package?]]="Y",SUM('Rolled Up Non-Incremental Costs'!L25,'ICE Removal Cost'!L25,'Trans Removal Cost'!L25,'LEV3 Criteria Emissions Cost'!L25,'ZEV Assembly Reductions'!L25,'ACCII Criteria Compliance Cost'!L25,'ACCII GHG Compliance'!L25,'Current GHG Compliance'!L25)+IF(Table44[[#This Row],[Cold]:[Cold]]="Y",'Cold Weather Package'!L25,0)+IF(Table44[[#This Row],[eAWD]:[eAWD]]="Y",'eAWD Package'!L25,0)+IF(Table44[[#This Row],[Towing]:[Towing]]="Y",'Towing Bat Cost'!L25,0),"N/A")</f>
        <v>2483.2827646990409</v>
      </c>
      <c r="Q24" s="157">
        <f>IF(Table44[[#This Row],[Applicable Package?]:[Applicable Package?]]="Y",SUM('Rolled Up Non-Incremental Costs'!M25,'ICE Removal Cost'!M25,'Trans Removal Cost'!M25,'LEV3 Criteria Emissions Cost'!M25,'ZEV Assembly Reductions'!M25,'ACCII Criteria Compliance Cost'!M25,'ACCII GHG Compliance'!M25,'Current GHG Compliance'!M25)+IF(Table44[[#This Row],[Cold]:[Cold]]="Y",'Cold Weather Package'!M25,0)+IF(Table44[[#This Row],[eAWD]:[eAWD]]="Y",'eAWD Package'!M25,0)+IF(Table44[[#This Row],[Towing]:[Towing]]="Y",'Towing Bat Cost'!M25,0),"N/A")</f>
        <v>2193.7022556071552</v>
      </c>
      <c r="R24" s="157">
        <f>IF(Table44[[#This Row],[Applicable Package?]:[Applicable Package?]]="Y",SUM('Rolled Up Non-Incremental Costs'!N25,'ICE Removal Cost'!N25,'Trans Removal Cost'!N25,'LEV3 Criteria Emissions Cost'!N25,'ZEV Assembly Reductions'!N25,'ACCII Criteria Compliance Cost'!N25,'ACCII GHG Compliance'!N25,'Current GHG Compliance'!N25)+IF(Table44[[#This Row],[Cold]:[Cold]]="Y",'Cold Weather Package'!N25,0)+IF(Table44[[#This Row],[eAWD]:[eAWD]]="Y",'eAWD Package'!N25,0)+IF(Table44[[#This Row],[Towing]:[Towing]]="Y",'Towing Bat Cost'!N25,0),"N/A")</f>
        <v>1907.2577663139127</v>
      </c>
      <c r="S24" s="157">
        <f>IF(Table44[[#This Row],[Applicable Package?]:[Applicable Package?]]="Y",SUM('Rolled Up Non-Incremental Costs'!O25,'ICE Removal Cost'!O25,'Trans Removal Cost'!O25,'LEV3 Criteria Emissions Cost'!O25,'ZEV Assembly Reductions'!O25,'ACCII Criteria Compliance Cost'!O25,'ACCII GHG Compliance'!O25,'Current GHG Compliance'!O25)+IF(Table44[[#This Row],[Cold]:[Cold]]="Y",'Cold Weather Package'!O25,0)+IF(Table44[[#This Row],[eAWD]:[eAWD]]="Y",'eAWD Package'!O25,0)+IF(Table44[[#This Row],[Towing]:[Towing]]="Y",'Towing Bat Cost'!O25,0),"N/A")</f>
        <v>1623.9395737315735</v>
      </c>
      <c r="U24" s="4"/>
    </row>
    <row r="25" spans="1:21" x14ac:dyDescent="0.3">
      <c r="A25" t="str">
        <f t="shared" si="0"/>
        <v>SmallCarPremiumFCEV320</v>
      </c>
      <c r="B25" s="90" t="str">
        <f>'Vehicle Attributes - Base Year'!B23</f>
        <v>SmallCar</v>
      </c>
      <c r="C25" s="68" t="str">
        <f>'Vehicle Attributes - Base Year'!C23</f>
        <v>Premium</v>
      </c>
      <c r="D25" s="68" t="str">
        <f>'Vehicle Attributes - Base Year'!D23</f>
        <v>FCEV320</v>
      </c>
      <c r="E25" s="124" t="s">
        <v>77</v>
      </c>
      <c r="F25" s="124" t="s">
        <v>77</v>
      </c>
      <c r="G25" s="125" t="s">
        <v>77</v>
      </c>
      <c r="H25" s="156" t="s">
        <v>76</v>
      </c>
      <c r="I25" s="157">
        <f>IF(Table44[[#This Row],[Applicable Package?]:[Applicable Package?]]="Y",SUM('Rolled Up Non-Incremental Costs'!E26,'ICE Removal Cost'!E26,'Trans Removal Cost'!E26,'LEV3 Criteria Emissions Cost'!E26,'ZEV Assembly Reductions'!E26,'ACCII Criteria Compliance Cost'!E26,'ACCII GHG Compliance'!E26,'Current GHG Compliance'!E26)+IF(Table44[[#This Row],[Cold]:[Cold]]="Y",'Cold Weather Package'!E26,0)+IF(Table44[[#This Row],[eAWD]:[eAWD]]="Y",'eAWD Package'!E26,0)+IF(Table44[[#This Row],[Towing]:[Towing]]="Y",'Towing Bat Cost'!E26,0),"N/A")</f>
        <v>7081.4450199268249</v>
      </c>
      <c r="J25" s="157">
        <f>IF(Table44[[#This Row],[Applicable Package?]:[Applicable Package?]]="Y",SUM('Rolled Up Non-Incremental Costs'!F26,'ICE Removal Cost'!F26,'Trans Removal Cost'!F26,'LEV3 Criteria Emissions Cost'!F26,'ZEV Assembly Reductions'!F26,'ACCII Criteria Compliance Cost'!F26,'ACCII GHG Compliance'!F26,'Current GHG Compliance'!F26)+IF(Table44[[#This Row],[Cold]:[Cold]]="Y",'Cold Weather Package'!F26,0)+IF(Table44[[#This Row],[eAWD]:[eAWD]]="Y",'eAWD Package'!F26,0)+IF(Table44[[#This Row],[Towing]:[Towing]]="Y",'Towing Bat Cost'!F26,0),"N/A")</f>
        <v>6255.825616983424</v>
      </c>
      <c r="K25" s="157">
        <f>IF(Table44[[#This Row],[Applicable Package?]:[Applicable Package?]]="Y",SUM('Rolled Up Non-Incremental Costs'!G26,'ICE Removal Cost'!G26,'Trans Removal Cost'!G26,'LEV3 Criteria Emissions Cost'!G26,'ZEV Assembly Reductions'!G26,'ACCII Criteria Compliance Cost'!G26,'ACCII GHG Compliance'!G26,'Current GHG Compliance'!G26)+IF(Table44[[#This Row],[Cold]:[Cold]]="Y",'Cold Weather Package'!G26,0)+IF(Table44[[#This Row],[eAWD]:[eAWD]]="Y",'eAWD Package'!G26,0)+IF(Table44[[#This Row],[Towing]:[Towing]]="Y",'Towing Bat Cost'!G26,0),"N/A")</f>
        <v>5442.0639934352857</v>
      </c>
      <c r="L25" s="157">
        <f>IF(Table44[[#This Row],[Applicable Package?]:[Applicable Package?]]="Y",SUM('Rolled Up Non-Incremental Costs'!H26,'ICE Removal Cost'!H26,'Trans Removal Cost'!H26,'LEV3 Criteria Emissions Cost'!H26,'ZEV Assembly Reductions'!H26,'ACCII Criteria Compliance Cost'!H26,'ACCII GHG Compliance'!H26,'Current GHG Compliance'!H26)+IF(Table44[[#This Row],[Cold]:[Cold]]="Y",'Cold Weather Package'!H26,0)+IF(Table44[[#This Row],[eAWD]:[eAWD]]="Y",'eAWD Package'!H26,0)+IF(Table44[[#This Row],[Towing]:[Towing]]="Y",'Towing Bat Cost'!H26,0),"N/A")</f>
        <v>4640.1566859172563</v>
      </c>
      <c r="M25" s="157">
        <f>IF(Table44[[#This Row],[Applicable Package?]:[Applicable Package?]]="Y",SUM('Rolled Up Non-Incremental Costs'!I26,'ICE Removal Cost'!I26,'Trans Removal Cost'!I26,'LEV3 Criteria Emissions Cost'!I26,'ZEV Assembly Reductions'!I26,'ACCII Criteria Compliance Cost'!I26,'ACCII GHG Compliance'!I26,'Current GHG Compliance'!I26)+IF(Table44[[#This Row],[Cold]:[Cold]]="Y",'Cold Weather Package'!I26,0)+IF(Table44[[#This Row],[eAWD]:[eAWD]]="Y",'eAWD Package'!I26,0)+IF(Table44[[#This Row],[Towing]:[Towing]]="Y",'Towing Bat Cost'!I26,0),"N/A")</f>
        <v>3850.1002656978399</v>
      </c>
      <c r="N25" s="157">
        <f>IF(Table44[[#This Row],[Applicable Package?]:[Applicable Package?]]="Y",SUM('Rolled Up Non-Incremental Costs'!J26,'ICE Removal Cost'!J26,'Trans Removal Cost'!J26,'LEV3 Criteria Emissions Cost'!J26,'ZEV Assembly Reductions'!J26,'ACCII Criteria Compliance Cost'!J26,'ACCII GHG Compliance'!J26,'Current GHG Compliance'!J26)+IF(Table44[[#This Row],[Cold]:[Cold]]="Y",'Cold Weather Package'!J26,0)+IF(Table44[[#This Row],[eAWD]:[eAWD]]="Y",'eAWD Package'!J26,0)+IF(Table44[[#This Row],[Towing]:[Towing]]="Y",'Towing Bat Cost'!J26,0),"N/A")</f>
        <v>3071.8913383328436</v>
      </c>
      <c r="O25" s="157">
        <f>IF(Table44[[#This Row],[Applicable Package?]:[Applicable Package?]]="Y",SUM('Rolled Up Non-Incremental Costs'!K26,'ICE Removal Cost'!K26,'Trans Removal Cost'!K26,'LEV3 Criteria Emissions Cost'!K26,'ZEV Assembly Reductions'!K26,'ACCII Criteria Compliance Cost'!K26,'ACCII GHG Compliance'!K26,'Current GHG Compliance'!K26)+IF(Table44[[#This Row],[Cold]:[Cold]]="Y",'Cold Weather Package'!K26,0)+IF(Table44[[#This Row],[eAWD]:[eAWD]]="Y",'eAWD Package'!K26,0)+IF(Table44[[#This Row],[Towing]:[Towing]]="Y",'Towing Bat Cost'!K26,0),"N/A")</f>
        <v>2776.0091371296712</v>
      </c>
      <c r="P25" s="157">
        <f>IF(Table44[[#This Row],[Applicable Package?]:[Applicable Package?]]="Y",SUM('Rolled Up Non-Incremental Costs'!L26,'ICE Removal Cost'!L26,'Trans Removal Cost'!L26,'LEV3 Criteria Emissions Cost'!L26,'ZEV Assembly Reductions'!L26,'ACCII Criteria Compliance Cost'!L26,'ACCII GHG Compliance'!L26,'Current GHG Compliance'!L26)+IF(Table44[[#This Row],[Cold]:[Cold]]="Y",'Cold Weather Package'!L26,0)+IF(Table44[[#This Row],[eAWD]:[eAWD]]="Y",'eAWD Package'!L26,0)+IF(Table44[[#This Row],[Towing]:[Towing]]="Y",'Towing Bat Cost'!L26,0),"N/A")</f>
        <v>2483.2827646990409</v>
      </c>
      <c r="Q25" s="157">
        <f>IF(Table44[[#This Row],[Applicable Package?]:[Applicable Package?]]="Y",SUM('Rolled Up Non-Incremental Costs'!M26,'ICE Removal Cost'!M26,'Trans Removal Cost'!M26,'LEV3 Criteria Emissions Cost'!M26,'ZEV Assembly Reductions'!M26,'ACCII Criteria Compliance Cost'!M26,'ACCII GHG Compliance'!M26,'Current GHG Compliance'!M26)+IF(Table44[[#This Row],[Cold]:[Cold]]="Y",'Cold Weather Package'!M26,0)+IF(Table44[[#This Row],[eAWD]:[eAWD]]="Y",'eAWD Package'!M26,0)+IF(Table44[[#This Row],[Towing]:[Towing]]="Y",'Towing Bat Cost'!M26,0),"N/A")</f>
        <v>2193.7022556071552</v>
      </c>
      <c r="R25" s="157">
        <f>IF(Table44[[#This Row],[Applicable Package?]:[Applicable Package?]]="Y",SUM('Rolled Up Non-Incremental Costs'!N26,'ICE Removal Cost'!N26,'Trans Removal Cost'!N26,'LEV3 Criteria Emissions Cost'!N26,'ZEV Assembly Reductions'!N26,'ACCII Criteria Compliance Cost'!N26,'ACCII GHG Compliance'!N26,'Current GHG Compliance'!N26)+IF(Table44[[#This Row],[Cold]:[Cold]]="Y",'Cold Weather Package'!N26,0)+IF(Table44[[#This Row],[eAWD]:[eAWD]]="Y",'eAWD Package'!N26,0)+IF(Table44[[#This Row],[Towing]:[Towing]]="Y",'Towing Bat Cost'!N26,0),"N/A")</f>
        <v>1907.2577663139127</v>
      </c>
      <c r="S25" s="157">
        <f>IF(Table44[[#This Row],[Applicable Package?]:[Applicable Package?]]="Y",SUM('Rolled Up Non-Incremental Costs'!O26,'ICE Removal Cost'!O26,'Trans Removal Cost'!O26,'LEV3 Criteria Emissions Cost'!O26,'ZEV Assembly Reductions'!O26,'ACCII Criteria Compliance Cost'!O26,'ACCII GHG Compliance'!O26,'Current GHG Compliance'!O26)+IF(Table44[[#This Row],[Cold]:[Cold]]="Y",'Cold Weather Package'!O26,0)+IF(Table44[[#This Row],[eAWD]:[eAWD]]="Y",'eAWD Package'!O26,0)+IF(Table44[[#This Row],[Towing]:[Towing]]="Y",'Towing Bat Cost'!O26,0),"N/A")</f>
        <v>1623.9395737315735</v>
      </c>
      <c r="U25" s="4"/>
    </row>
    <row r="26" spans="1:21" x14ac:dyDescent="0.3">
      <c r="A26" s="28" t="str">
        <f t="shared" si="0"/>
        <v>MedCarBaseFCEV320</v>
      </c>
      <c r="B26" s="90" t="str">
        <f>'Vehicle Attributes - Base Year'!B24</f>
        <v>MedCar</v>
      </c>
      <c r="C26" s="68" t="str">
        <f>'Vehicle Attributes - Base Year'!C24</f>
        <v>Base</v>
      </c>
      <c r="D26" s="68" t="str">
        <f>'Vehicle Attributes - Base Year'!D24</f>
        <v>FCEV320</v>
      </c>
      <c r="E26" s="124" t="s">
        <v>77</v>
      </c>
      <c r="F26" s="124" t="s">
        <v>77</v>
      </c>
      <c r="G26" s="125" t="s">
        <v>77</v>
      </c>
      <c r="H26" s="156" t="s">
        <v>76</v>
      </c>
      <c r="I26" s="157">
        <f>IF(Table44[[#This Row],[Applicable Package?]:[Applicable Package?]]="Y",SUM('Rolled Up Non-Incremental Costs'!E27,'ICE Removal Cost'!E27,'Trans Removal Cost'!E27,'LEV3 Criteria Emissions Cost'!E27,'ZEV Assembly Reductions'!E27,'ACCII Criteria Compliance Cost'!E27,'ACCII GHG Compliance'!E27,'Current GHG Compliance'!E27)+IF(Table44[[#This Row],[Cold]:[Cold]]="Y",'Cold Weather Package'!E27,0)+IF(Table44[[#This Row],[eAWD]:[eAWD]]="Y",'eAWD Package'!E27,0)+IF(Table44[[#This Row],[Towing]:[Towing]]="Y",'Towing Bat Cost'!E27,0),"N/A")</f>
        <v>10940.471607515748</v>
      </c>
      <c r="J26" s="157">
        <f>IF(Table44[[#This Row],[Applicable Package?]:[Applicable Package?]]="Y",SUM('Rolled Up Non-Incremental Costs'!F27,'ICE Removal Cost'!F27,'Trans Removal Cost'!F27,'LEV3 Criteria Emissions Cost'!F27,'ZEV Assembly Reductions'!F27,'ACCII Criteria Compliance Cost'!F27,'ACCII GHG Compliance'!F27,'Current GHG Compliance'!F27)+IF(Table44[[#This Row],[Cold]:[Cold]]="Y",'Cold Weather Package'!F27,0)+IF(Table44[[#This Row],[eAWD]:[eAWD]]="Y",'eAWD Package'!F27,0)+IF(Table44[[#This Row],[Towing]:[Towing]]="Y",'Towing Bat Cost'!F27,0),"N/A")</f>
        <v>9735.3600896419448</v>
      </c>
      <c r="K26" s="157">
        <f>IF(Table44[[#This Row],[Applicable Package?]:[Applicable Package?]]="Y",SUM('Rolled Up Non-Incremental Costs'!G27,'ICE Removal Cost'!G27,'Trans Removal Cost'!G27,'LEV3 Criteria Emissions Cost'!G27,'ZEV Assembly Reductions'!G27,'ACCII Criteria Compliance Cost'!G27,'ACCII GHG Compliance'!G27,'Current GHG Compliance'!G27)+IF(Table44[[#This Row],[Cold]:[Cold]]="Y",'Cold Weather Package'!G27,0)+IF(Table44[[#This Row],[eAWD]:[eAWD]]="Y",'eAWD Package'!G27,0)+IF(Table44[[#This Row],[Towing]:[Towing]]="Y",'Towing Bat Cost'!G27,0),"N/A")</f>
        <v>8557.0581667910574</v>
      </c>
      <c r="L26" s="157">
        <f>IF(Table44[[#This Row],[Applicable Package?]:[Applicable Package?]]="Y",SUM('Rolled Up Non-Incremental Costs'!H27,'ICE Removal Cost'!H27,'Trans Removal Cost'!H27,'LEV3 Criteria Emissions Cost'!H27,'ZEV Assembly Reductions'!H27,'ACCII Criteria Compliance Cost'!H27,'ACCII GHG Compliance'!H27,'Current GHG Compliance'!H27)+IF(Table44[[#This Row],[Cold]:[Cold]]="Y",'Cold Weather Package'!H27,0)+IF(Table44[[#This Row],[eAWD]:[eAWD]]="Y",'eAWD Package'!H27,0)+IF(Table44[[#This Row],[Towing]:[Towing]]="Y",'Towing Bat Cost'!H27,0),"N/A")</f>
        <v>7405.5547488199281</v>
      </c>
      <c r="M26" s="157">
        <f>IF(Table44[[#This Row],[Applicable Package?]:[Applicable Package?]]="Y",SUM('Rolled Up Non-Incremental Costs'!I27,'ICE Removal Cost'!I27,'Trans Removal Cost'!I27,'LEV3 Criteria Emissions Cost'!I27,'ZEV Assembly Reductions'!I27,'ACCII Criteria Compliance Cost'!I27,'ACCII GHG Compliance'!I27,'Current GHG Compliance'!I27)+IF(Table44[[#This Row],[Cold]:[Cold]]="Y",'Cold Weather Package'!I27,0)+IF(Table44[[#This Row],[eAWD]:[eAWD]]="Y",'eAWD Package'!I27,0)+IF(Table44[[#This Row],[Towing]:[Towing]]="Y",'Towing Bat Cost'!I27,0),"N/A")</f>
        <v>6280.8388798723208</v>
      </c>
      <c r="N26" s="157">
        <f>IF(Table44[[#This Row],[Applicable Package?]:[Applicable Package?]]="Y",SUM('Rolled Up Non-Incremental Costs'!J27,'ICE Removal Cost'!J27,'Trans Removal Cost'!J27,'LEV3 Criteria Emissions Cost'!J27,'ZEV Assembly Reductions'!J27,'ACCII Criteria Compliance Cost'!J27,'ACCII GHG Compliance'!J27,'Current GHG Compliance'!J27)+IF(Table44[[#This Row],[Cold]:[Cold]]="Y",'Cold Weather Package'!J27,0)+IF(Table44[[#This Row],[eAWD]:[eAWD]]="Y",'eAWD Package'!J27,0)+IF(Table44[[#This Row],[Towing]:[Towing]]="Y",'Towing Bat Cost'!J27,0),"N/A")</f>
        <v>5182.8997368021774</v>
      </c>
      <c r="O26" s="157">
        <f>IF(Table44[[#This Row],[Applicable Package?]:[Applicable Package?]]="Y",SUM('Rolled Up Non-Incremental Costs'!K27,'ICE Removal Cost'!K27,'Trans Removal Cost'!K27,'LEV3 Criteria Emissions Cost'!K27,'ZEV Assembly Reductions'!K27,'ACCII Criteria Compliance Cost'!K27,'ACCII GHG Compliance'!K27,'Current GHG Compliance'!K27)+IF(Table44[[#This Row],[Cold]:[Cold]]="Y",'Cold Weather Package'!K27,0)+IF(Table44[[#This Row],[eAWD]:[eAWD]]="Y",'eAWD Package'!K27,0)+IF(Table44[[#This Row],[Towing]:[Towing]]="Y",'Towing Bat Cost'!K27,0),"N/A")</f>
        <v>4809.5348385198267</v>
      </c>
      <c r="P26" s="157">
        <f>IF(Table44[[#This Row],[Applicable Package?]:[Applicable Package?]]="Y",SUM('Rolled Up Non-Incremental Costs'!L27,'ICE Removal Cost'!L27,'Trans Removal Cost'!L27,'LEV3 Criteria Emissions Cost'!L27,'ZEV Assembly Reductions'!L27,'ACCII Criteria Compliance Cost'!L27,'ACCII GHG Compliance'!L27,'Current GHG Compliance'!L27)+IF(Table44[[#This Row],[Cold]:[Cold]]="Y",'Cold Weather Package'!L27,0)+IF(Table44[[#This Row],[eAWD]:[eAWD]]="Y",'eAWD Package'!L27,0)+IF(Table44[[#This Row],[Towing]:[Towing]]="Y",'Towing Bat Cost'!L27,0),"N/A")</f>
        <v>4441.4319715439633</v>
      </c>
      <c r="Q26" s="157">
        <f>IF(Table44[[#This Row],[Applicable Package?]:[Applicable Package?]]="Y",SUM('Rolled Up Non-Incremental Costs'!M27,'ICE Removal Cost'!M27,'Trans Removal Cost'!M27,'LEV3 Criteria Emissions Cost'!M27,'ZEV Assembly Reductions'!M27,'ACCII Criteria Compliance Cost'!M27,'ACCII GHG Compliance'!M27,'Current GHG Compliance'!M27)+IF(Table44[[#This Row],[Cold]:[Cold]]="Y",'Cold Weather Package'!M27,0)+IF(Table44[[#This Row],[eAWD]:[eAWD]]="Y",'eAWD Package'!M27,0)+IF(Table44[[#This Row],[Towing]:[Towing]]="Y",'Towing Bat Cost'!M27,0),"N/A")</f>
        <v>4078.580701578785</v>
      </c>
      <c r="R26" s="157">
        <f>IF(Table44[[#This Row],[Applicable Package?]:[Applicable Package?]]="Y",SUM('Rolled Up Non-Incremental Costs'!N27,'ICE Removal Cost'!N27,'Trans Removal Cost'!N27,'LEV3 Criteria Emissions Cost'!N27,'ZEV Assembly Reductions'!N27,'ACCII Criteria Compliance Cost'!N27,'ACCII GHG Compliance'!N27,'Current GHG Compliance'!N27)+IF(Table44[[#This Row],[Cold]:[Cold]]="Y",'Cold Weather Package'!N27,0)+IF(Table44[[#This Row],[eAWD]:[eAWD]]="Y",'eAWD Package'!N27,0)+IF(Table44[[#This Row],[Towing]:[Towing]]="Y",'Towing Bat Cost'!N27,0),"N/A")</f>
        <v>3720.9707209108201</v>
      </c>
      <c r="S26" s="157">
        <f>IF(Table44[[#This Row],[Applicable Package?]:[Applicable Package?]]="Y",SUM('Rolled Up Non-Incremental Costs'!O27,'ICE Removal Cost'!O27,'Trans Removal Cost'!O27,'LEV3 Criteria Emissions Cost'!O27,'ZEV Assembly Reductions'!O27,'ACCII Criteria Compliance Cost'!O27,'ACCII GHG Compliance'!O27,'Current GHG Compliance'!O27)+IF(Table44[[#This Row],[Cold]:[Cold]]="Y",'Cold Weather Package'!O27,0)+IF(Table44[[#This Row],[eAWD]:[eAWD]]="Y",'eAWD Package'!O27,0)+IF(Table44[[#This Row],[Towing]:[Towing]]="Y",'Towing Bat Cost'!O27,0),"N/A")</f>
        <v>3368.5918469206954</v>
      </c>
      <c r="U26" s="4"/>
    </row>
    <row r="27" spans="1:21" x14ac:dyDescent="0.3">
      <c r="A27" t="str">
        <f t="shared" si="0"/>
        <v>MedCarPremiumFCEV320</v>
      </c>
      <c r="B27" s="90" t="str">
        <f>'Vehicle Attributes - Base Year'!B25</f>
        <v>MedCar</v>
      </c>
      <c r="C27" s="68" t="str">
        <f>'Vehicle Attributes - Base Year'!C25</f>
        <v>Premium</v>
      </c>
      <c r="D27" s="68" t="str">
        <f>'Vehicle Attributes - Base Year'!D25</f>
        <v>FCEV320</v>
      </c>
      <c r="E27" s="124" t="s">
        <v>77</v>
      </c>
      <c r="F27" s="124" t="s">
        <v>77</v>
      </c>
      <c r="G27" s="125" t="s">
        <v>77</v>
      </c>
      <c r="H27" s="156" t="s">
        <v>76</v>
      </c>
      <c r="I27" s="157">
        <f>IF(Table44[[#This Row],[Applicable Package?]:[Applicable Package?]]="Y",SUM('Rolled Up Non-Incremental Costs'!E28,'ICE Removal Cost'!E28,'Trans Removal Cost'!E28,'LEV3 Criteria Emissions Cost'!E28,'ZEV Assembly Reductions'!E28,'ACCII Criteria Compliance Cost'!E28,'ACCII GHG Compliance'!E28,'Current GHG Compliance'!E28)+IF(Table44[[#This Row],[Cold]:[Cold]]="Y",'Cold Weather Package'!E28,0)+IF(Table44[[#This Row],[eAWD]:[eAWD]]="Y",'eAWD Package'!E28,0)+IF(Table44[[#This Row],[Towing]:[Towing]]="Y",'Towing Bat Cost'!E28,0),"N/A")</f>
        <v>10940.471607515748</v>
      </c>
      <c r="J27" s="157">
        <f>IF(Table44[[#This Row],[Applicable Package?]:[Applicable Package?]]="Y",SUM('Rolled Up Non-Incremental Costs'!F28,'ICE Removal Cost'!F28,'Trans Removal Cost'!F28,'LEV3 Criteria Emissions Cost'!F28,'ZEV Assembly Reductions'!F28,'ACCII Criteria Compliance Cost'!F28,'ACCII GHG Compliance'!F28,'Current GHG Compliance'!F28)+IF(Table44[[#This Row],[Cold]:[Cold]]="Y",'Cold Weather Package'!F28,0)+IF(Table44[[#This Row],[eAWD]:[eAWD]]="Y",'eAWD Package'!F28,0)+IF(Table44[[#This Row],[Towing]:[Towing]]="Y",'Towing Bat Cost'!F28,0),"N/A")</f>
        <v>9735.3600896419448</v>
      </c>
      <c r="K27" s="157">
        <f>IF(Table44[[#This Row],[Applicable Package?]:[Applicable Package?]]="Y",SUM('Rolled Up Non-Incremental Costs'!G28,'ICE Removal Cost'!G28,'Trans Removal Cost'!G28,'LEV3 Criteria Emissions Cost'!G28,'ZEV Assembly Reductions'!G28,'ACCII Criteria Compliance Cost'!G28,'ACCII GHG Compliance'!G28,'Current GHG Compliance'!G28)+IF(Table44[[#This Row],[Cold]:[Cold]]="Y",'Cold Weather Package'!G28,0)+IF(Table44[[#This Row],[eAWD]:[eAWD]]="Y",'eAWD Package'!G28,0)+IF(Table44[[#This Row],[Towing]:[Towing]]="Y",'Towing Bat Cost'!G28,0),"N/A")</f>
        <v>8557.0581667910574</v>
      </c>
      <c r="L27" s="157">
        <f>IF(Table44[[#This Row],[Applicable Package?]:[Applicable Package?]]="Y",SUM('Rolled Up Non-Incremental Costs'!H28,'ICE Removal Cost'!H28,'Trans Removal Cost'!H28,'LEV3 Criteria Emissions Cost'!H28,'ZEV Assembly Reductions'!H28,'ACCII Criteria Compliance Cost'!H28,'ACCII GHG Compliance'!H28,'Current GHG Compliance'!H28)+IF(Table44[[#This Row],[Cold]:[Cold]]="Y",'Cold Weather Package'!H28,0)+IF(Table44[[#This Row],[eAWD]:[eAWD]]="Y",'eAWD Package'!H28,0)+IF(Table44[[#This Row],[Towing]:[Towing]]="Y",'Towing Bat Cost'!H28,0),"N/A")</f>
        <v>7405.5547488199281</v>
      </c>
      <c r="M27" s="157">
        <f>IF(Table44[[#This Row],[Applicable Package?]:[Applicable Package?]]="Y",SUM('Rolled Up Non-Incremental Costs'!I28,'ICE Removal Cost'!I28,'Trans Removal Cost'!I28,'LEV3 Criteria Emissions Cost'!I28,'ZEV Assembly Reductions'!I28,'ACCII Criteria Compliance Cost'!I28,'ACCII GHG Compliance'!I28,'Current GHG Compliance'!I28)+IF(Table44[[#This Row],[Cold]:[Cold]]="Y",'Cold Weather Package'!I28,0)+IF(Table44[[#This Row],[eAWD]:[eAWD]]="Y",'eAWD Package'!I28,0)+IF(Table44[[#This Row],[Towing]:[Towing]]="Y",'Towing Bat Cost'!I28,0),"N/A")</f>
        <v>6280.8388798723208</v>
      </c>
      <c r="N27" s="157">
        <f>IF(Table44[[#This Row],[Applicable Package?]:[Applicable Package?]]="Y",SUM('Rolled Up Non-Incremental Costs'!J28,'ICE Removal Cost'!J28,'Trans Removal Cost'!J28,'LEV3 Criteria Emissions Cost'!J28,'ZEV Assembly Reductions'!J28,'ACCII Criteria Compliance Cost'!J28,'ACCII GHG Compliance'!J28,'Current GHG Compliance'!J28)+IF(Table44[[#This Row],[Cold]:[Cold]]="Y",'Cold Weather Package'!J28,0)+IF(Table44[[#This Row],[eAWD]:[eAWD]]="Y",'eAWD Package'!J28,0)+IF(Table44[[#This Row],[Towing]:[Towing]]="Y",'Towing Bat Cost'!J28,0),"N/A")</f>
        <v>5182.8997368021774</v>
      </c>
      <c r="O27" s="157">
        <f>IF(Table44[[#This Row],[Applicable Package?]:[Applicable Package?]]="Y",SUM('Rolled Up Non-Incremental Costs'!K28,'ICE Removal Cost'!K28,'Trans Removal Cost'!K28,'LEV3 Criteria Emissions Cost'!K28,'ZEV Assembly Reductions'!K28,'ACCII Criteria Compliance Cost'!K28,'ACCII GHG Compliance'!K28,'Current GHG Compliance'!K28)+IF(Table44[[#This Row],[Cold]:[Cold]]="Y",'Cold Weather Package'!K28,0)+IF(Table44[[#This Row],[eAWD]:[eAWD]]="Y",'eAWD Package'!K28,0)+IF(Table44[[#This Row],[Towing]:[Towing]]="Y",'Towing Bat Cost'!K28,0),"N/A")</f>
        <v>4809.5348385198267</v>
      </c>
      <c r="P27" s="157">
        <f>IF(Table44[[#This Row],[Applicable Package?]:[Applicable Package?]]="Y",SUM('Rolled Up Non-Incremental Costs'!L28,'ICE Removal Cost'!L28,'Trans Removal Cost'!L28,'LEV3 Criteria Emissions Cost'!L28,'ZEV Assembly Reductions'!L28,'ACCII Criteria Compliance Cost'!L28,'ACCII GHG Compliance'!L28,'Current GHG Compliance'!L28)+IF(Table44[[#This Row],[Cold]:[Cold]]="Y",'Cold Weather Package'!L28,0)+IF(Table44[[#This Row],[eAWD]:[eAWD]]="Y",'eAWD Package'!L28,0)+IF(Table44[[#This Row],[Towing]:[Towing]]="Y",'Towing Bat Cost'!L28,0),"N/A")</f>
        <v>4441.4319715439633</v>
      </c>
      <c r="Q27" s="157">
        <f>IF(Table44[[#This Row],[Applicable Package?]:[Applicable Package?]]="Y",SUM('Rolled Up Non-Incremental Costs'!M28,'ICE Removal Cost'!M28,'Trans Removal Cost'!M28,'LEV3 Criteria Emissions Cost'!M28,'ZEV Assembly Reductions'!M28,'ACCII Criteria Compliance Cost'!M28,'ACCII GHG Compliance'!M28,'Current GHG Compliance'!M28)+IF(Table44[[#This Row],[Cold]:[Cold]]="Y",'Cold Weather Package'!M28,0)+IF(Table44[[#This Row],[eAWD]:[eAWD]]="Y",'eAWD Package'!M28,0)+IF(Table44[[#This Row],[Towing]:[Towing]]="Y",'Towing Bat Cost'!M28,0),"N/A")</f>
        <v>4078.580701578785</v>
      </c>
      <c r="R27" s="157">
        <f>IF(Table44[[#This Row],[Applicable Package?]:[Applicable Package?]]="Y",SUM('Rolled Up Non-Incremental Costs'!N28,'ICE Removal Cost'!N28,'Trans Removal Cost'!N28,'LEV3 Criteria Emissions Cost'!N28,'ZEV Assembly Reductions'!N28,'ACCII Criteria Compliance Cost'!N28,'ACCII GHG Compliance'!N28,'Current GHG Compliance'!N28)+IF(Table44[[#This Row],[Cold]:[Cold]]="Y",'Cold Weather Package'!N28,0)+IF(Table44[[#This Row],[eAWD]:[eAWD]]="Y",'eAWD Package'!N28,0)+IF(Table44[[#This Row],[Towing]:[Towing]]="Y",'Towing Bat Cost'!N28,0),"N/A")</f>
        <v>3720.9707209108201</v>
      </c>
      <c r="S27" s="157">
        <f>IF(Table44[[#This Row],[Applicable Package?]:[Applicable Package?]]="Y",SUM('Rolled Up Non-Incremental Costs'!O28,'ICE Removal Cost'!O28,'Trans Removal Cost'!O28,'LEV3 Criteria Emissions Cost'!O28,'ZEV Assembly Reductions'!O28,'ACCII Criteria Compliance Cost'!O28,'ACCII GHG Compliance'!O28,'Current GHG Compliance'!O28)+IF(Table44[[#This Row],[Cold]:[Cold]]="Y",'Cold Weather Package'!O28,0)+IF(Table44[[#This Row],[eAWD]:[eAWD]]="Y",'eAWD Package'!O28,0)+IF(Table44[[#This Row],[Towing]:[Towing]]="Y",'Towing Bat Cost'!O28,0),"N/A")</f>
        <v>3368.5918469206954</v>
      </c>
      <c r="U27" s="4"/>
    </row>
    <row r="28" spans="1:21" x14ac:dyDescent="0.3">
      <c r="A28" s="28" t="str">
        <f t="shared" si="0"/>
        <v>SmallSUVBaseFCEV320</v>
      </c>
      <c r="B28" s="90" t="str">
        <f>'Vehicle Attributes - Base Year'!B26</f>
        <v>SmallSUV</v>
      </c>
      <c r="C28" s="68" t="str">
        <f>'Vehicle Attributes - Base Year'!C26</f>
        <v>Base</v>
      </c>
      <c r="D28" s="68" t="str">
        <f>'Vehicle Attributes - Base Year'!D26</f>
        <v>FCEV320</v>
      </c>
      <c r="E28" s="124" t="s">
        <v>77</v>
      </c>
      <c r="F28" s="124" t="s">
        <v>77</v>
      </c>
      <c r="G28" s="125" t="s">
        <v>77</v>
      </c>
      <c r="H28" s="156" t="s">
        <v>76</v>
      </c>
      <c r="I28" s="157">
        <f>IF(Table44[[#This Row],[Applicable Package?]:[Applicable Package?]]="Y",SUM('Rolled Up Non-Incremental Costs'!E29,'ICE Removal Cost'!E29,'Trans Removal Cost'!E29,'LEV3 Criteria Emissions Cost'!E29,'ZEV Assembly Reductions'!E29,'ACCII Criteria Compliance Cost'!E29,'ACCII GHG Compliance'!E29,'Current GHG Compliance'!E29)+IF(Table44[[#This Row],[Cold]:[Cold]]="Y",'Cold Weather Package'!E29,0)+IF(Table44[[#This Row],[eAWD]:[eAWD]]="Y",'eAWD Package'!E29,0)+IF(Table44[[#This Row],[Towing]:[Towing]]="Y",'Towing Bat Cost'!E29,0),"N/A")</f>
        <v>10249.279219890879</v>
      </c>
      <c r="J28" s="157">
        <f>IF(Table44[[#This Row],[Applicable Package?]:[Applicable Package?]]="Y",SUM('Rolled Up Non-Incremental Costs'!F29,'ICE Removal Cost'!F29,'Trans Removal Cost'!F29,'LEV3 Criteria Emissions Cost'!F29,'ZEV Assembly Reductions'!F29,'ACCII Criteria Compliance Cost'!F29,'ACCII GHG Compliance'!F29,'Current GHG Compliance'!F29)+IF(Table44[[#This Row],[Cold]:[Cold]]="Y",'Cold Weather Package'!F29,0)+IF(Table44[[#This Row],[eAWD]:[eAWD]]="Y",'eAWD Package'!F29,0)+IF(Table44[[#This Row],[Towing]:[Towing]]="Y",'Towing Bat Cost'!F29,0),"N/A")</f>
        <v>9147.4053961349709</v>
      </c>
      <c r="K28" s="157">
        <f>IF(Table44[[#This Row],[Applicable Package?]:[Applicable Package?]]="Y",SUM('Rolled Up Non-Incremental Costs'!G29,'ICE Removal Cost'!G29,'Trans Removal Cost'!G29,'LEV3 Criteria Emissions Cost'!G29,'ZEV Assembly Reductions'!G29,'ACCII Criteria Compliance Cost'!G29,'ACCII GHG Compliance'!G29,'Current GHG Compliance'!G29)+IF(Table44[[#This Row],[Cold]:[Cold]]="Y",'Cold Weather Package'!G29,0)+IF(Table44[[#This Row],[eAWD]:[eAWD]]="Y",'eAWD Package'!G29,0)+IF(Table44[[#This Row],[Towing]:[Towing]]="Y",'Towing Bat Cost'!G29,0),"N/A")</f>
        <v>8062.3874890579791</v>
      </c>
      <c r="L28" s="157">
        <f>IF(Table44[[#This Row],[Applicable Package?]:[Applicable Package?]]="Y",SUM('Rolled Up Non-Incremental Costs'!H29,'ICE Removal Cost'!H29,'Trans Removal Cost'!H29,'LEV3 Criteria Emissions Cost'!H29,'ZEV Assembly Reductions'!H29,'ACCII Criteria Compliance Cost'!H29,'ACCII GHG Compliance'!H29,'Current GHG Compliance'!H29)+IF(Table44[[#This Row],[Cold]:[Cold]]="Y",'Cold Weather Package'!H29,0)+IF(Table44[[#This Row],[eAWD]:[eAWD]]="Y",'eAWD Package'!H29,0)+IF(Table44[[#This Row],[Towing]:[Towing]]="Y",'Towing Bat Cost'!H29,0),"N/A")</f>
        <v>6994.2144503353884</v>
      </c>
      <c r="M28" s="157">
        <f>IF(Table44[[#This Row],[Applicable Package?]:[Applicable Package?]]="Y",SUM('Rolled Up Non-Incremental Costs'!I29,'ICE Removal Cost'!I29,'Trans Removal Cost'!I29,'LEV3 Criteria Emissions Cost'!I29,'ZEV Assembly Reductions'!I29,'ACCII Criteria Compliance Cost'!I29,'ACCII GHG Compliance'!I29,'Current GHG Compliance'!I29)+IF(Table44[[#This Row],[Cold]:[Cold]]="Y",'Cold Weather Package'!I29,0)+IF(Table44[[#This Row],[eAWD]:[eAWD]]="Y",'eAWD Package'!I29,0)+IF(Table44[[#This Row],[Towing]:[Towing]]="Y",'Towing Bat Cost'!I29,0),"N/A")</f>
        <v>5942.8753655114087</v>
      </c>
      <c r="N28" s="157">
        <f>IF(Table44[[#This Row],[Applicable Package?]:[Applicable Package?]]="Y",SUM('Rolled Up Non-Incremental Costs'!J29,'ICE Removal Cost'!J29,'Trans Removal Cost'!J29,'LEV3 Criteria Emissions Cost'!J29,'ZEV Assembly Reductions'!J29,'ACCII Criteria Compliance Cost'!J29,'ACCII GHG Compliance'!J29,'Current GHG Compliance'!J29)+IF(Table44[[#This Row],[Cold]:[Cold]]="Y",'Cold Weather Package'!J29,0)+IF(Table44[[#This Row],[eAWD]:[eAWD]]="Y",'eAWD Package'!J29,0)+IF(Table44[[#This Row],[Towing]:[Towing]]="Y",'Towing Bat Cost'!J29,0),"N/A")</f>
        <v>4908.3594524264372</v>
      </c>
      <c r="O28" s="157">
        <f>IF(Table44[[#This Row],[Applicable Package?]:[Applicable Package?]]="Y",SUM('Rolled Up Non-Incremental Costs'!K29,'ICE Removal Cost'!K29,'Trans Removal Cost'!K29,'LEV3 Criteria Emissions Cost'!K29,'ZEV Assembly Reductions'!K29,'ACCII Criteria Compliance Cost'!K29,'ACCII GHG Compliance'!K29,'Current GHG Compliance'!K29)+IF(Table44[[#This Row],[Cold]:[Cold]]="Y",'Cold Weather Package'!K29,0)+IF(Table44[[#This Row],[eAWD]:[eAWD]]="Y",'eAWD Package'!K29,0)+IF(Table44[[#This Row],[Towing]:[Towing]]="Y",'Towing Bat Cost'!K29,0),"N/A")</f>
        <v>4584.4982871841967</v>
      </c>
      <c r="P28" s="157">
        <f>IF(Table44[[#This Row],[Applicable Package?]:[Applicable Package?]]="Y",SUM('Rolled Up Non-Incremental Costs'!L29,'ICE Removal Cost'!L29,'Trans Removal Cost'!L29,'LEV3 Criteria Emissions Cost'!L29,'ZEV Assembly Reductions'!L29,'ACCII Criteria Compliance Cost'!L29,'ACCII GHG Compliance'!L29,'Current GHG Compliance'!L29)+IF(Table44[[#This Row],[Cold]:[Cold]]="Y",'Cold Weather Package'!L29,0)+IF(Table44[[#This Row],[eAWD]:[eAWD]]="Y",'eAWD Package'!L29,0)+IF(Table44[[#This Row],[Towing]:[Towing]]="Y",'Towing Bat Cost'!L29,0),"N/A")</f>
        <v>4264.472714944568</v>
      </c>
      <c r="Q28" s="157">
        <f>IF(Table44[[#This Row],[Applicable Package?]:[Applicable Package?]]="Y",SUM('Rolled Up Non-Incremental Costs'!M29,'ICE Removal Cost'!M29,'Trans Removal Cost'!M29,'LEV3 Criteria Emissions Cost'!M29,'ZEV Assembly Reductions'!M29,'ACCII Criteria Compliance Cost'!M29,'ACCII GHG Compliance'!M29,'Current GHG Compliance'!M29)+IF(Table44[[#This Row],[Cold]:[Cold]]="Y",'Cold Weather Package'!M29,0)+IF(Table44[[#This Row],[eAWD]:[eAWD]]="Y",'eAWD Package'!M29,0)+IF(Table44[[#This Row],[Towing]:[Towing]]="Y",'Towing Bat Cost'!M29,0),"N/A")</f>
        <v>3948.2790129888708</v>
      </c>
      <c r="R28" s="157">
        <f>IF(Table44[[#This Row],[Applicable Package?]:[Applicable Package?]]="Y",SUM('Rolled Up Non-Incremental Costs'!N29,'ICE Removal Cost'!N29,'Trans Removal Cost'!N29,'LEV3 Criteria Emissions Cost'!N29,'ZEV Assembly Reductions'!N29,'ACCII Criteria Compliance Cost'!N29,'ACCII GHG Compliance'!N29,'Current GHG Compliance'!N29)+IF(Table44[[#This Row],[Cold]:[Cold]]="Y",'Cold Weather Package'!N29,0)+IF(Table44[[#This Row],[eAWD]:[eAWD]]="Y",'eAWD Package'!N29,0)+IF(Table44[[#This Row],[Towing]:[Towing]]="Y",'Towing Bat Cost'!N29,0),"N/A")</f>
        <v>3635.9134958256072</v>
      </c>
      <c r="S28" s="157">
        <f>IF(Table44[[#This Row],[Applicable Package?]:[Applicable Package?]]="Y",SUM('Rolled Up Non-Incremental Costs'!O29,'ICE Removal Cost'!O29,'Trans Removal Cost'!O29,'LEV3 Criteria Emissions Cost'!O29,'ZEV Assembly Reductions'!O29,'ACCII Criteria Compliance Cost'!O29,'ACCII GHG Compliance'!O29,'Current GHG Compliance'!O29)+IF(Table44[[#This Row],[Cold]:[Cold]]="Y",'Cold Weather Package'!O29,0)+IF(Table44[[#This Row],[eAWD]:[eAWD]]="Y",'eAWD Package'!O29,0)+IF(Table44[[#This Row],[Towing]:[Towing]]="Y",'Towing Bat Cost'!O29,0),"N/A")</f>
        <v>3327.3725148181948</v>
      </c>
      <c r="U28" s="4"/>
    </row>
    <row r="29" spans="1:21" x14ac:dyDescent="0.3">
      <c r="A29" t="str">
        <f t="shared" si="0"/>
        <v>SmallSUVPremiumFCEV320</v>
      </c>
      <c r="B29" s="90" t="str">
        <f>'Vehicle Attributes - Base Year'!B27</f>
        <v>SmallSUV</v>
      </c>
      <c r="C29" s="68" t="str">
        <f>'Vehicle Attributes - Base Year'!C27</f>
        <v>Premium</v>
      </c>
      <c r="D29" s="68" t="str">
        <f>'Vehicle Attributes - Base Year'!D27</f>
        <v>FCEV320</v>
      </c>
      <c r="E29" s="124" t="s">
        <v>77</v>
      </c>
      <c r="F29" s="124" t="s">
        <v>77</v>
      </c>
      <c r="G29" s="125" t="s">
        <v>77</v>
      </c>
      <c r="H29" s="156" t="s">
        <v>76</v>
      </c>
      <c r="I29" s="157">
        <f>IF(Table44[[#This Row],[Applicable Package?]:[Applicable Package?]]="Y",SUM('Rolled Up Non-Incremental Costs'!E30,'ICE Removal Cost'!E30,'Trans Removal Cost'!E30,'LEV3 Criteria Emissions Cost'!E30,'ZEV Assembly Reductions'!E30,'ACCII Criteria Compliance Cost'!E30,'ACCII GHG Compliance'!E30,'Current GHG Compliance'!E30)+IF(Table44[[#This Row],[Cold]:[Cold]]="Y",'Cold Weather Package'!E30,0)+IF(Table44[[#This Row],[eAWD]:[eAWD]]="Y",'eAWD Package'!E30,0)+IF(Table44[[#This Row],[Towing]:[Towing]]="Y",'Towing Bat Cost'!E30,0),"N/A")</f>
        <v>10249.279219890879</v>
      </c>
      <c r="J29" s="157">
        <f>IF(Table44[[#This Row],[Applicable Package?]:[Applicable Package?]]="Y",SUM('Rolled Up Non-Incremental Costs'!F30,'ICE Removal Cost'!F30,'Trans Removal Cost'!F30,'LEV3 Criteria Emissions Cost'!F30,'ZEV Assembly Reductions'!F30,'ACCII Criteria Compliance Cost'!F30,'ACCII GHG Compliance'!F30,'Current GHG Compliance'!F30)+IF(Table44[[#This Row],[Cold]:[Cold]]="Y",'Cold Weather Package'!F30,0)+IF(Table44[[#This Row],[eAWD]:[eAWD]]="Y",'eAWD Package'!F30,0)+IF(Table44[[#This Row],[Towing]:[Towing]]="Y",'Towing Bat Cost'!F30,0),"N/A")</f>
        <v>9147.4053961349709</v>
      </c>
      <c r="K29" s="157">
        <f>IF(Table44[[#This Row],[Applicable Package?]:[Applicable Package?]]="Y",SUM('Rolled Up Non-Incremental Costs'!G30,'ICE Removal Cost'!G30,'Trans Removal Cost'!G30,'LEV3 Criteria Emissions Cost'!G30,'ZEV Assembly Reductions'!G30,'ACCII Criteria Compliance Cost'!G30,'ACCII GHG Compliance'!G30,'Current GHG Compliance'!G30)+IF(Table44[[#This Row],[Cold]:[Cold]]="Y",'Cold Weather Package'!G30,0)+IF(Table44[[#This Row],[eAWD]:[eAWD]]="Y",'eAWD Package'!G30,0)+IF(Table44[[#This Row],[Towing]:[Towing]]="Y",'Towing Bat Cost'!G30,0),"N/A")</f>
        <v>8062.3874890579791</v>
      </c>
      <c r="L29" s="157">
        <f>IF(Table44[[#This Row],[Applicable Package?]:[Applicable Package?]]="Y",SUM('Rolled Up Non-Incremental Costs'!H30,'ICE Removal Cost'!H30,'Trans Removal Cost'!H30,'LEV3 Criteria Emissions Cost'!H30,'ZEV Assembly Reductions'!H30,'ACCII Criteria Compliance Cost'!H30,'ACCII GHG Compliance'!H30,'Current GHG Compliance'!H30)+IF(Table44[[#This Row],[Cold]:[Cold]]="Y",'Cold Weather Package'!H30,0)+IF(Table44[[#This Row],[eAWD]:[eAWD]]="Y",'eAWD Package'!H30,0)+IF(Table44[[#This Row],[Towing]:[Towing]]="Y",'Towing Bat Cost'!H30,0),"N/A")</f>
        <v>6994.2144503353884</v>
      </c>
      <c r="M29" s="157">
        <f>IF(Table44[[#This Row],[Applicable Package?]:[Applicable Package?]]="Y",SUM('Rolled Up Non-Incremental Costs'!I30,'ICE Removal Cost'!I30,'Trans Removal Cost'!I30,'LEV3 Criteria Emissions Cost'!I30,'ZEV Assembly Reductions'!I30,'ACCII Criteria Compliance Cost'!I30,'ACCII GHG Compliance'!I30,'Current GHG Compliance'!I30)+IF(Table44[[#This Row],[Cold]:[Cold]]="Y",'Cold Weather Package'!I30,0)+IF(Table44[[#This Row],[eAWD]:[eAWD]]="Y",'eAWD Package'!I30,0)+IF(Table44[[#This Row],[Towing]:[Towing]]="Y",'Towing Bat Cost'!I30,0),"N/A")</f>
        <v>5942.8753655114087</v>
      </c>
      <c r="N29" s="157">
        <f>IF(Table44[[#This Row],[Applicable Package?]:[Applicable Package?]]="Y",SUM('Rolled Up Non-Incremental Costs'!J30,'ICE Removal Cost'!J30,'Trans Removal Cost'!J30,'LEV3 Criteria Emissions Cost'!J30,'ZEV Assembly Reductions'!J30,'ACCII Criteria Compliance Cost'!J30,'ACCII GHG Compliance'!J30,'Current GHG Compliance'!J30)+IF(Table44[[#This Row],[Cold]:[Cold]]="Y",'Cold Weather Package'!J30,0)+IF(Table44[[#This Row],[eAWD]:[eAWD]]="Y",'eAWD Package'!J30,0)+IF(Table44[[#This Row],[Towing]:[Towing]]="Y",'Towing Bat Cost'!J30,0),"N/A")</f>
        <v>4908.3594524264372</v>
      </c>
      <c r="O29" s="157">
        <f>IF(Table44[[#This Row],[Applicable Package?]:[Applicable Package?]]="Y",SUM('Rolled Up Non-Incremental Costs'!K30,'ICE Removal Cost'!K30,'Trans Removal Cost'!K30,'LEV3 Criteria Emissions Cost'!K30,'ZEV Assembly Reductions'!K30,'ACCII Criteria Compliance Cost'!K30,'ACCII GHG Compliance'!K30,'Current GHG Compliance'!K30)+IF(Table44[[#This Row],[Cold]:[Cold]]="Y",'Cold Weather Package'!K30,0)+IF(Table44[[#This Row],[eAWD]:[eAWD]]="Y",'eAWD Package'!K30,0)+IF(Table44[[#This Row],[Towing]:[Towing]]="Y",'Towing Bat Cost'!K30,0),"N/A")</f>
        <v>4584.4982871841967</v>
      </c>
      <c r="P29" s="157">
        <f>IF(Table44[[#This Row],[Applicable Package?]:[Applicable Package?]]="Y",SUM('Rolled Up Non-Incremental Costs'!L30,'ICE Removal Cost'!L30,'Trans Removal Cost'!L30,'LEV3 Criteria Emissions Cost'!L30,'ZEV Assembly Reductions'!L30,'ACCII Criteria Compliance Cost'!L30,'ACCII GHG Compliance'!L30,'Current GHG Compliance'!L30)+IF(Table44[[#This Row],[Cold]:[Cold]]="Y",'Cold Weather Package'!L30,0)+IF(Table44[[#This Row],[eAWD]:[eAWD]]="Y",'eAWD Package'!L30,0)+IF(Table44[[#This Row],[Towing]:[Towing]]="Y",'Towing Bat Cost'!L30,0),"N/A")</f>
        <v>4264.472714944568</v>
      </c>
      <c r="Q29" s="157">
        <f>IF(Table44[[#This Row],[Applicable Package?]:[Applicable Package?]]="Y",SUM('Rolled Up Non-Incremental Costs'!M30,'ICE Removal Cost'!M30,'Trans Removal Cost'!M30,'LEV3 Criteria Emissions Cost'!M30,'ZEV Assembly Reductions'!M30,'ACCII Criteria Compliance Cost'!M30,'ACCII GHG Compliance'!M30,'Current GHG Compliance'!M30)+IF(Table44[[#This Row],[Cold]:[Cold]]="Y",'Cold Weather Package'!M30,0)+IF(Table44[[#This Row],[eAWD]:[eAWD]]="Y",'eAWD Package'!M30,0)+IF(Table44[[#This Row],[Towing]:[Towing]]="Y",'Towing Bat Cost'!M30,0),"N/A")</f>
        <v>3948.2790129888708</v>
      </c>
      <c r="R29" s="157">
        <f>IF(Table44[[#This Row],[Applicable Package?]:[Applicable Package?]]="Y",SUM('Rolled Up Non-Incremental Costs'!N30,'ICE Removal Cost'!N30,'Trans Removal Cost'!N30,'LEV3 Criteria Emissions Cost'!N30,'ZEV Assembly Reductions'!N30,'ACCII Criteria Compliance Cost'!N30,'ACCII GHG Compliance'!N30,'Current GHG Compliance'!N30)+IF(Table44[[#This Row],[Cold]:[Cold]]="Y",'Cold Weather Package'!N30,0)+IF(Table44[[#This Row],[eAWD]:[eAWD]]="Y",'eAWD Package'!N30,0)+IF(Table44[[#This Row],[Towing]:[Towing]]="Y",'Towing Bat Cost'!N30,0),"N/A")</f>
        <v>3635.9134958256072</v>
      </c>
      <c r="S29" s="157">
        <f>IF(Table44[[#This Row],[Applicable Package?]:[Applicable Package?]]="Y",SUM('Rolled Up Non-Incremental Costs'!O30,'ICE Removal Cost'!O30,'Trans Removal Cost'!O30,'LEV3 Criteria Emissions Cost'!O30,'ZEV Assembly Reductions'!O30,'ACCII Criteria Compliance Cost'!O30,'ACCII GHG Compliance'!O30,'Current GHG Compliance'!O30)+IF(Table44[[#This Row],[Cold]:[Cold]]="Y",'Cold Weather Package'!O30,0)+IF(Table44[[#This Row],[eAWD]:[eAWD]]="Y",'eAWD Package'!O30,0)+IF(Table44[[#This Row],[Towing]:[Towing]]="Y",'Towing Bat Cost'!O30,0),"N/A")</f>
        <v>3327.3725148181948</v>
      </c>
      <c r="U29" s="4"/>
    </row>
    <row r="30" spans="1:21" x14ac:dyDescent="0.3">
      <c r="A30" s="28" t="str">
        <f t="shared" si="0"/>
        <v>MedSUVBaseFCEV320</v>
      </c>
      <c r="B30" s="90" t="str">
        <f>'Vehicle Attributes - Base Year'!B28</f>
        <v>MedSUV</v>
      </c>
      <c r="C30" s="68" t="str">
        <f>'Vehicle Attributes - Base Year'!C28</f>
        <v>Base</v>
      </c>
      <c r="D30" s="68" t="str">
        <f>'Vehicle Attributes - Base Year'!D28</f>
        <v>FCEV320</v>
      </c>
      <c r="E30" s="124" t="s">
        <v>77</v>
      </c>
      <c r="F30" s="124" t="s">
        <v>77</v>
      </c>
      <c r="G30" s="125" t="s">
        <v>77</v>
      </c>
      <c r="H30" s="156" t="s">
        <v>76</v>
      </c>
      <c r="I30" s="157">
        <f>IF(Table44[[#This Row],[Applicable Package?]:[Applicable Package?]]="Y",SUM('Rolled Up Non-Incremental Costs'!E31,'ICE Removal Cost'!E31,'Trans Removal Cost'!E31,'LEV3 Criteria Emissions Cost'!E31,'ZEV Assembly Reductions'!E31,'ACCII Criteria Compliance Cost'!E31,'ACCII GHG Compliance'!E31,'Current GHG Compliance'!E31)+IF(Table44[[#This Row],[Cold]:[Cold]]="Y",'Cold Weather Package'!E31,0)+IF(Table44[[#This Row],[eAWD]:[eAWD]]="Y",'eAWD Package'!E31,0)+IF(Table44[[#This Row],[Towing]:[Towing]]="Y",'Towing Bat Cost'!E31,0),"N/A")</f>
        <v>11110.136838309834</v>
      </c>
      <c r="J30" s="157">
        <f>IF(Table44[[#This Row],[Applicable Package?]:[Applicable Package?]]="Y",SUM('Rolled Up Non-Incremental Costs'!F31,'ICE Removal Cost'!F31,'Trans Removal Cost'!F31,'LEV3 Criteria Emissions Cost'!F31,'ZEV Assembly Reductions'!F31,'ACCII Criteria Compliance Cost'!F31,'ACCII GHG Compliance'!F31,'Current GHG Compliance'!F31)+IF(Table44[[#This Row],[Cold]:[Cold]]="Y",'Cold Weather Package'!F31,0)+IF(Table44[[#This Row],[eAWD]:[eAWD]]="Y",'eAWD Package'!F31,0)+IF(Table44[[#This Row],[Towing]:[Towing]]="Y",'Towing Bat Cost'!F31,0),"N/A")</f>
        <v>9848.0290290725607</v>
      </c>
      <c r="K30" s="157">
        <f>IF(Table44[[#This Row],[Applicable Package?]:[Applicable Package?]]="Y",SUM('Rolled Up Non-Incremental Costs'!G31,'ICE Removal Cost'!G31,'Trans Removal Cost'!G31,'LEV3 Criteria Emissions Cost'!G31,'ZEV Assembly Reductions'!G31,'ACCII Criteria Compliance Cost'!G31,'ACCII GHG Compliance'!G31,'Current GHG Compliance'!G31)+IF(Table44[[#This Row],[Cold]:[Cold]]="Y",'Cold Weather Package'!G31,0)+IF(Table44[[#This Row],[eAWD]:[eAWD]]="Y",'eAWD Package'!G31,0)+IF(Table44[[#This Row],[Towing]:[Towing]]="Y",'Towing Bat Cost'!G31,0),"N/A")</f>
        <v>8607.8538837884626</v>
      </c>
      <c r="L30" s="157">
        <f>IF(Table44[[#This Row],[Applicable Package?]:[Applicable Package?]]="Y",SUM('Rolled Up Non-Incremental Costs'!H31,'ICE Removal Cost'!H31,'Trans Removal Cost'!H31,'LEV3 Criteria Emissions Cost'!H31,'ZEV Assembly Reductions'!H31,'ACCII Criteria Compliance Cost'!H31,'ACCII GHG Compliance'!H31,'Current GHG Compliance'!H31)+IF(Table44[[#This Row],[Cold]:[Cold]]="Y",'Cold Weather Package'!H31,0)+IF(Table44[[#This Row],[eAWD]:[eAWD]]="Y",'eAWD Package'!H31,0)+IF(Table44[[#This Row],[Towing]:[Towing]]="Y",'Towing Bat Cost'!H31,0),"N/A")</f>
        <v>7389.5999772970699</v>
      </c>
      <c r="M30" s="157">
        <f>IF(Table44[[#This Row],[Applicable Package?]:[Applicable Package?]]="Y",SUM('Rolled Up Non-Incremental Costs'!I31,'ICE Removal Cost'!I31,'Trans Removal Cost'!I31,'LEV3 Criteria Emissions Cost'!I31,'ZEV Assembly Reductions'!I31,'ACCII Criteria Compliance Cost'!I31,'ACCII GHG Compliance'!I31,'Current GHG Compliance'!I31)+IF(Table44[[#This Row],[Cold]:[Cold]]="Y",'Cold Weather Package'!I31,0)+IF(Table44[[#This Row],[eAWD]:[eAWD]]="Y",'eAWD Package'!I31,0)+IF(Table44[[#This Row],[Towing]:[Towing]]="Y",'Towing Bat Cost'!I31,0),"N/A")</f>
        <v>6193.2560220750202</v>
      </c>
      <c r="N30" s="157">
        <f>IF(Table44[[#This Row],[Applicable Package?]:[Applicable Package?]]="Y",SUM('Rolled Up Non-Incremental Costs'!J31,'ICE Removal Cost'!J31,'Trans Removal Cost'!J31,'LEV3 Criteria Emissions Cost'!J31,'ZEV Assembly Reductions'!J31,'ACCII Criteria Compliance Cost'!J31,'ACCII GHG Compliance'!J31,'Current GHG Compliance'!J31)+IF(Table44[[#This Row],[Cold]:[Cold]]="Y",'Cold Weather Package'!J31,0)+IF(Table44[[#This Row],[eAWD]:[eAWD]]="Y",'eAWD Package'!J31,0)+IF(Table44[[#This Row],[Towing]:[Towing]]="Y",'Towing Bat Cost'!J31,0),"N/A")</f>
        <v>5018.8108666257958</v>
      </c>
      <c r="O30" s="157">
        <f>IF(Table44[[#This Row],[Applicable Package?]:[Applicable Package?]]="Y",SUM('Rolled Up Non-Incremental Costs'!K31,'ICE Removal Cost'!K31,'Trans Removal Cost'!K31,'LEV3 Criteria Emissions Cost'!K31,'ZEV Assembly Reductions'!K31,'ACCII Criteria Compliance Cost'!K31,'ACCII GHG Compliance'!K31,'Current GHG Compliance'!K31)+IF(Table44[[#This Row],[Cold]:[Cold]]="Y",'Cold Weather Package'!K31,0)+IF(Table44[[#This Row],[eAWD]:[eAWD]]="Y",'eAWD Package'!K31,0)+IF(Table44[[#This Row],[Towing]:[Towing]]="Y",'Towing Bat Cost'!K31,0),"N/A")</f>
        <v>4602.6198124325056</v>
      </c>
      <c r="P30" s="157">
        <f>IF(Table44[[#This Row],[Applicable Package?]:[Applicable Package?]]="Y",SUM('Rolled Up Non-Incremental Costs'!L31,'ICE Removal Cost'!L31,'Trans Removal Cost'!L31,'LEV3 Criteria Emissions Cost'!L31,'ZEV Assembly Reductions'!L31,'ACCII Criteria Compliance Cost'!L31,'ACCII GHG Compliance'!L31,'Current GHG Compliance'!L31)+IF(Table44[[#This Row],[Cold]:[Cold]]="Y",'Cold Weather Package'!L31,0)+IF(Table44[[#This Row],[eAWD]:[eAWD]]="Y",'eAWD Package'!L31,0)+IF(Table44[[#This Row],[Towing]:[Towing]]="Y",'Towing Bat Cost'!L31,0),"N/A")</f>
        <v>4191.9714605561076</v>
      </c>
      <c r="Q30" s="157">
        <f>IF(Table44[[#This Row],[Applicable Package?]:[Applicable Package?]]="Y",SUM('Rolled Up Non-Incremental Costs'!M31,'ICE Removal Cost'!M31,'Trans Removal Cost'!M31,'LEV3 Criteria Emissions Cost'!M31,'ZEV Assembly Reductions'!M31,'ACCII Criteria Compliance Cost'!M31,'ACCII GHG Compliance'!M31,'Current GHG Compliance'!M31)+IF(Table44[[#This Row],[Cold]:[Cold]]="Y",'Cold Weather Package'!M31,0)+IF(Table44[[#This Row],[eAWD]:[eAWD]]="Y",'eAWD Package'!M31,0)+IF(Table44[[#This Row],[Towing]:[Towing]]="Y",'Towing Bat Cost'!M31,0),"N/A")</f>
        <v>3786.855058102683</v>
      </c>
      <c r="R30" s="157">
        <f>IF(Table44[[#This Row],[Applicable Package?]:[Applicable Package?]]="Y",SUM('Rolled Up Non-Incremental Costs'!N31,'ICE Removal Cost'!N31,'Trans Removal Cost'!N31,'LEV3 Criteria Emissions Cost'!N31,'ZEV Assembly Reductions'!N31,'ACCII Criteria Compliance Cost'!N31,'ACCII GHG Compliance'!N31,'Current GHG Compliance'!N31)+IF(Table44[[#This Row],[Cold]:[Cold]]="Y",'Cold Weather Package'!N31,0)+IF(Table44[[#This Row],[eAWD]:[eAWD]]="Y",'eAWD Package'!N31,0)+IF(Table44[[#This Row],[Towing]:[Towing]]="Y",'Towing Bat Cost'!N31,0),"N/A")</f>
        <v>3387.2599819466195</v>
      </c>
      <c r="S30" s="157">
        <f>IF(Table44[[#This Row],[Applicable Package?]:[Applicable Package?]]="Y",SUM('Rolled Up Non-Incremental Costs'!O31,'ICE Removal Cost'!O31,'Trans Removal Cost'!O31,'LEV3 Criteria Emissions Cost'!O31,'ZEV Assembly Reductions'!O31,'ACCII Criteria Compliance Cost'!O31,'ACCII GHG Compliance'!O31,'Current GHG Compliance'!O31)+IF(Table44[[#This Row],[Cold]:[Cold]]="Y",'Cold Weather Package'!O31,0)+IF(Table44[[#This Row],[eAWD]:[eAWD]]="Y",'eAWD Package'!O31,0)+IF(Table44[[#This Row],[Towing]:[Towing]]="Y",'Towing Bat Cost'!O31,0),"N/A")</f>
        <v>2993.1757372105203</v>
      </c>
      <c r="U30" s="4"/>
    </row>
    <row r="31" spans="1:21" x14ac:dyDescent="0.3">
      <c r="A31" t="str">
        <f t="shared" si="0"/>
        <v>MedSUVPremiumFCEV320</v>
      </c>
      <c r="B31" s="90" t="str">
        <f>'Vehicle Attributes - Base Year'!B29</f>
        <v>MedSUV</v>
      </c>
      <c r="C31" s="68" t="str">
        <f>'Vehicle Attributes - Base Year'!C29</f>
        <v>Premium</v>
      </c>
      <c r="D31" s="68" t="str">
        <f>'Vehicle Attributes - Base Year'!D29</f>
        <v>FCEV320</v>
      </c>
      <c r="E31" s="124" t="s">
        <v>77</v>
      </c>
      <c r="F31" s="124" t="s">
        <v>77</v>
      </c>
      <c r="G31" s="125" t="s">
        <v>77</v>
      </c>
      <c r="H31" s="156" t="s">
        <v>76</v>
      </c>
      <c r="I31" s="157">
        <f>IF(Table44[[#This Row],[Applicable Package?]:[Applicable Package?]]="Y",SUM('Rolled Up Non-Incremental Costs'!E32,'ICE Removal Cost'!E32,'Trans Removal Cost'!E32,'LEV3 Criteria Emissions Cost'!E32,'ZEV Assembly Reductions'!E32,'ACCII Criteria Compliance Cost'!E32,'ACCII GHG Compliance'!E32,'Current GHG Compliance'!E32)+IF(Table44[[#This Row],[Cold]:[Cold]]="Y",'Cold Weather Package'!E32,0)+IF(Table44[[#This Row],[eAWD]:[eAWD]]="Y",'eAWD Package'!E32,0)+IF(Table44[[#This Row],[Towing]:[Towing]]="Y",'Towing Bat Cost'!E32,0),"N/A")</f>
        <v>10610.136838309834</v>
      </c>
      <c r="J31" s="157">
        <f>IF(Table44[[#This Row],[Applicable Package?]:[Applicable Package?]]="Y",SUM('Rolled Up Non-Incremental Costs'!F32,'ICE Removal Cost'!F32,'Trans Removal Cost'!F32,'LEV3 Criteria Emissions Cost'!F32,'ZEV Assembly Reductions'!F32,'ACCII Criteria Compliance Cost'!F32,'ACCII GHG Compliance'!F32,'Current GHG Compliance'!F32)+IF(Table44[[#This Row],[Cold]:[Cold]]="Y",'Cold Weather Package'!F32,0)+IF(Table44[[#This Row],[eAWD]:[eAWD]]="Y",'eAWD Package'!F32,0)+IF(Table44[[#This Row],[Towing]:[Towing]]="Y",'Towing Bat Cost'!F32,0),"N/A")</f>
        <v>9348.0290290725607</v>
      </c>
      <c r="K31" s="157">
        <f>IF(Table44[[#This Row],[Applicable Package?]:[Applicable Package?]]="Y",SUM('Rolled Up Non-Incremental Costs'!G32,'ICE Removal Cost'!G32,'Trans Removal Cost'!G32,'LEV3 Criteria Emissions Cost'!G32,'ZEV Assembly Reductions'!G32,'ACCII Criteria Compliance Cost'!G32,'ACCII GHG Compliance'!G32,'Current GHG Compliance'!G32)+IF(Table44[[#This Row],[Cold]:[Cold]]="Y",'Cold Weather Package'!G32,0)+IF(Table44[[#This Row],[eAWD]:[eAWD]]="Y",'eAWD Package'!G32,0)+IF(Table44[[#This Row],[Towing]:[Towing]]="Y",'Towing Bat Cost'!G32,0),"N/A")</f>
        <v>8107.8538837884626</v>
      </c>
      <c r="L31" s="157">
        <f>IF(Table44[[#This Row],[Applicable Package?]:[Applicable Package?]]="Y",SUM('Rolled Up Non-Incremental Costs'!H32,'ICE Removal Cost'!H32,'Trans Removal Cost'!H32,'LEV3 Criteria Emissions Cost'!H32,'ZEV Assembly Reductions'!H32,'ACCII Criteria Compliance Cost'!H32,'ACCII GHG Compliance'!H32,'Current GHG Compliance'!H32)+IF(Table44[[#This Row],[Cold]:[Cold]]="Y",'Cold Weather Package'!H32,0)+IF(Table44[[#This Row],[eAWD]:[eAWD]]="Y",'eAWD Package'!H32,0)+IF(Table44[[#This Row],[Towing]:[Towing]]="Y",'Towing Bat Cost'!H32,0),"N/A")</f>
        <v>6889.5999772970699</v>
      </c>
      <c r="M31" s="157">
        <f>IF(Table44[[#This Row],[Applicable Package?]:[Applicable Package?]]="Y",SUM('Rolled Up Non-Incremental Costs'!I32,'ICE Removal Cost'!I32,'Trans Removal Cost'!I32,'LEV3 Criteria Emissions Cost'!I32,'ZEV Assembly Reductions'!I32,'ACCII Criteria Compliance Cost'!I32,'ACCII GHG Compliance'!I32,'Current GHG Compliance'!I32)+IF(Table44[[#This Row],[Cold]:[Cold]]="Y",'Cold Weather Package'!I32,0)+IF(Table44[[#This Row],[eAWD]:[eAWD]]="Y",'eAWD Package'!I32,0)+IF(Table44[[#This Row],[Towing]:[Towing]]="Y",'Towing Bat Cost'!I32,0),"N/A")</f>
        <v>5693.2560220750202</v>
      </c>
      <c r="N31" s="157">
        <f>IF(Table44[[#This Row],[Applicable Package?]:[Applicable Package?]]="Y",SUM('Rolled Up Non-Incremental Costs'!J32,'ICE Removal Cost'!J32,'Trans Removal Cost'!J32,'LEV3 Criteria Emissions Cost'!J32,'ZEV Assembly Reductions'!J32,'ACCII Criteria Compliance Cost'!J32,'ACCII GHG Compliance'!J32,'Current GHG Compliance'!J32)+IF(Table44[[#This Row],[Cold]:[Cold]]="Y",'Cold Weather Package'!J32,0)+IF(Table44[[#This Row],[eAWD]:[eAWD]]="Y",'eAWD Package'!J32,0)+IF(Table44[[#This Row],[Towing]:[Towing]]="Y",'Towing Bat Cost'!J32,0),"N/A")</f>
        <v>4518.8108666257958</v>
      </c>
      <c r="O31" s="157">
        <f>IF(Table44[[#This Row],[Applicable Package?]:[Applicable Package?]]="Y",SUM('Rolled Up Non-Incremental Costs'!K32,'ICE Removal Cost'!K32,'Trans Removal Cost'!K32,'LEV3 Criteria Emissions Cost'!K32,'ZEV Assembly Reductions'!K32,'ACCII Criteria Compliance Cost'!K32,'ACCII GHG Compliance'!K32,'Current GHG Compliance'!K32)+IF(Table44[[#This Row],[Cold]:[Cold]]="Y",'Cold Weather Package'!K32,0)+IF(Table44[[#This Row],[eAWD]:[eAWD]]="Y",'eAWD Package'!K32,0)+IF(Table44[[#This Row],[Towing]:[Towing]]="Y",'Towing Bat Cost'!K32,0),"N/A")</f>
        <v>4102.6198124325056</v>
      </c>
      <c r="P31" s="157">
        <f>IF(Table44[[#This Row],[Applicable Package?]:[Applicable Package?]]="Y",SUM('Rolled Up Non-Incremental Costs'!L32,'ICE Removal Cost'!L32,'Trans Removal Cost'!L32,'LEV3 Criteria Emissions Cost'!L32,'ZEV Assembly Reductions'!L32,'ACCII Criteria Compliance Cost'!L32,'ACCII GHG Compliance'!L32,'Current GHG Compliance'!L32)+IF(Table44[[#This Row],[Cold]:[Cold]]="Y",'Cold Weather Package'!L32,0)+IF(Table44[[#This Row],[eAWD]:[eAWD]]="Y",'eAWD Package'!L32,0)+IF(Table44[[#This Row],[Towing]:[Towing]]="Y",'Towing Bat Cost'!L32,0),"N/A")</f>
        <v>3691.9714605561076</v>
      </c>
      <c r="Q31" s="157">
        <f>IF(Table44[[#This Row],[Applicable Package?]:[Applicable Package?]]="Y",SUM('Rolled Up Non-Incremental Costs'!M32,'ICE Removal Cost'!M32,'Trans Removal Cost'!M32,'LEV3 Criteria Emissions Cost'!M32,'ZEV Assembly Reductions'!M32,'ACCII Criteria Compliance Cost'!M32,'ACCII GHG Compliance'!M32,'Current GHG Compliance'!M32)+IF(Table44[[#This Row],[Cold]:[Cold]]="Y",'Cold Weather Package'!M32,0)+IF(Table44[[#This Row],[eAWD]:[eAWD]]="Y",'eAWD Package'!M32,0)+IF(Table44[[#This Row],[Towing]:[Towing]]="Y",'Towing Bat Cost'!M32,0),"N/A")</f>
        <v>3286.855058102683</v>
      </c>
      <c r="R31" s="157">
        <f>IF(Table44[[#This Row],[Applicable Package?]:[Applicable Package?]]="Y",SUM('Rolled Up Non-Incremental Costs'!N32,'ICE Removal Cost'!N32,'Trans Removal Cost'!N32,'LEV3 Criteria Emissions Cost'!N32,'ZEV Assembly Reductions'!N32,'ACCII Criteria Compliance Cost'!N32,'ACCII GHG Compliance'!N32,'Current GHG Compliance'!N32)+IF(Table44[[#This Row],[Cold]:[Cold]]="Y",'Cold Weather Package'!N32,0)+IF(Table44[[#This Row],[eAWD]:[eAWD]]="Y",'eAWD Package'!N32,0)+IF(Table44[[#This Row],[Towing]:[Towing]]="Y",'Towing Bat Cost'!N32,0),"N/A")</f>
        <v>2887.2599819466195</v>
      </c>
      <c r="S31" s="157">
        <f>IF(Table44[[#This Row],[Applicable Package?]:[Applicable Package?]]="Y",SUM('Rolled Up Non-Incremental Costs'!O32,'ICE Removal Cost'!O32,'Trans Removal Cost'!O32,'LEV3 Criteria Emissions Cost'!O32,'ZEV Assembly Reductions'!O32,'ACCII Criteria Compliance Cost'!O32,'ACCII GHG Compliance'!O32,'Current GHG Compliance'!O32)+IF(Table44[[#This Row],[Cold]:[Cold]]="Y",'Cold Weather Package'!O32,0)+IF(Table44[[#This Row],[eAWD]:[eAWD]]="Y",'eAWD Package'!O32,0)+IF(Table44[[#This Row],[Towing]:[Towing]]="Y",'Towing Bat Cost'!O32,0),"N/A")</f>
        <v>2493.1757372105203</v>
      </c>
      <c r="U31" s="4"/>
    </row>
    <row r="32" spans="1:21" x14ac:dyDescent="0.3">
      <c r="A32" s="28" t="str">
        <f t="shared" si="0"/>
        <v>PickupBaseFCEV320</v>
      </c>
      <c r="B32" s="90" t="str">
        <f>'Vehicle Attributes - Base Year'!B30</f>
        <v>Pickup</v>
      </c>
      <c r="C32" s="68" t="str">
        <f>'Vehicle Attributes - Base Year'!C30</f>
        <v>Base</v>
      </c>
      <c r="D32" s="68" t="str">
        <f>'Vehicle Attributes - Base Year'!D30</f>
        <v>FCEV320</v>
      </c>
      <c r="E32" s="124" t="s">
        <v>77</v>
      </c>
      <c r="F32" s="124" t="s">
        <v>77</v>
      </c>
      <c r="G32" s="125" t="s">
        <v>77</v>
      </c>
      <c r="H32" s="156" t="s">
        <v>76</v>
      </c>
      <c r="I32" s="157">
        <f>IF(Table44[[#This Row],[Applicable Package?]:[Applicable Package?]]="Y",SUM('Rolled Up Non-Incremental Costs'!E33,'ICE Removal Cost'!E33,'Trans Removal Cost'!E33,'LEV3 Criteria Emissions Cost'!E33,'ZEV Assembly Reductions'!E33,'ACCII Criteria Compliance Cost'!E33,'ACCII GHG Compliance'!E33,'Current GHG Compliance'!E33)+IF(Table44[[#This Row],[Cold]:[Cold]]="Y",'Cold Weather Package'!E33,0)+IF(Table44[[#This Row],[eAWD]:[eAWD]]="Y",'eAWD Package'!E33,0)+IF(Table44[[#This Row],[Towing]:[Towing]]="Y",'Towing Bat Cost'!E33,0),"N/A")</f>
        <v>15199.517558637141</v>
      </c>
      <c r="J32" s="157">
        <f>IF(Table44[[#This Row],[Applicable Package?]:[Applicable Package?]]="Y",SUM('Rolled Up Non-Incremental Costs'!F33,'ICE Removal Cost'!F33,'Trans Removal Cost'!F33,'LEV3 Criteria Emissions Cost'!F33,'ZEV Assembly Reductions'!F33,'ACCII Criteria Compliance Cost'!F33,'ACCII GHG Compliance'!F33,'Current GHG Compliance'!F33)+IF(Table44[[#This Row],[Cold]:[Cold]]="Y",'Cold Weather Package'!F33,0)+IF(Table44[[#This Row],[eAWD]:[eAWD]]="Y",'eAWD Package'!F33,0)+IF(Table44[[#This Row],[Towing]:[Towing]]="Y",'Towing Bat Cost'!F33,0),"N/A")</f>
        <v>13650.247383730682</v>
      </c>
      <c r="K32" s="157">
        <f>IF(Table44[[#This Row],[Applicable Package?]:[Applicable Package?]]="Y",SUM('Rolled Up Non-Incremental Costs'!G33,'ICE Removal Cost'!G33,'Trans Removal Cost'!G33,'LEV3 Criteria Emissions Cost'!G33,'ZEV Assembly Reductions'!G33,'ACCII Criteria Compliance Cost'!G33,'ACCII GHG Compliance'!G33,'Current GHG Compliance'!G33)+IF(Table44[[#This Row],[Cold]:[Cold]]="Y",'Cold Weather Package'!G33,0)+IF(Table44[[#This Row],[eAWD]:[eAWD]]="Y",'eAWD Package'!G33,0)+IF(Table44[[#This Row],[Towing]:[Towing]]="Y",'Towing Bat Cost'!G33,0),"N/A")</f>
        <v>12131.976125477049</v>
      </c>
      <c r="L32" s="157">
        <f>IF(Table44[[#This Row],[Applicable Package?]:[Applicable Package?]]="Y",SUM('Rolled Up Non-Incremental Costs'!H33,'ICE Removal Cost'!H33,'Trans Removal Cost'!H33,'LEV3 Criteria Emissions Cost'!H33,'ZEV Assembly Reductions'!H33,'ACCII Criteria Compliance Cost'!H33,'ACCII GHG Compliance'!H33,'Current GHG Compliance'!H33)+IF(Table44[[#This Row],[Cold]:[Cold]]="Y",'Cold Weather Package'!H33,0)+IF(Table44[[#This Row],[eAWD]:[eAWD]]="Y",'eAWD Package'!H33,0)+IF(Table44[[#This Row],[Towing]:[Towing]]="Y",'Towing Bat Cost'!H33,0),"N/A")</f>
        <v>10644.684886967054</v>
      </c>
      <c r="M32" s="157">
        <f>IF(Table44[[#This Row],[Applicable Package?]:[Applicable Package?]]="Y",SUM('Rolled Up Non-Incremental Costs'!I33,'ICE Removal Cost'!I33,'Trans Removal Cost'!I33,'LEV3 Criteria Emissions Cost'!I33,'ZEV Assembly Reductions'!I33,'ACCII Criteria Compliance Cost'!I33,'ACCII GHG Compliance'!I33,'Current GHG Compliance'!I33)+IF(Table44[[#This Row],[Cold]:[Cold]]="Y",'Cold Weather Package'!I33,0)+IF(Table44[[#This Row],[eAWD]:[eAWD]]="Y",'eAWD Package'!I33,0)+IF(Table44[[#This Row],[Towing]:[Towing]]="Y",'Towing Bat Cost'!I33,0),"N/A")</f>
        <v>9188.355007031576</v>
      </c>
      <c r="N32" s="157">
        <f>IF(Table44[[#This Row],[Applicable Package?]:[Applicable Package?]]="Y",SUM('Rolled Up Non-Incremental Costs'!J33,'ICE Removal Cost'!J33,'Trans Removal Cost'!J33,'LEV3 Criteria Emissions Cost'!J33,'ZEV Assembly Reductions'!J33,'ACCII Criteria Compliance Cost'!J33,'ACCII GHG Compliance'!J33,'Current GHG Compliance'!J33)+IF(Table44[[#This Row],[Cold]:[Cold]]="Y",'Cold Weather Package'!J33,0)+IF(Table44[[#This Row],[eAWD]:[eAWD]]="Y",'eAWD Package'!J33,0)+IF(Table44[[#This Row],[Towing]:[Towing]]="Y",'Towing Bat Cost'!J33,0),"N/A")</f>
        <v>7762.968057416434</v>
      </c>
      <c r="O32" s="157">
        <f>IF(Table44[[#This Row],[Applicable Package?]:[Applicable Package?]]="Y",SUM('Rolled Up Non-Incremental Costs'!K33,'ICE Removal Cost'!K33,'Trans Removal Cost'!K33,'LEV3 Criteria Emissions Cost'!K33,'ZEV Assembly Reductions'!K33,'ACCII Criteria Compliance Cost'!K33,'ACCII GHG Compliance'!K33,'Current GHG Compliance'!K33)+IF(Table44[[#This Row],[Cold]:[Cold]]="Y",'Cold Weather Package'!K33,0)+IF(Table44[[#This Row],[eAWD]:[eAWD]]="Y",'eAWD Package'!K33,0)+IF(Table44[[#This Row],[Towing]:[Towing]]="Y",'Towing Bat Cost'!K33,0),"N/A")</f>
        <v>7199.0847713151925</v>
      </c>
      <c r="P32" s="157">
        <f>IF(Table44[[#This Row],[Applicable Package?]:[Applicable Package?]]="Y",SUM('Rolled Up Non-Incremental Costs'!L33,'ICE Removal Cost'!L33,'Trans Removal Cost'!L33,'LEV3 Criteria Emissions Cost'!L33,'ZEV Assembly Reductions'!L33,'ACCII Criteria Compliance Cost'!L33,'ACCII GHG Compliance'!L33,'Current GHG Compliance'!L33)+IF(Table44[[#This Row],[Cold]:[Cold]]="Y",'Cold Weather Package'!L33,0)+IF(Table44[[#This Row],[eAWD]:[eAWD]]="Y",'eAWD Package'!L33,0)+IF(Table44[[#This Row],[Towing]:[Towing]]="Y",'Towing Bat Cost'!L33,0),"N/A")</f>
        <v>6643.3476172103947</v>
      </c>
      <c r="Q32" s="157">
        <f>IF(Table44[[#This Row],[Applicable Package?]:[Applicable Package?]]="Y",SUM('Rolled Up Non-Incremental Costs'!M33,'ICE Removal Cost'!M33,'Trans Removal Cost'!M33,'LEV3 Criteria Emissions Cost'!M33,'ZEV Assembly Reductions'!M33,'ACCII Criteria Compliance Cost'!M33,'ACCII GHG Compliance'!M33,'Current GHG Compliance'!M33)+IF(Table44[[#This Row],[Cold]:[Cold]]="Y",'Cold Weather Package'!M33,0)+IF(Table44[[#This Row],[eAWD]:[eAWD]]="Y",'eAWD Package'!M33,0)+IF(Table44[[#This Row],[Towing]:[Towing]]="Y",'Towing Bat Cost'!M33,0),"N/A")</f>
        <v>6095.7521925854362</v>
      </c>
      <c r="R32" s="157">
        <f>IF(Table44[[#This Row],[Applicable Package?]:[Applicable Package?]]="Y",SUM('Rolled Up Non-Incremental Costs'!N33,'ICE Removal Cost'!N33,'Trans Removal Cost'!N33,'LEV3 Criteria Emissions Cost'!N33,'ZEV Assembly Reductions'!N33,'ACCII Criteria Compliance Cost'!N33,'ACCII GHG Compliance'!N33,'Current GHG Compliance'!N33)+IF(Table44[[#This Row],[Cold]:[Cold]]="Y",'Cold Weather Package'!N33,0)+IF(Table44[[#This Row],[eAWD]:[eAWD]]="Y",'eAWD Package'!N33,0)+IF(Table44[[#This Row],[Towing]:[Towing]]="Y",'Towing Bat Cost'!N33,0),"N/A")</f>
        <v>5556.2941389488751</v>
      </c>
      <c r="S32" s="157">
        <f>IF(Table44[[#This Row],[Applicable Package?]:[Applicable Package?]]="Y",SUM('Rolled Up Non-Incremental Costs'!O33,'ICE Removal Cost'!O33,'Trans Removal Cost'!O33,'LEV3 Criteria Emissions Cost'!O33,'ZEV Assembly Reductions'!O33,'ACCII Criteria Compliance Cost'!O33,'ACCII GHG Compliance'!O33,'Current GHG Compliance'!O33)+IF(Table44[[#This Row],[Cold]:[Cold]]="Y",'Cold Weather Package'!O33,0)+IF(Table44[[#This Row],[eAWD]:[eAWD]]="Y",'eAWD Package'!O33,0)+IF(Table44[[#This Row],[Towing]:[Towing]]="Y",'Towing Bat Cost'!O33,0),"N/A")</f>
        <v>5024.9691413941855</v>
      </c>
      <c r="U32" s="4"/>
    </row>
    <row r="33" spans="1:21" x14ac:dyDescent="0.3">
      <c r="A33" t="str">
        <f t="shared" si="0"/>
        <v>PickupHTFCEV320</v>
      </c>
      <c r="B33" s="90" t="str">
        <f>'Vehicle Attributes - Base Year'!B31</f>
        <v>Pickup</v>
      </c>
      <c r="C33" s="68" t="str">
        <f>'Vehicle Attributes - Base Year'!C31</f>
        <v>HT</v>
      </c>
      <c r="D33" s="68" t="str">
        <f>'Vehicle Attributes - Base Year'!D31</f>
        <v>FCEV320</v>
      </c>
      <c r="E33" s="124" t="s">
        <v>77</v>
      </c>
      <c r="F33" s="124" t="s">
        <v>77</v>
      </c>
      <c r="G33" s="125" t="s">
        <v>77</v>
      </c>
      <c r="H33" s="156" t="s">
        <v>76</v>
      </c>
      <c r="I33" s="157">
        <f>IF(Table44[[#This Row],[Applicable Package?]:[Applicable Package?]]="Y",SUM('Rolled Up Non-Incremental Costs'!E34,'ICE Removal Cost'!E34,'Trans Removal Cost'!E34,'LEV3 Criteria Emissions Cost'!E34,'ZEV Assembly Reductions'!E34,'ACCII Criteria Compliance Cost'!E34,'ACCII GHG Compliance'!E34,'Current GHG Compliance'!E34)+IF(Table44[[#This Row],[Cold]:[Cold]]="Y",'Cold Weather Package'!E34,0)+IF(Table44[[#This Row],[eAWD]:[eAWD]]="Y",'eAWD Package'!E34,0)+IF(Table44[[#This Row],[Towing]:[Towing]]="Y",'Towing Bat Cost'!E34,0),"N/A")</f>
        <v>15199.517558637141</v>
      </c>
      <c r="J33" s="157">
        <f>IF(Table44[[#This Row],[Applicable Package?]:[Applicable Package?]]="Y",SUM('Rolled Up Non-Incremental Costs'!F34,'ICE Removal Cost'!F34,'Trans Removal Cost'!F34,'LEV3 Criteria Emissions Cost'!F34,'ZEV Assembly Reductions'!F34,'ACCII Criteria Compliance Cost'!F34,'ACCII GHG Compliance'!F34,'Current GHG Compliance'!F34)+IF(Table44[[#This Row],[Cold]:[Cold]]="Y",'Cold Weather Package'!F34,0)+IF(Table44[[#This Row],[eAWD]:[eAWD]]="Y",'eAWD Package'!F34,0)+IF(Table44[[#This Row],[Towing]:[Towing]]="Y",'Towing Bat Cost'!F34,0),"N/A")</f>
        <v>13650.247383730682</v>
      </c>
      <c r="K33" s="157">
        <f>IF(Table44[[#This Row],[Applicable Package?]:[Applicable Package?]]="Y",SUM('Rolled Up Non-Incremental Costs'!G34,'ICE Removal Cost'!G34,'Trans Removal Cost'!G34,'LEV3 Criteria Emissions Cost'!G34,'ZEV Assembly Reductions'!G34,'ACCII Criteria Compliance Cost'!G34,'ACCII GHG Compliance'!G34,'Current GHG Compliance'!G34)+IF(Table44[[#This Row],[Cold]:[Cold]]="Y",'Cold Weather Package'!G34,0)+IF(Table44[[#This Row],[eAWD]:[eAWD]]="Y",'eAWD Package'!G34,0)+IF(Table44[[#This Row],[Towing]:[Towing]]="Y",'Towing Bat Cost'!G34,0),"N/A")</f>
        <v>12131.976125477049</v>
      </c>
      <c r="L33" s="157">
        <f>IF(Table44[[#This Row],[Applicable Package?]:[Applicable Package?]]="Y",SUM('Rolled Up Non-Incremental Costs'!H34,'ICE Removal Cost'!H34,'Trans Removal Cost'!H34,'LEV3 Criteria Emissions Cost'!H34,'ZEV Assembly Reductions'!H34,'ACCII Criteria Compliance Cost'!H34,'ACCII GHG Compliance'!H34,'Current GHG Compliance'!H34)+IF(Table44[[#This Row],[Cold]:[Cold]]="Y",'Cold Weather Package'!H34,0)+IF(Table44[[#This Row],[eAWD]:[eAWD]]="Y",'eAWD Package'!H34,0)+IF(Table44[[#This Row],[Towing]:[Towing]]="Y",'Towing Bat Cost'!H34,0),"N/A")</f>
        <v>10644.684886967054</v>
      </c>
      <c r="M33" s="157">
        <f>IF(Table44[[#This Row],[Applicable Package?]:[Applicable Package?]]="Y",SUM('Rolled Up Non-Incremental Costs'!I34,'ICE Removal Cost'!I34,'Trans Removal Cost'!I34,'LEV3 Criteria Emissions Cost'!I34,'ZEV Assembly Reductions'!I34,'ACCII Criteria Compliance Cost'!I34,'ACCII GHG Compliance'!I34,'Current GHG Compliance'!I34)+IF(Table44[[#This Row],[Cold]:[Cold]]="Y",'Cold Weather Package'!I34,0)+IF(Table44[[#This Row],[eAWD]:[eAWD]]="Y",'eAWD Package'!I34,0)+IF(Table44[[#This Row],[Towing]:[Towing]]="Y",'Towing Bat Cost'!I34,0),"N/A")</f>
        <v>9188.355007031576</v>
      </c>
      <c r="N33" s="157">
        <f>IF(Table44[[#This Row],[Applicable Package?]:[Applicable Package?]]="Y",SUM('Rolled Up Non-Incremental Costs'!J34,'ICE Removal Cost'!J34,'Trans Removal Cost'!J34,'LEV3 Criteria Emissions Cost'!J34,'ZEV Assembly Reductions'!J34,'ACCII Criteria Compliance Cost'!J34,'ACCII GHG Compliance'!J34,'Current GHG Compliance'!J34)+IF(Table44[[#This Row],[Cold]:[Cold]]="Y",'Cold Weather Package'!J34,0)+IF(Table44[[#This Row],[eAWD]:[eAWD]]="Y",'eAWD Package'!J34,0)+IF(Table44[[#This Row],[Towing]:[Towing]]="Y",'Towing Bat Cost'!J34,0),"N/A")</f>
        <v>7762.968057416434</v>
      </c>
      <c r="O33" s="157">
        <f>IF(Table44[[#This Row],[Applicable Package?]:[Applicable Package?]]="Y",SUM('Rolled Up Non-Incremental Costs'!K34,'ICE Removal Cost'!K34,'Trans Removal Cost'!K34,'LEV3 Criteria Emissions Cost'!K34,'ZEV Assembly Reductions'!K34,'ACCII Criteria Compliance Cost'!K34,'ACCII GHG Compliance'!K34,'Current GHG Compliance'!K34)+IF(Table44[[#This Row],[Cold]:[Cold]]="Y",'Cold Weather Package'!K34,0)+IF(Table44[[#This Row],[eAWD]:[eAWD]]="Y",'eAWD Package'!K34,0)+IF(Table44[[#This Row],[Towing]:[Towing]]="Y",'Towing Bat Cost'!K34,0),"N/A")</f>
        <v>7199.0847713151925</v>
      </c>
      <c r="P33" s="157">
        <f>IF(Table44[[#This Row],[Applicable Package?]:[Applicable Package?]]="Y",SUM('Rolled Up Non-Incremental Costs'!L34,'ICE Removal Cost'!L34,'Trans Removal Cost'!L34,'LEV3 Criteria Emissions Cost'!L34,'ZEV Assembly Reductions'!L34,'ACCII Criteria Compliance Cost'!L34,'ACCII GHG Compliance'!L34,'Current GHG Compliance'!L34)+IF(Table44[[#This Row],[Cold]:[Cold]]="Y",'Cold Weather Package'!L34,0)+IF(Table44[[#This Row],[eAWD]:[eAWD]]="Y",'eAWD Package'!L34,0)+IF(Table44[[#This Row],[Towing]:[Towing]]="Y",'Towing Bat Cost'!L34,0),"N/A")</f>
        <v>6643.3476172103947</v>
      </c>
      <c r="Q33" s="157">
        <f>IF(Table44[[#This Row],[Applicable Package?]:[Applicable Package?]]="Y",SUM('Rolled Up Non-Incremental Costs'!M34,'ICE Removal Cost'!M34,'Trans Removal Cost'!M34,'LEV3 Criteria Emissions Cost'!M34,'ZEV Assembly Reductions'!M34,'ACCII Criteria Compliance Cost'!M34,'ACCII GHG Compliance'!M34,'Current GHG Compliance'!M34)+IF(Table44[[#This Row],[Cold]:[Cold]]="Y",'Cold Weather Package'!M34,0)+IF(Table44[[#This Row],[eAWD]:[eAWD]]="Y",'eAWD Package'!M34,0)+IF(Table44[[#This Row],[Towing]:[Towing]]="Y",'Towing Bat Cost'!M34,0),"N/A")</f>
        <v>6095.7521925854362</v>
      </c>
      <c r="R33" s="157">
        <f>IF(Table44[[#This Row],[Applicable Package?]:[Applicable Package?]]="Y",SUM('Rolled Up Non-Incremental Costs'!N34,'ICE Removal Cost'!N34,'Trans Removal Cost'!N34,'LEV3 Criteria Emissions Cost'!N34,'ZEV Assembly Reductions'!N34,'ACCII Criteria Compliance Cost'!N34,'ACCII GHG Compliance'!N34,'Current GHG Compliance'!N34)+IF(Table44[[#This Row],[Cold]:[Cold]]="Y",'Cold Weather Package'!N34,0)+IF(Table44[[#This Row],[eAWD]:[eAWD]]="Y",'eAWD Package'!N34,0)+IF(Table44[[#This Row],[Towing]:[Towing]]="Y",'Towing Bat Cost'!N34,0),"N/A")</f>
        <v>5556.2941389488751</v>
      </c>
      <c r="S33" s="157">
        <f>IF(Table44[[#This Row],[Applicable Package?]:[Applicable Package?]]="Y",SUM('Rolled Up Non-Incremental Costs'!O34,'ICE Removal Cost'!O34,'Trans Removal Cost'!O34,'LEV3 Criteria Emissions Cost'!O34,'ZEV Assembly Reductions'!O34,'ACCII Criteria Compliance Cost'!O34,'ACCII GHG Compliance'!O34,'Current GHG Compliance'!O34)+IF(Table44[[#This Row],[Cold]:[Cold]]="Y",'Cold Weather Package'!O34,0)+IF(Table44[[#This Row],[eAWD]:[eAWD]]="Y",'eAWD Package'!O34,0)+IF(Table44[[#This Row],[Towing]:[Towing]]="Y",'Towing Bat Cost'!O34,0),"N/A")</f>
        <v>5024.9691413941855</v>
      </c>
      <c r="U33" s="4"/>
    </row>
    <row r="34" spans="1:21" x14ac:dyDescent="0.3">
      <c r="A34" s="28" t="str">
        <f>CONCATENATE(B34,C34,D34)</f>
        <v>SmallCarBaseBEV300</v>
      </c>
      <c r="B34" s="90" t="s">
        <v>73</v>
      </c>
      <c r="C34" s="68" t="s">
        <v>75</v>
      </c>
      <c r="D34" s="68" t="str">
        <f>'Vehicle Attributes - Base Year'!D2</f>
        <v>BEV300</v>
      </c>
      <c r="E34" s="124" t="s">
        <v>76</v>
      </c>
      <c r="F34" s="124" t="s">
        <v>77</v>
      </c>
      <c r="G34" s="125" t="s">
        <v>77</v>
      </c>
      <c r="H34" s="156" t="s">
        <v>77</v>
      </c>
      <c r="I34" s="157" t="str">
        <f>IF(Table44[[#This Row],[Applicable Package?]:[Applicable Package?]]="Y",SUM('Rolled Up Non-Incremental Costs'!E5,'ICE Removal Cost'!E5,'Trans Removal Cost'!E5,'LEV3 Criteria Emissions Cost'!E5,'ZEV Assembly Reductions'!E5,'ACCII Criteria Compliance Cost'!E5,'ACCII GHG Compliance'!E5,'Current GHG Compliance'!E5)+IF(Table44[[#This Row],[Cold]:[Cold]]="Y",'Cold Weather Package'!E5,0)+IF(Table44[[#This Row],[eAWD]:[eAWD]]="Y",'eAWD Package'!E5,0)+IF(Table44[[#This Row],[Towing]:[Towing]]="Y",'Towing Bat Cost'!E5,0),"N/A")</f>
        <v>N/A</v>
      </c>
      <c r="J34" s="157" t="str">
        <f>IF(Table44[[#This Row],[Applicable Package?]:[Applicable Package?]]="Y",SUM('Rolled Up Non-Incremental Costs'!F5,'ICE Removal Cost'!F5,'Trans Removal Cost'!F5,'LEV3 Criteria Emissions Cost'!F5,'ZEV Assembly Reductions'!F5,'ACCII Criteria Compliance Cost'!F5,'ACCII GHG Compliance'!F5,'Current GHG Compliance'!F5)+IF(Table44[[#This Row],[Cold]:[Cold]]="Y",'Cold Weather Package'!F5,0)+IF(Table44[[#This Row],[eAWD]:[eAWD]]="Y",'eAWD Package'!F5,0)+IF(Table44[[#This Row],[Towing]:[Towing]]="Y",'Towing Bat Cost'!F5,0),"N/A")</f>
        <v>N/A</v>
      </c>
      <c r="K34" s="157" t="str">
        <f>IF(Table44[[#This Row],[Applicable Package?]:[Applicable Package?]]="Y",SUM('Rolled Up Non-Incremental Costs'!G5,'ICE Removal Cost'!G5,'Trans Removal Cost'!G5,'LEV3 Criteria Emissions Cost'!G5,'ZEV Assembly Reductions'!G5,'ACCII Criteria Compliance Cost'!G5,'ACCII GHG Compliance'!G5,'Current GHG Compliance'!G5)+IF(Table44[[#This Row],[Cold]:[Cold]]="Y",'Cold Weather Package'!G5,0)+IF(Table44[[#This Row],[eAWD]:[eAWD]]="Y",'eAWD Package'!G5,0)+IF(Table44[[#This Row],[Towing]:[Towing]]="Y",'Towing Bat Cost'!G5,0),"N/A")</f>
        <v>N/A</v>
      </c>
      <c r="L34" s="157" t="str">
        <f>IF(Table44[[#This Row],[Applicable Package?]:[Applicable Package?]]="Y",SUM('Rolled Up Non-Incremental Costs'!H5,'ICE Removal Cost'!H5,'Trans Removal Cost'!H5,'LEV3 Criteria Emissions Cost'!H5,'ZEV Assembly Reductions'!H5,'ACCII Criteria Compliance Cost'!H5,'ACCII GHG Compliance'!H5,'Current GHG Compliance'!H5)+IF(Table44[[#This Row],[Cold]:[Cold]]="Y",'Cold Weather Package'!H5,0)+IF(Table44[[#This Row],[eAWD]:[eAWD]]="Y",'eAWD Package'!H5,0)+IF(Table44[[#This Row],[Towing]:[Towing]]="Y",'Towing Bat Cost'!H5,0),"N/A")</f>
        <v>N/A</v>
      </c>
      <c r="M34" s="157" t="str">
        <f>IF(Table44[[#This Row],[Applicable Package?]:[Applicable Package?]]="Y",SUM('Rolled Up Non-Incremental Costs'!I5,'ICE Removal Cost'!I5,'Trans Removal Cost'!I5,'LEV3 Criteria Emissions Cost'!I5,'ZEV Assembly Reductions'!I5,'ACCII Criteria Compliance Cost'!I5,'ACCII GHG Compliance'!I5,'Current GHG Compliance'!I5)+IF(Table44[[#This Row],[Cold]:[Cold]]="Y",'Cold Weather Package'!I5,0)+IF(Table44[[#This Row],[eAWD]:[eAWD]]="Y",'eAWD Package'!I5,0)+IF(Table44[[#This Row],[Towing]:[Towing]]="Y",'Towing Bat Cost'!I5,0),"N/A")</f>
        <v>N/A</v>
      </c>
      <c r="N34" s="157" t="str">
        <f>IF(Table44[[#This Row],[Applicable Package?]:[Applicable Package?]]="Y",SUM('Rolled Up Non-Incremental Costs'!J5,'ICE Removal Cost'!J5,'Trans Removal Cost'!J5,'LEV3 Criteria Emissions Cost'!J5,'ZEV Assembly Reductions'!J5,'ACCII Criteria Compliance Cost'!J5,'ACCII GHG Compliance'!J5,'Current GHG Compliance'!J5)+IF(Table44[[#This Row],[Cold]:[Cold]]="Y",'Cold Weather Package'!J5,0)+IF(Table44[[#This Row],[eAWD]:[eAWD]]="Y",'eAWD Package'!J5,0)+IF(Table44[[#This Row],[Towing]:[Towing]]="Y",'Towing Bat Cost'!J5,0),"N/A")</f>
        <v>N/A</v>
      </c>
      <c r="O34" s="157" t="str">
        <f>IF(Table44[[#This Row],[Applicable Package?]:[Applicable Package?]]="Y",SUM('Rolled Up Non-Incremental Costs'!K5,'ICE Removal Cost'!K5,'Trans Removal Cost'!K5,'LEV3 Criteria Emissions Cost'!K5,'ZEV Assembly Reductions'!K5,'ACCII Criteria Compliance Cost'!K5,'ACCII GHG Compliance'!K5,'Current GHG Compliance'!K5)+IF(Table44[[#This Row],[Cold]:[Cold]]="Y",'Cold Weather Package'!K5,0)+IF(Table44[[#This Row],[eAWD]:[eAWD]]="Y",'eAWD Package'!K5,0)+IF(Table44[[#This Row],[Towing]:[Towing]]="Y",'Towing Bat Cost'!K5,0),"N/A")</f>
        <v>N/A</v>
      </c>
      <c r="P34" s="157" t="str">
        <f>IF(Table44[[#This Row],[Applicable Package?]:[Applicable Package?]]="Y",SUM('Rolled Up Non-Incremental Costs'!L5,'ICE Removal Cost'!L5,'Trans Removal Cost'!L5,'LEV3 Criteria Emissions Cost'!L5,'ZEV Assembly Reductions'!L5,'ACCII Criteria Compliance Cost'!L5,'ACCII GHG Compliance'!L5,'Current GHG Compliance'!L5)+IF(Table44[[#This Row],[Cold]:[Cold]]="Y",'Cold Weather Package'!L5,0)+IF(Table44[[#This Row],[eAWD]:[eAWD]]="Y",'eAWD Package'!L5,0)+IF(Table44[[#This Row],[Towing]:[Towing]]="Y",'Towing Bat Cost'!L5,0),"N/A")</f>
        <v>N/A</v>
      </c>
      <c r="Q34" s="157" t="str">
        <f>IF(Table44[[#This Row],[Applicable Package?]:[Applicable Package?]]="Y",SUM('Rolled Up Non-Incremental Costs'!M5,'ICE Removal Cost'!M5,'Trans Removal Cost'!M5,'LEV3 Criteria Emissions Cost'!M5,'ZEV Assembly Reductions'!M5,'ACCII Criteria Compliance Cost'!M5,'ACCII GHG Compliance'!M5,'Current GHG Compliance'!M5)+IF(Table44[[#This Row],[Cold]:[Cold]]="Y",'Cold Weather Package'!M5,0)+IF(Table44[[#This Row],[eAWD]:[eAWD]]="Y",'eAWD Package'!M5,0)+IF(Table44[[#This Row],[Towing]:[Towing]]="Y",'Towing Bat Cost'!M5,0),"N/A")</f>
        <v>N/A</v>
      </c>
      <c r="R34" s="157" t="str">
        <f>IF(Table44[[#This Row],[Applicable Package?]:[Applicable Package?]]="Y",SUM('Rolled Up Non-Incremental Costs'!N5,'ICE Removal Cost'!N5,'Trans Removal Cost'!N5,'LEV3 Criteria Emissions Cost'!N5,'ZEV Assembly Reductions'!N5,'ACCII Criteria Compliance Cost'!N5,'ACCII GHG Compliance'!N5,'Current GHG Compliance'!N5)+IF(Table44[[#This Row],[Cold]:[Cold]]="Y",'Cold Weather Package'!N5,0)+IF(Table44[[#This Row],[eAWD]:[eAWD]]="Y",'eAWD Package'!N5,0)+IF(Table44[[#This Row],[Towing]:[Towing]]="Y",'Towing Bat Cost'!N5,0),"N/A")</f>
        <v>N/A</v>
      </c>
      <c r="S34" s="157" t="str">
        <f>IF(Table44[[#This Row],[Applicable Package?]:[Applicable Package?]]="Y",SUM('Rolled Up Non-Incremental Costs'!O5,'ICE Removal Cost'!O5,'Trans Removal Cost'!O5,'LEV3 Criteria Emissions Cost'!O5,'ZEV Assembly Reductions'!O5,'ACCII Criteria Compliance Cost'!O5,'ACCII GHG Compliance'!O5,'Current GHG Compliance'!O5)+IF(Table44[[#This Row],[Cold]:[Cold]]="Y",'Cold Weather Package'!O5,0)+IF(Table44[[#This Row],[eAWD]:[eAWD]]="Y",'eAWD Package'!O5,0)+IF(Table44[[#This Row],[Towing]:[Towing]]="Y",'Towing Bat Cost'!O5,0),"N/A")</f>
        <v>N/A</v>
      </c>
    </row>
    <row r="35" spans="1:21" x14ac:dyDescent="0.3">
      <c r="A35" t="str">
        <f t="shared" ref="A35:A88" si="1">CONCATENATE(B35,C35,D35)</f>
        <v>SmallCarPremiumBEV400</v>
      </c>
      <c r="B35" s="90" t="s">
        <v>73</v>
      </c>
      <c r="C35" s="68" t="s">
        <v>80</v>
      </c>
      <c r="D35" s="68" t="str">
        <f>'Vehicle Attributes - Base Year'!D3</f>
        <v>BEV400</v>
      </c>
      <c r="E35" s="124" t="s">
        <v>76</v>
      </c>
      <c r="F35" s="124" t="s">
        <v>77</v>
      </c>
      <c r="G35" s="125" t="s">
        <v>77</v>
      </c>
      <c r="H35" s="156" t="s">
        <v>77</v>
      </c>
      <c r="I35" s="157" t="str">
        <f>IF(Table44[[#This Row],[Applicable Package?]:[Applicable Package?]]="Y",SUM('Rolled Up Non-Incremental Costs'!E6,'ICE Removal Cost'!E6,'Trans Removal Cost'!E6,'LEV3 Criteria Emissions Cost'!E6,'ZEV Assembly Reductions'!E6,'ACCII Criteria Compliance Cost'!E6,'ACCII GHG Compliance'!E6,'Current GHG Compliance'!E6)+IF(Table44[[#This Row],[Cold]:[Cold]]="Y",'Cold Weather Package'!E6,0)+IF(Table44[[#This Row],[eAWD]:[eAWD]]="Y",'eAWD Package'!E6,0)+IF(Table44[[#This Row],[Towing]:[Towing]]="Y",'Towing Bat Cost'!E6,0),"N/A")</f>
        <v>N/A</v>
      </c>
      <c r="J35" s="157" t="str">
        <f>IF(Table44[[#This Row],[Applicable Package?]:[Applicable Package?]]="Y",SUM('Rolled Up Non-Incremental Costs'!F6,'ICE Removal Cost'!F6,'Trans Removal Cost'!F6,'LEV3 Criteria Emissions Cost'!F6,'ZEV Assembly Reductions'!F6,'ACCII Criteria Compliance Cost'!F6,'ACCII GHG Compliance'!F6,'Current GHG Compliance'!F6)+IF(Table44[[#This Row],[Cold]:[Cold]]="Y",'Cold Weather Package'!F6,0)+IF(Table44[[#This Row],[eAWD]:[eAWD]]="Y",'eAWD Package'!F6,0)+IF(Table44[[#This Row],[Towing]:[Towing]]="Y",'Towing Bat Cost'!F6,0),"N/A")</f>
        <v>N/A</v>
      </c>
      <c r="K35" s="157" t="str">
        <f>IF(Table44[[#This Row],[Applicable Package?]:[Applicable Package?]]="Y",SUM('Rolled Up Non-Incremental Costs'!G6,'ICE Removal Cost'!G6,'Trans Removal Cost'!G6,'LEV3 Criteria Emissions Cost'!G6,'ZEV Assembly Reductions'!G6,'ACCII Criteria Compliance Cost'!G6,'ACCII GHG Compliance'!G6,'Current GHG Compliance'!G6)+IF(Table44[[#This Row],[Cold]:[Cold]]="Y",'Cold Weather Package'!G6,0)+IF(Table44[[#This Row],[eAWD]:[eAWD]]="Y",'eAWD Package'!G6,0)+IF(Table44[[#This Row],[Towing]:[Towing]]="Y",'Towing Bat Cost'!G6,0),"N/A")</f>
        <v>N/A</v>
      </c>
      <c r="L35" s="157" t="str">
        <f>IF(Table44[[#This Row],[Applicable Package?]:[Applicable Package?]]="Y",SUM('Rolled Up Non-Incremental Costs'!H6,'ICE Removal Cost'!H6,'Trans Removal Cost'!H6,'LEV3 Criteria Emissions Cost'!H6,'ZEV Assembly Reductions'!H6,'ACCII Criteria Compliance Cost'!H6,'ACCII GHG Compliance'!H6,'Current GHG Compliance'!H6)+IF(Table44[[#This Row],[Cold]:[Cold]]="Y",'Cold Weather Package'!H6,0)+IF(Table44[[#This Row],[eAWD]:[eAWD]]="Y",'eAWD Package'!H6,0)+IF(Table44[[#This Row],[Towing]:[Towing]]="Y",'Towing Bat Cost'!H6,0),"N/A")</f>
        <v>N/A</v>
      </c>
      <c r="M35" s="157" t="str">
        <f>IF(Table44[[#This Row],[Applicable Package?]:[Applicable Package?]]="Y",SUM('Rolled Up Non-Incremental Costs'!I6,'ICE Removal Cost'!I6,'Trans Removal Cost'!I6,'LEV3 Criteria Emissions Cost'!I6,'ZEV Assembly Reductions'!I6,'ACCII Criteria Compliance Cost'!I6,'ACCII GHG Compliance'!I6,'Current GHG Compliance'!I6)+IF(Table44[[#This Row],[Cold]:[Cold]]="Y",'Cold Weather Package'!I6,0)+IF(Table44[[#This Row],[eAWD]:[eAWD]]="Y",'eAWD Package'!I6,0)+IF(Table44[[#This Row],[Towing]:[Towing]]="Y",'Towing Bat Cost'!I6,0),"N/A")</f>
        <v>N/A</v>
      </c>
      <c r="N35" s="157" t="str">
        <f>IF(Table44[[#This Row],[Applicable Package?]:[Applicable Package?]]="Y",SUM('Rolled Up Non-Incremental Costs'!J6,'ICE Removal Cost'!J6,'Trans Removal Cost'!J6,'LEV3 Criteria Emissions Cost'!J6,'ZEV Assembly Reductions'!J6,'ACCII Criteria Compliance Cost'!J6,'ACCII GHG Compliance'!J6,'Current GHG Compliance'!J6)+IF(Table44[[#This Row],[Cold]:[Cold]]="Y",'Cold Weather Package'!J6,0)+IF(Table44[[#This Row],[eAWD]:[eAWD]]="Y",'eAWD Package'!J6,0)+IF(Table44[[#This Row],[Towing]:[Towing]]="Y",'Towing Bat Cost'!J6,0),"N/A")</f>
        <v>N/A</v>
      </c>
      <c r="O35" s="157" t="str">
        <f>IF(Table44[[#This Row],[Applicable Package?]:[Applicable Package?]]="Y",SUM('Rolled Up Non-Incremental Costs'!K6,'ICE Removal Cost'!K6,'Trans Removal Cost'!K6,'LEV3 Criteria Emissions Cost'!K6,'ZEV Assembly Reductions'!K6,'ACCII Criteria Compliance Cost'!K6,'ACCII GHG Compliance'!K6,'Current GHG Compliance'!K6)+IF(Table44[[#This Row],[Cold]:[Cold]]="Y",'Cold Weather Package'!K6,0)+IF(Table44[[#This Row],[eAWD]:[eAWD]]="Y",'eAWD Package'!K6,0)+IF(Table44[[#This Row],[Towing]:[Towing]]="Y",'Towing Bat Cost'!K6,0),"N/A")</f>
        <v>N/A</v>
      </c>
      <c r="P35" s="157" t="str">
        <f>IF(Table44[[#This Row],[Applicable Package?]:[Applicable Package?]]="Y",SUM('Rolled Up Non-Incremental Costs'!L6,'ICE Removal Cost'!L6,'Trans Removal Cost'!L6,'LEV3 Criteria Emissions Cost'!L6,'ZEV Assembly Reductions'!L6,'ACCII Criteria Compliance Cost'!L6,'ACCII GHG Compliance'!L6,'Current GHG Compliance'!L6)+IF(Table44[[#This Row],[Cold]:[Cold]]="Y",'Cold Weather Package'!L6,0)+IF(Table44[[#This Row],[eAWD]:[eAWD]]="Y",'eAWD Package'!L6,0)+IF(Table44[[#This Row],[Towing]:[Towing]]="Y",'Towing Bat Cost'!L6,0),"N/A")</f>
        <v>N/A</v>
      </c>
      <c r="Q35" s="157" t="str">
        <f>IF(Table44[[#This Row],[Applicable Package?]:[Applicable Package?]]="Y",SUM('Rolled Up Non-Incremental Costs'!M6,'ICE Removal Cost'!M6,'Trans Removal Cost'!M6,'LEV3 Criteria Emissions Cost'!M6,'ZEV Assembly Reductions'!M6,'ACCII Criteria Compliance Cost'!M6,'ACCII GHG Compliance'!M6,'Current GHG Compliance'!M6)+IF(Table44[[#This Row],[Cold]:[Cold]]="Y",'Cold Weather Package'!M6,0)+IF(Table44[[#This Row],[eAWD]:[eAWD]]="Y",'eAWD Package'!M6,0)+IF(Table44[[#This Row],[Towing]:[Towing]]="Y",'Towing Bat Cost'!M6,0),"N/A")</f>
        <v>N/A</v>
      </c>
      <c r="R35" s="157" t="str">
        <f>IF(Table44[[#This Row],[Applicable Package?]:[Applicable Package?]]="Y",SUM('Rolled Up Non-Incremental Costs'!N6,'ICE Removal Cost'!N6,'Trans Removal Cost'!N6,'LEV3 Criteria Emissions Cost'!N6,'ZEV Assembly Reductions'!N6,'ACCII Criteria Compliance Cost'!N6,'ACCII GHG Compliance'!N6,'Current GHG Compliance'!N6)+IF(Table44[[#This Row],[Cold]:[Cold]]="Y",'Cold Weather Package'!N6,0)+IF(Table44[[#This Row],[eAWD]:[eAWD]]="Y",'eAWD Package'!N6,0)+IF(Table44[[#This Row],[Towing]:[Towing]]="Y",'Towing Bat Cost'!N6,0),"N/A")</f>
        <v>N/A</v>
      </c>
      <c r="S35" s="157" t="str">
        <f>IF(Table44[[#This Row],[Applicable Package?]:[Applicable Package?]]="Y",SUM('Rolled Up Non-Incremental Costs'!O6,'ICE Removal Cost'!O6,'Trans Removal Cost'!O6,'LEV3 Criteria Emissions Cost'!O6,'ZEV Assembly Reductions'!O6,'ACCII Criteria Compliance Cost'!O6,'ACCII GHG Compliance'!O6,'Current GHG Compliance'!O6)+IF(Table44[[#This Row],[Cold]:[Cold]]="Y",'Cold Weather Package'!O6,0)+IF(Table44[[#This Row],[eAWD]:[eAWD]]="Y",'eAWD Package'!O6,0)+IF(Table44[[#This Row],[Towing]:[Towing]]="Y",'Towing Bat Cost'!O6,0),"N/A")</f>
        <v>N/A</v>
      </c>
    </row>
    <row r="36" spans="1:21" x14ac:dyDescent="0.3">
      <c r="A36" s="28" t="str">
        <f t="shared" si="1"/>
        <v>MedCarBaseBEV300</v>
      </c>
      <c r="B36" s="90" t="s">
        <v>82</v>
      </c>
      <c r="C36" s="68" t="s">
        <v>75</v>
      </c>
      <c r="D36" s="68" t="str">
        <f>'Vehicle Attributes - Base Year'!D4</f>
        <v>BEV300</v>
      </c>
      <c r="E36" s="124" t="s">
        <v>76</v>
      </c>
      <c r="F36" s="124" t="s">
        <v>77</v>
      </c>
      <c r="G36" s="125" t="s">
        <v>77</v>
      </c>
      <c r="H36" s="156" t="s">
        <v>77</v>
      </c>
      <c r="I36" s="157" t="str">
        <f>IF(Table44[[#This Row],[Applicable Package?]:[Applicable Package?]]="Y",SUM('Rolled Up Non-Incremental Costs'!E7,'ICE Removal Cost'!E7,'Trans Removal Cost'!E7,'LEV3 Criteria Emissions Cost'!E7,'ZEV Assembly Reductions'!E7,'ACCII Criteria Compliance Cost'!E7,'ACCII GHG Compliance'!E7,'Current GHG Compliance'!E7)+IF(Table44[[#This Row],[Cold]:[Cold]]="Y",'Cold Weather Package'!E7,0)+IF(Table44[[#This Row],[eAWD]:[eAWD]]="Y",'eAWD Package'!E7,0)+IF(Table44[[#This Row],[Towing]:[Towing]]="Y",'Towing Bat Cost'!E7,0),"N/A")</f>
        <v>N/A</v>
      </c>
      <c r="J36" s="157" t="str">
        <f>IF(Table44[[#This Row],[Applicable Package?]:[Applicable Package?]]="Y",SUM('Rolled Up Non-Incremental Costs'!F7,'ICE Removal Cost'!F7,'Trans Removal Cost'!F7,'LEV3 Criteria Emissions Cost'!F7,'ZEV Assembly Reductions'!F7,'ACCII Criteria Compliance Cost'!F7,'ACCII GHG Compliance'!F7,'Current GHG Compliance'!F7)+IF(Table44[[#This Row],[Cold]:[Cold]]="Y",'Cold Weather Package'!F7,0)+IF(Table44[[#This Row],[eAWD]:[eAWD]]="Y",'eAWD Package'!F7,0)+IF(Table44[[#This Row],[Towing]:[Towing]]="Y",'Towing Bat Cost'!F7,0),"N/A")</f>
        <v>N/A</v>
      </c>
      <c r="K36" s="157" t="str">
        <f>IF(Table44[[#This Row],[Applicable Package?]:[Applicable Package?]]="Y",SUM('Rolled Up Non-Incremental Costs'!G7,'ICE Removal Cost'!G7,'Trans Removal Cost'!G7,'LEV3 Criteria Emissions Cost'!G7,'ZEV Assembly Reductions'!G7,'ACCII Criteria Compliance Cost'!G7,'ACCII GHG Compliance'!G7,'Current GHG Compliance'!G7)+IF(Table44[[#This Row],[Cold]:[Cold]]="Y",'Cold Weather Package'!G7,0)+IF(Table44[[#This Row],[eAWD]:[eAWD]]="Y",'eAWD Package'!G7,0)+IF(Table44[[#This Row],[Towing]:[Towing]]="Y",'Towing Bat Cost'!G7,0),"N/A")</f>
        <v>N/A</v>
      </c>
      <c r="L36" s="157" t="str">
        <f>IF(Table44[[#This Row],[Applicable Package?]:[Applicable Package?]]="Y",SUM('Rolled Up Non-Incremental Costs'!H7,'ICE Removal Cost'!H7,'Trans Removal Cost'!H7,'LEV3 Criteria Emissions Cost'!H7,'ZEV Assembly Reductions'!H7,'ACCII Criteria Compliance Cost'!H7,'ACCII GHG Compliance'!H7,'Current GHG Compliance'!H7)+IF(Table44[[#This Row],[Cold]:[Cold]]="Y",'Cold Weather Package'!H7,0)+IF(Table44[[#This Row],[eAWD]:[eAWD]]="Y",'eAWD Package'!H7,0)+IF(Table44[[#This Row],[Towing]:[Towing]]="Y",'Towing Bat Cost'!H7,0),"N/A")</f>
        <v>N/A</v>
      </c>
      <c r="M36" s="157" t="str">
        <f>IF(Table44[[#This Row],[Applicable Package?]:[Applicable Package?]]="Y",SUM('Rolled Up Non-Incremental Costs'!I7,'ICE Removal Cost'!I7,'Trans Removal Cost'!I7,'LEV3 Criteria Emissions Cost'!I7,'ZEV Assembly Reductions'!I7,'ACCII Criteria Compliance Cost'!I7,'ACCII GHG Compliance'!I7,'Current GHG Compliance'!I7)+IF(Table44[[#This Row],[Cold]:[Cold]]="Y",'Cold Weather Package'!I7,0)+IF(Table44[[#This Row],[eAWD]:[eAWD]]="Y",'eAWD Package'!I7,0)+IF(Table44[[#This Row],[Towing]:[Towing]]="Y",'Towing Bat Cost'!I7,0),"N/A")</f>
        <v>N/A</v>
      </c>
      <c r="N36" s="157" t="str">
        <f>IF(Table44[[#This Row],[Applicable Package?]:[Applicable Package?]]="Y",SUM('Rolled Up Non-Incremental Costs'!J7,'ICE Removal Cost'!J7,'Trans Removal Cost'!J7,'LEV3 Criteria Emissions Cost'!J7,'ZEV Assembly Reductions'!J7,'ACCII Criteria Compliance Cost'!J7,'ACCII GHG Compliance'!J7,'Current GHG Compliance'!J7)+IF(Table44[[#This Row],[Cold]:[Cold]]="Y",'Cold Weather Package'!J7,0)+IF(Table44[[#This Row],[eAWD]:[eAWD]]="Y",'eAWD Package'!J7,0)+IF(Table44[[#This Row],[Towing]:[Towing]]="Y",'Towing Bat Cost'!J7,0),"N/A")</f>
        <v>N/A</v>
      </c>
      <c r="O36" s="157" t="str">
        <f>IF(Table44[[#This Row],[Applicable Package?]:[Applicable Package?]]="Y",SUM('Rolled Up Non-Incremental Costs'!K7,'ICE Removal Cost'!K7,'Trans Removal Cost'!K7,'LEV3 Criteria Emissions Cost'!K7,'ZEV Assembly Reductions'!K7,'ACCII Criteria Compliance Cost'!K7,'ACCII GHG Compliance'!K7,'Current GHG Compliance'!K7)+IF(Table44[[#This Row],[Cold]:[Cold]]="Y",'Cold Weather Package'!K7,0)+IF(Table44[[#This Row],[eAWD]:[eAWD]]="Y",'eAWD Package'!K7,0)+IF(Table44[[#This Row],[Towing]:[Towing]]="Y",'Towing Bat Cost'!K7,0),"N/A")</f>
        <v>N/A</v>
      </c>
      <c r="P36" s="157" t="str">
        <f>IF(Table44[[#This Row],[Applicable Package?]:[Applicable Package?]]="Y",SUM('Rolled Up Non-Incremental Costs'!L7,'ICE Removal Cost'!L7,'Trans Removal Cost'!L7,'LEV3 Criteria Emissions Cost'!L7,'ZEV Assembly Reductions'!L7,'ACCII Criteria Compliance Cost'!L7,'ACCII GHG Compliance'!L7,'Current GHG Compliance'!L7)+IF(Table44[[#This Row],[Cold]:[Cold]]="Y",'Cold Weather Package'!L7,0)+IF(Table44[[#This Row],[eAWD]:[eAWD]]="Y",'eAWD Package'!L7,0)+IF(Table44[[#This Row],[Towing]:[Towing]]="Y",'Towing Bat Cost'!L7,0),"N/A")</f>
        <v>N/A</v>
      </c>
      <c r="Q36" s="157" t="str">
        <f>IF(Table44[[#This Row],[Applicable Package?]:[Applicable Package?]]="Y",SUM('Rolled Up Non-Incremental Costs'!M7,'ICE Removal Cost'!M7,'Trans Removal Cost'!M7,'LEV3 Criteria Emissions Cost'!M7,'ZEV Assembly Reductions'!M7,'ACCII Criteria Compliance Cost'!M7,'ACCII GHG Compliance'!M7,'Current GHG Compliance'!M7)+IF(Table44[[#This Row],[Cold]:[Cold]]="Y",'Cold Weather Package'!M7,0)+IF(Table44[[#This Row],[eAWD]:[eAWD]]="Y",'eAWD Package'!M7,0)+IF(Table44[[#This Row],[Towing]:[Towing]]="Y",'Towing Bat Cost'!M7,0),"N/A")</f>
        <v>N/A</v>
      </c>
      <c r="R36" s="157" t="str">
        <f>IF(Table44[[#This Row],[Applicable Package?]:[Applicable Package?]]="Y",SUM('Rolled Up Non-Incremental Costs'!N7,'ICE Removal Cost'!N7,'Trans Removal Cost'!N7,'LEV3 Criteria Emissions Cost'!N7,'ZEV Assembly Reductions'!N7,'ACCII Criteria Compliance Cost'!N7,'ACCII GHG Compliance'!N7,'Current GHG Compliance'!N7)+IF(Table44[[#This Row],[Cold]:[Cold]]="Y",'Cold Weather Package'!N7,0)+IF(Table44[[#This Row],[eAWD]:[eAWD]]="Y",'eAWD Package'!N7,0)+IF(Table44[[#This Row],[Towing]:[Towing]]="Y",'Towing Bat Cost'!N7,0),"N/A")</f>
        <v>N/A</v>
      </c>
      <c r="S36" s="157" t="str">
        <f>IF(Table44[[#This Row],[Applicable Package?]:[Applicable Package?]]="Y",SUM('Rolled Up Non-Incremental Costs'!O7,'ICE Removal Cost'!O7,'Trans Removal Cost'!O7,'LEV3 Criteria Emissions Cost'!O7,'ZEV Assembly Reductions'!O7,'ACCII Criteria Compliance Cost'!O7,'ACCII GHG Compliance'!O7,'Current GHG Compliance'!O7)+IF(Table44[[#This Row],[Cold]:[Cold]]="Y",'Cold Weather Package'!O7,0)+IF(Table44[[#This Row],[eAWD]:[eAWD]]="Y",'eAWD Package'!O7,0)+IF(Table44[[#This Row],[Towing]:[Towing]]="Y",'Towing Bat Cost'!O7,0),"N/A")</f>
        <v>N/A</v>
      </c>
    </row>
    <row r="37" spans="1:21" x14ac:dyDescent="0.3">
      <c r="A37" t="str">
        <f t="shared" si="1"/>
        <v>MedCarPremiumBEV400</v>
      </c>
      <c r="B37" s="90" t="s">
        <v>82</v>
      </c>
      <c r="C37" s="68" t="s">
        <v>80</v>
      </c>
      <c r="D37" s="68" t="str">
        <f>'Vehicle Attributes - Base Year'!D5</f>
        <v>BEV400</v>
      </c>
      <c r="E37" s="124" t="s">
        <v>76</v>
      </c>
      <c r="F37" s="124" t="s">
        <v>77</v>
      </c>
      <c r="G37" s="125" t="s">
        <v>77</v>
      </c>
      <c r="H37" s="156" t="s">
        <v>77</v>
      </c>
      <c r="I37" s="157" t="str">
        <f>IF(Table44[[#This Row],[Applicable Package?]:[Applicable Package?]]="Y",SUM('Rolled Up Non-Incremental Costs'!E8,'ICE Removal Cost'!E8,'Trans Removal Cost'!E8,'LEV3 Criteria Emissions Cost'!E8,'ZEV Assembly Reductions'!E8,'ACCII Criteria Compliance Cost'!E8,'ACCII GHG Compliance'!E8,'Current GHG Compliance'!E8)+IF(Table44[[#This Row],[Cold]:[Cold]]="Y",'Cold Weather Package'!E8,0)+IF(Table44[[#This Row],[eAWD]:[eAWD]]="Y",'eAWD Package'!E8,0)+IF(Table44[[#This Row],[Towing]:[Towing]]="Y",'Towing Bat Cost'!E8,0),"N/A")</f>
        <v>N/A</v>
      </c>
      <c r="J37" s="157" t="str">
        <f>IF(Table44[[#This Row],[Applicable Package?]:[Applicable Package?]]="Y",SUM('Rolled Up Non-Incremental Costs'!F8,'ICE Removal Cost'!F8,'Trans Removal Cost'!F8,'LEV3 Criteria Emissions Cost'!F8,'ZEV Assembly Reductions'!F8,'ACCII Criteria Compliance Cost'!F8,'ACCII GHG Compliance'!F8,'Current GHG Compliance'!F8)+IF(Table44[[#This Row],[Cold]:[Cold]]="Y",'Cold Weather Package'!F8,0)+IF(Table44[[#This Row],[eAWD]:[eAWD]]="Y",'eAWD Package'!F8,0)+IF(Table44[[#This Row],[Towing]:[Towing]]="Y",'Towing Bat Cost'!F8,0),"N/A")</f>
        <v>N/A</v>
      </c>
      <c r="K37" s="157" t="str">
        <f>IF(Table44[[#This Row],[Applicable Package?]:[Applicable Package?]]="Y",SUM('Rolled Up Non-Incremental Costs'!G8,'ICE Removal Cost'!G8,'Trans Removal Cost'!G8,'LEV3 Criteria Emissions Cost'!G8,'ZEV Assembly Reductions'!G8,'ACCII Criteria Compliance Cost'!G8,'ACCII GHG Compliance'!G8,'Current GHG Compliance'!G8)+IF(Table44[[#This Row],[Cold]:[Cold]]="Y",'Cold Weather Package'!G8,0)+IF(Table44[[#This Row],[eAWD]:[eAWD]]="Y",'eAWD Package'!G8,0)+IF(Table44[[#This Row],[Towing]:[Towing]]="Y",'Towing Bat Cost'!G8,0),"N/A")</f>
        <v>N/A</v>
      </c>
      <c r="L37" s="157" t="str">
        <f>IF(Table44[[#This Row],[Applicable Package?]:[Applicable Package?]]="Y",SUM('Rolled Up Non-Incremental Costs'!H8,'ICE Removal Cost'!H8,'Trans Removal Cost'!H8,'LEV3 Criteria Emissions Cost'!H8,'ZEV Assembly Reductions'!H8,'ACCII Criteria Compliance Cost'!H8,'ACCII GHG Compliance'!H8,'Current GHG Compliance'!H8)+IF(Table44[[#This Row],[Cold]:[Cold]]="Y",'Cold Weather Package'!H8,0)+IF(Table44[[#This Row],[eAWD]:[eAWD]]="Y",'eAWD Package'!H8,0)+IF(Table44[[#This Row],[Towing]:[Towing]]="Y",'Towing Bat Cost'!H8,0),"N/A")</f>
        <v>N/A</v>
      </c>
      <c r="M37" s="157" t="str">
        <f>IF(Table44[[#This Row],[Applicable Package?]:[Applicable Package?]]="Y",SUM('Rolled Up Non-Incremental Costs'!I8,'ICE Removal Cost'!I8,'Trans Removal Cost'!I8,'LEV3 Criteria Emissions Cost'!I8,'ZEV Assembly Reductions'!I8,'ACCII Criteria Compliance Cost'!I8,'ACCII GHG Compliance'!I8,'Current GHG Compliance'!I8)+IF(Table44[[#This Row],[Cold]:[Cold]]="Y",'Cold Weather Package'!I8,0)+IF(Table44[[#This Row],[eAWD]:[eAWD]]="Y",'eAWD Package'!I8,0)+IF(Table44[[#This Row],[Towing]:[Towing]]="Y",'Towing Bat Cost'!I8,0),"N/A")</f>
        <v>N/A</v>
      </c>
      <c r="N37" s="157" t="str">
        <f>IF(Table44[[#This Row],[Applicable Package?]:[Applicable Package?]]="Y",SUM('Rolled Up Non-Incremental Costs'!J8,'ICE Removal Cost'!J8,'Trans Removal Cost'!J8,'LEV3 Criteria Emissions Cost'!J8,'ZEV Assembly Reductions'!J8,'ACCII Criteria Compliance Cost'!J8,'ACCII GHG Compliance'!J8,'Current GHG Compliance'!J8)+IF(Table44[[#This Row],[Cold]:[Cold]]="Y",'Cold Weather Package'!J8,0)+IF(Table44[[#This Row],[eAWD]:[eAWD]]="Y",'eAWD Package'!J8,0)+IF(Table44[[#This Row],[Towing]:[Towing]]="Y",'Towing Bat Cost'!J8,0),"N/A")</f>
        <v>N/A</v>
      </c>
      <c r="O37" s="157" t="str">
        <f>IF(Table44[[#This Row],[Applicable Package?]:[Applicable Package?]]="Y",SUM('Rolled Up Non-Incremental Costs'!K8,'ICE Removal Cost'!K8,'Trans Removal Cost'!K8,'LEV3 Criteria Emissions Cost'!K8,'ZEV Assembly Reductions'!K8,'ACCII Criteria Compliance Cost'!K8,'ACCII GHG Compliance'!K8,'Current GHG Compliance'!K8)+IF(Table44[[#This Row],[Cold]:[Cold]]="Y",'Cold Weather Package'!K8,0)+IF(Table44[[#This Row],[eAWD]:[eAWD]]="Y",'eAWD Package'!K8,0)+IF(Table44[[#This Row],[Towing]:[Towing]]="Y",'Towing Bat Cost'!K8,0),"N/A")</f>
        <v>N/A</v>
      </c>
      <c r="P37" s="157" t="str">
        <f>IF(Table44[[#This Row],[Applicable Package?]:[Applicable Package?]]="Y",SUM('Rolled Up Non-Incremental Costs'!L8,'ICE Removal Cost'!L8,'Trans Removal Cost'!L8,'LEV3 Criteria Emissions Cost'!L8,'ZEV Assembly Reductions'!L8,'ACCII Criteria Compliance Cost'!L8,'ACCII GHG Compliance'!L8,'Current GHG Compliance'!L8)+IF(Table44[[#This Row],[Cold]:[Cold]]="Y",'Cold Weather Package'!L8,0)+IF(Table44[[#This Row],[eAWD]:[eAWD]]="Y",'eAWD Package'!L8,0)+IF(Table44[[#This Row],[Towing]:[Towing]]="Y",'Towing Bat Cost'!L8,0),"N/A")</f>
        <v>N/A</v>
      </c>
      <c r="Q37" s="157" t="str">
        <f>IF(Table44[[#This Row],[Applicable Package?]:[Applicable Package?]]="Y",SUM('Rolled Up Non-Incremental Costs'!M8,'ICE Removal Cost'!M8,'Trans Removal Cost'!M8,'LEV3 Criteria Emissions Cost'!M8,'ZEV Assembly Reductions'!M8,'ACCII Criteria Compliance Cost'!M8,'ACCII GHG Compliance'!M8,'Current GHG Compliance'!M8)+IF(Table44[[#This Row],[Cold]:[Cold]]="Y",'Cold Weather Package'!M8,0)+IF(Table44[[#This Row],[eAWD]:[eAWD]]="Y",'eAWD Package'!M8,0)+IF(Table44[[#This Row],[Towing]:[Towing]]="Y",'Towing Bat Cost'!M8,0),"N/A")</f>
        <v>N/A</v>
      </c>
      <c r="R37" s="157" t="str">
        <f>IF(Table44[[#This Row],[Applicable Package?]:[Applicable Package?]]="Y",SUM('Rolled Up Non-Incremental Costs'!N8,'ICE Removal Cost'!N8,'Trans Removal Cost'!N8,'LEV3 Criteria Emissions Cost'!N8,'ZEV Assembly Reductions'!N8,'ACCII Criteria Compliance Cost'!N8,'ACCII GHG Compliance'!N8,'Current GHG Compliance'!N8)+IF(Table44[[#This Row],[Cold]:[Cold]]="Y",'Cold Weather Package'!N8,0)+IF(Table44[[#This Row],[eAWD]:[eAWD]]="Y",'eAWD Package'!N8,0)+IF(Table44[[#This Row],[Towing]:[Towing]]="Y",'Towing Bat Cost'!N8,0),"N/A")</f>
        <v>N/A</v>
      </c>
      <c r="S37" s="157" t="str">
        <f>IF(Table44[[#This Row],[Applicable Package?]:[Applicable Package?]]="Y",SUM('Rolled Up Non-Incremental Costs'!O8,'ICE Removal Cost'!O8,'Trans Removal Cost'!O8,'LEV3 Criteria Emissions Cost'!O8,'ZEV Assembly Reductions'!O8,'ACCII Criteria Compliance Cost'!O8,'ACCII GHG Compliance'!O8,'Current GHG Compliance'!O8)+IF(Table44[[#This Row],[Cold]:[Cold]]="Y",'Cold Weather Package'!O8,0)+IF(Table44[[#This Row],[eAWD]:[eAWD]]="Y",'eAWD Package'!O8,0)+IF(Table44[[#This Row],[Towing]:[Towing]]="Y",'Towing Bat Cost'!O8,0),"N/A")</f>
        <v>N/A</v>
      </c>
    </row>
    <row r="38" spans="1:21" x14ac:dyDescent="0.3">
      <c r="A38" s="28" t="str">
        <f t="shared" si="1"/>
        <v>SmallSUVBaseBEV300</v>
      </c>
      <c r="B38" s="90" t="s">
        <v>83</v>
      </c>
      <c r="C38" s="68" t="s">
        <v>75</v>
      </c>
      <c r="D38" s="68" t="str">
        <f>'Vehicle Attributes - Base Year'!D6</f>
        <v>BEV300</v>
      </c>
      <c r="E38" s="124" t="s">
        <v>76</v>
      </c>
      <c r="F38" s="124" t="s">
        <v>77</v>
      </c>
      <c r="G38" s="125" t="s">
        <v>77</v>
      </c>
      <c r="H38" s="156" t="s">
        <v>77</v>
      </c>
      <c r="I38" s="157" t="str">
        <f>IF(Table44[[#This Row],[Applicable Package?]:[Applicable Package?]]="Y",SUM('Rolled Up Non-Incremental Costs'!E9,'ICE Removal Cost'!E9,'Trans Removal Cost'!E9,'LEV3 Criteria Emissions Cost'!E9,'ZEV Assembly Reductions'!E9,'ACCII Criteria Compliance Cost'!E9,'ACCII GHG Compliance'!E9,'Current GHG Compliance'!E9)+IF(Table44[[#This Row],[Cold]:[Cold]]="Y",'Cold Weather Package'!E9,0)+IF(Table44[[#This Row],[eAWD]:[eAWD]]="Y",'eAWD Package'!E9,0)+IF(Table44[[#This Row],[Towing]:[Towing]]="Y",'Towing Bat Cost'!E9,0),"N/A")</f>
        <v>N/A</v>
      </c>
      <c r="J38" s="157" t="str">
        <f>IF(Table44[[#This Row],[Applicable Package?]:[Applicable Package?]]="Y",SUM('Rolled Up Non-Incremental Costs'!F9,'ICE Removal Cost'!F9,'Trans Removal Cost'!F9,'LEV3 Criteria Emissions Cost'!F9,'ZEV Assembly Reductions'!F9,'ACCII Criteria Compliance Cost'!F9,'ACCII GHG Compliance'!F9,'Current GHG Compliance'!F9)+IF(Table44[[#This Row],[Cold]:[Cold]]="Y",'Cold Weather Package'!F9,0)+IF(Table44[[#This Row],[eAWD]:[eAWD]]="Y",'eAWD Package'!F9,0)+IF(Table44[[#This Row],[Towing]:[Towing]]="Y",'Towing Bat Cost'!F9,0),"N/A")</f>
        <v>N/A</v>
      </c>
      <c r="K38" s="157" t="str">
        <f>IF(Table44[[#This Row],[Applicable Package?]:[Applicable Package?]]="Y",SUM('Rolled Up Non-Incremental Costs'!G9,'ICE Removal Cost'!G9,'Trans Removal Cost'!G9,'LEV3 Criteria Emissions Cost'!G9,'ZEV Assembly Reductions'!G9,'ACCII Criteria Compliance Cost'!G9,'ACCII GHG Compliance'!G9,'Current GHG Compliance'!G9)+IF(Table44[[#This Row],[Cold]:[Cold]]="Y",'Cold Weather Package'!G9,0)+IF(Table44[[#This Row],[eAWD]:[eAWD]]="Y",'eAWD Package'!G9,0)+IF(Table44[[#This Row],[Towing]:[Towing]]="Y",'Towing Bat Cost'!G9,0),"N/A")</f>
        <v>N/A</v>
      </c>
      <c r="L38" s="157" t="str">
        <f>IF(Table44[[#This Row],[Applicable Package?]:[Applicable Package?]]="Y",SUM('Rolled Up Non-Incremental Costs'!H9,'ICE Removal Cost'!H9,'Trans Removal Cost'!H9,'LEV3 Criteria Emissions Cost'!H9,'ZEV Assembly Reductions'!H9,'ACCII Criteria Compliance Cost'!H9,'ACCII GHG Compliance'!H9,'Current GHG Compliance'!H9)+IF(Table44[[#This Row],[Cold]:[Cold]]="Y",'Cold Weather Package'!H9,0)+IF(Table44[[#This Row],[eAWD]:[eAWD]]="Y",'eAWD Package'!H9,0)+IF(Table44[[#This Row],[Towing]:[Towing]]="Y",'Towing Bat Cost'!H9,0),"N/A")</f>
        <v>N/A</v>
      </c>
      <c r="M38" s="157" t="str">
        <f>IF(Table44[[#This Row],[Applicable Package?]:[Applicable Package?]]="Y",SUM('Rolled Up Non-Incremental Costs'!I9,'ICE Removal Cost'!I9,'Trans Removal Cost'!I9,'LEV3 Criteria Emissions Cost'!I9,'ZEV Assembly Reductions'!I9,'ACCII Criteria Compliance Cost'!I9,'ACCII GHG Compliance'!I9,'Current GHG Compliance'!I9)+IF(Table44[[#This Row],[Cold]:[Cold]]="Y",'Cold Weather Package'!I9,0)+IF(Table44[[#This Row],[eAWD]:[eAWD]]="Y",'eAWD Package'!I9,0)+IF(Table44[[#This Row],[Towing]:[Towing]]="Y",'Towing Bat Cost'!I9,0),"N/A")</f>
        <v>N/A</v>
      </c>
      <c r="N38" s="157" t="str">
        <f>IF(Table44[[#This Row],[Applicable Package?]:[Applicable Package?]]="Y",SUM('Rolled Up Non-Incremental Costs'!J9,'ICE Removal Cost'!J9,'Trans Removal Cost'!J9,'LEV3 Criteria Emissions Cost'!J9,'ZEV Assembly Reductions'!J9,'ACCII Criteria Compliance Cost'!J9,'ACCII GHG Compliance'!J9,'Current GHG Compliance'!J9)+IF(Table44[[#This Row],[Cold]:[Cold]]="Y",'Cold Weather Package'!J9,0)+IF(Table44[[#This Row],[eAWD]:[eAWD]]="Y",'eAWD Package'!J9,0)+IF(Table44[[#This Row],[Towing]:[Towing]]="Y",'Towing Bat Cost'!J9,0),"N/A")</f>
        <v>N/A</v>
      </c>
      <c r="O38" s="157" t="str">
        <f>IF(Table44[[#This Row],[Applicable Package?]:[Applicable Package?]]="Y",SUM('Rolled Up Non-Incremental Costs'!K9,'ICE Removal Cost'!K9,'Trans Removal Cost'!K9,'LEV3 Criteria Emissions Cost'!K9,'ZEV Assembly Reductions'!K9,'ACCII Criteria Compliance Cost'!K9,'ACCII GHG Compliance'!K9,'Current GHG Compliance'!K9)+IF(Table44[[#This Row],[Cold]:[Cold]]="Y",'Cold Weather Package'!K9,0)+IF(Table44[[#This Row],[eAWD]:[eAWD]]="Y",'eAWD Package'!K9,0)+IF(Table44[[#This Row],[Towing]:[Towing]]="Y",'Towing Bat Cost'!K9,0),"N/A")</f>
        <v>N/A</v>
      </c>
      <c r="P38" s="157" t="str">
        <f>IF(Table44[[#This Row],[Applicable Package?]:[Applicable Package?]]="Y",SUM('Rolled Up Non-Incremental Costs'!L9,'ICE Removal Cost'!L9,'Trans Removal Cost'!L9,'LEV3 Criteria Emissions Cost'!L9,'ZEV Assembly Reductions'!L9,'ACCII Criteria Compliance Cost'!L9,'ACCII GHG Compliance'!L9,'Current GHG Compliance'!L9)+IF(Table44[[#This Row],[Cold]:[Cold]]="Y",'Cold Weather Package'!L9,0)+IF(Table44[[#This Row],[eAWD]:[eAWD]]="Y",'eAWD Package'!L9,0)+IF(Table44[[#This Row],[Towing]:[Towing]]="Y",'Towing Bat Cost'!L9,0),"N/A")</f>
        <v>N/A</v>
      </c>
      <c r="Q38" s="157" t="str">
        <f>IF(Table44[[#This Row],[Applicable Package?]:[Applicable Package?]]="Y",SUM('Rolled Up Non-Incremental Costs'!M9,'ICE Removal Cost'!M9,'Trans Removal Cost'!M9,'LEV3 Criteria Emissions Cost'!M9,'ZEV Assembly Reductions'!M9,'ACCII Criteria Compliance Cost'!M9,'ACCII GHG Compliance'!M9,'Current GHG Compliance'!M9)+IF(Table44[[#This Row],[Cold]:[Cold]]="Y",'Cold Weather Package'!M9,0)+IF(Table44[[#This Row],[eAWD]:[eAWD]]="Y",'eAWD Package'!M9,0)+IF(Table44[[#This Row],[Towing]:[Towing]]="Y",'Towing Bat Cost'!M9,0),"N/A")</f>
        <v>N/A</v>
      </c>
      <c r="R38" s="157" t="str">
        <f>IF(Table44[[#This Row],[Applicable Package?]:[Applicable Package?]]="Y",SUM('Rolled Up Non-Incremental Costs'!N9,'ICE Removal Cost'!N9,'Trans Removal Cost'!N9,'LEV3 Criteria Emissions Cost'!N9,'ZEV Assembly Reductions'!N9,'ACCII Criteria Compliance Cost'!N9,'ACCII GHG Compliance'!N9,'Current GHG Compliance'!N9)+IF(Table44[[#This Row],[Cold]:[Cold]]="Y",'Cold Weather Package'!N9,0)+IF(Table44[[#This Row],[eAWD]:[eAWD]]="Y",'eAWD Package'!N9,0)+IF(Table44[[#This Row],[Towing]:[Towing]]="Y",'Towing Bat Cost'!N9,0),"N/A")</f>
        <v>N/A</v>
      </c>
      <c r="S38" s="157" t="str">
        <f>IF(Table44[[#This Row],[Applicable Package?]:[Applicable Package?]]="Y",SUM('Rolled Up Non-Incremental Costs'!O9,'ICE Removal Cost'!O9,'Trans Removal Cost'!O9,'LEV3 Criteria Emissions Cost'!O9,'ZEV Assembly Reductions'!O9,'ACCII Criteria Compliance Cost'!O9,'ACCII GHG Compliance'!O9,'Current GHG Compliance'!O9)+IF(Table44[[#This Row],[Cold]:[Cold]]="Y",'Cold Weather Package'!O9,0)+IF(Table44[[#This Row],[eAWD]:[eAWD]]="Y",'eAWD Package'!O9,0)+IF(Table44[[#This Row],[Towing]:[Towing]]="Y",'Towing Bat Cost'!O9,0),"N/A")</f>
        <v>N/A</v>
      </c>
    </row>
    <row r="39" spans="1:21" x14ac:dyDescent="0.3">
      <c r="A39" t="str">
        <f t="shared" si="1"/>
        <v>SmallSUVPremiumBEV400</v>
      </c>
      <c r="B39" s="90" t="s">
        <v>83</v>
      </c>
      <c r="C39" s="68" t="s">
        <v>80</v>
      </c>
      <c r="D39" s="68" t="str">
        <f>'Vehicle Attributes - Base Year'!D7</f>
        <v>BEV400</v>
      </c>
      <c r="E39" s="124" t="s">
        <v>76</v>
      </c>
      <c r="F39" s="124" t="s">
        <v>77</v>
      </c>
      <c r="G39" s="125" t="s">
        <v>77</v>
      </c>
      <c r="H39" s="156" t="s">
        <v>77</v>
      </c>
      <c r="I39" s="157" t="str">
        <f>IF(Table44[[#This Row],[Applicable Package?]:[Applicable Package?]]="Y",SUM('Rolled Up Non-Incremental Costs'!E10,'ICE Removal Cost'!E10,'Trans Removal Cost'!E10,'LEV3 Criteria Emissions Cost'!E10,'ZEV Assembly Reductions'!E10,'ACCII Criteria Compliance Cost'!E10,'ACCII GHG Compliance'!E10,'Current GHG Compliance'!E10)+IF(Table44[[#This Row],[Cold]:[Cold]]="Y",'Cold Weather Package'!E10,0)+IF(Table44[[#This Row],[eAWD]:[eAWD]]="Y",'eAWD Package'!E10,0)+IF(Table44[[#This Row],[Towing]:[Towing]]="Y",'Towing Bat Cost'!E10,0),"N/A")</f>
        <v>N/A</v>
      </c>
      <c r="J39" s="157" t="str">
        <f>IF(Table44[[#This Row],[Applicable Package?]:[Applicable Package?]]="Y",SUM('Rolled Up Non-Incremental Costs'!F10,'ICE Removal Cost'!F10,'Trans Removal Cost'!F10,'LEV3 Criteria Emissions Cost'!F10,'ZEV Assembly Reductions'!F10,'ACCII Criteria Compliance Cost'!F10,'ACCII GHG Compliance'!F10,'Current GHG Compliance'!F10)+IF(Table44[[#This Row],[Cold]:[Cold]]="Y",'Cold Weather Package'!F10,0)+IF(Table44[[#This Row],[eAWD]:[eAWD]]="Y",'eAWD Package'!F10,0)+IF(Table44[[#This Row],[Towing]:[Towing]]="Y",'Towing Bat Cost'!F10,0),"N/A")</f>
        <v>N/A</v>
      </c>
      <c r="K39" s="157" t="str">
        <f>IF(Table44[[#This Row],[Applicable Package?]:[Applicable Package?]]="Y",SUM('Rolled Up Non-Incremental Costs'!G10,'ICE Removal Cost'!G10,'Trans Removal Cost'!G10,'LEV3 Criteria Emissions Cost'!G10,'ZEV Assembly Reductions'!G10,'ACCII Criteria Compliance Cost'!G10,'ACCII GHG Compliance'!G10,'Current GHG Compliance'!G10)+IF(Table44[[#This Row],[Cold]:[Cold]]="Y",'Cold Weather Package'!G10,0)+IF(Table44[[#This Row],[eAWD]:[eAWD]]="Y",'eAWD Package'!G10,0)+IF(Table44[[#This Row],[Towing]:[Towing]]="Y",'Towing Bat Cost'!G10,0),"N/A")</f>
        <v>N/A</v>
      </c>
      <c r="L39" s="157" t="str">
        <f>IF(Table44[[#This Row],[Applicable Package?]:[Applicable Package?]]="Y",SUM('Rolled Up Non-Incremental Costs'!H10,'ICE Removal Cost'!H10,'Trans Removal Cost'!H10,'LEV3 Criteria Emissions Cost'!H10,'ZEV Assembly Reductions'!H10,'ACCII Criteria Compliance Cost'!H10,'ACCII GHG Compliance'!H10,'Current GHG Compliance'!H10)+IF(Table44[[#This Row],[Cold]:[Cold]]="Y",'Cold Weather Package'!H10,0)+IF(Table44[[#This Row],[eAWD]:[eAWD]]="Y",'eAWD Package'!H10,0)+IF(Table44[[#This Row],[Towing]:[Towing]]="Y",'Towing Bat Cost'!H10,0),"N/A")</f>
        <v>N/A</v>
      </c>
      <c r="M39" s="157" t="str">
        <f>IF(Table44[[#This Row],[Applicable Package?]:[Applicable Package?]]="Y",SUM('Rolled Up Non-Incremental Costs'!I10,'ICE Removal Cost'!I10,'Trans Removal Cost'!I10,'LEV3 Criteria Emissions Cost'!I10,'ZEV Assembly Reductions'!I10,'ACCII Criteria Compliance Cost'!I10,'ACCII GHG Compliance'!I10,'Current GHG Compliance'!I10)+IF(Table44[[#This Row],[Cold]:[Cold]]="Y",'Cold Weather Package'!I10,0)+IF(Table44[[#This Row],[eAWD]:[eAWD]]="Y",'eAWD Package'!I10,0)+IF(Table44[[#This Row],[Towing]:[Towing]]="Y",'Towing Bat Cost'!I10,0),"N/A")</f>
        <v>N/A</v>
      </c>
      <c r="N39" s="157" t="str">
        <f>IF(Table44[[#This Row],[Applicable Package?]:[Applicable Package?]]="Y",SUM('Rolled Up Non-Incremental Costs'!J10,'ICE Removal Cost'!J10,'Trans Removal Cost'!J10,'LEV3 Criteria Emissions Cost'!J10,'ZEV Assembly Reductions'!J10,'ACCII Criteria Compliance Cost'!J10,'ACCII GHG Compliance'!J10,'Current GHG Compliance'!J10)+IF(Table44[[#This Row],[Cold]:[Cold]]="Y",'Cold Weather Package'!J10,0)+IF(Table44[[#This Row],[eAWD]:[eAWD]]="Y",'eAWD Package'!J10,0)+IF(Table44[[#This Row],[Towing]:[Towing]]="Y",'Towing Bat Cost'!J10,0),"N/A")</f>
        <v>N/A</v>
      </c>
      <c r="O39" s="157" t="str">
        <f>IF(Table44[[#This Row],[Applicable Package?]:[Applicable Package?]]="Y",SUM('Rolled Up Non-Incremental Costs'!K10,'ICE Removal Cost'!K10,'Trans Removal Cost'!K10,'LEV3 Criteria Emissions Cost'!K10,'ZEV Assembly Reductions'!K10,'ACCII Criteria Compliance Cost'!K10,'ACCII GHG Compliance'!K10,'Current GHG Compliance'!K10)+IF(Table44[[#This Row],[Cold]:[Cold]]="Y",'Cold Weather Package'!K10,0)+IF(Table44[[#This Row],[eAWD]:[eAWD]]="Y",'eAWD Package'!K10,0)+IF(Table44[[#This Row],[Towing]:[Towing]]="Y",'Towing Bat Cost'!K10,0),"N/A")</f>
        <v>N/A</v>
      </c>
      <c r="P39" s="157" t="str">
        <f>IF(Table44[[#This Row],[Applicable Package?]:[Applicable Package?]]="Y",SUM('Rolled Up Non-Incremental Costs'!L10,'ICE Removal Cost'!L10,'Trans Removal Cost'!L10,'LEV3 Criteria Emissions Cost'!L10,'ZEV Assembly Reductions'!L10,'ACCII Criteria Compliance Cost'!L10,'ACCII GHG Compliance'!L10,'Current GHG Compliance'!L10)+IF(Table44[[#This Row],[Cold]:[Cold]]="Y",'Cold Weather Package'!L10,0)+IF(Table44[[#This Row],[eAWD]:[eAWD]]="Y",'eAWD Package'!L10,0)+IF(Table44[[#This Row],[Towing]:[Towing]]="Y",'Towing Bat Cost'!L10,0),"N/A")</f>
        <v>N/A</v>
      </c>
      <c r="Q39" s="157" t="str">
        <f>IF(Table44[[#This Row],[Applicable Package?]:[Applicable Package?]]="Y",SUM('Rolled Up Non-Incremental Costs'!M10,'ICE Removal Cost'!M10,'Trans Removal Cost'!M10,'LEV3 Criteria Emissions Cost'!M10,'ZEV Assembly Reductions'!M10,'ACCII Criteria Compliance Cost'!M10,'ACCII GHG Compliance'!M10,'Current GHG Compliance'!M10)+IF(Table44[[#This Row],[Cold]:[Cold]]="Y",'Cold Weather Package'!M10,0)+IF(Table44[[#This Row],[eAWD]:[eAWD]]="Y",'eAWD Package'!M10,0)+IF(Table44[[#This Row],[Towing]:[Towing]]="Y",'Towing Bat Cost'!M10,0),"N/A")</f>
        <v>N/A</v>
      </c>
      <c r="R39" s="157" t="str">
        <f>IF(Table44[[#This Row],[Applicable Package?]:[Applicable Package?]]="Y",SUM('Rolled Up Non-Incremental Costs'!N10,'ICE Removal Cost'!N10,'Trans Removal Cost'!N10,'LEV3 Criteria Emissions Cost'!N10,'ZEV Assembly Reductions'!N10,'ACCII Criteria Compliance Cost'!N10,'ACCII GHG Compliance'!N10,'Current GHG Compliance'!N10)+IF(Table44[[#This Row],[Cold]:[Cold]]="Y",'Cold Weather Package'!N10,0)+IF(Table44[[#This Row],[eAWD]:[eAWD]]="Y",'eAWD Package'!N10,0)+IF(Table44[[#This Row],[Towing]:[Towing]]="Y",'Towing Bat Cost'!N10,0),"N/A")</f>
        <v>N/A</v>
      </c>
      <c r="S39" s="157" t="str">
        <f>IF(Table44[[#This Row],[Applicable Package?]:[Applicable Package?]]="Y",SUM('Rolled Up Non-Incremental Costs'!O10,'ICE Removal Cost'!O10,'Trans Removal Cost'!O10,'LEV3 Criteria Emissions Cost'!O10,'ZEV Assembly Reductions'!O10,'ACCII Criteria Compliance Cost'!O10,'ACCII GHG Compliance'!O10,'Current GHG Compliance'!O10)+IF(Table44[[#This Row],[Cold]:[Cold]]="Y",'Cold Weather Package'!O10,0)+IF(Table44[[#This Row],[eAWD]:[eAWD]]="Y",'eAWD Package'!O10,0)+IF(Table44[[#This Row],[Towing]:[Towing]]="Y",'Towing Bat Cost'!O10,0),"N/A")</f>
        <v>N/A</v>
      </c>
    </row>
    <row r="40" spans="1:21" x14ac:dyDescent="0.3">
      <c r="A40" s="28" t="str">
        <f t="shared" si="1"/>
        <v>MedSUVBaseBEV300</v>
      </c>
      <c r="B40" s="90" t="s">
        <v>86</v>
      </c>
      <c r="C40" s="68" t="s">
        <v>75</v>
      </c>
      <c r="D40" s="68" t="str">
        <f>'Vehicle Attributes - Base Year'!D8</f>
        <v>BEV300</v>
      </c>
      <c r="E40" s="124" t="s">
        <v>76</v>
      </c>
      <c r="F40" s="124" t="s">
        <v>77</v>
      </c>
      <c r="G40" s="125" t="s">
        <v>77</v>
      </c>
      <c r="H40" s="156" t="s">
        <v>77</v>
      </c>
      <c r="I40" s="157" t="str">
        <f>IF(Table44[[#This Row],[Applicable Package?]:[Applicable Package?]]="Y",SUM('Rolled Up Non-Incremental Costs'!E11,'ICE Removal Cost'!E11,'Trans Removal Cost'!E11,'LEV3 Criteria Emissions Cost'!E11,'ZEV Assembly Reductions'!E11,'ACCII Criteria Compliance Cost'!E11,'ACCII GHG Compliance'!E11,'Current GHG Compliance'!E11)+IF(Table44[[#This Row],[Cold]:[Cold]]="Y",'Cold Weather Package'!E11,0)+IF(Table44[[#This Row],[eAWD]:[eAWD]]="Y",'eAWD Package'!E11,0)+IF(Table44[[#This Row],[Towing]:[Towing]]="Y",'Towing Bat Cost'!E11,0),"N/A")</f>
        <v>N/A</v>
      </c>
      <c r="J40" s="157" t="str">
        <f>IF(Table44[[#This Row],[Applicable Package?]:[Applicable Package?]]="Y",SUM('Rolled Up Non-Incremental Costs'!F11,'ICE Removal Cost'!F11,'Trans Removal Cost'!F11,'LEV3 Criteria Emissions Cost'!F11,'ZEV Assembly Reductions'!F11,'ACCII Criteria Compliance Cost'!F11,'ACCII GHG Compliance'!F11,'Current GHG Compliance'!F11)+IF(Table44[[#This Row],[Cold]:[Cold]]="Y",'Cold Weather Package'!F11,0)+IF(Table44[[#This Row],[eAWD]:[eAWD]]="Y",'eAWD Package'!F11,0)+IF(Table44[[#This Row],[Towing]:[Towing]]="Y",'Towing Bat Cost'!F11,0),"N/A")</f>
        <v>N/A</v>
      </c>
      <c r="K40" s="157" t="str">
        <f>IF(Table44[[#This Row],[Applicable Package?]:[Applicable Package?]]="Y",SUM('Rolled Up Non-Incremental Costs'!G11,'ICE Removal Cost'!G11,'Trans Removal Cost'!G11,'LEV3 Criteria Emissions Cost'!G11,'ZEV Assembly Reductions'!G11,'ACCII Criteria Compliance Cost'!G11,'ACCII GHG Compliance'!G11,'Current GHG Compliance'!G11)+IF(Table44[[#This Row],[Cold]:[Cold]]="Y",'Cold Weather Package'!G11,0)+IF(Table44[[#This Row],[eAWD]:[eAWD]]="Y",'eAWD Package'!G11,0)+IF(Table44[[#This Row],[Towing]:[Towing]]="Y",'Towing Bat Cost'!G11,0),"N/A")</f>
        <v>N/A</v>
      </c>
      <c r="L40" s="157" t="str">
        <f>IF(Table44[[#This Row],[Applicable Package?]:[Applicable Package?]]="Y",SUM('Rolled Up Non-Incremental Costs'!H11,'ICE Removal Cost'!H11,'Trans Removal Cost'!H11,'LEV3 Criteria Emissions Cost'!H11,'ZEV Assembly Reductions'!H11,'ACCII Criteria Compliance Cost'!H11,'ACCII GHG Compliance'!H11,'Current GHG Compliance'!H11)+IF(Table44[[#This Row],[Cold]:[Cold]]="Y",'Cold Weather Package'!H11,0)+IF(Table44[[#This Row],[eAWD]:[eAWD]]="Y",'eAWD Package'!H11,0)+IF(Table44[[#This Row],[Towing]:[Towing]]="Y",'Towing Bat Cost'!H11,0),"N/A")</f>
        <v>N/A</v>
      </c>
      <c r="M40" s="157" t="str">
        <f>IF(Table44[[#This Row],[Applicable Package?]:[Applicable Package?]]="Y",SUM('Rolled Up Non-Incremental Costs'!I11,'ICE Removal Cost'!I11,'Trans Removal Cost'!I11,'LEV3 Criteria Emissions Cost'!I11,'ZEV Assembly Reductions'!I11,'ACCII Criteria Compliance Cost'!I11,'ACCII GHG Compliance'!I11,'Current GHG Compliance'!I11)+IF(Table44[[#This Row],[Cold]:[Cold]]="Y",'Cold Weather Package'!I11,0)+IF(Table44[[#This Row],[eAWD]:[eAWD]]="Y",'eAWD Package'!I11,0)+IF(Table44[[#This Row],[Towing]:[Towing]]="Y",'Towing Bat Cost'!I11,0),"N/A")</f>
        <v>N/A</v>
      </c>
      <c r="N40" s="157" t="str">
        <f>IF(Table44[[#This Row],[Applicable Package?]:[Applicable Package?]]="Y",SUM('Rolled Up Non-Incremental Costs'!J11,'ICE Removal Cost'!J11,'Trans Removal Cost'!J11,'LEV3 Criteria Emissions Cost'!J11,'ZEV Assembly Reductions'!J11,'ACCII Criteria Compliance Cost'!J11,'ACCII GHG Compliance'!J11,'Current GHG Compliance'!J11)+IF(Table44[[#This Row],[Cold]:[Cold]]="Y",'Cold Weather Package'!J11,0)+IF(Table44[[#This Row],[eAWD]:[eAWD]]="Y",'eAWD Package'!J11,0)+IF(Table44[[#This Row],[Towing]:[Towing]]="Y",'Towing Bat Cost'!J11,0),"N/A")</f>
        <v>N/A</v>
      </c>
      <c r="O40" s="157" t="str">
        <f>IF(Table44[[#This Row],[Applicable Package?]:[Applicable Package?]]="Y",SUM('Rolled Up Non-Incremental Costs'!K11,'ICE Removal Cost'!K11,'Trans Removal Cost'!K11,'LEV3 Criteria Emissions Cost'!K11,'ZEV Assembly Reductions'!K11,'ACCII Criteria Compliance Cost'!K11,'ACCII GHG Compliance'!K11,'Current GHG Compliance'!K11)+IF(Table44[[#This Row],[Cold]:[Cold]]="Y",'Cold Weather Package'!K11,0)+IF(Table44[[#This Row],[eAWD]:[eAWD]]="Y",'eAWD Package'!K11,0)+IF(Table44[[#This Row],[Towing]:[Towing]]="Y",'Towing Bat Cost'!K11,0),"N/A")</f>
        <v>N/A</v>
      </c>
      <c r="P40" s="157" t="str">
        <f>IF(Table44[[#This Row],[Applicable Package?]:[Applicable Package?]]="Y",SUM('Rolled Up Non-Incremental Costs'!L11,'ICE Removal Cost'!L11,'Trans Removal Cost'!L11,'LEV3 Criteria Emissions Cost'!L11,'ZEV Assembly Reductions'!L11,'ACCII Criteria Compliance Cost'!L11,'ACCII GHG Compliance'!L11,'Current GHG Compliance'!L11)+IF(Table44[[#This Row],[Cold]:[Cold]]="Y",'Cold Weather Package'!L11,0)+IF(Table44[[#This Row],[eAWD]:[eAWD]]="Y",'eAWD Package'!L11,0)+IF(Table44[[#This Row],[Towing]:[Towing]]="Y",'Towing Bat Cost'!L11,0),"N/A")</f>
        <v>N/A</v>
      </c>
      <c r="Q40" s="157" t="str">
        <f>IF(Table44[[#This Row],[Applicable Package?]:[Applicable Package?]]="Y",SUM('Rolled Up Non-Incremental Costs'!M11,'ICE Removal Cost'!M11,'Trans Removal Cost'!M11,'LEV3 Criteria Emissions Cost'!M11,'ZEV Assembly Reductions'!M11,'ACCII Criteria Compliance Cost'!M11,'ACCII GHG Compliance'!M11,'Current GHG Compliance'!M11)+IF(Table44[[#This Row],[Cold]:[Cold]]="Y",'Cold Weather Package'!M11,0)+IF(Table44[[#This Row],[eAWD]:[eAWD]]="Y",'eAWD Package'!M11,0)+IF(Table44[[#This Row],[Towing]:[Towing]]="Y",'Towing Bat Cost'!M11,0),"N/A")</f>
        <v>N/A</v>
      </c>
      <c r="R40" s="157" t="str">
        <f>IF(Table44[[#This Row],[Applicable Package?]:[Applicable Package?]]="Y",SUM('Rolled Up Non-Incremental Costs'!N11,'ICE Removal Cost'!N11,'Trans Removal Cost'!N11,'LEV3 Criteria Emissions Cost'!N11,'ZEV Assembly Reductions'!N11,'ACCII Criteria Compliance Cost'!N11,'ACCII GHG Compliance'!N11,'Current GHG Compliance'!N11)+IF(Table44[[#This Row],[Cold]:[Cold]]="Y",'Cold Weather Package'!N11,0)+IF(Table44[[#This Row],[eAWD]:[eAWD]]="Y",'eAWD Package'!N11,0)+IF(Table44[[#This Row],[Towing]:[Towing]]="Y",'Towing Bat Cost'!N11,0),"N/A")</f>
        <v>N/A</v>
      </c>
      <c r="S40" s="157" t="str">
        <f>IF(Table44[[#This Row],[Applicable Package?]:[Applicable Package?]]="Y",SUM('Rolled Up Non-Incremental Costs'!O11,'ICE Removal Cost'!O11,'Trans Removal Cost'!O11,'LEV3 Criteria Emissions Cost'!O11,'ZEV Assembly Reductions'!O11,'ACCII Criteria Compliance Cost'!O11,'ACCII GHG Compliance'!O11,'Current GHG Compliance'!O11)+IF(Table44[[#This Row],[Cold]:[Cold]]="Y",'Cold Weather Package'!O11,0)+IF(Table44[[#This Row],[eAWD]:[eAWD]]="Y",'eAWD Package'!O11,0)+IF(Table44[[#This Row],[Towing]:[Towing]]="Y",'Towing Bat Cost'!O11,0),"N/A")</f>
        <v>N/A</v>
      </c>
    </row>
    <row r="41" spans="1:21" x14ac:dyDescent="0.3">
      <c r="A41" t="str">
        <f t="shared" si="1"/>
        <v>MedSUVPremiumBEV400</v>
      </c>
      <c r="B41" s="90" t="s">
        <v>86</v>
      </c>
      <c r="C41" s="68" t="s">
        <v>80</v>
      </c>
      <c r="D41" s="68" t="str">
        <f>'Vehicle Attributes - Base Year'!D9</f>
        <v>BEV400</v>
      </c>
      <c r="E41" s="124" t="s">
        <v>76</v>
      </c>
      <c r="F41" s="124" t="s">
        <v>77</v>
      </c>
      <c r="G41" s="125" t="s">
        <v>77</v>
      </c>
      <c r="H41" s="156" t="s">
        <v>77</v>
      </c>
      <c r="I41" s="157" t="str">
        <f>IF(Table44[[#This Row],[Applicable Package?]:[Applicable Package?]]="Y",SUM('Rolled Up Non-Incremental Costs'!E12,'ICE Removal Cost'!E12,'Trans Removal Cost'!E12,'LEV3 Criteria Emissions Cost'!E12,'ZEV Assembly Reductions'!E12,'ACCII Criteria Compliance Cost'!E12,'ACCII GHG Compliance'!E12,'Current GHG Compliance'!E12)+IF(Table44[[#This Row],[Cold]:[Cold]]="Y",'Cold Weather Package'!E12,0)+IF(Table44[[#This Row],[eAWD]:[eAWD]]="Y",'eAWD Package'!E12,0)+IF(Table44[[#This Row],[Towing]:[Towing]]="Y",'Towing Bat Cost'!E12,0),"N/A")</f>
        <v>N/A</v>
      </c>
      <c r="J41" s="157" t="str">
        <f>IF(Table44[[#This Row],[Applicable Package?]:[Applicable Package?]]="Y",SUM('Rolled Up Non-Incremental Costs'!F12,'ICE Removal Cost'!F12,'Trans Removal Cost'!F12,'LEV3 Criteria Emissions Cost'!F12,'ZEV Assembly Reductions'!F12,'ACCII Criteria Compliance Cost'!F12,'ACCII GHG Compliance'!F12,'Current GHG Compliance'!F12)+IF(Table44[[#This Row],[Cold]:[Cold]]="Y",'Cold Weather Package'!F12,0)+IF(Table44[[#This Row],[eAWD]:[eAWD]]="Y",'eAWD Package'!F12,0)+IF(Table44[[#This Row],[Towing]:[Towing]]="Y",'Towing Bat Cost'!F12,0),"N/A")</f>
        <v>N/A</v>
      </c>
      <c r="K41" s="157" t="str">
        <f>IF(Table44[[#This Row],[Applicable Package?]:[Applicable Package?]]="Y",SUM('Rolled Up Non-Incremental Costs'!G12,'ICE Removal Cost'!G12,'Trans Removal Cost'!G12,'LEV3 Criteria Emissions Cost'!G12,'ZEV Assembly Reductions'!G12,'ACCII Criteria Compliance Cost'!G12,'ACCII GHG Compliance'!G12,'Current GHG Compliance'!G12)+IF(Table44[[#This Row],[Cold]:[Cold]]="Y",'Cold Weather Package'!G12,0)+IF(Table44[[#This Row],[eAWD]:[eAWD]]="Y",'eAWD Package'!G12,0)+IF(Table44[[#This Row],[Towing]:[Towing]]="Y",'Towing Bat Cost'!G12,0),"N/A")</f>
        <v>N/A</v>
      </c>
      <c r="L41" s="157" t="str">
        <f>IF(Table44[[#This Row],[Applicable Package?]:[Applicable Package?]]="Y",SUM('Rolled Up Non-Incremental Costs'!H12,'ICE Removal Cost'!H12,'Trans Removal Cost'!H12,'LEV3 Criteria Emissions Cost'!H12,'ZEV Assembly Reductions'!H12,'ACCII Criteria Compliance Cost'!H12,'ACCII GHG Compliance'!H12,'Current GHG Compliance'!H12)+IF(Table44[[#This Row],[Cold]:[Cold]]="Y",'Cold Weather Package'!H12,0)+IF(Table44[[#This Row],[eAWD]:[eAWD]]="Y",'eAWD Package'!H12,0)+IF(Table44[[#This Row],[Towing]:[Towing]]="Y",'Towing Bat Cost'!H12,0),"N/A")</f>
        <v>N/A</v>
      </c>
      <c r="M41" s="157" t="str">
        <f>IF(Table44[[#This Row],[Applicable Package?]:[Applicable Package?]]="Y",SUM('Rolled Up Non-Incremental Costs'!I12,'ICE Removal Cost'!I12,'Trans Removal Cost'!I12,'LEV3 Criteria Emissions Cost'!I12,'ZEV Assembly Reductions'!I12,'ACCII Criteria Compliance Cost'!I12,'ACCII GHG Compliance'!I12,'Current GHG Compliance'!I12)+IF(Table44[[#This Row],[Cold]:[Cold]]="Y",'Cold Weather Package'!I12,0)+IF(Table44[[#This Row],[eAWD]:[eAWD]]="Y",'eAWD Package'!I12,0)+IF(Table44[[#This Row],[Towing]:[Towing]]="Y",'Towing Bat Cost'!I12,0),"N/A")</f>
        <v>N/A</v>
      </c>
      <c r="N41" s="157" t="str">
        <f>IF(Table44[[#This Row],[Applicable Package?]:[Applicable Package?]]="Y",SUM('Rolled Up Non-Incremental Costs'!J12,'ICE Removal Cost'!J12,'Trans Removal Cost'!J12,'LEV3 Criteria Emissions Cost'!J12,'ZEV Assembly Reductions'!J12,'ACCII Criteria Compliance Cost'!J12,'ACCII GHG Compliance'!J12,'Current GHG Compliance'!J12)+IF(Table44[[#This Row],[Cold]:[Cold]]="Y",'Cold Weather Package'!J12,0)+IF(Table44[[#This Row],[eAWD]:[eAWD]]="Y",'eAWD Package'!J12,0)+IF(Table44[[#This Row],[Towing]:[Towing]]="Y",'Towing Bat Cost'!J12,0),"N/A")</f>
        <v>N/A</v>
      </c>
      <c r="O41" s="157" t="str">
        <f>IF(Table44[[#This Row],[Applicable Package?]:[Applicable Package?]]="Y",SUM('Rolled Up Non-Incremental Costs'!K12,'ICE Removal Cost'!K12,'Trans Removal Cost'!K12,'LEV3 Criteria Emissions Cost'!K12,'ZEV Assembly Reductions'!K12,'ACCII Criteria Compliance Cost'!K12,'ACCII GHG Compliance'!K12,'Current GHG Compliance'!K12)+IF(Table44[[#This Row],[Cold]:[Cold]]="Y",'Cold Weather Package'!K12,0)+IF(Table44[[#This Row],[eAWD]:[eAWD]]="Y",'eAWD Package'!K12,0)+IF(Table44[[#This Row],[Towing]:[Towing]]="Y",'Towing Bat Cost'!K12,0),"N/A")</f>
        <v>N/A</v>
      </c>
      <c r="P41" s="157" t="str">
        <f>IF(Table44[[#This Row],[Applicable Package?]:[Applicable Package?]]="Y",SUM('Rolled Up Non-Incremental Costs'!L12,'ICE Removal Cost'!L12,'Trans Removal Cost'!L12,'LEV3 Criteria Emissions Cost'!L12,'ZEV Assembly Reductions'!L12,'ACCII Criteria Compliance Cost'!L12,'ACCII GHG Compliance'!L12,'Current GHG Compliance'!L12)+IF(Table44[[#This Row],[Cold]:[Cold]]="Y",'Cold Weather Package'!L12,0)+IF(Table44[[#This Row],[eAWD]:[eAWD]]="Y",'eAWD Package'!L12,0)+IF(Table44[[#This Row],[Towing]:[Towing]]="Y",'Towing Bat Cost'!L12,0),"N/A")</f>
        <v>N/A</v>
      </c>
      <c r="Q41" s="157" t="str">
        <f>IF(Table44[[#This Row],[Applicable Package?]:[Applicable Package?]]="Y",SUM('Rolled Up Non-Incremental Costs'!M12,'ICE Removal Cost'!M12,'Trans Removal Cost'!M12,'LEV3 Criteria Emissions Cost'!M12,'ZEV Assembly Reductions'!M12,'ACCII Criteria Compliance Cost'!M12,'ACCII GHG Compliance'!M12,'Current GHG Compliance'!M12)+IF(Table44[[#This Row],[Cold]:[Cold]]="Y",'Cold Weather Package'!M12,0)+IF(Table44[[#This Row],[eAWD]:[eAWD]]="Y",'eAWD Package'!M12,0)+IF(Table44[[#This Row],[Towing]:[Towing]]="Y",'Towing Bat Cost'!M12,0),"N/A")</f>
        <v>N/A</v>
      </c>
      <c r="R41" s="157" t="str">
        <f>IF(Table44[[#This Row],[Applicable Package?]:[Applicable Package?]]="Y",SUM('Rolled Up Non-Incremental Costs'!N12,'ICE Removal Cost'!N12,'Trans Removal Cost'!N12,'LEV3 Criteria Emissions Cost'!N12,'ZEV Assembly Reductions'!N12,'ACCII Criteria Compliance Cost'!N12,'ACCII GHG Compliance'!N12,'Current GHG Compliance'!N12)+IF(Table44[[#This Row],[Cold]:[Cold]]="Y",'Cold Weather Package'!N12,0)+IF(Table44[[#This Row],[eAWD]:[eAWD]]="Y",'eAWD Package'!N12,0)+IF(Table44[[#This Row],[Towing]:[Towing]]="Y",'Towing Bat Cost'!N12,0),"N/A")</f>
        <v>N/A</v>
      </c>
      <c r="S41" s="157" t="str">
        <f>IF(Table44[[#This Row],[Applicable Package?]:[Applicable Package?]]="Y",SUM('Rolled Up Non-Incremental Costs'!O12,'ICE Removal Cost'!O12,'Trans Removal Cost'!O12,'LEV3 Criteria Emissions Cost'!O12,'ZEV Assembly Reductions'!O12,'ACCII Criteria Compliance Cost'!O12,'ACCII GHG Compliance'!O12,'Current GHG Compliance'!O12)+IF(Table44[[#This Row],[Cold]:[Cold]]="Y",'Cold Weather Package'!O12,0)+IF(Table44[[#This Row],[eAWD]:[eAWD]]="Y",'eAWD Package'!O12,0)+IF(Table44[[#This Row],[Towing]:[Towing]]="Y",'Towing Bat Cost'!O12,0),"N/A")</f>
        <v>N/A</v>
      </c>
    </row>
    <row r="42" spans="1:21" x14ac:dyDescent="0.3">
      <c r="A42" s="28" t="str">
        <f t="shared" si="1"/>
        <v>PickupBaseBEV300</v>
      </c>
      <c r="B42" s="90" t="s">
        <v>89</v>
      </c>
      <c r="C42" s="68" t="s">
        <v>75</v>
      </c>
      <c r="D42" s="68" t="str">
        <f>'Vehicle Attributes - Base Year'!D10</f>
        <v>BEV300</v>
      </c>
      <c r="E42" s="124" t="s">
        <v>76</v>
      </c>
      <c r="F42" s="124" t="s">
        <v>77</v>
      </c>
      <c r="G42" s="125" t="s">
        <v>77</v>
      </c>
      <c r="H42" s="156" t="s">
        <v>77</v>
      </c>
      <c r="I42" s="157" t="str">
        <f>IF(Table44[[#This Row],[Applicable Package?]:[Applicable Package?]]="Y",SUM('Rolled Up Non-Incremental Costs'!E13,'ICE Removal Cost'!E13,'Trans Removal Cost'!E13,'LEV3 Criteria Emissions Cost'!E13,'ZEV Assembly Reductions'!E13,'ACCII Criteria Compliance Cost'!E13,'ACCII GHG Compliance'!E13,'Current GHG Compliance'!E13)+IF(Table44[[#This Row],[Cold]:[Cold]]="Y",'Cold Weather Package'!E13,0)+IF(Table44[[#This Row],[eAWD]:[eAWD]]="Y",'eAWD Package'!E13,0)+IF(Table44[[#This Row],[Towing]:[Towing]]="Y",'Towing Bat Cost'!E13,0),"N/A")</f>
        <v>N/A</v>
      </c>
      <c r="J42" s="157" t="str">
        <f>IF(Table44[[#This Row],[Applicable Package?]:[Applicable Package?]]="Y",SUM('Rolled Up Non-Incremental Costs'!F13,'ICE Removal Cost'!F13,'Trans Removal Cost'!F13,'LEV3 Criteria Emissions Cost'!F13,'ZEV Assembly Reductions'!F13,'ACCII Criteria Compliance Cost'!F13,'ACCII GHG Compliance'!F13,'Current GHG Compliance'!F13)+IF(Table44[[#This Row],[Cold]:[Cold]]="Y",'Cold Weather Package'!F13,0)+IF(Table44[[#This Row],[eAWD]:[eAWD]]="Y",'eAWD Package'!F13,0)+IF(Table44[[#This Row],[Towing]:[Towing]]="Y",'Towing Bat Cost'!F13,0),"N/A")</f>
        <v>N/A</v>
      </c>
      <c r="K42" s="157" t="str">
        <f>IF(Table44[[#This Row],[Applicable Package?]:[Applicable Package?]]="Y",SUM('Rolled Up Non-Incremental Costs'!G13,'ICE Removal Cost'!G13,'Trans Removal Cost'!G13,'LEV3 Criteria Emissions Cost'!G13,'ZEV Assembly Reductions'!G13,'ACCII Criteria Compliance Cost'!G13,'ACCII GHG Compliance'!G13,'Current GHG Compliance'!G13)+IF(Table44[[#This Row],[Cold]:[Cold]]="Y",'Cold Weather Package'!G13,0)+IF(Table44[[#This Row],[eAWD]:[eAWD]]="Y",'eAWD Package'!G13,0)+IF(Table44[[#This Row],[Towing]:[Towing]]="Y",'Towing Bat Cost'!G13,0),"N/A")</f>
        <v>N/A</v>
      </c>
      <c r="L42" s="157" t="str">
        <f>IF(Table44[[#This Row],[Applicable Package?]:[Applicable Package?]]="Y",SUM('Rolled Up Non-Incremental Costs'!H13,'ICE Removal Cost'!H13,'Trans Removal Cost'!H13,'LEV3 Criteria Emissions Cost'!H13,'ZEV Assembly Reductions'!H13,'ACCII Criteria Compliance Cost'!H13,'ACCII GHG Compliance'!H13,'Current GHG Compliance'!H13)+IF(Table44[[#This Row],[Cold]:[Cold]]="Y",'Cold Weather Package'!H13,0)+IF(Table44[[#This Row],[eAWD]:[eAWD]]="Y",'eAWD Package'!H13,0)+IF(Table44[[#This Row],[Towing]:[Towing]]="Y",'Towing Bat Cost'!H13,0),"N/A")</f>
        <v>N/A</v>
      </c>
      <c r="M42" s="157" t="str">
        <f>IF(Table44[[#This Row],[Applicable Package?]:[Applicable Package?]]="Y",SUM('Rolled Up Non-Incremental Costs'!I13,'ICE Removal Cost'!I13,'Trans Removal Cost'!I13,'LEV3 Criteria Emissions Cost'!I13,'ZEV Assembly Reductions'!I13,'ACCII Criteria Compliance Cost'!I13,'ACCII GHG Compliance'!I13,'Current GHG Compliance'!I13)+IF(Table44[[#This Row],[Cold]:[Cold]]="Y",'Cold Weather Package'!I13,0)+IF(Table44[[#This Row],[eAWD]:[eAWD]]="Y",'eAWD Package'!I13,0)+IF(Table44[[#This Row],[Towing]:[Towing]]="Y",'Towing Bat Cost'!I13,0),"N/A")</f>
        <v>N/A</v>
      </c>
      <c r="N42" s="157" t="str">
        <f>IF(Table44[[#This Row],[Applicable Package?]:[Applicable Package?]]="Y",SUM('Rolled Up Non-Incremental Costs'!J13,'ICE Removal Cost'!J13,'Trans Removal Cost'!J13,'LEV3 Criteria Emissions Cost'!J13,'ZEV Assembly Reductions'!J13,'ACCII Criteria Compliance Cost'!J13,'ACCII GHG Compliance'!J13,'Current GHG Compliance'!J13)+IF(Table44[[#This Row],[Cold]:[Cold]]="Y",'Cold Weather Package'!J13,0)+IF(Table44[[#This Row],[eAWD]:[eAWD]]="Y",'eAWD Package'!J13,0)+IF(Table44[[#This Row],[Towing]:[Towing]]="Y",'Towing Bat Cost'!J13,0),"N/A")</f>
        <v>N/A</v>
      </c>
      <c r="O42" s="157" t="str">
        <f>IF(Table44[[#This Row],[Applicable Package?]:[Applicable Package?]]="Y",SUM('Rolled Up Non-Incremental Costs'!K13,'ICE Removal Cost'!K13,'Trans Removal Cost'!K13,'LEV3 Criteria Emissions Cost'!K13,'ZEV Assembly Reductions'!K13,'ACCII Criteria Compliance Cost'!K13,'ACCII GHG Compliance'!K13,'Current GHG Compliance'!K13)+IF(Table44[[#This Row],[Cold]:[Cold]]="Y",'Cold Weather Package'!K13,0)+IF(Table44[[#This Row],[eAWD]:[eAWD]]="Y",'eAWD Package'!K13,0)+IF(Table44[[#This Row],[Towing]:[Towing]]="Y",'Towing Bat Cost'!K13,0),"N/A")</f>
        <v>N/A</v>
      </c>
      <c r="P42" s="157" t="str">
        <f>IF(Table44[[#This Row],[Applicable Package?]:[Applicable Package?]]="Y",SUM('Rolled Up Non-Incremental Costs'!L13,'ICE Removal Cost'!L13,'Trans Removal Cost'!L13,'LEV3 Criteria Emissions Cost'!L13,'ZEV Assembly Reductions'!L13,'ACCII Criteria Compliance Cost'!L13,'ACCII GHG Compliance'!L13,'Current GHG Compliance'!L13)+IF(Table44[[#This Row],[Cold]:[Cold]]="Y",'Cold Weather Package'!L13,0)+IF(Table44[[#This Row],[eAWD]:[eAWD]]="Y",'eAWD Package'!L13,0)+IF(Table44[[#This Row],[Towing]:[Towing]]="Y",'Towing Bat Cost'!L13,0),"N/A")</f>
        <v>N/A</v>
      </c>
      <c r="Q42" s="157" t="str">
        <f>IF(Table44[[#This Row],[Applicable Package?]:[Applicable Package?]]="Y",SUM('Rolled Up Non-Incremental Costs'!M13,'ICE Removal Cost'!M13,'Trans Removal Cost'!M13,'LEV3 Criteria Emissions Cost'!M13,'ZEV Assembly Reductions'!M13,'ACCII Criteria Compliance Cost'!M13,'ACCII GHG Compliance'!M13,'Current GHG Compliance'!M13)+IF(Table44[[#This Row],[Cold]:[Cold]]="Y",'Cold Weather Package'!M13,0)+IF(Table44[[#This Row],[eAWD]:[eAWD]]="Y",'eAWD Package'!M13,0)+IF(Table44[[#This Row],[Towing]:[Towing]]="Y",'Towing Bat Cost'!M13,0),"N/A")</f>
        <v>N/A</v>
      </c>
      <c r="R42" s="157" t="str">
        <f>IF(Table44[[#This Row],[Applicable Package?]:[Applicable Package?]]="Y",SUM('Rolled Up Non-Incremental Costs'!N13,'ICE Removal Cost'!N13,'Trans Removal Cost'!N13,'LEV3 Criteria Emissions Cost'!N13,'ZEV Assembly Reductions'!N13,'ACCII Criteria Compliance Cost'!N13,'ACCII GHG Compliance'!N13,'Current GHG Compliance'!N13)+IF(Table44[[#This Row],[Cold]:[Cold]]="Y",'Cold Weather Package'!N13,0)+IF(Table44[[#This Row],[eAWD]:[eAWD]]="Y",'eAWD Package'!N13,0)+IF(Table44[[#This Row],[Towing]:[Towing]]="Y",'Towing Bat Cost'!N13,0),"N/A")</f>
        <v>N/A</v>
      </c>
      <c r="S42" s="157" t="str">
        <f>IF(Table44[[#This Row],[Applicable Package?]:[Applicable Package?]]="Y",SUM('Rolled Up Non-Incremental Costs'!O13,'ICE Removal Cost'!O13,'Trans Removal Cost'!O13,'LEV3 Criteria Emissions Cost'!O13,'ZEV Assembly Reductions'!O13,'ACCII Criteria Compliance Cost'!O13,'ACCII GHG Compliance'!O13,'Current GHG Compliance'!O13)+IF(Table44[[#This Row],[Cold]:[Cold]]="Y",'Cold Weather Package'!O13,0)+IF(Table44[[#This Row],[eAWD]:[eAWD]]="Y",'eAWD Package'!O13,0)+IF(Table44[[#This Row],[Towing]:[Towing]]="Y",'Towing Bat Cost'!O13,0),"N/A")</f>
        <v>N/A</v>
      </c>
    </row>
    <row r="43" spans="1:21" x14ac:dyDescent="0.3">
      <c r="A43" t="str">
        <f t="shared" si="1"/>
        <v>PickupHTBEV400</v>
      </c>
      <c r="B43" s="90" t="s">
        <v>89</v>
      </c>
      <c r="C43" s="68" t="s">
        <v>113</v>
      </c>
      <c r="D43" s="68" t="str">
        <f>'Vehicle Attributes - Base Year'!D11</f>
        <v>BEV400</v>
      </c>
      <c r="E43" s="124" t="s">
        <v>76</v>
      </c>
      <c r="F43" s="124" t="s">
        <v>77</v>
      </c>
      <c r="G43" s="125" t="s">
        <v>77</v>
      </c>
      <c r="H43" s="156" t="s">
        <v>77</v>
      </c>
      <c r="I43" s="157" t="str">
        <f>IF(Table44[[#This Row],[Applicable Package?]:[Applicable Package?]]="Y",SUM('Rolled Up Non-Incremental Costs'!E14,'ICE Removal Cost'!E14,'Trans Removal Cost'!E14,'LEV3 Criteria Emissions Cost'!E14,'ZEV Assembly Reductions'!E14,'ACCII Criteria Compliance Cost'!E14,'ACCII GHG Compliance'!E14,'Current GHG Compliance'!E14)+IF(Table44[[#This Row],[Cold]:[Cold]]="Y",'Cold Weather Package'!E14,0)+IF(Table44[[#This Row],[eAWD]:[eAWD]]="Y",'eAWD Package'!E14,0)+IF(Table44[[#This Row],[Towing]:[Towing]]="Y",'Towing Bat Cost'!E14,0),"N/A")</f>
        <v>N/A</v>
      </c>
      <c r="J43" s="157" t="str">
        <f>IF(Table44[[#This Row],[Applicable Package?]:[Applicable Package?]]="Y",SUM('Rolled Up Non-Incremental Costs'!F14,'ICE Removal Cost'!F14,'Trans Removal Cost'!F14,'LEV3 Criteria Emissions Cost'!F14,'ZEV Assembly Reductions'!F14,'ACCII Criteria Compliance Cost'!F14,'ACCII GHG Compliance'!F14,'Current GHG Compliance'!F14)+IF(Table44[[#This Row],[Cold]:[Cold]]="Y",'Cold Weather Package'!F14,0)+IF(Table44[[#This Row],[eAWD]:[eAWD]]="Y",'eAWD Package'!F14,0)+IF(Table44[[#This Row],[Towing]:[Towing]]="Y",'Towing Bat Cost'!F14,0),"N/A")</f>
        <v>N/A</v>
      </c>
      <c r="K43" s="157" t="str">
        <f>IF(Table44[[#This Row],[Applicable Package?]:[Applicable Package?]]="Y",SUM('Rolled Up Non-Incremental Costs'!G14,'ICE Removal Cost'!G14,'Trans Removal Cost'!G14,'LEV3 Criteria Emissions Cost'!G14,'ZEV Assembly Reductions'!G14,'ACCII Criteria Compliance Cost'!G14,'ACCII GHG Compliance'!G14,'Current GHG Compliance'!G14)+IF(Table44[[#This Row],[Cold]:[Cold]]="Y",'Cold Weather Package'!G14,0)+IF(Table44[[#This Row],[eAWD]:[eAWD]]="Y",'eAWD Package'!G14,0)+IF(Table44[[#This Row],[Towing]:[Towing]]="Y",'Towing Bat Cost'!G14,0),"N/A")</f>
        <v>N/A</v>
      </c>
      <c r="L43" s="157" t="str">
        <f>IF(Table44[[#This Row],[Applicable Package?]:[Applicable Package?]]="Y",SUM('Rolled Up Non-Incremental Costs'!H14,'ICE Removal Cost'!H14,'Trans Removal Cost'!H14,'LEV3 Criteria Emissions Cost'!H14,'ZEV Assembly Reductions'!H14,'ACCII Criteria Compliance Cost'!H14,'ACCII GHG Compliance'!H14,'Current GHG Compliance'!H14)+IF(Table44[[#This Row],[Cold]:[Cold]]="Y",'Cold Weather Package'!H14,0)+IF(Table44[[#This Row],[eAWD]:[eAWD]]="Y",'eAWD Package'!H14,0)+IF(Table44[[#This Row],[Towing]:[Towing]]="Y",'Towing Bat Cost'!H14,0),"N/A")</f>
        <v>N/A</v>
      </c>
      <c r="M43" s="157" t="str">
        <f>IF(Table44[[#This Row],[Applicable Package?]:[Applicable Package?]]="Y",SUM('Rolled Up Non-Incremental Costs'!I14,'ICE Removal Cost'!I14,'Trans Removal Cost'!I14,'LEV3 Criteria Emissions Cost'!I14,'ZEV Assembly Reductions'!I14,'ACCII Criteria Compliance Cost'!I14,'ACCII GHG Compliance'!I14,'Current GHG Compliance'!I14)+IF(Table44[[#This Row],[Cold]:[Cold]]="Y",'Cold Weather Package'!I14,0)+IF(Table44[[#This Row],[eAWD]:[eAWD]]="Y",'eAWD Package'!I14,0)+IF(Table44[[#This Row],[Towing]:[Towing]]="Y",'Towing Bat Cost'!I14,0),"N/A")</f>
        <v>N/A</v>
      </c>
      <c r="N43" s="157" t="str">
        <f>IF(Table44[[#This Row],[Applicable Package?]:[Applicable Package?]]="Y",SUM('Rolled Up Non-Incremental Costs'!J14,'ICE Removal Cost'!J14,'Trans Removal Cost'!J14,'LEV3 Criteria Emissions Cost'!J14,'ZEV Assembly Reductions'!J14,'ACCII Criteria Compliance Cost'!J14,'ACCII GHG Compliance'!J14,'Current GHG Compliance'!J14)+IF(Table44[[#This Row],[Cold]:[Cold]]="Y",'Cold Weather Package'!J14,0)+IF(Table44[[#This Row],[eAWD]:[eAWD]]="Y",'eAWD Package'!J14,0)+IF(Table44[[#This Row],[Towing]:[Towing]]="Y",'Towing Bat Cost'!J14,0),"N/A")</f>
        <v>N/A</v>
      </c>
      <c r="O43" s="157" t="str">
        <f>IF(Table44[[#This Row],[Applicable Package?]:[Applicable Package?]]="Y",SUM('Rolled Up Non-Incremental Costs'!K14,'ICE Removal Cost'!K14,'Trans Removal Cost'!K14,'LEV3 Criteria Emissions Cost'!K14,'ZEV Assembly Reductions'!K14,'ACCII Criteria Compliance Cost'!K14,'ACCII GHG Compliance'!K14,'Current GHG Compliance'!K14)+IF(Table44[[#This Row],[Cold]:[Cold]]="Y",'Cold Weather Package'!K14,0)+IF(Table44[[#This Row],[eAWD]:[eAWD]]="Y",'eAWD Package'!K14,0)+IF(Table44[[#This Row],[Towing]:[Towing]]="Y",'Towing Bat Cost'!K14,0),"N/A")</f>
        <v>N/A</v>
      </c>
      <c r="P43" s="157" t="str">
        <f>IF(Table44[[#This Row],[Applicable Package?]:[Applicable Package?]]="Y",SUM('Rolled Up Non-Incremental Costs'!L14,'ICE Removal Cost'!L14,'Trans Removal Cost'!L14,'LEV3 Criteria Emissions Cost'!L14,'ZEV Assembly Reductions'!L14,'ACCII Criteria Compliance Cost'!L14,'ACCII GHG Compliance'!L14,'Current GHG Compliance'!L14)+IF(Table44[[#This Row],[Cold]:[Cold]]="Y",'Cold Weather Package'!L14,0)+IF(Table44[[#This Row],[eAWD]:[eAWD]]="Y",'eAWD Package'!L14,0)+IF(Table44[[#This Row],[Towing]:[Towing]]="Y",'Towing Bat Cost'!L14,0),"N/A")</f>
        <v>N/A</v>
      </c>
      <c r="Q43" s="157" t="str">
        <f>IF(Table44[[#This Row],[Applicable Package?]:[Applicable Package?]]="Y",SUM('Rolled Up Non-Incremental Costs'!M14,'ICE Removal Cost'!M14,'Trans Removal Cost'!M14,'LEV3 Criteria Emissions Cost'!M14,'ZEV Assembly Reductions'!M14,'ACCII Criteria Compliance Cost'!M14,'ACCII GHG Compliance'!M14,'Current GHG Compliance'!M14)+IF(Table44[[#This Row],[Cold]:[Cold]]="Y",'Cold Weather Package'!M14,0)+IF(Table44[[#This Row],[eAWD]:[eAWD]]="Y",'eAWD Package'!M14,0)+IF(Table44[[#This Row],[Towing]:[Towing]]="Y",'Towing Bat Cost'!M14,0),"N/A")</f>
        <v>N/A</v>
      </c>
      <c r="R43" s="157" t="str">
        <f>IF(Table44[[#This Row],[Applicable Package?]:[Applicable Package?]]="Y",SUM('Rolled Up Non-Incremental Costs'!N14,'ICE Removal Cost'!N14,'Trans Removal Cost'!N14,'LEV3 Criteria Emissions Cost'!N14,'ZEV Assembly Reductions'!N14,'ACCII Criteria Compliance Cost'!N14,'ACCII GHG Compliance'!N14,'Current GHG Compliance'!N14)+IF(Table44[[#This Row],[Cold]:[Cold]]="Y",'Cold Weather Package'!N14,0)+IF(Table44[[#This Row],[eAWD]:[eAWD]]="Y",'eAWD Package'!N14,0)+IF(Table44[[#This Row],[Towing]:[Towing]]="Y",'Towing Bat Cost'!N14,0),"N/A")</f>
        <v>N/A</v>
      </c>
      <c r="S43" s="157" t="str">
        <f>IF(Table44[[#This Row],[Applicable Package?]:[Applicable Package?]]="Y",SUM('Rolled Up Non-Incremental Costs'!O14,'ICE Removal Cost'!O14,'Trans Removal Cost'!O14,'LEV3 Criteria Emissions Cost'!O14,'ZEV Assembly Reductions'!O14,'ACCII Criteria Compliance Cost'!O14,'ACCII GHG Compliance'!O14,'Current GHG Compliance'!O14)+IF(Table44[[#This Row],[Cold]:[Cold]]="Y",'Cold Weather Package'!O14,0)+IF(Table44[[#This Row],[eAWD]:[eAWD]]="Y",'eAWD Package'!O14,0)+IF(Table44[[#This Row],[Towing]:[Towing]]="Y",'Towing Bat Cost'!O14,0),"N/A")</f>
        <v>N/A</v>
      </c>
    </row>
    <row r="44" spans="1:21" x14ac:dyDescent="0.3">
      <c r="A44" s="28" t="str">
        <f t="shared" si="1"/>
        <v>SmallCarBasePHEV50</v>
      </c>
      <c r="B44" s="90" t="s">
        <v>73</v>
      </c>
      <c r="C44" s="68" t="s">
        <v>75</v>
      </c>
      <c r="D44" s="68" t="str">
        <f>'Vehicle Attributes - Base Year'!D12</f>
        <v>PHEV50</v>
      </c>
      <c r="E44" s="124" t="s">
        <v>76</v>
      </c>
      <c r="F44" s="124" t="s">
        <v>77</v>
      </c>
      <c r="G44" s="125" t="s">
        <v>77</v>
      </c>
      <c r="H44" s="156" t="s">
        <v>76</v>
      </c>
      <c r="I44" s="157">
        <f>IF(Table44[[#This Row],[Applicable Package?]:[Applicable Package?]]="Y",SUM('Rolled Up Non-Incremental Costs'!E15,'ICE Removal Cost'!E15,'Trans Removal Cost'!E15,'LEV3 Criteria Emissions Cost'!E15,'ZEV Assembly Reductions'!E15,'ACCII Criteria Compliance Cost'!E15,'ACCII GHG Compliance'!E15,'Current GHG Compliance'!E15)+IF(Table44[[#This Row],[Cold]:[Cold]]="Y",'Cold Weather Package'!E15,0)+IF(Table44[[#This Row],[eAWD]:[eAWD]]="Y",'eAWD Package'!E15,0)+IF(Table44[[#This Row],[Towing]:[Towing]]="Y",'Towing Bat Cost'!E15,0),"N/A")</f>
        <v>3845.7448529411768</v>
      </c>
      <c r="J44" s="157">
        <f>IF(Table44[[#This Row],[Applicable Package?]:[Applicable Package?]]="Y",SUM('Rolled Up Non-Incremental Costs'!F15,'ICE Removal Cost'!F15,'Trans Removal Cost'!F15,'LEV3 Criteria Emissions Cost'!F15,'ZEV Assembly Reductions'!F15,'ACCII Criteria Compliance Cost'!F15,'ACCII GHG Compliance'!F15,'Current GHG Compliance'!F15)+IF(Table44[[#This Row],[Cold]:[Cold]]="Y",'Cold Weather Package'!F15,0)+IF(Table44[[#This Row],[eAWD]:[eAWD]]="Y",'eAWD Package'!F15,0)+IF(Table44[[#This Row],[Towing]:[Towing]]="Y",'Towing Bat Cost'!F15,0),"N/A")</f>
        <v>3638.8322852941174</v>
      </c>
      <c r="K44" s="157">
        <f>IF(Table44[[#This Row],[Applicable Package?]:[Applicable Package?]]="Y",SUM('Rolled Up Non-Incremental Costs'!G15,'ICE Removal Cost'!G15,'Trans Removal Cost'!G15,'LEV3 Criteria Emissions Cost'!G15,'ZEV Assembly Reductions'!G15,'ACCII Criteria Compliance Cost'!G15,'ACCII GHG Compliance'!G15,'Current GHG Compliance'!G15)+IF(Table44[[#This Row],[Cold]:[Cold]]="Y",'Cold Weather Package'!G15,0)+IF(Table44[[#This Row],[eAWD]:[eAWD]]="Y",'eAWD Package'!G15,0)+IF(Table44[[#This Row],[Towing]:[Towing]]="Y",'Towing Bat Cost'!G15,0),"N/A")</f>
        <v>3445.8436454656621</v>
      </c>
      <c r="L44" s="157">
        <f>IF(Table44[[#This Row],[Applicable Package?]:[Applicable Package?]]="Y",SUM('Rolled Up Non-Incremental Costs'!H15,'ICE Removal Cost'!H15,'Trans Removal Cost'!H15,'LEV3 Criteria Emissions Cost'!H15,'ZEV Assembly Reductions'!H15,'ACCII Criteria Compliance Cost'!H15,'ACCII GHG Compliance'!H15,'Current GHG Compliance'!H15)+IF(Table44[[#This Row],[Cold]:[Cold]]="Y",'Cold Weather Package'!H15,0)+IF(Table44[[#This Row],[eAWD]:[eAWD]]="Y",'eAWD Package'!H15,0)+IF(Table44[[#This Row],[Towing]:[Towing]]="Y",'Towing Bat Cost'!H15,0),"N/A")</f>
        <v>3265.754733197713</v>
      </c>
      <c r="M44" s="157">
        <f>IF(Table44[[#This Row],[Applicable Package?]:[Applicable Package?]]="Y",SUM('Rolled Up Non-Incremental Costs'!I15,'ICE Removal Cost'!I15,'Trans Removal Cost'!I15,'LEV3 Criteria Emissions Cost'!I15,'ZEV Assembly Reductions'!I15,'ACCII Criteria Compliance Cost'!I15,'ACCII GHG Compliance'!I15,'Current GHG Compliance'!I15)+IF(Table44[[#This Row],[Cold]:[Cold]]="Y",'Cold Weather Package'!I15,0)+IF(Table44[[#This Row],[eAWD]:[eAWD]]="Y",'eAWD Package'!I15,0)+IF(Table44[[#This Row],[Towing]:[Towing]]="Y",'Towing Bat Cost'!I15,0),"N/A")</f>
        <v>3097.6176525719056</v>
      </c>
      <c r="N44" s="157">
        <f>IF(Table44[[#This Row],[Applicable Package?]:[Applicable Package?]]="Y",SUM('Rolled Up Non-Incremental Costs'!J15,'ICE Removal Cost'!J15,'Trans Removal Cost'!J15,'LEV3 Criteria Emissions Cost'!J15,'ZEV Assembly Reductions'!J15,'ACCII Criteria Compliance Cost'!J15,'ACCII GHG Compliance'!J15,'Current GHG Compliance'!J15)+IF(Table44[[#This Row],[Cold]:[Cold]]="Y",'Cold Weather Package'!J15,0)+IF(Table44[[#This Row],[eAWD]:[eAWD]]="Y",'eAWD Package'!J15,0)+IF(Table44[[#This Row],[Towing]:[Towing]]="Y",'Towing Bat Cost'!J15,0),"N/A")</f>
        <v>2968.4126523332334</v>
      </c>
      <c r="O44" s="157">
        <f>IF(Table44[[#This Row],[Applicable Package?]:[Applicable Package?]]="Y",SUM('Rolled Up Non-Incremental Costs'!K15,'ICE Removal Cost'!K15,'Trans Removal Cost'!K15,'LEV3 Criteria Emissions Cost'!K15,'ZEV Assembly Reductions'!K15,'ACCII Criteria Compliance Cost'!K15,'ACCII GHG Compliance'!K15,'Current GHG Compliance'!K15)+IF(Table44[[#This Row],[Cold]:[Cold]]="Y",'Cold Weather Package'!K15,0)+IF(Table44[[#This Row],[eAWD]:[eAWD]]="Y",'eAWD Package'!K15,0)+IF(Table44[[#This Row],[Towing]:[Towing]]="Y",'Towing Bat Cost'!K15,0),"N/A")</f>
        <v>2853.2524548012457</v>
      </c>
      <c r="P44" s="157">
        <f>IF(Table44[[#This Row],[Applicable Package?]:[Applicable Package?]]="Y",SUM('Rolled Up Non-Incremental Costs'!L15,'ICE Removal Cost'!L15,'Trans Removal Cost'!L15,'LEV3 Criteria Emissions Cost'!L15,'ZEV Assembly Reductions'!L15,'ACCII Criteria Compliance Cost'!L15,'ACCII GHG Compliance'!L15,'Current GHG Compliance'!L15)+IF(Table44[[#This Row],[Cold]:[Cold]]="Y",'Cold Weather Package'!L15,0)+IF(Table44[[#This Row],[eAWD]:[eAWD]]="Y",'eAWD Package'!L15,0)+IF(Table44[[#This Row],[Towing]:[Towing]]="Y",'Towing Bat Cost'!L15,0),"N/A")</f>
        <v>2743.3953366323012</v>
      </c>
      <c r="Q44" s="157">
        <f>IF(Table44[[#This Row],[Applicable Package?]:[Applicable Package?]]="Y",SUM('Rolled Up Non-Incremental Costs'!M15,'ICE Removal Cost'!M15,'Trans Removal Cost'!M15,'LEV3 Criteria Emissions Cost'!M15,'ZEV Assembly Reductions'!M15,'ACCII Criteria Compliance Cost'!M15,'ACCII GHG Compliance'!M15,'Current GHG Compliance'!M15)+IF(Table44[[#This Row],[Cold]:[Cold]]="Y",'Cold Weather Package'!M15,0)+IF(Table44[[#This Row],[eAWD]:[eAWD]]="Y",'eAWD Package'!M15,0)+IF(Table44[[#This Row],[Towing]:[Towing]]="Y",'Towing Bat Cost'!M15,0),"N/A")</f>
        <v>2638.5609736457927</v>
      </c>
      <c r="R44" s="157">
        <f>IF(Table44[[#This Row],[Applicable Package?]:[Applicable Package?]]="Y",SUM('Rolled Up Non-Incremental Costs'!N15,'ICE Removal Cost'!N15,'Trans Removal Cost'!N15,'LEV3 Criteria Emissions Cost'!N15,'ZEV Assembly Reductions'!N15,'ACCII Criteria Compliance Cost'!N15,'ACCII GHG Compliance'!N15,'Current GHG Compliance'!N15)+IF(Table44[[#This Row],[Cold]:[Cold]]="Y",'Cold Weather Package'!N15,0)+IF(Table44[[#This Row],[eAWD]:[eAWD]]="Y",'eAWD Package'!N15,0)+IF(Table44[[#This Row],[Towing]:[Towing]]="Y",'Towing Bat Cost'!N15,0),"N/A")</f>
        <v>2538.484289215854</v>
      </c>
      <c r="S44" s="157">
        <f>IF(Table44[[#This Row],[Applicable Package?]:[Applicable Package?]]="Y",SUM('Rolled Up Non-Incremental Costs'!O15,'ICE Removal Cost'!O15,'Trans Removal Cost'!O15,'LEV3 Criteria Emissions Cost'!O15,'ZEV Assembly Reductions'!O15,'ACCII Criteria Compliance Cost'!O15,'ACCII GHG Compliance'!O15,'Current GHG Compliance'!O15)+IF(Table44[[#This Row],[Cold]:[Cold]]="Y",'Cold Weather Package'!O15,0)+IF(Table44[[#This Row],[eAWD]:[eAWD]]="Y",'eAWD Package'!O15,0)+IF(Table44[[#This Row],[Towing]:[Towing]]="Y",'Towing Bat Cost'!O15,0),"N/A")</f>
        <v>2442.9146204696826</v>
      </c>
    </row>
    <row r="45" spans="1:21" x14ac:dyDescent="0.3">
      <c r="A45" t="str">
        <f t="shared" si="1"/>
        <v>SmallCarPremiumPHEV50</v>
      </c>
      <c r="B45" s="90" t="s">
        <v>73</v>
      </c>
      <c r="C45" s="68" t="s">
        <v>80</v>
      </c>
      <c r="D45" s="68" t="str">
        <f>'Vehicle Attributes - Base Year'!D13</f>
        <v>PHEV50</v>
      </c>
      <c r="E45" s="124" t="s">
        <v>76</v>
      </c>
      <c r="F45" s="124" t="s">
        <v>77</v>
      </c>
      <c r="G45" s="125" t="s">
        <v>77</v>
      </c>
      <c r="H45" s="156" t="s">
        <v>76</v>
      </c>
      <c r="I45" s="157">
        <f>IF(Table44[[#This Row],[Applicable Package?]:[Applicable Package?]]="Y",SUM('Rolled Up Non-Incremental Costs'!E16,'ICE Removal Cost'!E16,'Trans Removal Cost'!E16,'LEV3 Criteria Emissions Cost'!E16,'ZEV Assembly Reductions'!E16,'ACCII Criteria Compliance Cost'!E16,'ACCII GHG Compliance'!E16,'Current GHG Compliance'!E16)+IF(Table44[[#This Row],[Cold]:[Cold]]="Y",'Cold Weather Package'!E16,0)+IF(Table44[[#This Row],[eAWD]:[eAWD]]="Y",'eAWD Package'!E16,0)+IF(Table44[[#This Row],[Towing]:[Towing]]="Y",'Towing Bat Cost'!E16,0),"N/A")</f>
        <v>3845.7448529411768</v>
      </c>
      <c r="J45" s="157">
        <f>IF(Table44[[#This Row],[Applicable Package?]:[Applicable Package?]]="Y",SUM('Rolled Up Non-Incremental Costs'!F16,'ICE Removal Cost'!F16,'Trans Removal Cost'!F16,'LEV3 Criteria Emissions Cost'!F16,'ZEV Assembly Reductions'!F16,'ACCII Criteria Compliance Cost'!F16,'ACCII GHG Compliance'!F16,'Current GHG Compliance'!F16)+IF(Table44[[#This Row],[Cold]:[Cold]]="Y",'Cold Weather Package'!F16,0)+IF(Table44[[#This Row],[eAWD]:[eAWD]]="Y",'eAWD Package'!F16,0)+IF(Table44[[#This Row],[Towing]:[Towing]]="Y",'Towing Bat Cost'!F16,0),"N/A")</f>
        <v>3638.8322852941174</v>
      </c>
      <c r="K45" s="157">
        <f>IF(Table44[[#This Row],[Applicable Package?]:[Applicable Package?]]="Y",SUM('Rolled Up Non-Incremental Costs'!G16,'ICE Removal Cost'!G16,'Trans Removal Cost'!G16,'LEV3 Criteria Emissions Cost'!G16,'ZEV Assembly Reductions'!G16,'ACCII Criteria Compliance Cost'!G16,'ACCII GHG Compliance'!G16,'Current GHG Compliance'!G16)+IF(Table44[[#This Row],[Cold]:[Cold]]="Y",'Cold Weather Package'!G16,0)+IF(Table44[[#This Row],[eAWD]:[eAWD]]="Y",'eAWD Package'!G16,0)+IF(Table44[[#This Row],[Towing]:[Towing]]="Y",'Towing Bat Cost'!G16,0),"N/A")</f>
        <v>3445.8436454656621</v>
      </c>
      <c r="L45" s="157">
        <f>IF(Table44[[#This Row],[Applicable Package?]:[Applicable Package?]]="Y",SUM('Rolled Up Non-Incremental Costs'!H16,'ICE Removal Cost'!H16,'Trans Removal Cost'!H16,'LEV3 Criteria Emissions Cost'!H16,'ZEV Assembly Reductions'!H16,'ACCII Criteria Compliance Cost'!H16,'ACCII GHG Compliance'!H16,'Current GHG Compliance'!H16)+IF(Table44[[#This Row],[Cold]:[Cold]]="Y",'Cold Weather Package'!H16,0)+IF(Table44[[#This Row],[eAWD]:[eAWD]]="Y",'eAWD Package'!H16,0)+IF(Table44[[#This Row],[Towing]:[Towing]]="Y",'Towing Bat Cost'!H16,0),"N/A")</f>
        <v>3265.754733197713</v>
      </c>
      <c r="M45" s="157">
        <f>IF(Table44[[#This Row],[Applicable Package?]:[Applicable Package?]]="Y",SUM('Rolled Up Non-Incremental Costs'!I16,'ICE Removal Cost'!I16,'Trans Removal Cost'!I16,'LEV3 Criteria Emissions Cost'!I16,'ZEV Assembly Reductions'!I16,'ACCII Criteria Compliance Cost'!I16,'ACCII GHG Compliance'!I16,'Current GHG Compliance'!I16)+IF(Table44[[#This Row],[Cold]:[Cold]]="Y",'Cold Weather Package'!I16,0)+IF(Table44[[#This Row],[eAWD]:[eAWD]]="Y",'eAWD Package'!I16,0)+IF(Table44[[#This Row],[Towing]:[Towing]]="Y",'Towing Bat Cost'!I16,0),"N/A")</f>
        <v>3097.6176525719056</v>
      </c>
      <c r="N45" s="157">
        <f>IF(Table44[[#This Row],[Applicable Package?]:[Applicable Package?]]="Y",SUM('Rolled Up Non-Incremental Costs'!J16,'ICE Removal Cost'!J16,'Trans Removal Cost'!J16,'LEV3 Criteria Emissions Cost'!J16,'ZEV Assembly Reductions'!J16,'ACCII Criteria Compliance Cost'!J16,'ACCII GHG Compliance'!J16,'Current GHG Compliance'!J16)+IF(Table44[[#This Row],[Cold]:[Cold]]="Y",'Cold Weather Package'!J16,0)+IF(Table44[[#This Row],[eAWD]:[eAWD]]="Y",'eAWD Package'!J16,0)+IF(Table44[[#This Row],[Towing]:[Towing]]="Y",'Towing Bat Cost'!J16,0),"N/A")</f>
        <v>2968.4126523332334</v>
      </c>
      <c r="O45" s="157">
        <f>IF(Table44[[#This Row],[Applicable Package?]:[Applicable Package?]]="Y",SUM('Rolled Up Non-Incremental Costs'!K16,'ICE Removal Cost'!K16,'Trans Removal Cost'!K16,'LEV3 Criteria Emissions Cost'!K16,'ZEV Assembly Reductions'!K16,'ACCII Criteria Compliance Cost'!K16,'ACCII GHG Compliance'!K16,'Current GHG Compliance'!K16)+IF(Table44[[#This Row],[Cold]:[Cold]]="Y",'Cold Weather Package'!K16,0)+IF(Table44[[#This Row],[eAWD]:[eAWD]]="Y",'eAWD Package'!K16,0)+IF(Table44[[#This Row],[Towing]:[Towing]]="Y",'Towing Bat Cost'!K16,0),"N/A")</f>
        <v>2853.2524548012457</v>
      </c>
      <c r="P45" s="157">
        <f>IF(Table44[[#This Row],[Applicable Package?]:[Applicable Package?]]="Y",SUM('Rolled Up Non-Incremental Costs'!L16,'ICE Removal Cost'!L16,'Trans Removal Cost'!L16,'LEV3 Criteria Emissions Cost'!L16,'ZEV Assembly Reductions'!L16,'ACCII Criteria Compliance Cost'!L16,'ACCII GHG Compliance'!L16,'Current GHG Compliance'!L16)+IF(Table44[[#This Row],[Cold]:[Cold]]="Y",'Cold Weather Package'!L16,0)+IF(Table44[[#This Row],[eAWD]:[eAWD]]="Y",'eAWD Package'!L16,0)+IF(Table44[[#This Row],[Towing]:[Towing]]="Y",'Towing Bat Cost'!L16,0),"N/A")</f>
        <v>2743.3953366323012</v>
      </c>
      <c r="Q45" s="157">
        <f>IF(Table44[[#This Row],[Applicable Package?]:[Applicable Package?]]="Y",SUM('Rolled Up Non-Incremental Costs'!M16,'ICE Removal Cost'!M16,'Trans Removal Cost'!M16,'LEV3 Criteria Emissions Cost'!M16,'ZEV Assembly Reductions'!M16,'ACCII Criteria Compliance Cost'!M16,'ACCII GHG Compliance'!M16,'Current GHG Compliance'!M16)+IF(Table44[[#This Row],[Cold]:[Cold]]="Y",'Cold Weather Package'!M16,0)+IF(Table44[[#This Row],[eAWD]:[eAWD]]="Y",'eAWD Package'!M16,0)+IF(Table44[[#This Row],[Towing]:[Towing]]="Y",'Towing Bat Cost'!M16,0),"N/A")</f>
        <v>2638.5609736457927</v>
      </c>
      <c r="R45" s="157">
        <f>IF(Table44[[#This Row],[Applicable Package?]:[Applicable Package?]]="Y",SUM('Rolled Up Non-Incremental Costs'!N16,'ICE Removal Cost'!N16,'Trans Removal Cost'!N16,'LEV3 Criteria Emissions Cost'!N16,'ZEV Assembly Reductions'!N16,'ACCII Criteria Compliance Cost'!N16,'ACCII GHG Compliance'!N16,'Current GHG Compliance'!N16)+IF(Table44[[#This Row],[Cold]:[Cold]]="Y",'Cold Weather Package'!N16,0)+IF(Table44[[#This Row],[eAWD]:[eAWD]]="Y",'eAWD Package'!N16,0)+IF(Table44[[#This Row],[Towing]:[Towing]]="Y",'Towing Bat Cost'!N16,0),"N/A")</f>
        <v>2538.484289215854</v>
      </c>
      <c r="S45" s="157">
        <f>IF(Table44[[#This Row],[Applicable Package?]:[Applicable Package?]]="Y",SUM('Rolled Up Non-Incremental Costs'!O16,'ICE Removal Cost'!O16,'Trans Removal Cost'!O16,'LEV3 Criteria Emissions Cost'!O16,'ZEV Assembly Reductions'!O16,'ACCII Criteria Compliance Cost'!O16,'ACCII GHG Compliance'!O16,'Current GHG Compliance'!O16)+IF(Table44[[#This Row],[Cold]:[Cold]]="Y",'Cold Weather Package'!O16,0)+IF(Table44[[#This Row],[eAWD]:[eAWD]]="Y",'eAWD Package'!O16,0)+IF(Table44[[#This Row],[Towing]:[Towing]]="Y",'Towing Bat Cost'!O16,0),"N/A")</f>
        <v>2442.9146204696826</v>
      </c>
    </row>
    <row r="46" spans="1:21" x14ac:dyDescent="0.3">
      <c r="A46" s="28" t="str">
        <f t="shared" si="1"/>
        <v>MedCarBasePHEV50</v>
      </c>
      <c r="B46" s="90" t="s">
        <v>82</v>
      </c>
      <c r="C46" s="68" t="s">
        <v>75</v>
      </c>
      <c r="D46" s="68" t="str">
        <f>'Vehicle Attributes - Base Year'!D14</f>
        <v>PHEV50</v>
      </c>
      <c r="E46" s="124" t="s">
        <v>76</v>
      </c>
      <c r="F46" s="124" t="s">
        <v>77</v>
      </c>
      <c r="G46" s="125" t="s">
        <v>77</v>
      </c>
      <c r="H46" s="156" t="s">
        <v>76</v>
      </c>
      <c r="I46" s="157">
        <f>IF(Table44[[#This Row],[Applicable Package?]:[Applicable Package?]]="Y",SUM('Rolled Up Non-Incremental Costs'!E17,'ICE Removal Cost'!E17,'Trans Removal Cost'!E17,'LEV3 Criteria Emissions Cost'!E17,'ZEV Assembly Reductions'!E17,'ACCII Criteria Compliance Cost'!E17,'ACCII GHG Compliance'!E17,'Current GHG Compliance'!E17)+IF(Table44[[#This Row],[Cold]:[Cold]]="Y",'Cold Weather Package'!E17,0)+IF(Table44[[#This Row],[eAWD]:[eAWD]]="Y",'eAWD Package'!E17,0)+IF(Table44[[#This Row],[Towing]:[Towing]]="Y",'Towing Bat Cost'!E17,0),"N/A")</f>
        <v>4182.5249994570131</v>
      </c>
      <c r="J46" s="157">
        <f>IF(Table44[[#This Row],[Applicable Package?]:[Applicable Package?]]="Y",SUM('Rolled Up Non-Incremental Costs'!F17,'ICE Removal Cost'!F17,'Trans Removal Cost'!F17,'LEV3 Criteria Emissions Cost'!F17,'ZEV Assembly Reductions'!F17,'ACCII Criteria Compliance Cost'!F17,'ACCII GHG Compliance'!F17,'Current GHG Compliance'!F17)+IF(Table44[[#This Row],[Cold]:[Cold]]="Y",'Cold Weather Package'!F17,0)+IF(Table44[[#This Row],[eAWD]:[eAWD]]="Y",'eAWD Package'!F17,0)+IF(Table44[[#This Row],[Towing]:[Towing]]="Y",'Towing Bat Cost'!F17,0),"N/A")</f>
        <v>3960.7844671095027</v>
      </c>
      <c r="K46" s="157">
        <f>IF(Table44[[#This Row],[Applicable Package?]:[Applicable Package?]]="Y",SUM('Rolled Up Non-Incremental Costs'!G17,'ICE Removal Cost'!G17,'Trans Removal Cost'!G17,'LEV3 Criteria Emissions Cost'!G17,'ZEV Assembly Reductions'!G17,'ACCII Criteria Compliance Cost'!G17,'ACCII GHG Compliance'!G17,'Current GHG Compliance'!G17)+IF(Table44[[#This Row],[Cold]:[Cold]]="Y",'Cold Weather Package'!G17,0)+IF(Table44[[#This Row],[eAWD]:[eAWD]]="Y",'eAWD Package'!G17,0)+IF(Table44[[#This Row],[Towing]:[Towing]]="Y",'Towing Bat Cost'!G17,0),"N/A")</f>
        <v>3753.9716434131133</v>
      </c>
      <c r="L46" s="157">
        <f>IF(Table44[[#This Row],[Applicable Package?]:[Applicable Package?]]="Y",SUM('Rolled Up Non-Incremental Costs'!H17,'ICE Removal Cost'!H17,'Trans Removal Cost'!H17,'LEV3 Criteria Emissions Cost'!H17,'ZEV Assembly Reductions'!H17,'ACCII Criteria Compliance Cost'!H17,'ACCII GHG Compliance'!H17,'Current GHG Compliance'!H17)+IF(Table44[[#This Row],[Cold]:[Cold]]="Y",'Cold Weather Package'!H17,0)+IF(Table44[[#This Row],[eAWD]:[eAWD]]="Y",'eAWD Package'!H17,0)+IF(Table44[[#This Row],[Towing]:[Towing]]="Y",'Towing Bat Cost'!H17,0),"N/A")</f>
        <v>3560.988427137926</v>
      </c>
      <c r="M46" s="157">
        <f>IF(Table44[[#This Row],[Applicable Package?]:[Applicable Package?]]="Y",SUM('Rolled Up Non-Incremental Costs'!I17,'ICE Removal Cost'!I17,'Trans Removal Cost'!I17,'LEV3 Criteria Emissions Cost'!I17,'ZEV Assembly Reductions'!I17,'ACCII Criteria Compliance Cost'!I17,'ACCII GHG Compliance'!I17,'Current GHG Compliance'!I17)+IF(Table44[[#This Row],[Cold]:[Cold]]="Y",'Cold Weather Package'!I17,0)+IF(Table44[[#This Row],[eAWD]:[eAWD]]="Y",'eAWD Package'!I17,0)+IF(Table44[[#This Row],[Towing]:[Towing]]="Y",'Towing Bat Cost'!I17,0),"N/A")</f>
        <v>3380.818527788625</v>
      </c>
      <c r="N46" s="157">
        <f>IF(Table44[[#This Row],[Applicable Package?]:[Applicable Package?]]="Y",SUM('Rolled Up Non-Incremental Costs'!J17,'ICE Removal Cost'!J17,'Trans Removal Cost'!J17,'LEV3 Criteria Emissions Cost'!J17,'ZEV Assembly Reductions'!J17,'ACCII Criteria Compliance Cost'!J17,'ACCII GHG Compliance'!J17,'Current GHG Compliance'!J17)+IF(Table44[[#This Row],[Cold]:[Cold]]="Y",'Cold Weather Package'!J17,0)+IF(Table44[[#This Row],[eAWD]:[eAWD]]="Y",'eAWD Package'!J17,0)+IF(Table44[[#This Row],[Towing]:[Towing]]="Y",'Towing Bat Cost'!J17,0),"N/A")</f>
        <v>3242.3892325504603</v>
      </c>
      <c r="O46" s="157">
        <f>IF(Table44[[#This Row],[Applicable Package?]:[Applicable Package?]]="Y",SUM('Rolled Up Non-Incremental Costs'!K17,'ICE Removal Cost'!K17,'Trans Removal Cost'!K17,'LEV3 Criteria Emissions Cost'!K17,'ZEV Assembly Reductions'!K17,'ACCII Criteria Compliance Cost'!K17,'ACCII GHG Compliance'!K17,'Current GHG Compliance'!K17)+IF(Table44[[#This Row],[Cold]:[Cold]]="Y",'Cold Weather Package'!K17,0)+IF(Table44[[#This Row],[eAWD]:[eAWD]]="Y",'eAWD Package'!K17,0)+IF(Table44[[#This Row],[Towing]:[Towing]]="Y",'Towing Bat Cost'!K17,0),"N/A")</f>
        <v>3119.0172847105205</v>
      </c>
      <c r="P46" s="157">
        <f>IF(Table44[[#This Row],[Applicable Package?]:[Applicable Package?]]="Y",SUM('Rolled Up Non-Incremental Costs'!L17,'ICE Removal Cost'!L17,'Trans Removal Cost'!L17,'LEV3 Criteria Emissions Cost'!L17,'ZEV Assembly Reductions'!L17,'ACCII Criteria Compliance Cost'!L17,'ACCII GHG Compliance'!L17,'Current GHG Compliance'!L17)+IF(Table44[[#This Row],[Cold]:[Cold]]="Y",'Cold Weather Package'!L17,0)+IF(Table44[[#This Row],[eAWD]:[eAWD]]="Y",'eAWD Package'!L17,0)+IF(Table44[[#This Row],[Towing]:[Towing]]="Y",'Towing Bat Cost'!L17,0),"N/A")</f>
        <v>3001.3301248883954</v>
      </c>
      <c r="Q46" s="157">
        <f>IF(Table44[[#This Row],[Applicable Package?]:[Applicable Package?]]="Y",SUM('Rolled Up Non-Incremental Costs'!M17,'ICE Removal Cost'!M17,'Trans Removal Cost'!M17,'LEV3 Criteria Emissions Cost'!M17,'ZEV Assembly Reductions'!M17,'ACCII Criteria Compliance Cost'!M17,'ACCII GHG Compliance'!M17,'Current GHG Compliance'!M17)+IF(Table44[[#This Row],[Cold]:[Cold]]="Y",'Cold Weather Package'!M17,0)+IF(Table44[[#This Row],[eAWD]:[eAWD]]="Y",'eAWD Package'!M17,0)+IF(Table44[[#This Row],[Towing]:[Towing]]="Y",'Towing Bat Cost'!M17,0),"N/A")</f>
        <v>2889.0272092013747</v>
      </c>
      <c r="R46" s="157">
        <f>IF(Table44[[#This Row],[Applicable Package?]:[Applicable Package?]]="Y",SUM('Rolled Up Non-Incremental Costs'!N17,'ICE Removal Cost'!N17,'Trans Removal Cost'!N17,'LEV3 Criteria Emissions Cost'!N17,'ZEV Assembly Reductions'!N17,'ACCII Criteria Compliance Cost'!N17,'ACCII GHG Compliance'!N17,'Current GHG Compliance'!N17)+IF(Table44[[#This Row],[Cold]:[Cold]]="Y",'Cold Weather Package'!N17,0)+IF(Table44[[#This Row],[eAWD]:[eAWD]]="Y",'eAWD Package'!N17,0)+IF(Table44[[#This Row],[Towing]:[Towing]]="Y",'Towing Bat Cost'!N17,0),"N/A")</f>
        <v>2781.8243415617117</v>
      </c>
      <c r="S46" s="157">
        <f>IF(Table44[[#This Row],[Applicable Package?]:[Applicable Package?]]="Y",SUM('Rolled Up Non-Incremental Costs'!O17,'ICE Removal Cost'!O17,'Trans Removal Cost'!O17,'LEV3 Criteria Emissions Cost'!O17,'ZEV Assembly Reductions'!O17,'ACCII Criteria Compliance Cost'!O17,'ACCII GHG Compliance'!O17,'Current GHG Compliance'!O17)+IF(Table44[[#This Row],[Cold]:[Cold]]="Y",'Cold Weather Package'!O17,0)+IF(Table44[[#This Row],[eAWD]:[eAWD]]="Y",'eAWD Package'!O17,0)+IF(Table44[[#This Row],[Towing]:[Towing]]="Y",'Towing Bat Cost'!O17,0),"N/A")</f>
        <v>2679.4527797046785</v>
      </c>
    </row>
    <row r="47" spans="1:21" x14ac:dyDescent="0.3">
      <c r="A47" t="str">
        <f t="shared" si="1"/>
        <v>MedCarPremiumPHEV50</v>
      </c>
      <c r="B47" s="90" t="s">
        <v>82</v>
      </c>
      <c r="C47" s="68" t="s">
        <v>80</v>
      </c>
      <c r="D47" s="68" t="str">
        <f>'Vehicle Attributes - Base Year'!D15</f>
        <v>PHEV50</v>
      </c>
      <c r="E47" s="124" t="s">
        <v>76</v>
      </c>
      <c r="F47" s="124" t="s">
        <v>77</v>
      </c>
      <c r="G47" s="125" t="s">
        <v>77</v>
      </c>
      <c r="H47" s="156" t="s">
        <v>76</v>
      </c>
      <c r="I47" s="157">
        <f>IF(Table44[[#This Row],[Applicable Package?]:[Applicable Package?]]="Y",SUM('Rolled Up Non-Incremental Costs'!E18,'ICE Removal Cost'!E18,'Trans Removal Cost'!E18,'LEV3 Criteria Emissions Cost'!E18,'ZEV Assembly Reductions'!E18,'ACCII Criteria Compliance Cost'!E18,'ACCII GHG Compliance'!E18,'Current GHG Compliance'!E18)+IF(Table44[[#This Row],[Cold]:[Cold]]="Y",'Cold Weather Package'!E18,0)+IF(Table44[[#This Row],[eAWD]:[eAWD]]="Y",'eAWD Package'!E18,0)+IF(Table44[[#This Row],[Towing]:[Towing]]="Y",'Towing Bat Cost'!E18,0),"N/A")</f>
        <v>4182.5249994570131</v>
      </c>
      <c r="J47" s="157">
        <f>IF(Table44[[#This Row],[Applicable Package?]:[Applicable Package?]]="Y",SUM('Rolled Up Non-Incremental Costs'!F18,'ICE Removal Cost'!F18,'Trans Removal Cost'!F18,'LEV3 Criteria Emissions Cost'!F18,'ZEV Assembly Reductions'!F18,'ACCII Criteria Compliance Cost'!F18,'ACCII GHG Compliance'!F18,'Current GHG Compliance'!F18)+IF(Table44[[#This Row],[Cold]:[Cold]]="Y",'Cold Weather Package'!F18,0)+IF(Table44[[#This Row],[eAWD]:[eAWD]]="Y",'eAWD Package'!F18,0)+IF(Table44[[#This Row],[Towing]:[Towing]]="Y",'Towing Bat Cost'!F18,0),"N/A")</f>
        <v>3960.7844671095027</v>
      </c>
      <c r="K47" s="157">
        <f>IF(Table44[[#This Row],[Applicable Package?]:[Applicable Package?]]="Y",SUM('Rolled Up Non-Incremental Costs'!G18,'ICE Removal Cost'!G18,'Trans Removal Cost'!G18,'LEV3 Criteria Emissions Cost'!G18,'ZEV Assembly Reductions'!G18,'ACCII Criteria Compliance Cost'!G18,'ACCII GHG Compliance'!G18,'Current GHG Compliance'!G18)+IF(Table44[[#This Row],[Cold]:[Cold]]="Y",'Cold Weather Package'!G18,0)+IF(Table44[[#This Row],[eAWD]:[eAWD]]="Y",'eAWD Package'!G18,0)+IF(Table44[[#This Row],[Towing]:[Towing]]="Y",'Towing Bat Cost'!G18,0),"N/A")</f>
        <v>3753.9716434131133</v>
      </c>
      <c r="L47" s="157">
        <f>IF(Table44[[#This Row],[Applicable Package?]:[Applicable Package?]]="Y",SUM('Rolled Up Non-Incremental Costs'!H18,'ICE Removal Cost'!H18,'Trans Removal Cost'!H18,'LEV3 Criteria Emissions Cost'!H18,'ZEV Assembly Reductions'!H18,'ACCII Criteria Compliance Cost'!H18,'ACCII GHG Compliance'!H18,'Current GHG Compliance'!H18)+IF(Table44[[#This Row],[Cold]:[Cold]]="Y",'Cold Weather Package'!H18,0)+IF(Table44[[#This Row],[eAWD]:[eAWD]]="Y",'eAWD Package'!H18,0)+IF(Table44[[#This Row],[Towing]:[Towing]]="Y",'Towing Bat Cost'!H18,0),"N/A")</f>
        <v>3560.988427137926</v>
      </c>
      <c r="M47" s="157">
        <f>IF(Table44[[#This Row],[Applicable Package?]:[Applicable Package?]]="Y",SUM('Rolled Up Non-Incremental Costs'!I18,'ICE Removal Cost'!I18,'Trans Removal Cost'!I18,'LEV3 Criteria Emissions Cost'!I18,'ZEV Assembly Reductions'!I18,'ACCII Criteria Compliance Cost'!I18,'ACCII GHG Compliance'!I18,'Current GHG Compliance'!I18)+IF(Table44[[#This Row],[Cold]:[Cold]]="Y",'Cold Weather Package'!I18,0)+IF(Table44[[#This Row],[eAWD]:[eAWD]]="Y",'eAWD Package'!I18,0)+IF(Table44[[#This Row],[Towing]:[Towing]]="Y",'Towing Bat Cost'!I18,0),"N/A")</f>
        <v>3380.818527788625</v>
      </c>
      <c r="N47" s="157">
        <f>IF(Table44[[#This Row],[Applicable Package?]:[Applicable Package?]]="Y",SUM('Rolled Up Non-Incremental Costs'!J18,'ICE Removal Cost'!J18,'Trans Removal Cost'!J18,'LEV3 Criteria Emissions Cost'!J18,'ZEV Assembly Reductions'!J18,'ACCII Criteria Compliance Cost'!J18,'ACCII GHG Compliance'!J18,'Current GHG Compliance'!J18)+IF(Table44[[#This Row],[Cold]:[Cold]]="Y",'Cold Weather Package'!J18,0)+IF(Table44[[#This Row],[eAWD]:[eAWD]]="Y",'eAWD Package'!J18,0)+IF(Table44[[#This Row],[Towing]:[Towing]]="Y",'Towing Bat Cost'!J18,0),"N/A")</f>
        <v>3242.3892325504603</v>
      </c>
      <c r="O47" s="157">
        <f>IF(Table44[[#This Row],[Applicable Package?]:[Applicable Package?]]="Y",SUM('Rolled Up Non-Incremental Costs'!K18,'ICE Removal Cost'!K18,'Trans Removal Cost'!K18,'LEV3 Criteria Emissions Cost'!K18,'ZEV Assembly Reductions'!K18,'ACCII Criteria Compliance Cost'!K18,'ACCII GHG Compliance'!K18,'Current GHG Compliance'!K18)+IF(Table44[[#This Row],[Cold]:[Cold]]="Y",'Cold Weather Package'!K18,0)+IF(Table44[[#This Row],[eAWD]:[eAWD]]="Y",'eAWD Package'!K18,0)+IF(Table44[[#This Row],[Towing]:[Towing]]="Y",'Towing Bat Cost'!K18,0),"N/A")</f>
        <v>3119.0172847105205</v>
      </c>
      <c r="P47" s="157">
        <f>IF(Table44[[#This Row],[Applicable Package?]:[Applicable Package?]]="Y",SUM('Rolled Up Non-Incremental Costs'!L18,'ICE Removal Cost'!L18,'Trans Removal Cost'!L18,'LEV3 Criteria Emissions Cost'!L18,'ZEV Assembly Reductions'!L18,'ACCII Criteria Compliance Cost'!L18,'ACCII GHG Compliance'!L18,'Current GHG Compliance'!L18)+IF(Table44[[#This Row],[Cold]:[Cold]]="Y",'Cold Weather Package'!L18,0)+IF(Table44[[#This Row],[eAWD]:[eAWD]]="Y",'eAWD Package'!L18,0)+IF(Table44[[#This Row],[Towing]:[Towing]]="Y",'Towing Bat Cost'!L18,0),"N/A")</f>
        <v>3001.3301248883954</v>
      </c>
      <c r="Q47" s="157">
        <f>IF(Table44[[#This Row],[Applicable Package?]:[Applicable Package?]]="Y",SUM('Rolled Up Non-Incremental Costs'!M18,'ICE Removal Cost'!M18,'Trans Removal Cost'!M18,'LEV3 Criteria Emissions Cost'!M18,'ZEV Assembly Reductions'!M18,'ACCII Criteria Compliance Cost'!M18,'ACCII GHG Compliance'!M18,'Current GHG Compliance'!M18)+IF(Table44[[#This Row],[Cold]:[Cold]]="Y",'Cold Weather Package'!M18,0)+IF(Table44[[#This Row],[eAWD]:[eAWD]]="Y",'eAWD Package'!M18,0)+IF(Table44[[#This Row],[Towing]:[Towing]]="Y",'Towing Bat Cost'!M18,0),"N/A")</f>
        <v>2889.0272092013747</v>
      </c>
      <c r="R47" s="157">
        <f>IF(Table44[[#This Row],[Applicable Package?]:[Applicable Package?]]="Y",SUM('Rolled Up Non-Incremental Costs'!N18,'ICE Removal Cost'!N18,'Trans Removal Cost'!N18,'LEV3 Criteria Emissions Cost'!N18,'ZEV Assembly Reductions'!N18,'ACCII Criteria Compliance Cost'!N18,'ACCII GHG Compliance'!N18,'Current GHG Compliance'!N18)+IF(Table44[[#This Row],[Cold]:[Cold]]="Y",'Cold Weather Package'!N18,0)+IF(Table44[[#This Row],[eAWD]:[eAWD]]="Y",'eAWD Package'!N18,0)+IF(Table44[[#This Row],[Towing]:[Towing]]="Y",'Towing Bat Cost'!N18,0),"N/A")</f>
        <v>2781.8243415617117</v>
      </c>
      <c r="S47" s="157">
        <f>IF(Table44[[#This Row],[Applicable Package?]:[Applicable Package?]]="Y",SUM('Rolled Up Non-Incremental Costs'!O18,'ICE Removal Cost'!O18,'Trans Removal Cost'!O18,'LEV3 Criteria Emissions Cost'!O18,'ZEV Assembly Reductions'!O18,'ACCII Criteria Compliance Cost'!O18,'ACCII GHG Compliance'!O18,'Current GHG Compliance'!O18)+IF(Table44[[#This Row],[Cold]:[Cold]]="Y",'Cold Weather Package'!O18,0)+IF(Table44[[#This Row],[eAWD]:[eAWD]]="Y",'eAWD Package'!O18,0)+IF(Table44[[#This Row],[Towing]:[Towing]]="Y",'Towing Bat Cost'!O18,0),"N/A")</f>
        <v>2679.4527797046785</v>
      </c>
    </row>
    <row r="48" spans="1:21" x14ac:dyDescent="0.3">
      <c r="A48" s="28" t="str">
        <f t="shared" si="1"/>
        <v>SmallSUVBasePHEV50</v>
      </c>
      <c r="B48" s="90" t="s">
        <v>83</v>
      </c>
      <c r="C48" s="68" t="s">
        <v>75</v>
      </c>
      <c r="D48" s="68" t="str">
        <f>'Vehicle Attributes - Base Year'!D16</f>
        <v>PHEV50</v>
      </c>
      <c r="E48" s="124" t="s">
        <v>76</v>
      </c>
      <c r="F48" s="124" t="s">
        <v>77</v>
      </c>
      <c r="G48" s="125" t="s">
        <v>77</v>
      </c>
      <c r="H48" s="156" t="s">
        <v>76</v>
      </c>
      <c r="I48" s="157">
        <f>IF(Table44[[#This Row],[Applicable Package?]:[Applicable Package?]]="Y",SUM('Rolled Up Non-Incremental Costs'!E19,'ICE Removal Cost'!E19,'Trans Removal Cost'!E19,'LEV3 Criteria Emissions Cost'!E19,'ZEV Assembly Reductions'!E19,'ACCII Criteria Compliance Cost'!E19,'ACCII GHG Compliance'!E19,'Current GHG Compliance'!E19)+IF(Table44[[#This Row],[Cold]:[Cold]]="Y",'Cold Weather Package'!E19,0)+IF(Table44[[#This Row],[eAWD]:[eAWD]]="Y",'eAWD Package'!E19,0)+IF(Table44[[#This Row],[Towing]:[Towing]]="Y",'Towing Bat Cost'!E19,0),"N/A")</f>
        <v>4606.6983843951166</v>
      </c>
      <c r="J48" s="157">
        <f>IF(Table44[[#This Row],[Applicable Package?]:[Applicable Package?]]="Y",SUM('Rolled Up Non-Incremental Costs'!F19,'ICE Removal Cost'!F19,'Trans Removal Cost'!F19,'LEV3 Criteria Emissions Cost'!F19,'ZEV Assembly Reductions'!F19,'ACCII Criteria Compliance Cost'!F19,'ACCII GHG Compliance'!F19,'Current GHG Compliance'!F19)+IF(Table44[[#This Row],[Cold]:[Cold]]="Y",'Cold Weather Package'!F19,0)+IF(Table44[[#This Row],[eAWD]:[eAWD]]="Y",'eAWD Package'!F19,0)+IF(Table44[[#This Row],[Towing]:[Towing]]="Y",'Towing Bat Cost'!F19,0),"N/A")</f>
        <v>4355.6129034923415</v>
      </c>
      <c r="K48" s="157">
        <f>IF(Table44[[#This Row],[Applicable Package?]:[Applicable Package?]]="Y",SUM('Rolled Up Non-Incremental Costs'!G19,'ICE Removal Cost'!G19,'Trans Removal Cost'!G19,'LEV3 Criteria Emissions Cost'!G19,'ZEV Assembly Reductions'!G19,'ACCII Criteria Compliance Cost'!G19,'ACCII GHG Compliance'!G19,'Current GHG Compliance'!G19)+IF(Table44[[#This Row],[Cold]:[Cold]]="Y",'Cold Weather Package'!G19,0)+IF(Table44[[#This Row],[eAWD]:[eAWD]]="Y",'eAWD Package'!G19,0)+IF(Table44[[#This Row],[Towing]:[Towing]]="Y",'Towing Bat Cost'!G19,0),"N/A")</f>
        <v>4121.6225357040366</v>
      </c>
      <c r="L48" s="157">
        <f>IF(Table44[[#This Row],[Applicable Package?]:[Applicable Package?]]="Y",SUM('Rolled Up Non-Incremental Costs'!H19,'ICE Removal Cost'!H19,'Trans Removal Cost'!H19,'LEV3 Criteria Emissions Cost'!H19,'ZEV Assembly Reductions'!H19,'ACCII Criteria Compliance Cost'!H19,'ACCII GHG Compliance'!H19,'Current GHG Compliance'!H19)+IF(Table44[[#This Row],[Cold]:[Cold]]="Y",'Cold Weather Package'!H19,0)+IF(Table44[[#This Row],[eAWD]:[eAWD]]="Y",'eAWD Package'!H19,0)+IF(Table44[[#This Row],[Towing]:[Towing]]="Y",'Towing Bat Cost'!H19,0),"N/A")</f>
        <v>3903.4676150165524</v>
      </c>
      <c r="M48" s="157">
        <f>IF(Table44[[#This Row],[Applicable Package?]:[Applicable Package?]]="Y",SUM('Rolled Up Non-Incremental Costs'!I19,'ICE Removal Cost'!I19,'Trans Removal Cost'!I19,'LEV3 Criteria Emissions Cost'!I19,'ZEV Assembly Reductions'!I19,'ACCII Criteria Compliance Cost'!I19,'ACCII GHG Compliance'!I19,'Current GHG Compliance'!I19)+IF(Table44[[#This Row],[Cold]:[Cold]]="Y",'Cold Weather Package'!I19,0)+IF(Table44[[#This Row],[eAWD]:[eAWD]]="Y",'eAWD Package'!I19,0)+IF(Table44[[#This Row],[Towing]:[Towing]]="Y",'Towing Bat Cost'!I19,0),"N/A")</f>
        <v>3699.9823446423625</v>
      </c>
      <c r="N48" s="157">
        <f>IF(Table44[[#This Row],[Applicable Package?]:[Applicable Package?]]="Y",SUM('Rolled Up Non-Incremental Costs'!J19,'ICE Removal Cost'!J19,'Trans Removal Cost'!J19,'LEV3 Criteria Emissions Cost'!J19,'ZEV Assembly Reductions'!J19,'ACCII Criteria Compliance Cost'!J19,'ACCII GHG Compliance'!J19,'Current GHG Compliance'!J19)+IF(Table44[[#This Row],[Cold]:[Cold]]="Y",'Cold Weather Package'!J19,0)+IF(Table44[[#This Row],[eAWD]:[eAWD]]="Y",'eAWD Package'!J19,0)+IF(Table44[[#This Row],[Towing]:[Towing]]="Y",'Towing Bat Cost'!J19,0),"N/A")</f>
        <v>3544.3592604081823</v>
      </c>
      <c r="O48" s="157">
        <f>IF(Table44[[#This Row],[Applicable Package?]:[Applicable Package?]]="Y",SUM('Rolled Up Non-Incremental Costs'!K19,'ICE Removal Cost'!K19,'Trans Removal Cost'!K19,'LEV3 Criteria Emissions Cost'!K19,'ZEV Assembly Reductions'!K19,'ACCII Criteria Compliance Cost'!K19,'ACCII GHG Compliance'!K19,'Current GHG Compliance'!K19)+IF(Table44[[#This Row],[Cold]:[Cold]]="Y",'Cold Weather Package'!K19,0)+IF(Table44[[#This Row],[eAWD]:[eAWD]]="Y",'eAWD Package'!K19,0)+IF(Table44[[#This Row],[Towing]:[Towing]]="Y",'Towing Bat Cost'!K19,0),"N/A")</f>
        <v>3405.9813605151012</v>
      </c>
      <c r="P48" s="157">
        <f>IF(Table44[[#This Row],[Applicable Package?]:[Applicable Package?]]="Y",SUM('Rolled Up Non-Incremental Costs'!L19,'ICE Removal Cost'!L19,'Trans Removal Cost'!L19,'LEV3 Criteria Emissions Cost'!L19,'ZEV Assembly Reductions'!L19,'ACCII Criteria Compliance Cost'!L19,'ACCII GHG Compliance'!L19,'Current GHG Compliance'!L19)+IF(Table44[[#This Row],[Cold]:[Cold]]="Y",'Cold Weather Package'!L19,0)+IF(Table44[[#This Row],[eAWD]:[eAWD]]="Y",'eAWD Package'!L19,0)+IF(Table44[[#This Row],[Towing]:[Towing]]="Y",'Towing Bat Cost'!L19,0),"N/A")</f>
        <v>3274.0945554450245</v>
      </c>
      <c r="Q48" s="157">
        <f>IF(Table44[[#This Row],[Applicable Package?]:[Applicable Package?]]="Y",SUM('Rolled Up Non-Incremental Costs'!M19,'ICE Removal Cost'!M19,'Trans Removal Cost'!M19,'LEV3 Criteria Emissions Cost'!M19,'ZEV Assembly Reductions'!M19,'ACCII Criteria Compliance Cost'!M19,'ACCII GHG Compliance'!M19,'Current GHG Compliance'!M19)+IF(Table44[[#This Row],[Cold]:[Cold]]="Y",'Cold Weather Package'!M19,0)+IF(Table44[[#This Row],[eAWD]:[eAWD]]="Y",'eAWD Package'!M19,0)+IF(Table44[[#This Row],[Towing]:[Towing]]="Y",'Towing Bat Cost'!M19,0),"N/A")</f>
        <v>3148.3543087083526</v>
      </c>
      <c r="R48" s="157">
        <f>IF(Table44[[#This Row],[Applicable Package?]:[Applicable Package?]]="Y",SUM('Rolled Up Non-Incremental Costs'!N19,'ICE Removal Cost'!N19,'Trans Removal Cost'!N19,'LEV3 Criteria Emissions Cost'!N19,'ZEV Assembly Reductions'!N19,'ACCII Criteria Compliance Cost'!N19,'ACCII GHG Compliance'!N19,'Current GHG Compliance'!N19)+IF(Table44[[#This Row],[Cold]:[Cold]]="Y",'Cold Weather Package'!N19,0)+IF(Table44[[#This Row],[eAWD]:[eAWD]]="Y",'eAWD Package'!N19,0)+IF(Table44[[#This Row],[Towing]:[Towing]]="Y",'Towing Bat Cost'!N19,0),"N/A")</f>
        <v>3028.4348386787738</v>
      </c>
      <c r="S48" s="157">
        <f>IF(Table44[[#This Row],[Applicable Package?]:[Applicable Package?]]="Y",SUM('Rolled Up Non-Incremental Costs'!O19,'ICE Removal Cost'!O19,'Trans Removal Cost'!O19,'LEV3 Criteria Emissions Cost'!O19,'ZEV Assembly Reductions'!O19,'ACCII Criteria Compliance Cost'!O19,'ACCII GHG Compliance'!O19,'Current GHG Compliance'!O19)+IF(Table44[[#This Row],[Cold]:[Cold]]="Y",'Cold Weather Package'!O19,0)+IF(Table44[[#This Row],[eAWD]:[eAWD]]="Y",'eAWD Package'!O19,0)+IF(Table44[[#This Row],[Towing]:[Towing]]="Y",'Towing Bat Cost'!O19,0),"N/A")</f>
        <v>2914.0280928495927</v>
      </c>
    </row>
    <row r="49" spans="1:19" x14ac:dyDescent="0.3">
      <c r="A49" t="str">
        <f t="shared" si="1"/>
        <v>SmallSUVPremiumPHEV50</v>
      </c>
      <c r="B49" s="90" t="s">
        <v>83</v>
      </c>
      <c r="C49" s="68" t="s">
        <v>80</v>
      </c>
      <c r="D49" s="68" t="str">
        <f>'Vehicle Attributes - Base Year'!D17</f>
        <v>PHEV50</v>
      </c>
      <c r="E49" s="124" t="s">
        <v>76</v>
      </c>
      <c r="F49" s="124" t="s">
        <v>77</v>
      </c>
      <c r="G49" s="125" t="s">
        <v>77</v>
      </c>
      <c r="H49" s="156" t="s">
        <v>76</v>
      </c>
      <c r="I49" s="157">
        <f>IF(Table44[[#This Row],[Applicable Package?]:[Applicable Package?]]="Y",SUM('Rolled Up Non-Incremental Costs'!E20,'ICE Removal Cost'!E20,'Trans Removal Cost'!E20,'LEV3 Criteria Emissions Cost'!E20,'ZEV Assembly Reductions'!E20,'ACCII Criteria Compliance Cost'!E20,'ACCII GHG Compliance'!E20,'Current GHG Compliance'!E20)+IF(Table44[[#This Row],[Cold]:[Cold]]="Y",'Cold Weather Package'!E20,0)+IF(Table44[[#This Row],[eAWD]:[eAWD]]="Y",'eAWD Package'!E20,0)+IF(Table44[[#This Row],[Towing]:[Towing]]="Y",'Towing Bat Cost'!E20,0),"N/A")</f>
        <v>4606.6983843951166</v>
      </c>
      <c r="J49" s="157">
        <f>IF(Table44[[#This Row],[Applicable Package?]:[Applicable Package?]]="Y",SUM('Rolled Up Non-Incremental Costs'!F20,'ICE Removal Cost'!F20,'Trans Removal Cost'!F20,'LEV3 Criteria Emissions Cost'!F20,'ZEV Assembly Reductions'!F20,'ACCII Criteria Compliance Cost'!F20,'ACCII GHG Compliance'!F20,'Current GHG Compliance'!F20)+IF(Table44[[#This Row],[Cold]:[Cold]]="Y",'Cold Weather Package'!F20,0)+IF(Table44[[#This Row],[eAWD]:[eAWD]]="Y",'eAWD Package'!F20,0)+IF(Table44[[#This Row],[Towing]:[Towing]]="Y",'Towing Bat Cost'!F20,0),"N/A")</f>
        <v>4355.6129034923415</v>
      </c>
      <c r="K49" s="157">
        <f>IF(Table44[[#This Row],[Applicable Package?]:[Applicable Package?]]="Y",SUM('Rolled Up Non-Incremental Costs'!G20,'ICE Removal Cost'!G20,'Trans Removal Cost'!G20,'LEV3 Criteria Emissions Cost'!G20,'ZEV Assembly Reductions'!G20,'ACCII Criteria Compliance Cost'!G20,'ACCII GHG Compliance'!G20,'Current GHG Compliance'!G20)+IF(Table44[[#This Row],[Cold]:[Cold]]="Y",'Cold Weather Package'!G20,0)+IF(Table44[[#This Row],[eAWD]:[eAWD]]="Y",'eAWD Package'!G20,0)+IF(Table44[[#This Row],[Towing]:[Towing]]="Y",'Towing Bat Cost'!G20,0),"N/A")</f>
        <v>4121.6225357040366</v>
      </c>
      <c r="L49" s="157">
        <f>IF(Table44[[#This Row],[Applicable Package?]:[Applicable Package?]]="Y",SUM('Rolled Up Non-Incremental Costs'!H20,'ICE Removal Cost'!H20,'Trans Removal Cost'!H20,'LEV3 Criteria Emissions Cost'!H20,'ZEV Assembly Reductions'!H20,'ACCII Criteria Compliance Cost'!H20,'ACCII GHG Compliance'!H20,'Current GHG Compliance'!H20)+IF(Table44[[#This Row],[Cold]:[Cold]]="Y",'Cold Weather Package'!H20,0)+IF(Table44[[#This Row],[eAWD]:[eAWD]]="Y",'eAWD Package'!H20,0)+IF(Table44[[#This Row],[Towing]:[Towing]]="Y",'Towing Bat Cost'!H20,0),"N/A")</f>
        <v>3903.4676150165524</v>
      </c>
      <c r="M49" s="157">
        <f>IF(Table44[[#This Row],[Applicable Package?]:[Applicable Package?]]="Y",SUM('Rolled Up Non-Incremental Costs'!I20,'ICE Removal Cost'!I20,'Trans Removal Cost'!I20,'LEV3 Criteria Emissions Cost'!I20,'ZEV Assembly Reductions'!I20,'ACCII Criteria Compliance Cost'!I20,'ACCII GHG Compliance'!I20,'Current GHG Compliance'!I20)+IF(Table44[[#This Row],[Cold]:[Cold]]="Y",'Cold Weather Package'!I20,0)+IF(Table44[[#This Row],[eAWD]:[eAWD]]="Y",'eAWD Package'!I20,0)+IF(Table44[[#This Row],[Towing]:[Towing]]="Y",'Towing Bat Cost'!I20,0),"N/A")</f>
        <v>3699.9823446423625</v>
      </c>
      <c r="N49" s="157">
        <f>IF(Table44[[#This Row],[Applicable Package?]:[Applicable Package?]]="Y",SUM('Rolled Up Non-Incremental Costs'!J20,'ICE Removal Cost'!J20,'Trans Removal Cost'!J20,'LEV3 Criteria Emissions Cost'!J20,'ZEV Assembly Reductions'!J20,'ACCII Criteria Compliance Cost'!J20,'ACCII GHG Compliance'!J20,'Current GHG Compliance'!J20)+IF(Table44[[#This Row],[Cold]:[Cold]]="Y",'Cold Weather Package'!J20,0)+IF(Table44[[#This Row],[eAWD]:[eAWD]]="Y",'eAWD Package'!J20,0)+IF(Table44[[#This Row],[Towing]:[Towing]]="Y",'Towing Bat Cost'!J20,0),"N/A")</f>
        <v>3544.3592604081823</v>
      </c>
      <c r="O49" s="157">
        <f>IF(Table44[[#This Row],[Applicable Package?]:[Applicable Package?]]="Y",SUM('Rolled Up Non-Incremental Costs'!K20,'ICE Removal Cost'!K20,'Trans Removal Cost'!K20,'LEV3 Criteria Emissions Cost'!K20,'ZEV Assembly Reductions'!K20,'ACCII Criteria Compliance Cost'!K20,'ACCII GHG Compliance'!K20,'Current GHG Compliance'!K20)+IF(Table44[[#This Row],[Cold]:[Cold]]="Y",'Cold Weather Package'!K20,0)+IF(Table44[[#This Row],[eAWD]:[eAWD]]="Y",'eAWD Package'!K20,0)+IF(Table44[[#This Row],[Towing]:[Towing]]="Y",'Towing Bat Cost'!K20,0),"N/A")</f>
        <v>3405.9813605151012</v>
      </c>
      <c r="P49" s="157">
        <f>IF(Table44[[#This Row],[Applicable Package?]:[Applicable Package?]]="Y",SUM('Rolled Up Non-Incremental Costs'!L20,'ICE Removal Cost'!L20,'Trans Removal Cost'!L20,'LEV3 Criteria Emissions Cost'!L20,'ZEV Assembly Reductions'!L20,'ACCII Criteria Compliance Cost'!L20,'ACCII GHG Compliance'!L20,'Current GHG Compliance'!L20)+IF(Table44[[#This Row],[Cold]:[Cold]]="Y",'Cold Weather Package'!L20,0)+IF(Table44[[#This Row],[eAWD]:[eAWD]]="Y",'eAWD Package'!L20,0)+IF(Table44[[#This Row],[Towing]:[Towing]]="Y",'Towing Bat Cost'!L20,0),"N/A")</f>
        <v>3274.0945554450245</v>
      </c>
      <c r="Q49" s="157">
        <f>IF(Table44[[#This Row],[Applicable Package?]:[Applicable Package?]]="Y",SUM('Rolled Up Non-Incremental Costs'!M20,'ICE Removal Cost'!M20,'Trans Removal Cost'!M20,'LEV3 Criteria Emissions Cost'!M20,'ZEV Assembly Reductions'!M20,'ACCII Criteria Compliance Cost'!M20,'ACCII GHG Compliance'!M20,'Current GHG Compliance'!M20)+IF(Table44[[#This Row],[Cold]:[Cold]]="Y",'Cold Weather Package'!M20,0)+IF(Table44[[#This Row],[eAWD]:[eAWD]]="Y",'eAWD Package'!M20,0)+IF(Table44[[#This Row],[Towing]:[Towing]]="Y",'Towing Bat Cost'!M20,0),"N/A")</f>
        <v>3148.3543087083526</v>
      </c>
      <c r="R49" s="157">
        <f>IF(Table44[[#This Row],[Applicable Package?]:[Applicable Package?]]="Y",SUM('Rolled Up Non-Incremental Costs'!N20,'ICE Removal Cost'!N20,'Trans Removal Cost'!N20,'LEV3 Criteria Emissions Cost'!N20,'ZEV Assembly Reductions'!N20,'ACCII Criteria Compliance Cost'!N20,'ACCII GHG Compliance'!N20,'Current GHG Compliance'!N20)+IF(Table44[[#This Row],[Cold]:[Cold]]="Y",'Cold Weather Package'!N20,0)+IF(Table44[[#This Row],[eAWD]:[eAWD]]="Y",'eAWD Package'!N20,0)+IF(Table44[[#This Row],[Towing]:[Towing]]="Y",'Towing Bat Cost'!N20,0),"N/A")</f>
        <v>3028.4348386787738</v>
      </c>
      <c r="S49" s="157">
        <f>IF(Table44[[#This Row],[Applicable Package?]:[Applicable Package?]]="Y",SUM('Rolled Up Non-Incremental Costs'!O20,'ICE Removal Cost'!O20,'Trans Removal Cost'!O20,'LEV3 Criteria Emissions Cost'!O20,'ZEV Assembly Reductions'!O20,'ACCII Criteria Compliance Cost'!O20,'ACCII GHG Compliance'!O20,'Current GHG Compliance'!O20)+IF(Table44[[#This Row],[Cold]:[Cold]]="Y",'Cold Weather Package'!O20,0)+IF(Table44[[#This Row],[eAWD]:[eAWD]]="Y",'eAWD Package'!O20,0)+IF(Table44[[#This Row],[Towing]:[Towing]]="Y",'Towing Bat Cost'!O20,0),"N/A")</f>
        <v>2914.0280928495927</v>
      </c>
    </row>
    <row r="50" spans="1:19" x14ac:dyDescent="0.3">
      <c r="A50" s="28" t="str">
        <f t="shared" si="1"/>
        <v>MedSUVBasePHEV50</v>
      </c>
      <c r="B50" s="90" t="s">
        <v>86</v>
      </c>
      <c r="C50" s="68" t="s">
        <v>75</v>
      </c>
      <c r="D50" s="68" t="str">
        <f>'Vehicle Attributes - Base Year'!D18</f>
        <v>PHEV50</v>
      </c>
      <c r="E50" s="124" t="s">
        <v>76</v>
      </c>
      <c r="F50" s="124" t="s">
        <v>77</v>
      </c>
      <c r="G50" s="125" t="s">
        <v>77</v>
      </c>
      <c r="H50" s="156" t="s">
        <v>76</v>
      </c>
      <c r="I50" s="157">
        <f>IF(Table44[[#This Row],[Applicable Package?]:[Applicable Package?]]="Y",SUM('Rolled Up Non-Incremental Costs'!E21,'ICE Removal Cost'!E21,'Trans Removal Cost'!E21,'LEV3 Criteria Emissions Cost'!E21,'ZEV Assembly Reductions'!E21,'ACCII Criteria Compliance Cost'!E21,'ACCII GHG Compliance'!E21,'Current GHG Compliance'!E21)+IF(Table44[[#This Row],[Cold]:[Cold]]="Y",'Cold Weather Package'!E21,0)+IF(Table44[[#This Row],[eAWD]:[eAWD]]="Y",'eAWD Package'!E21,0)+IF(Table44[[#This Row],[Towing]:[Towing]]="Y",'Towing Bat Cost'!E21,0),"N/A")</f>
        <v>4976.1012098839019</v>
      </c>
      <c r="J50" s="157">
        <f>IF(Table44[[#This Row],[Applicable Package?]:[Applicable Package?]]="Y",SUM('Rolled Up Non-Incremental Costs'!F21,'ICE Removal Cost'!F21,'Trans Removal Cost'!F21,'LEV3 Criteria Emissions Cost'!F21,'ZEV Assembly Reductions'!F21,'ACCII Criteria Compliance Cost'!F21,'ACCII GHG Compliance'!F21,'Current GHG Compliance'!F21)+IF(Table44[[#This Row],[Cold]:[Cold]]="Y",'Cold Weather Package'!F21,0)+IF(Table44[[#This Row],[eAWD]:[eAWD]]="Y",'eAWD Package'!F21,0)+IF(Table44[[#This Row],[Towing]:[Towing]]="Y",'Towing Bat Cost'!F21,0),"N/A")</f>
        <v>4706.0414830791797</v>
      </c>
      <c r="K50" s="157">
        <f>IF(Table44[[#This Row],[Applicable Package?]:[Applicable Package?]]="Y",SUM('Rolled Up Non-Incremental Costs'!G21,'ICE Removal Cost'!G21,'Trans Removal Cost'!G21,'LEV3 Criteria Emissions Cost'!G21,'ZEV Assembly Reductions'!G21,'ACCII Criteria Compliance Cost'!G21,'ACCII GHG Compliance'!G21,'Current GHG Compliance'!G21)+IF(Table44[[#This Row],[Cold]:[Cold]]="Y",'Cold Weather Package'!G21,0)+IF(Table44[[#This Row],[eAWD]:[eAWD]]="Y",'eAWD Package'!G21,0)+IF(Table44[[#This Row],[Towing]:[Towing]]="Y",'Towing Bat Cost'!G21,0),"N/A")</f>
        <v>4454.4072800952999</v>
      </c>
      <c r="L50" s="157">
        <f>IF(Table44[[#This Row],[Applicable Package?]:[Applicable Package?]]="Y",SUM('Rolled Up Non-Incremental Costs'!H21,'ICE Removal Cost'!H21,'Trans Removal Cost'!H21,'LEV3 Criteria Emissions Cost'!H21,'ZEV Assembly Reductions'!H21,'ACCII Criteria Compliance Cost'!H21,'ACCII GHG Compliance'!H21,'Current GHG Compliance'!H21)+IF(Table44[[#This Row],[Cold]:[Cold]]="Y",'Cold Weather Package'!H21,0)+IF(Table44[[#This Row],[eAWD]:[eAWD]]="Y",'eAWD Package'!H21,0)+IF(Table44[[#This Row],[Towing]:[Towing]]="Y",'Towing Bat Cost'!H21,0),"N/A")</f>
        <v>4219.8404799268865</v>
      </c>
      <c r="M50" s="157">
        <f>IF(Table44[[#This Row],[Applicable Package?]:[Applicable Package?]]="Y",SUM('Rolled Up Non-Incremental Costs'!I21,'ICE Removal Cost'!I21,'Trans Removal Cost'!I21,'LEV3 Criteria Emissions Cost'!I21,'ZEV Assembly Reductions'!I21,'ACCII Criteria Compliance Cost'!I21,'ACCII GHG Compliance'!I21,'Current GHG Compliance'!I21)+IF(Table44[[#This Row],[Cold]:[Cold]]="Y",'Cold Weather Package'!I21,0)+IF(Table44[[#This Row],[eAWD]:[eAWD]]="Y",'eAWD Package'!I21,0)+IF(Table44[[#This Row],[Towing]:[Towing]]="Y",'Towing Bat Cost'!I21,0),"N/A")</f>
        <v>4001.0841718581378</v>
      </c>
      <c r="N50" s="157">
        <f>IF(Table44[[#This Row],[Applicable Package?]:[Applicable Package?]]="Y",SUM('Rolled Up Non-Incremental Costs'!J21,'ICE Removal Cost'!J21,'Trans Removal Cost'!J21,'LEV3 Criteria Emissions Cost'!J21,'ZEV Assembly Reductions'!J21,'ACCII Criteria Compliance Cost'!J21,'ACCII GHG Compliance'!J21,'Current GHG Compliance'!J21)+IF(Table44[[#This Row],[Cold]:[Cold]]="Y",'Cold Weather Package'!J21,0)+IF(Table44[[#This Row],[eAWD]:[eAWD]]="Y",'eAWD Package'!J21,0)+IF(Table44[[#This Row],[Towing]:[Towing]]="Y",'Towing Bat Cost'!J21,0),"N/A")</f>
        <v>3833.9270210220329</v>
      </c>
      <c r="O50" s="157">
        <f>IF(Table44[[#This Row],[Applicable Package?]:[Applicable Package?]]="Y",SUM('Rolled Up Non-Incremental Costs'!K21,'ICE Removal Cost'!K21,'Trans Removal Cost'!K21,'LEV3 Criteria Emissions Cost'!K21,'ZEV Assembly Reductions'!K21,'ACCII Criteria Compliance Cost'!K21,'ACCII GHG Compliance'!K21,'Current GHG Compliance'!K21)+IF(Table44[[#This Row],[Cold]:[Cold]]="Y",'Cold Weather Package'!K21,0)+IF(Table44[[#This Row],[eAWD]:[eAWD]]="Y",'eAWD Package'!K21,0)+IF(Table44[[#This Row],[Towing]:[Towing]]="Y",'Towing Bat Cost'!K21,0),"N/A")</f>
        <v>3685.357464181774</v>
      </c>
      <c r="P50" s="157">
        <f>IF(Table44[[#This Row],[Applicable Package?]:[Applicable Package?]]="Y",SUM('Rolled Up Non-Incremental Costs'!L21,'ICE Removal Cost'!L21,'Trans Removal Cost'!L21,'LEV3 Criteria Emissions Cost'!L21,'ZEV Assembly Reductions'!L21,'ACCII Criteria Compliance Cost'!L21,'ACCII GHG Compliance'!L21,'Current GHG Compliance'!L21)+IF(Table44[[#This Row],[Cold]:[Cold]]="Y",'Cold Weather Package'!L21,0)+IF(Table44[[#This Row],[eAWD]:[eAWD]]="Y",'eAWD Package'!L21,0)+IF(Table44[[#This Row],[Towing]:[Towing]]="Y",'Towing Bat Cost'!L21,0),"N/A")</f>
        <v>3543.7803736029127</v>
      </c>
      <c r="Q50" s="157">
        <f>IF(Table44[[#This Row],[Applicable Package?]:[Applicable Package?]]="Y",SUM('Rolled Up Non-Incremental Costs'!M21,'ICE Removal Cost'!M21,'Trans Removal Cost'!M21,'LEV3 Criteria Emissions Cost'!M21,'ZEV Assembly Reductions'!M21,'ACCII Criteria Compliance Cost'!M21,'ACCII GHG Compliance'!M21,'Current GHG Compliance'!M21)+IF(Table44[[#This Row],[Cold]:[Cold]]="Y",'Cold Weather Package'!M21,0)+IF(Table44[[#This Row],[eAWD]:[eAWD]]="Y",'eAWD Package'!M21,0)+IF(Table44[[#This Row],[Towing]:[Towing]]="Y",'Towing Bat Cost'!M21,0),"N/A")</f>
        <v>3408.8243289273923</v>
      </c>
      <c r="R50" s="157">
        <f>IF(Table44[[#This Row],[Applicable Package?]:[Applicable Package?]]="Y",SUM('Rolled Up Non-Incremental Costs'!N21,'ICE Removal Cost'!N21,'Trans Removal Cost'!N21,'LEV3 Criteria Emissions Cost'!N21,'ZEV Assembly Reductions'!N21,'ACCII Criteria Compliance Cost'!N21,'ACCII GHG Compliance'!N21,'Current GHG Compliance'!N21)+IF(Table44[[#This Row],[Cold]:[Cold]]="Y",'Cold Weather Package'!N21,0)+IF(Table44[[#This Row],[eAWD]:[eAWD]]="Y",'eAWD Package'!N21,0)+IF(Table44[[#This Row],[Towing]:[Towing]]="Y",'Towing Bat Cost'!N21,0),"N/A")</f>
        <v>3280.1381308900654</v>
      </c>
      <c r="S50" s="157">
        <f>IF(Table44[[#This Row],[Applicable Package?]:[Applicable Package?]]="Y",SUM('Rolled Up Non-Incremental Costs'!O21,'ICE Removal Cost'!O21,'Trans Removal Cost'!O21,'LEV3 Criteria Emissions Cost'!O21,'ZEV Assembly Reductions'!O21,'ACCII Criteria Compliance Cost'!O21,'ACCII GHG Compliance'!O21,'Current GHG Compliance'!O21)+IF(Table44[[#This Row],[Cold]:[Cold]]="Y",'Cold Weather Package'!O21,0)+IF(Table44[[#This Row],[eAWD]:[eAWD]]="Y",'eAWD Package'!O21,0)+IF(Table44[[#This Row],[Towing]:[Towing]]="Y",'Towing Bat Cost'!O21,0),"N/A")</f>
        <v>3157.3896953555668</v>
      </c>
    </row>
    <row r="51" spans="1:19" x14ac:dyDescent="0.3">
      <c r="A51" t="str">
        <f t="shared" si="1"/>
        <v>MedSUVPremiumPHEV50</v>
      </c>
      <c r="B51" s="90" t="s">
        <v>86</v>
      </c>
      <c r="C51" s="68" t="s">
        <v>80</v>
      </c>
      <c r="D51" s="68" t="str">
        <f>'Vehicle Attributes - Base Year'!D19</f>
        <v>PHEV50</v>
      </c>
      <c r="E51" s="124" t="s">
        <v>76</v>
      </c>
      <c r="F51" s="124" t="s">
        <v>77</v>
      </c>
      <c r="G51" s="125" t="s">
        <v>77</v>
      </c>
      <c r="H51" s="156" t="s">
        <v>76</v>
      </c>
      <c r="I51" s="157">
        <f>IF(Table44[[#This Row],[Applicable Package?]:[Applicable Package?]]="Y",SUM('Rolled Up Non-Incremental Costs'!E22,'ICE Removal Cost'!E22,'Trans Removal Cost'!E22,'LEV3 Criteria Emissions Cost'!E22,'ZEV Assembly Reductions'!E22,'ACCII Criteria Compliance Cost'!E22,'ACCII GHG Compliance'!E22,'Current GHG Compliance'!E22)+IF(Table44[[#This Row],[Cold]:[Cold]]="Y",'Cold Weather Package'!E22,0)+IF(Table44[[#This Row],[eAWD]:[eAWD]]="Y",'eAWD Package'!E22,0)+IF(Table44[[#This Row],[Towing]:[Towing]]="Y",'Towing Bat Cost'!E22,0),"N/A")</f>
        <v>4976.1012098839019</v>
      </c>
      <c r="J51" s="157">
        <f>IF(Table44[[#This Row],[Applicable Package?]:[Applicable Package?]]="Y",SUM('Rolled Up Non-Incremental Costs'!F22,'ICE Removal Cost'!F22,'Trans Removal Cost'!F22,'LEV3 Criteria Emissions Cost'!F22,'ZEV Assembly Reductions'!F22,'ACCII Criteria Compliance Cost'!F22,'ACCII GHG Compliance'!F22,'Current GHG Compliance'!F22)+IF(Table44[[#This Row],[Cold]:[Cold]]="Y",'Cold Weather Package'!F22,0)+IF(Table44[[#This Row],[eAWD]:[eAWD]]="Y",'eAWD Package'!F22,0)+IF(Table44[[#This Row],[Towing]:[Towing]]="Y",'Towing Bat Cost'!F22,0),"N/A")</f>
        <v>4706.0414830791797</v>
      </c>
      <c r="K51" s="157">
        <f>IF(Table44[[#This Row],[Applicable Package?]:[Applicable Package?]]="Y",SUM('Rolled Up Non-Incremental Costs'!G22,'ICE Removal Cost'!G22,'Trans Removal Cost'!G22,'LEV3 Criteria Emissions Cost'!G22,'ZEV Assembly Reductions'!G22,'ACCII Criteria Compliance Cost'!G22,'ACCII GHG Compliance'!G22,'Current GHG Compliance'!G22)+IF(Table44[[#This Row],[Cold]:[Cold]]="Y",'Cold Weather Package'!G22,0)+IF(Table44[[#This Row],[eAWD]:[eAWD]]="Y",'eAWD Package'!G22,0)+IF(Table44[[#This Row],[Towing]:[Towing]]="Y",'Towing Bat Cost'!G22,0),"N/A")</f>
        <v>4454.4072800952999</v>
      </c>
      <c r="L51" s="157">
        <f>IF(Table44[[#This Row],[Applicable Package?]:[Applicable Package?]]="Y",SUM('Rolled Up Non-Incremental Costs'!H22,'ICE Removal Cost'!H22,'Trans Removal Cost'!H22,'LEV3 Criteria Emissions Cost'!H22,'ZEV Assembly Reductions'!H22,'ACCII Criteria Compliance Cost'!H22,'ACCII GHG Compliance'!H22,'Current GHG Compliance'!H22)+IF(Table44[[#This Row],[Cold]:[Cold]]="Y",'Cold Weather Package'!H22,0)+IF(Table44[[#This Row],[eAWD]:[eAWD]]="Y",'eAWD Package'!H22,0)+IF(Table44[[#This Row],[Towing]:[Towing]]="Y",'Towing Bat Cost'!H22,0),"N/A")</f>
        <v>4219.8404799268865</v>
      </c>
      <c r="M51" s="157">
        <f>IF(Table44[[#This Row],[Applicable Package?]:[Applicable Package?]]="Y",SUM('Rolled Up Non-Incremental Costs'!I22,'ICE Removal Cost'!I22,'Trans Removal Cost'!I22,'LEV3 Criteria Emissions Cost'!I22,'ZEV Assembly Reductions'!I22,'ACCII Criteria Compliance Cost'!I22,'ACCII GHG Compliance'!I22,'Current GHG Compliance'!I22)+IF(Table44[[#This Row],[Cold]:[Cold]]="Y",'Cold Weather Package'!I22,0)+IF(Table44[[#This Row],[eAWD]:[eAWD]]="Y",'eAWD Package'!I22,0)+IF(Table44[[#This Row],[Towing]:[Towing]]="Y",'Towing Bat Cost'!I22,0),"N/A")</f>
        <v>4001.0841718581378</v>
      </c>
      <c r="N51" s="157">
        <f>IF(Table44[[#This Row],[Applicable Package?]:[Applicable Package?]]="Y",SUM('Rolled Up Non-Incremental Costs'!J22,'ICE Removal Cost'!J22,'Trans Removal Cost'!J22,'LEV3 Criteria Emissions Cost'!J22,'ZEV Assembly Reductions'!J22,'ACCII Criteria Compliance Cost'!J22,'ACCII GHG Compliance'!J22,'Current GHG Compliance'!J22)+IF(Table44[[#This Row],[Cold]:[Cold]]="Y",'Cold Weather Package'!J22,0)+IF(Table44[[#This Row],[eAWD]:[eAWD]]="Y",'eAWD Package'!J22,0)+IF(Table44[[#This Row],[Towing]:[Towing]]="Y",'Towing Bat Cost'!J22,0),"N/A")</f>
        <v>3833.9270210220329</v>
      </c>
      <c r="O51" s="157">
        <f>IF(Table44[[#This Row],[Applicable Package?]:[Applicable Package?]]="Y",SUM('Rolled Up Non-Incremental Costs'!K22,'ICE Removal Cost'!K22,'Trans Removal Cost'!K22,'LEV3 Criteria Emissions Cost'!K22,'ZEV Assembly Reductions'!K22,'ACCII Criteria Compliance Cost'!K22,'ACCII GHG Compliance'!K22,'Current GHG Compliance'!K22)+IF(Table44[[#This Row],[Cold]:[Cold]]="Y",'Cold Weather Package'!K22,0)+IF(Table44[[#This Row],[eAWD]:[eAWD]]="Y",'eAWD Package'!K22,0)+IF(Table44[[#This Row],[Towing]:[Towing]]="Y",'Towing Bat Cost'!K22,0),"N/A")</f>
        <v>3685.357464181774</v>
      </c>
      <c r="P51" s="157">
        <f>IF(Table44[[#This Row],[Applicable Package?]:[Applicable Package?]]="Y",SUM('Rolled Up Non-Incremental Costs'!L22,'ICE Removal Cost'!L22,'Trans Removal Cost'!L22,'LEV3 Criteria Emissions Cost'!L22,'ZEV Assembly Reductions'!L22,'ACCII Criteria Compliance Cost'!L22,'ACCII GHG Compliance'!L22,'Current GHG Compliance'!L22)+IF(Table44[[#This Row],[Cold]:[Cold]]="Y",'Cold Weather Package'!L22,0)+IF(Table44[[#This Row],[eAWD]:[eAWD]]="Y",'eAWD Package'!L22,0)+IF(Table44[[#This Row],[Towing]:[Towing]]="Y",'Towing Bat Cost'!L22,0),"N/A")</f>
        <v>3543.7803736029127</v>
      </c>
      <c r="Q51" s="157">
        <f>IF(Table44[[#This Row],[Applicable Package?]:[Applicable Package?]]="Y",SUM('Rolled Up Non-Incremental Costs'!M22,'ICE Removal Cost'!M22,'Trans Removal Cost'!M22,'LEV3 Criteria Emissions Cost'!M22,'ZEV Assembly Reductions'!M22,'ACCII Criteria Compliance Cost'!M22,'ACCII GHG Compliance'!M22,'Current GHG Compliance'!M22)+IF(Table44[[#This Row],[Cold]:[Cold]]="Y",'Cold Weather Package'!M22,0)+IF(Table44[[#This Row],[eAWD]:[eAWD]]="Y",'eAWD Package'!M22,0)+IF(Table44[[#This Row],[Towing]:[Towing]]="Y",'Towing Bat Cost'!M22,0),"N/A")</f>
        <v>3408.8243289273923</v>
      </c>
      <c r="R51" s="157">
        <f>IF(Table44[[#This Row],[Applicable Package?]:[Applicable Package?]]="Y",SUM('Rolled Up Non-Incremental Costs'!N22,'ICE Removal Cost'!N22,'Trans Removal Cost'!N22,'LEV3 Criteria Emissions Cost'!N22,'ZEV Assembly Reductions'!N22,'ACCII Criteria Compliance Cost'!N22,'ACCII GHG Compliance'!N22,'Current GHG Compliance'!N22)+IF(Table44[[#This Row],[Cold]:[Cold]]="Y",'Cold Weather Package'!N22,0)+IF(Table44[[#This Row],[eAWD]:[eAWD]]="Y",'eAWD Package'!N22,0)+IF(Table44[[#This Row],[Towing]:[Towing]]="Y",'Towing Bat Cost'!N22,0),"N/A")</f>
        <v>3280.1381308900654</v>
      </c>
      <c r="S51" s="157">
        <f>IF(Table44[[#This Row],[Applicable Package?]:[Applicable Package?]]="Y",SUM('Rolled Up Non-Incremental Costs'!O22,'ICE Removal Cost'!O22,'Trans Removal Cost'!O22,'LEV3 Criteria Emissions Cost'!O22,'ZEV Assembly Reductions'!O22,'ACCII Criteria Compliance Cost'!O22,'ACCII GHG Compliance'!O22,'Current GHG Compliance'!O22)+IF(Table44[[#This Row],[Cold]:[Cold]]="Y",'Cold Weather Package'!O22,0)+IF(Table44[[#This Row],[eAWD]:[eAWD]]="Y",'eAWD Package'!O22,0)+IF(Table44[[#This Row],[Towing]:[Towing]]="Y",'Towing Bat Cost'!O22,0),"N/A")</f>
        <v>3157.3896953555668</v>
      </c>
    </row>
    <row r="52" spans="1:19" x14ac:dyDescent="0.3">
      <c r="A52" s="28" t="str">
        <f t="shared" si="1"/>
        <v>PickupBasePHEV50</v>
      </c>
      <c r="B52" s="90" t="s">
        <v>89</v>
      </c>
      <c r="C52" s="68" t="s">
        <v>75</v>
      </c>
      <c r="D52" s="68" t="str">
        <f>'Vehicle Attributes - Base Year'!D20</f>
        <v>PHEV50</v>
      </c>
      <c r="E52" s="124" t="s">
        <v>76</v>
      </c>
      <c r="F52" s="124" t="s">
        <v>77</v>
      </c>
      <c r="G52" s="125" t="s">
        <v>77</v>
      </c>
      <c r="H52" s="156" t="s">
        <v>76</v>
      </c>
      <c r="I52" s="157">
        <f>IF(Table44[[#This Row],[Applicable Package?]:[Applicable Package?]]="Y",SUM('Rolled Up Non-Incremental Costs'!E23,'ICE Removal Cost'!E23,'Trans Removal Cost'!E23,'LEV3 Criteria Emissions Cost'!E23,'ZEV Assembly Reductions'!E23,'ACCII Criteria Compliance Cost'!E23,'ACCII GHG Compliance'!E23,'Current GHG Compliance'!E23)+IF(Table44[[#This Row],[Cold]:[Cold]]="Y",'Cold Weather Package'!E23,0)+IF(Table44[[#This Row],[eAWD]:[eAWD]]="Y",'eAWD Package'!E23,0)+IF(Table44[[#This Row],[Towing]:[Towing]]="Y",'Towing Bat Cost'!E23,0),"N/A")</f>
        <v>5876.5135809680669</v>
      </c>
      <c r="J52" s="157">
        <f>IF(Table44[[#This Row],[Applicable Package?]:[Applicable Package?]]="Y",SUM('Rolled Up Non-Incremental Costs'!F23,'ICE Removal Cost'!F23,'Trans Removal Cost'!F23,'LEV3 Criteria Emissions Cost'!F23,'ZEV Assembly Reductions'!F23,'ACCII Criteria Compliance Cost'!F23,'ACCII GHG Compliance'!F23,'Current GHG Compliance'!F23)+IF(Table44[[#This Row],[Cold]:[Cold]]="Y",'Cold Weather Package'!F23,0)+IF(Table44[[#This Row],[eAWD]:[eAWD]]="Y",'eAWD Package'!F23,0)+IF(Table44[[#This Row],[Towing]:[Towing]]="Y",'Towing Bat Cost'!F23,0),"N/A")</f>
        <v>5555.4291319230924</v>
      </c>
      <c r="K52" s="157">
        <f>IF(Table44[[#This Row],[Applicable Package?]:[Applicable Package?]]="Y",SUM('Rolled Up Non-Incremental Costs'!G23,'ICE Removal Cost'!G23,'Trans Removal Cost'!G23,'LEV3 Criteria Emissions Cost'!G23,'ZEV Assembly Reductions'!G23,'ACCII Criteria Compliance Cost'!G23,'ACCII GHG Compliance'!G23,'Current GHG Compliance'!G23)+IF(Table44[[#This Row],[Cold]:[Cold]]="Y",'Cold Weather Package'!G23,0)+IF(Table44[[#This Row],[eAWD]:[eAWD]]="Y",'eAWD Package'!G23,0)+IF(Table44[[#This Row],[Towing]:[Towing]]="Y",'Towing Bat Cost'!G23,0),"N/A")</f>
        <v>5256.4172916015823</v>
      </c>
      <c r="L52" s="157">
        <f>IF(Table44[[#This Row],[Applicable Package?]:[Applicable Package?]]="Y",SUM('Rolled Up Non-Incremental Costs'!H23,'ICE Removal Cost'!H23,'Trans Removal Cost'!H23,'LEV3 Criteria Emissions Cost'!H23,'ZEV Assembly Reductions'!H23,'ACCII Criteria Compliance Cost'!H23,'ACCII GHG Compliance'!H23,'Current GHG Compliance'!H23)+IF(Table44[[#This Row],[Cold]:[Cold]]="Y",'Cold Weather Package'!H23,0)+IF(Table44[[#This Row],[eAWD]:[eAWD]]="Y",'eAWD Package'!H23,0)+IF(Table44[[#This Row],[Towing]:[Towing]]="Y",'Towing Bat Cost'!H23,0),"N/A")</f>
        <v>4977.8493032163069</v>
      </c>
      <c r="M52" s="157">
        <f>IF(Table44[[#This Row],[Applicable Package?]:[Applicable Package?]]="Y",SUM('Rolled Up Non-Incremental Costs'!I23,'ICE Removal Cost'!I23,'Trans Removal Cost'!I23,'LEV3 Criteria Emissions Cost'!I23,'ZEV Assembly Reductions'!I23,'ACCII Criteria Compliance Cost'!I23,'ACCII GHG Compliance'!I23,'Current GHG Compliance'!I23)+IF(Table44[[#This Row],[Cold]:[Cold]]="Y",'Cold Weather Package'!I23,0)+IF(Table44[[#This Row],[eAWD]:[eAWD]]="Y",'eAWD Package'!I23,0)+IF(Table44[[#This Row],[Towing]:[Towing]]="Y",'Towing Bat Cost'!I23,0),"N/A")</f>
        <v>4718.2178070396649</v>
      </c>
      <c r="N52" s="157">
        <f>IF(Table44[[#This Row],[Applicable Package?]:[Applicable Package?]]="Y",SUM('Rolled Up Non-Incremental Costs'!J23,'ICE Removal Cost'!J23,'Trans Removal Cost'!J23,'LEV3 Criteria Emissions Cost'!J23,'ZEV Assembly Reductions'!J23,'ACCII Criteria Compliance Cost'!J23,'ACCII GHG Compliance'!J23,'Current GHG Compliance'!J23)+IF(Table44[[#This Row],[Cold]:[Cold]]="Y",'Cold Weather Package'!J23,0)+IF(Table44[[#This Row],[eAWD]:[eAWD]]="Y",'eAWD Package'!J23,0)+IF(Table44[[#This Row],[Towing]:[Towing]]="Y",'Towing Bat Cost'!J23,0),"N/A")</f>
        <v>4520.4509369448788</v>
      </c>
      <c r="O52" s="157">
        <f>IF(Table44[[#This Row],[Applicable Package?]:[Applicable Package?]]="Y",SUM('Rolled Up Non-Incremental Costs'!K23,'ICE Removal Cost'!K23,'Trans Removal Cost'!K23,'LEV3 Criteria Emissions Cost'!K23,'ZEV Assembly Reductions'!K23,'ACCII Criteria Compliance Cost'!K23,'ACCII GHG Compliance'!K23,'Current GHG Compliance'!K23)+IF(Table44[[#This Row],[Cold]:[Cold]]="Y",'Cold Weather Package'!K23,0)+IF(Table44[[#This Row],[eAWD]:[eAWD]]="Y",'eAWD Package'!K23,0)+IF(Table44[[#This Row],[Towing]:[Towing]]="Y",'Towing Bat Cost'!K23,0),"N/A")</f>
        <v>4344.952197757535</v>
      </c>
      <c r="P52" s="157">
        <f>IF(Table44[[#This Row],[Applicable Package?]:[Applicable Package?]]="Y",SUM('Rolled Up Non-Incremental Costs'!L23,'ICE Removal Cost'!L23,'Trans Removal Cost'!L23,'LEV3 Criteria Emissions Cost'!L23,'ZEV Assembly Reductions'!L23,'ACCII Criteria Compliance Cost'!L23,'ACCII GHG Compliance'!L23,'Current GHG Compliance'!L23)+IF(Table44[[#This Row],[Cold]:[Cold]]="Y",'Cold Weather Package'!L23,0)+IF(Table44[[#This Row],[eAWD]:[eAWD]]="Y",'eAWD Package'!L23,0)+IF(Table44[[#This Row],[Towing]:[Towing]]="Y",'Towing Bat Cost'!L23,0),"N/A")</f>
        <v>4177.8137175445936</v>
      </c>
      <c r="Q52" s="157">
        <f>IF(Table44[[#This Row],[Applicable Package?]:[Applicable Package?]]="Y",SUM('Rolled Up Non-Incremental Costs'!M23,'ICE Removal Cost'!M23,'Trans Removal Cost'!M23,'LEV3 Criteria Emissions Cost'!M23,'ZEV Assembly Reductions'!M23,'ACCII Criteria Compliance Cost'!M23,'ACCII GHG Compliance'!M23,'Current GHG Compliance'!M23)+IF(Table44[[#This Row],[Cold]:[Cold]]="Y",'Cold Weather Package'!M23,0)+IF(Table44[[#This Row],[eAWD]:[eAWD]]="Y",'eAWD Package'!M23,0)+IF(Table44[[#This Row],[Towing]:[Towing]]="Y",'Towing Bat Cost'!M23,0),"N/A")</f>
        <v>4018.5902550971678</v>
      </c>
      <c r="R52" s="157">
        <f>IF(Table44[[#This Row],[Applicable Package?]:[Applicable Package?]]="Y",SUM('Rolled Up Non-Incremental Costs'!N23,'ICE Removal Cost'!N23,'Trans Removal Cost'!N23,'LEV3 Criteria Emissions Cost'!N23,'ZEV Assembly Reductions'!N23,'ACCII Criteria Compliance Cost'!N23,'ACCII GHG Compliance'!N23,'Current GHG Compliance'!N23)+IF(Table44[[#This Row],[Cold]:[Cold]]="Y",'Cold Weather Package'!N23,0)+IF(Table44[[#This Row],[eAWD]:[eAWD]]="Y",'eAWD Package'!N23,0)+IF(Table44[[#This Row],[Towing]:[Towing]]="Y",'Towing Bat Cost'!N23,0),"N/A")</f>
        <v>3866.8608213328571</v>
      </c>
      <c r="S52" s="157">
        <f>IF(Table44[[#This Row],[Applicable Package?]:[Applicable Package?]]="Y",SUM('Rolled Up Non-Incremental Costs'!O23,'ICE Removal Cost'!O23,'Trans Removal Cost'!O23,'LEV3 Criteria Emissions Cost'!O23,'ZEV Assembly Reductions'!O23,'ACCII Criteria Compliance Cost'!O23,'ACCII GHG Compliance'!O23,'Current GHG Compliance'!O23)+IF(Table44[[#This Row],[Cold]:[Cold]]="Y",'Cold Weather Package'!O23,0)+IF(Table44[[#This Row],[eAWD]:[eAWD]]="Y",'eAWD Package'!O23,0)+IF(Table44[[#This Row],[Towing]:[Towing]]="Y",'Towing Bat Cost'!O23,0),"N/A")</f>
        <v>3722.2273527401212</v>
      </c>
    </row>
    <row r="53" spans="1:19" x14ac:dyDescent="0.3">
      <c r="A53" t="str">
        <f t="shared" si="1"/>
        <v>PickupHTPHEV50</v>
      </c>
      <c r="B53" s="90" t="s">
        <v>89</v>
      </c>
      <c r="C53" s="68" t="s">
        <v>113</v>
      </c>
      <c r="D53" s="68" t="str">
        <f>'Vehicle Attributes - Base Year'!D21</f>
        <v>PHEV50</v>
      </c>
      <c r="E53" s="124" t="s">
        <v>76</v>
      </c>
      <c r="F53" s="124" t="s">
        <v>77</v>
      </c>
      <c r="G53" s="125" t="s">
        <v>77</v>
      </c>
      <c r="H53" s="156" t="s">
        <v>76</v>
      </c>
      <c r="I53" s="157">
        <f>IF(Table44[[#This Row],[Applicable Package?]:[Applicable Package?]]="Y",SUM('Rolled Up Non-Incremental Costs'!E24,'ICE Removal Cost'!E24,'Trans Removal Cost'!E24,'LEV3 Criteria Emissions Cost'!E24,'ZEV Assembly Reductions'!E24,'ACCII Criteria Compliance Cost'!E24,'ACCII GHG Compliance'!E24,'Current GHG Compliance'!E24)+IF(Table44[[#This Row],[Cold]:[Cold]]="Y",'Cold Weather Package'!E24,0)+IF(Table44[[#This Row],[eAWD]:[eAWD]]="Y",'eAWD Package'!E24,0)+IF(Table44[[#This Row],[Towing]:[Towing]]="Y",'Towing Bat Cost'!E24,0),"N/A")</f>
        <v>5876.5135809680669</v>
      </c>
      <c r="J53" s="157">
        <f>IF(Table44[[#This Row],[Applicable Package?]:[Applicable Package?]]="Y",SUM('Rolled Up Non-Incremental Costs'!F24,'ICE Removal Cost'!F24,'Trans Removal Cost'!F24,'LEV3 Criteria Emissions Cost'!F24,'ZEV Assembly Reductions'!F24,'ACCII Criteria Compliance Cost'!F24,'ACCII GHG Compliance'!F24,'Current GHG Compliance'!F24)+IF(Table44[[#This Row],[Cold]:[Cold]]="Y",'Cold Weather Package'!F24,0)+IF(Table44[[#This Row],[eAWD]:[eAWD]]="Y",'eAWD Package'!F24,0)+IF(Table44[[#This Row],[Towing]:[Towing]]="Y",'Towing Bat Cost'!F24,0),"N/A")</f>
        <v>5555.4291319230924</v>
      </c>
      <c r="K53" s="157">
        <f>IF(Table44[[#This Row],[Applicable Package?]:[Applicable Package?]]="Y",SUM('Rolled Up Non-Incremental Costs'!G24,'ICE Removal Cost'!G24,'Trans Removal Cost'!G24,'LEV3 Criteria Emissions Cost'!G24,'ZEV Assembly Reductions'!G24,'ACCII Criteria Compliance Cost'!G24,'ACCII GHG Compliance'!G24,'Current GHG Compliance'!G24)+IF(Table44[[#This Row],[Cold]:[Cold]]="Y",'Cold Weather Package'!G24,0)+IF(Table44[[#This Row],[eAWD]:[eAWD]]="Y",'eAWD Package'!G24,0)+IF(Table44[[#This Row],[Towing]:[Towing]]="Y",'Towing Bat Cost'!G24,0),"N/A")</f>
        <v>5256.4172916015823</v>
      </c>
      <c r="L53" s="157">
        <f>IF(Table44[[#This Row],[Applicable Package?]:[Applicable Package?]]="Y",SUM('Rolled Up Non-Incremental Costs'!H24,'ICE Removal Cost'!H24,'Trans Removal Cost'!H24,'LEV3 Criteria Emissions Cost'!H24,'ZEV Assembly Reductions'!H24,'ACCII Criteria Compliance Cost'!H24,'ACCII GHG Compliance'!H24,'Current GHG Compliance'!H24)+IF(Table44[[#This Row],[Cold]:[Cold]]="Y",'Cold Weather Package'!H24,0)+IF(Table44[[#This Row],[eAWD]:[eAWD]]="Y",'eAWD Package'!H24,0)+IF(Table44[[#This Row],[Towing]:[Towing]]="Y",'Towing Bat Cost'!H24,0),"N/A")</f>
        <v>4977.8493032163069</v>
      </c>
      <c r="M53" s="157">
        <f>IF(Table44[[#This Row],[Applicable Package?]:[Applicable Package?]]="Y",SUM('Rolled Up Non-Incremental Costs'!I24,'ICE Removal Cost'!I24,'Trans Removal Cost'!I24,'LEV3 Criteria Emissions Cost'!I24,'ZEV Assembly Reductions'!I24,'ACCII Criteria Compliance Cost'!I24,'ACCII GHG Compliance'!I24,'Current GHG Compliance'!I24)+IF(Table44[[#This Row],[Cold]:[Cold]]="Y",'Cold Weather Package'!I24,0)+IF(Table44[[#This Row],[eAWD]:[eAWD]]="Y",'eAWD Package'!I24,0)+IF(Table44[[#This Row],[Towing]:[Towing]]="Y",'Towing Bat Cost'!I24,0),"N/A")</f>
        <v>4718.2178070396649</v>
      </c>
      <c r="N53" s="157">
        <f>IF(Table44[[#This Row],[Applicable Package?]:[Applicable Package?]]="Y",SUM('Rolled Up Non-Incremental Costs'!J24,'ICE Removal Cost'!J24,'Trans Removal Cost'!J24,'LEV3 Criteria Emissions Cost'!J24,'ZEV Assembly Reductions'!J24,'ACCII Criteria Compliance Cost'!J24,'ACCII GHG Compliance'!J24,'Current GHG Compliance'!J24)+IF(Table44[[#This Row],[Cold]:[Cold]]="Y",'Cold Weather Package'!J24,0)+IF(Table44[[#This Row],[eAWD]:[eAWD]]="Y",'eAWD Package'!J24,0)+IF(Table44[[#This Row],[Towing]:[Towing]]="Y",'Towing Bat Cost'!J24,0),"N/A")</f>
        <v>4520.4509369448788</v>
      </c>
      <c r="O53" s="157">
        <f>IF(Table44[[#This Row],[Applicable Package?]:[Applicable Package?]]="Y",SUM('Rolled Up Non-Incremental Costs'!K24,'ICE Removal Cost'!K24,'Trans Removal Cost'!K24,'LEV3 Criteria Emissions Cost'!K24,'ZEV Assembly Reductions'!K24,'ACCII Criteria Compliance Cost'!K24,'ACCII GHG Compliance'!K24,'Current GHG Compliance'!K24)+IF(Table44[[#This Row],[Cold]:[Cold]]="Y",'Cold Weather Package'!K24,0)+IF(Table44[[#This Row],[eAWD]:[eAWD]]="Y",'eAWD Package'!K24,0)+IF(Table44[[#This Row],[Towing]:[Towing]]="Y",'Towing Bat Cost'!K24,0),"N/A")</f>
        <v>4344.952197757535</v>
      </c>
      <c r="P53" s="157">
        <f>IF(Table44[[#This Row],[Applicable Package?]:[Applicable Package?]]="Y",SUM('Rolled Up Non-Incremental Costs'!L24,'ICE Removal Cost'!L24,'Trans Removal Cost'!L24,'LEV3 Criteria Emissions Cost'!L24,'ZEV Assembly Reductions'!L24,'ACCII Criteria Compliance Cost'!L24,'ACCII GHG Compliance'!L24,'Current GHG Compliance'!L24)+IF(Table44[[#This Row],[Cold]:[Cold]]="Y",'Cold Weather Package'!L24,0)+IF(Table44[[#This Row],[eAWD]:[eAWD]]="Y",'eAWD Package'!L24,0)+IF(Table44[[#This Row],[Towing]:[Towing]]="Y",'Towing Bat Cost'!L24,0),"N/A")</f>
        <v>4177.8137175445936</v>
      </c>
      <c r="Q53" s="157">
        <f>IF(Table44[[#This Row],[Applicable Package?]:[Applicable Package?]]="Y",SUM('Rolled Up Non-Incremental Costs'!M24,'ICE Removal Cost'!M24,'Trans Removal Cost'!M24,'LEV3 Criteria Emissions Cost'!M24,'ZEV Assembly Reductions'!M24,'ACCII Criteria Compliance Cost'!M24,'ACCII GHG Compliance'!M24,'Current GHG Compliance'!M24)+IF(Table44[[#This Row],[Cold]:[Cold]]="Y",'Cold Weather Package'!M24,0)+IF(Table44[[#This Row],[eAWD]:[eAWD]]="Y",'eAWD Package'!M24,0)+IF(Table44[[#This Row],[Towing]:[Towing]]="Y",'Towing Bat Cost'!M24,0),"N/A")</f>
        <v>4018.5902550971678</v>
      </c>
      <c r="R53" s="157">
        <f>IF(Table44[[#This Row],[Applicable Package?]:[Applicable Package?]]="Y",SUM('Rolled Up Non-Incremental Costs'!N24,'ICE Removal Cost'!N24,'Trans Removal Cost'!N24,'LEV3 Criteria Emissions Cost'!N24,'ZEV Assembly Reductions'!N24,'ACCII Criteria Compliance Cost'!N24,'ACCII GHG Compliance'!N24,'Current GHG Compliance'!N24)+IF(Table44[[#This Row],[Cold]:[Cold]]="Y",'Cold Weather Package'!N24,0)+IF(Table44[[#This Row],[eAWD]:[eAWD]]="Y",'eAWD Package'!N24,0)+IF(Table44[[#This Row],[Towing]:[Towing]]="Y",'Towing Bat Cost'!N24,0),"N/A")</f>
        <v>3866.8608213328571</v>
      </c>
      <c r="S53" s="157">
        <f>IF(Table44[[#This Row],[Applicable Package?]:[Applicable Package?]]="Y",SUM('Rolled Up Non-Incremental Costs'!O24,'ICE Removal Cost'!O24,'Trans Removal Cost'!O24,'LEV3 Criteria Emissions Cost'!O24,'ZEV Assembly Reductions'!O24,'ACCII Criteria Compliance Cost'!O24,'ACCII GHG Compliance'!O24,'Current GHG Compliance'!O24)+IF(Table44[[#This Row],[Cold]:[Cold]]="Y",'Cold Weather Package'!O24,0)+IF(Table44[[#This Row],[eAWD]:[eAWD]]="Y",'eAWD Package'!O24,0)+IF(Table44[[#This Row],[Towing]:[Towing]]="Y",'Towing Bat Cost'!O24,0),"N/A")</f>
        <v>3722.2273527401212</v>
      </c>
    </row>
    <row r="54" spans="1:19" x14ac:dyDescent="0.3">
      <c r="A54" s="28" t="str">
        <f t="shared" si="1"/>
        <v>SmallCarBaseFCEV320</v>
      </c>
      <c r="B54" s="90" t="s">
        <v>73</v>
      </c>
      <c r="C54" s="68" t="s">
        <v>75</v>
      </c>
      <c r="D54" s="68" t="str">
        <f>'Vehicle Attributes - Base Year'!D22</f>
        <v>FCEV320</v>
      </c>
      <c r="E54" s="124" t="s">
        <v>76</v>
      </c>
      <c r="F54" s="124" t="s">
        <v>77</v>
      </c>
      <c r="G54" s="125" t="s">
        <v>77</v>
      </c>
      <c r="H54" s="156" t="s">
        <v>76</v>
      </c>
      <c r="I54" s="157">
        <f>IF(Table44[[#This Row],[Applicable Package?]:[Applicable Package?]]="Y",SUM('Rolled Up Non-Incremental Costs'!E25,'ICE Removal Cost'!E25,'Trans Removal Cost'!E25,'LEV3 Criteria Emissions Cost'!E25,'ZEV Assembly Reductions'!E25,'ACCII Criteria Compliance Cost'!E25,'ACCII GHG Compliance'!E25,'Current GHG Compliance'!E25)+IF(Table44[[#This Row],[Cold]:[Cold]]="Y",'Cold Weather Package'!E25,0)+IF(Table44[[#This Row],[eAWD]:[eAWD]]="Y",'eAWD Package'!E25,0)+IF(Table44[[#This Row],[Towing]:[Towing]]="Y",'Towing Bat Cost'!E25,0),"N/A")</f>
        <v>7081.4450199268249</v>
      </c>
      <c r="J54" s="157">
        <f>IF(Table44[[#This Row],[Applicable Package?]:[Applicable Package?]]="Y",SUM('Rolled Up Non-Incremental Costs'!F25,'ICE Removal Cost'!F25,'Trans Removal Cost'!F25,'LEV3 Criteria Emissions Cost'!F25,'ZEV Assembly Reductions'!F25,'ACCII Criteria Compliance Cost'!F25,'ACCII GHG Compliance'!F25,'Current GHG Compliance'!F25)+IF(Table44[[#This Row],[Cold]:[Cold]]="Y",'Cold Weather Package'!F25,0)+IF(Table44[[#This Row],[eAWD]:[eAWD]]="Y",'eAWD Package'!F25,0)+IF(Table44[[#This Row],[Towing]:[Towing]]="Y",'Towing Bat Cost'!F25,0),"N/A")</f>
        <v>6255.825616983424</v>
      </c>
      <c r="K54" s="157">
        <f>IF(Table44[[#This Row],[Applicable Package?]:[Applicable Package?]]="Y",SUM('Rolled Up Non-Incremental Costs'!G25,'ICE Removal Cost'!G25,'Trans Removal Cost'!G25,'LEV3 Criteria Emissions Cost'!G25,'ZEV Assembly Reductions'!G25,'ACCII Criteria Compliance Cost'!G25,'ACCII GHG Compliance'!G25,'Current GHG Compliance'!G25)+IF(Table44[[#This Row],[Cold]:[Cold]]="Y",'Cold Weather Package'!G25,0)+IF(Table44[[#This Row],[eAWD]:[eAWD]]="Y",'eAWD Package'!G25,0)+IF(Table44[[#This Row],[Towing]:[Towing]]="Y",'Towing Bat Cost'!G25,0),"N/A")</f>
        <v>5442.0639934352857</v>
      </c>
      <c r="L54" s="157">
        <f>IF(Table44[[#This Row],[Applicable Package?]:[Applicable Package?]]="Y",SUM('Rolled Up Non-Incremental Costs'!H25,'ICE Removal Cost'!H25,'Trans Removal Cost'!H25,'LEV3 Criteria Emissions Cost'!H25,'ZEV Assembly Reductions'!H25,'ACCII Criteria Compliance Cost'!H25,'ACCII GHG Compliance'!H25,'Current GHG Compliance'!H25)+IF(Table44[[#This Row],[Cold]:[Cold]]="Y",'Cold Weather Package'!H25,0)+IF(Table44[[#This Row],[eAWD]:[eAWD]]="Y",'eAWD Package'!H25,0)+IF(Table44[[#This Row],[Towing]:[Towing]]="Y",'Towing Bat Cost'!H25,0),"N/A")</f>
        <v>4640.1566859172563</v>
      </c>
      <c r="M54" s="157">
        <f>IF(Table44[[#This Row],[Applicable Package?]:[Applicable Package?]]="Y",SUM('Rolled Up Non-Incremental Costs'!I25,'ICE Removal Cost'!I25,'Trans Removal Cost'!I25,'LEV3 Criteria Emissions Cost'!I25,'ZEV Assembly Reductions'!I25,'ACCII Criteria Compliance Cost'!I25,'ACCII GHG Compliance'!I25,'Current GHG Compliance'!I25)+IF(Table44[[#This Row],[Cold]:[Cold]]="Y",'Cold Weather Package'!I25,0)+IF(Table44[[#This Row],[eAWD]:[eAWD]]="Y",'eAWD Package'!I25,0)+IF(Table44[[#This Row],[Towing]:[Towing]]="Y",'Towing Bat Cost'!I25,0),"N/A")</f>
        <v>3850.1002656978399</v>
      </c>
      <c r="N54" s="157">
        <f>IF(Table44[[#This Row],[Applicable Package?]:[Applicable Package?]]="Y",SUM('Rolled Up Non-Incremental Costs'!J25,'ICE Removal Cost'!J25,'Trans Removal Cost'!J25,'LEV3 Criteria Emissions Cost'!J25,'ZEV Assembly Reductions'!J25,'ACCII Criteria Compliance Cost'!J25,'ACCII GHG Compliance'!J25,'Current GHG Compliance'!J25)+IF(Table44[[#This Row],[Cold]:[Cold]]="Y",'Cold Weather Package'!J25,0)+IF(Table44[[#This Row],[eAWD]:[eAWD]]="Y",'eAWD Package'!J25,0)+IF(Table44[[#This Row],[Towing]:[Towing]]="Y",'Towing Bat Cost'!J25,0),"N/A")</f>
        <v>3071.8913383328436</v>
      </c>
      <c r="O54" s="157">
        <f>IF(Table44[[#This Row],[Applicable Package?]:[Applicable Package?]]="Y",SUM('Rolled Up Non-Incremental Costs'!K25,'ICE Removal Cost'!K25,'Trans Removal Cost'!K25,'LEV3 Criteria Emissions Cost'!K25,'ZEV Assembly Reductions'!K25,'ACCII Criteria Compliance Cost'!K25,'ACCII GHG Compliance'!K25,'Current GHG Compliance'!K25)+IF(Table44[[#This Row],[Cold]:[Cold]]="Y",'Cold Weather Package'!K25,0)+IF(Table44[[#This Row],[eAWD]:[eAWD]]="Y",'eAWD Package'!K25,0)+IF(Table44[[#This Row],[Towing]:[Towing]]="Y",'Towing Bat Cost'!K25,0),"N/A")</f>
        <v>2776.0091371296712</v>
      </c>
      <c r="P54" s="157">
        <f>IF(Table44[[#This Row],[Applicable Package?]:[Applicable Package?]]="Y",SUM('Rolled Up Non-Incremental Costs'!L25,'ICE Removal Cost'!L25,'Trans Removal Cost'!L25,'LEV3 Criteria Emissions Cost'!L25,'ZEV Assembly Reductions'!L25,'ACCII Criteria Compliance Cost'!L25,'ACCII GHG Compliance'!L25,'Current GHG Compliance'!L25)+IF(Table44[[#This Row],[Cold]:[Cold]]="Y",'Cold Weather Package'!L25,0)+IF(Table44[[#This Row],[eAWD]:[eAWD]]="Y",'eAWD Package'!L25,0)+IF(Table44[[#This Row],[Towing]:[Towing]]="Y",'Towing Bat Cost'!L25,0),"N/A")</f>
        <v>2483.2827646990409</v>
      </c>
      <c r="Q54" s="157">
        <f>IF(Table44[[#This Row],[Applicable Package?]:[Applicable Package?]]="Y",SUM('Rolled Up Non-Incremental Costs'!M25,'ICE Removal Cost'!M25,'Trans Removal Cost'!M25,'LEV3 Criteria Emissions Cost'!M25,'ZEV Assembly Reductions'!M25,'ACCII Criteria Compliance Cost'!M25,'ACCII GHG Compliance'!M25,'Current GHG Compliance'!M25)+IF(Table44[[#This Row],[Cold]:[Cold]]="Y",'Cold Weather Package'!M25,0)+IF(Table44[[#This Row],[eAWD]:[eAWD]]="Y",'eAWD Package'!M25,0)+IF(Table44[[#This Row],[Towing]:[Towing]]="Y",'Towing Bat Cost'!M25,0),"N/A")</f>
        <v>2193.7022556071552</v>
      </c>
      <c r="R54" s="157">
        <f>IF(Table44[[#This Row],[Applicable Package?]:[Applicable Package?]]="Y",SUM('Rolled Up Non-Incremental Costs'!N25,'ICE Removal Cost'!N25,'Trans Removal Cost'!N25,'LEV3 Criteria Emissions Cost'!N25,'ZEV Assembly Reductions'!N25,'ACCII Criteria Compliance Cost'!N25,'ACCII GHG Compliance'!N25,'Current GHG Compliance'!N25)+IF(Table44[[#This Row],[Cold]:[Cold]]="Y",'Cold Weather Package'!N25,0)+IF(Table44[[#This Row],[eAWD]:[eAWD]]="Y",'eAWD Package'!N25,0)+IF(Table44[[#This Row],[Towing]:[Towing]]="Y",'Towing Bat Cost'!N25,0),"N/A")</f>
        <v>1907.2577663139127</v>
      </c>
      <c r="S54" s="157">
        <f>IF(Table44[[#This Row],[Applicable Package?]:[Applicable Package?]]="Y",SUM('Rolled Up Non-Incremental Costs'!O25,'ICE Removal Cost'!O25,'Trans Removal Cost'!O25,'LEV3 Criteria Emissions Cost'!O25,'ZEV Assembly Reductions'!O25,'ACCII Criteria Compliance Cost'!O25,'ACCII GHG Compliance'!O25,'Current GHG Compliance'!O25)+IF(Table44[[#This Row],[Cold]:[Cold]]="Y",'Cold Weather Package'!O25,0)+IF(Table44[[#This Row],[eAWD]:[eAWD]]="Y",'eAWD Package'!O25,0)+IF(Table44[[#This Row],[Towing]:[Towing]]="Y",'Towing Bat Cost'!O25,0),"N/A")</f>
        <v>1623.9395737315735</v>
      </c>
    </row>
    <row r="55" spans="1:19" x14ac:dyDescent="0.3">
      <c r="A55" t="str">
        <f t="shared" si="1"/>
        <v>SmallCarPremiumFCEV320</v>
      </c>
      <c r="B55" s="90" t="s">
        <v>73</v>
      </c>
      <c r="C55" s="68" t="s">
        <v>80</v>
      </c>
      <c r="D55" s="68" t="str">
        <f>'Vehicle Attributes - Base Year'!D23</f>
        <v>FCEV320</v>
      </c>
      <c r="E55" s="124" t="s">
        <v>76</v>
      </c>
      <c r="F55" s="124" t="s">
        <v>77</v>
      </c>
      <c r="G55" s="125" t="s">
        <v>77</v>
      </c>
      <c r="H55" s="156" t="s">
        <v>76</v>
      </c>
      <c r="I55" s="157">
        <f>IF(Table44[[#This Row],[Applicable Package?]:[Applicable Package?]]="Y",SUM('Rolled Up Non-Incremental Costs'!E26,'ICE Removal Cost'!E26,'Trans Removal Cost'!E26,'LEV3 Criteria Emissions Cost'!E26,'ZEV Assembly Reductions'!E26,'ACCII Criteria Compliance Cost'!E26,'ACCII GHG Compliance'!E26,'Current GHG Compliance'!E26)+IF(Table44[[#This Row],[Cold]:[Cold]]="Y",'Cold Weather Package'!E26,0)+IF(Table44[[#This Row],[eAWD]:[eAWD]]="Y",'eAWD Package'!E26,0)+IF(Table44[[#This Row],[Towing]:[Towing]]="Y",'Towing Bat Cost'!E26,0),"N/A")</f>
        <v>7081.4450199268249</v>
      </c>
      <c r="J55" s="157">
        <f>IF(Table44[[#This Row],[Applicable Package?]:[Applicable Package?]]="Y",SUM('Rolled Up Non-Incremental Costs'!F26,'ICE Removal Cost'!F26,'Trans Removal Cost'!F26,'LEV3 Criteria Emissions Cost'!F26,'ZEV Assembly Reductions'!F26,'ACCII Criteria Compliance Cost'!F26,'ACCII GHG Compliance'!F26,'Current GHG Compliance'!F26)+IF(Table44[[#This Row],[Cold]:[Cold]]="Y",'Cold Weather Package'!F26,0)+IF(Table44[[#This Row],[eAWD]:[eAWD]]="Y",'eAWD Package'!F26,0)+IF(Table44[[#This Row],[Towing]:[Towing]]="Y",'Towing Bat Cost'!F26,0),"N/A")</f>
        <v>6255.825616983424</v>
      </c>
      <c r="K55" s="157">
        <f>IF(Table44[[#This Row],[Applicable Package?]:[Applicable Package?]]="Y",SUM('Rolled Up Non-Incremental Costs'!G26,'ICE Removal Cost'!G26,'Trans Removal Cost'!G26,'LEV3 Criteria Emissions Cost'!G26,'ZEV Assembly Reductions'!G26,'ACCII Criteria Compliance Cost'!G26,'ACCII GHG Compliance'!G26,'Current GHG Compliance'!G26)+IF(Table44[[#This Row],[Cold]:[Cold]]="Y",'Cold Weather Package'!G26,0)+IF(Table44[[#This Row],[eAWD]:[eAWD]]="Y",'eAWD Package'!G26,0)+IF(Table44[[#This Row],[Towing]:[Towing]]="Y",'Towing Bat Cost'!G26,0),"N/A")</f>
        <v>5442.0639934352857</v>
      </c>
      <c r="L55" s="157">
        <f>IF(Table44[[#This Row],[Applicable Package?]:[Applicable Package?]]="Y",SUM('Rolled Up Non-Incremental Costs'!H26,'ICE Removal Cost'!H26,'Trans Removal Cost'!H26,'LEV3 Criteria Emissions Cost'!H26,'ZEV Assembly Reductions'!H26,'ACCII Criteria Compliance Cost'!H26,'ACCII GHG Compliance'!H26,'Current GHG Compliance'!H26)+IF(Table44[[#This Row],[Cold]:[Cold]]="Y",'Cold Weather Package'!H26,0)+IF(Table44[[#This Row],[eAWD]:[eAWD]]="Y",'eAWD Package'!H26,0)+IF(Table44[[#This Row],[Towing]:[Towing]]="Y",'Towing Bat Cost'!H26,0),"N/A")</f>
        <v>4640.1566859172563</v>
      </c>
      <c r="M55" s="157">
        <f>IF(Table44[[#This Row],[Applicable Package?]:[Applicable Package?]]="Y",SUM('Rolled Up Non-Incremental Costs'!I26,'ICE Removal Cost'!I26,'Trans Removal Cost'!I26,'LEV3 Criteria Emissions Cost'!I26,'ZEV Assembly Reductions'!I26,'ACCII Criteria Compliance Cost'!I26,'ACCII GHG Compliance'!I26,'Current GHG Compliance'!I26)+IF(Table44[[#This Row],[Cold]:[Cold]]="Y",'Cold Weather Package'!I26,0)+IF(Table44[[#This Row],[eAWD]:[eAWD]]="Y",'eAWD Package'!I26,0)+IF(Table44[[#This Row],[Towing]:[Towing]]="Y",'Towing Bat Cost'!I26,0),"N/A")</f>
        <v>3850.1002656978399</v>
      </c>
      <c r="N55" s="157">
        <f>IF(Table44[[#This Row],[Applicable Package?]:[Applicable Package?]]="Y",SUM('Rolled Up Non-Incremental Costs'!J26,'ICE Removal Cost'!J26,'Trans Removal Cost'!J26,'LEV3 Criteria Emissions Cost'!J26,'ZEV Assembly Reductions'!J26,'ACCII Criteria Compliance Cost'!J26,'ACCII GHG Compliance'!J26,'Current GHG Compliance'!J26)+IF(Table44[[#This Row],[Cold]:[Cold]]="Y",'Cold Weather Package'!J26,0)+IF(Table44[[#This Row],[eAWD]:[eAWD]]="Y",'eAWD Package'!J26,0)+IF(Table44[[#This Row],[Towing]:[Towing]]="Y",'Towing Bat Cost'!J26,0),"N/A")</f>
        <v>3071.8913383328436</v>
      </c>
      <c r="O55" s="157">
        <f>IF(Table44[[#This Row],[Applicable Package?]:[Applicable Package?]]="Y",SUM('Rolled Up Non-Incremental Costs'!K26,'ICE Removal Cost'!K26,'Trans Removal Cost'!K26,'LEV3 Criteria Emissions Cost'!K26,'ZEV Assembly Reductions'!K26,'ACCII Criteria Compliance Cost'!K26,'ACCII GHG Compliance'!K26,'Current GHG Compliance'!K26)+IF(Table44[[#This Row],[Cold]:[Cold]]="Y",'Cold Weather Package'!K26,0)+IF(Table44[[#This Row],[eAWD]:[eAWD]]="Y",'eAWD Package'!K26,0)+IF(Table44[[#This Row],[Towing]:[Towing]]="Y",'Towing Bat Cost'!K26,0),"N/A")</f>
        <v>2776.0091371296712</v>
      </c>
      <c r="P55" s="157">
        <f>IF(Table44[[#This Row],[Applicable Package?]:[Applicable Package?]]="Y",SUM('Rolled Up Non-Incremental Costs'!L26,'ICE Removal Cost'!L26,'Trans Removal Cost'!L26,'LEV3 Criteria Emissions Cost'!L26,'ZEV Assembly Reductions'!L26,'ACCII Criteria Compliance Cost'!L26,'ACCII GHG Compliance'!L26,'Current GHG Compliance'!L26)+IF(Table44[[#This Row],[Cold]:[Cold]]="Y",'Cold Weather Package'!L26,0)+IF(Table44[[#This Row],[eAWD]:[eAWD]]="Y",'eAWD Package'!L26,0)+IF(Table44[[#This Row],[Towing]:[Towing]]="Y",'Towing Bat Cost'!L26,0),"N/A")</f>
        <v>2483.2827646990409</v>
      </c>
      <c r="Q55" s="157">
        <f>IF(Table44[[#This Row],[Applicable Package?]:[Applicable Package?]]="Y",SUM('Rolled Up Non-Incremental Costs'!M26,'ICE Removal Cost'!M26,'Trans Removal Cost'!M26,'LEV3 Criteria Emissions Cost'!M26,'ZEV Assembly Reductions'!M26,'ACCII Criteria Compliance Cost'!M26,'ACCII GHG Compliance'!M26,'Current GHG Compliance'!M26)+IF(Table44[[#This Row],[Cold]:[Cold]]="Y",'Cold Weather Package'!M26,0)+IF(Table44[[#This Row],[eAWD]:[eAWD]]="Y",'eAWD Package'!M26,0)+IF(Table44[[#This Row],[Towing]:[Towing]]="Y",'Towing Bat Cost'!M26,0),"N/A")</f>
        <v>2193.7022556071552</v>
      </c>
      <c r="R55" s="157">
        <f>IF(Table44[[#This Row],[Applicable Package?]:[Applicable Package?]]="Y",SUM('Rolled Up Non-Incremental Costs'!N26,'ICE Removal Cost'!N26,'Trans Removal Cost'!N26,'LEV3 Criteria Emissions Cost'!N26,'ZEV Assembly Reductions'!N26,'ACCII Criteria Compliance Cost'!N26,'ACCII GHG Compliance'!N26,'Current GHG Compliance'!N26)+IF(Table44[[#This Row],[Cold]:[Cold]]="Y",'Cold Weather Package'!N26,0)+IF(Table44[[#This Row],[eAWD]:[eAWD]]="Y",'eAWD Package'!N26,0)+IF(Table44[[#This Row],[Towing]:[Towing]]="Y",'Towing Bat Cost'!N26,0),"N/A")</f>
        <v>1907.2577663139127</v>
      </c>
      <c r="S55" s="157">
        <f>IF(Table44[[#This Row],[Applicable Package?]:[Applicable Package?]]="Y",SUM('Rolled Up Non-Incremental Costs'!O26,'ICE Removal Cost'!O26,'Trans Removal Cost'!O26,'LEV3 Criteria Emissions Cost'!O26,'ZEV Assembly Reductions'!O26,'ACCII Criteria Compliance Cost'!O26,'ACCII GHG Compliance'!O26,'Current GHG Compliance'!O26)+IF(Table44[[#This Row],[Cold]:[Cold]]="Y",'Cold Weather Package'!O26,0)+IF(Table44[[#This Row],[eAWD]:[eAWD]]="Y",'eAWD Package'!O26,0)+IF(Table44[[#This Row],[Towing]:[Towing]]="Y",'Towing Bat Cost'!O26,0),"N/A")</f>
        <v>1623.9395737315735</v>
      </c>
    </row>
    <row r="56" spans="1:19" x14ac:dyDescent="0.3">
      <c r="A56" s="28" t="str">
        <f t="shared" si="1"/>
        <v>MedCarBaseFCEV320</v>
      </c>
      <c r="B56" s="90" t="s">
        <v>82</v>
      </c>
      <c r="C56" s="68" t="s">
        <v>75</v>
      </c>
      <c r="D56" s="68" t="str">
        <f>'Vehicle Attributes - Base Year'!D24</f>
        <v>FCEV320</v>
      </c>
      <c r="E56" s="124" t="s">
        <v>76</v>
      </c>
      <c r="F56" s="124" t="s">
        <v>77</v>
      </c>
      <c r="G56" s="125" t="s">
        <v>77</v>
      </c>
      <c r="H56" s="156" t="s">
        <v>76</v>
      </c>
      <c r="I56" s="157">
        <f>IF(Table44[[#This Row],[Applicable Package?]:[Applicable Package?]]="Y",SUM('Rolled Up Non-Incremental Costs'!E27,'ICE Removal Cost'!E27,'Trans Removal Cost'!E27,'LEV3 Criteria Emissions Cost'!E27,'ZEV Assembly Reductions'!E27,'ACCII Criteria Compliance Cost'!E27,'ACCII GHG Compliance'!E27,'Current GHG Compliance'!E27)+IF(Table44[[#This Row],[Cold]:[Cold]]="Y",'Cold Weather Package'!E27,0)+IF(Table44[[#This Row],[eAWD]:[eAWD]]="Y",'eAWD Package'!E27,0)+IF(Table44[[#This Row],[Towing]:[Towing]]="Y",'Towing Bat Cost'!E27,0),"N/A")</f>
        <v>10940.471607515748</v>
      </c>
      <c r="J56" s="157">
        <f>IF(Table44[[#This Row],[Applicable Package?]:[Applicable Package?]]="Y",SUM('Rolled Up Non-Incremental Costs'!F27,'ICE Removal Cost'!F27,'Trans Removal Cost'!F27,'LEV3 Criteria Emissions Cost'!F27,'ZEV Assembly Reductions'!F27,'ACCII Criteria Compliance Cost'!F27,'ACCII GHG Compliance'!F27,'Current GHG Compliance'!F27)+IF(Table44[[#This Row],[Cold]:[Cold]]="Y",'Cold Weather Package'!F27,0)+IF(Table44[[#This Row],[eAWD]:[eAWD]]="Y",'eAWD Package'!F27,0)+IF(Table44[[#This Row],[Towing]:[Towing]]="Y",'Towing Bat Cost'!F27,0),"N/A")</f>
        <v>9735.3600896419448</v>
      </c>
      <c r="K56" s="157">
        <f>IF(Table44[[#This Row],[Applicable Package?]:[Applicable Package?]]="Y",SUM('Rolled Up Non-Incremental Costs'!G27,'ICE Removal Cost'!G27,'Trans Removal Cost'!G27,'LEV3 Criteria Emissions Cost'!G27,'ZEV Assembly Reductions'!G27,'ACCII Criteria Compliance Cost'!G27,'ACCII GHG Compliance'!G27,'Current GHG Compliance'!G27)+IF(Table44[[#This Row],[Cold]:[Cold]]="Y",'Cold Weather Package'!G27,0)+IF(Table44[[#This Row],[eAWD]:[eAWD]]="Y",'eAWD Package'!G27,0)+IF(Table44[[#This Row],[Towing]:[Towing]]="Y",'Towing Bat Cost'!G27,0),"N/A")</f>
        <v>8557.0581667910574</v>
      </c>
      <c r="L56" s="157">
        <f>IF(Table44[[#This Row],[Applicable Package?]:[Applicable Package?]]="Y",SUM('Rolled Up Non-Incremental Costs'!H27,'ICE Removal Cost'!H27,'Trans Removal Cost'!H27,'LEV3 Criteria Emissions Cost'!H27,'ZEV Assembly Reductions'!H27,'ACCII Criteria Compliance Cost'!H27,'ACCII GHG Compliance'!H27,'Current GHG Compliance'!H27)+IF(Table44[[#This Row],[Cold]:[Cold]]="Y",'Cold Weather Package'!H27,0)+IF(Table44[[#This Row],[eAWD]:[eAWD]]="Y",'eAWD Package'!H27,0)+IF(Table44[[#This Row],[Towing]:[Towing]]="Y",'Towing Bat Cost'!H27,0),"N/A")</f>
        <v>7405.5547488199281</v>
      </c>
      <c r="M56" s="157">
        <f>IF(Table44[[#This Row],[Applicable Package?]:[Applicable Package?]]="Y",SUM('Rolled Up Non-Incremental Costs'!I27,'ICE Removal Cost'!I27,'Trans Removal Cost'!I27,'LEV3 Criteria Emissions Cost'!I27,'ZEV Assembly Reductions'!I27,'ACCII Criteria Compliance Cost'!I27,'ACCII GHG Compliance'!I27,'Current GHG Compliance'!I27)+IF(Table44[[#This Row],[Cold]:[Cold]]="Y",'Cold Weather Package'!I27,0)+IF(Table44[[#This Row],[eAWD]:[eAWD]]="Y",'eAWD Package'!I27,0)+IF(Table44[[#This Row],[Towing]:[Towing]]="Y",'Towing Bat Cost'!I27,0),"N/A")</f>
        <v>6280.8388798723208</v>
      </c>
      <c r="N56" s="157">
        <f>IF(Table44[[#This Row],[Applicable Package?]:[Applicable Package?]]="Y",SUM('Rolled Up Non-Incremental Costs'!J27,'ICE Removal Cost'!J27,'Trans Removal Cost'!J27,'LEV3 Criteria Emissions Cost'!J27,'ZEV Assembly Reductions'!J27,'ACCII Criteria Compliance Cost'!J27,'ACCII GHG Compliance'!J27,'Current GHG Compliance'!J27)+IF(Table44[[#This Row],[Cold]:[Cold]]="Y",'Cold Weather Package'!J27,0)+IF(Table44[[#This Row],[eAWD]:[eAWD]]="Y",'eAWD Package'!J27,0)+IF(Table44[[#This Row],[Towing]:[Towing]]="Y",'Towing Bat Cost'!J27,0),"N/A")</f>
        <v>5182.8997368021774</v>
      </c>
      <c r="O56" s="157">
        <f>IF(Table44[[#This Row],[Applicable Package?]:[Applicable Package?]]="Y",SUM('Rolled Up Non-Incremental Costs'!K27,'ICE Removal Cost'!K27,'Trans Removal Cost'!K27,'LEV3 Criteria Emissions Cost'!K27,'ZEV Assembly Reductions'!K27,'ACCII Criteria Compliance Cost'!K27,'ACCII GHG Compliance'!K27,'Current GHG Compliance'!K27)+IF(Table44[[#This Row],[Cold]:[Cold]]="Y",'Cold Weather Package'!K27,0)+IF(Table44[[#This Row],[eAWD]:[eAWD]]="Y",'eAWD Package'!K27,0)+IF(Table44[[#This Row],[Towing]:[Towing]]="Y",'Towing Bat Cost'!K27,0),"N/A")</f>
        <v>4809.5348385198267</v>
      </c>
      <c r="P56" s="157">
        <f>IF(Table44[[#This Row],[Applicable Package?]:[Applicable Package?]]="Y",SUM('Rolled Up Non-Incremental Costs'!L27,'ICE Removal Cost'!L27,'Trans Removal Cost'!L27,'LEV3 Criteria Emissions Cost'!L27,'ZEV Assembly Reductions'!L27,'ACCII Criteria Compliance Cost'!L27,'ACCII GHG Compliance'!L27,'Current GHG Compliance'!L27)+IF(Table44[[#This Row],[Cold]:[Cold]]="Y",'Cold Weather Package'!L27,0)+IF(Table44[[#This Row],[eAWD]:[eAWD]]="Y",'eAWD Package'!L27,0)+IF(Table44[[#This Row],[Towing]:[Towing]]="Y",'Towing Bat Cost'!L27,0),"N/A")</f>
        <v>4441.4319715439633</v>
      </c>
      <c r="Q56" s="157">
        <f>IF(Table44[[#This Row],[Applicable Package?]:[Applicable Package?]]="Y",SUM('Rolled Up Non-Incremental Costs'!M27,'ICE Removal Cost'!M27,'Trans Removal Cost'!M27,'LEV3 Criteria Emissions Cost'!M27,'ZEV Assembly Reductions'!M27,'ACCII Criteria Compliance Cost'!M27,'ACCII GHG Compliance'!M27,'Current GHG Compliance'!M27)+IF(Table44[[#This Row],[Cold]:[Cold]]="Y",'Cold Weather Package'!M27,0)+IF(Table44[[#This Row],[eAWD]:[eAWD]]="Y",'eAWD Package'!M27,0)+IF(Table44[[#This Row],[Towing]:[Towing]]="Y",'Towing Bat Cost'!M27,0),"N/A")</f>
        <v>4078.580701578785</v>
      </c>
      <c r="R56" s="157">
        <f>IF(Table44[[#This Row],[Applicable Package?]:[Applicable Package?]]="Y",SUM('Rolled Up Non-Incremental Costs'!N27,'ICE Removal Cost'!N27,'Trans Removal Cost'!N27,'LEV3 Criteria Emissions Cost'!N27,'ZEV Assembly Reductions'!N27,'ACCII Criteria Compliance Cost'!N27,'ACCII GHG Compliance'!N27,'Current GHG Compliance'!N27)+IF(Table44[[#This Row],[Cold]:[Cold]]="Y",'Cold Weather Package'!N27,0)+IF(Table44[[#This Row],[eAWD]:[eAWD]]="Y",'eAWD Package'!N27,0)+IF(Table44[[#This Row],[Towing]:[Towing]]="Y",'Towing Bat Cost'!N27,0),"N/A")</f>
        <v>3720.9707209108201</v>
      </c>
      <c r="S56" s="157">
        <f>IF(Table44[[#This Row],[Applicable Package?]:[Applicable Package?]]="Y",SUM('Rolled Up Non-Incremental Costs'!O27,'ICE Removal Cost'!O27,'Trans Removal Cost'!O27,'LEV3 Criteria Emissions Cost'!O27,'ZEV Assembly Reductions'!O27,'ACCII Criteria Compliance Cost'!O27,'ACCII GHG Compliance'!O27,'Current GHG Compliance'!O27)+IF(Table44[[#This Row],[Cold]:[Cold]]="Y",'Cold Weather Package'!O27,0)+IF(Table44[[#This Row],[eAWD]:[eAWD]]="Y",'eAWD Package'!O27,0)+IF(Table44[[#This Row],[Towing]:[Towing]]="Y",'Towing Bat Cost'!O27,0),"N/A")</f>
        <v>3368.5918469206954</v>
      </c>
    </row>
    <row r="57" spans="1:19" x14ac:dyDescent="0.3">
      <c r="A57" t="str">
        <f t="shared" si="1"/>
        <v>MedCarPremiumFCEV320</v>
      </c>
      <c r="B57" s="90" t="s">
        <v>82</v>
      </c>
      <c r="C57" s="68" t="s">
        <v>80</v>
      </c>
      <c r="D57" s="68" t="str">
        <f>'Vehicle Attributes - Base Year'!D25</f>
        <v>FCEV320</v>
      </c>
      <c r="E57" s="124" t="s">
        <v>76</v>
      </c>
      <c r="F57" s="124" t="s">
        <v>77</v>
      </c>
      <c r="G57" s="125" t="s">
        <v>77</v>
      </c>
      <c r="H57" s="156" t="s">
        <v>76</v>
      </c>
      <c r="I57" s="157">
        <f>IF(Table44[[#This Row],[Applicable Package?]:[Applicable Package?]]="Y",SUM('Rolled Up Non-Incremental Costs'!E28,'ICE Removal Cost'!E28,'Trans Removal Cost'!E28,'LEV3 Criteria Emissions Cost'!E28,'ZEV Assembly Reductions'!E28,'ACCII Criteria Compliance Cost'!E28,'ACCII GHG Compliance'!E28,'Current GHG Compliance'!E28)+IF(Table44[[#This Row],[Cold]:[Cold]]="Y",'Cold Weather Package'!E28,0)+IF(Table44[[#This Row],[eAWD]:[eAWD]]="Y",'eAWD Package'!E28,0)+IF(Table44[[#This Row],[Towing]:[Towing]]="Y",'Towing Bat Cost'!E28,0),"N/A")</f>
        <v>10940.471607515748</v>
      </c>
      <c r="J57" s="157">
        <f>IF(Table44[[#This Row],[Applicable Package?]:[Applicable Package?]]="Y",SUM('Rolled Up Non-Incremental Costs'!F28,'ICE Removal Cost'!F28,'Trans Removal Cost'!F28,'LEV3 Criteria Emissions Cost'!F28,'ZEV Assembly Reductions'!F28,'ACCII Criteria Compliance Cost'!F28,'ACCII GHG Compliance'!F28,'Current GHG Compliance'!F28)+IF(Table44[[#This Row],[Cold]:[Cold]]="Y",'Cold Weather Package'!F28,0)+IF(Table44[[#This Row],[eAWD]:[eAWD]]="Y",'eAWD Package'!F28,0)+IF(Table44[[#This Row],[Towing]:[Towing]]="Y",'Towing Bat Cost'!F28,0),"N/A")</f>
        <v>9735.3600896419448</v>
      </c>
      <c r="K57" s="157">
        <f>IF(Table44[[#This Row],[Applicable Package?]:[Applicable Package?]]="Y",SUM('Rolled Up Non-Incremental Costs'!G28,'ICE Removal Cost'!G28,'Trans Removal Cost'!G28,'LEV3 Criteria Emissions Cost'!G28,'ZEV Assembly Reductions'!G28,'ACCII Criteria Compliance Cost'!G28,'ACCII GHG Compliance'!G28,'Current GHG Compliance'!G28)+IF(Table44[[#This Row],[Cold]:[Cold]]="Y",'Cold Weather Package'!G28,0)+IF(Table44[[#This Row],[eAWD]:[eAWD]]="Y",'eAWD Package'!G28,0)+IF(Table44[[#This Row],[Towing]:[Towing]]="Y",'Towing Bat Cost'!G28,0),"N/A")</f>
        <v>8557.0581667910574</v>
      </c>
      <c r="L57" s="157">
        <f>IF(Table44[[#This Row],[Applicable Package?]:[Applicable Package?]]="Y",SUM('Rolled Up Non-Incremental Costs'!H28,'ICE Removal Cost'!H28,'Trans Removal Cost'!H28,'LEV3 Criteria Emissions Cost'!H28,'ZEV Assembly Reductions'!H28,'ACCII Criteria Compliance Cost'!H28,'ACCII GHG Compliance'!H28,'Current GHG Compliance'!H28)+IF(Table44[[#This Row],[Cold]:[Cold]]="Y",'Cold Weather Package'!H28,0)+IF(Table44[[#This Row],[eAWD]:[eAWD]]="Y",'eAWD Package'!H28,0)+IF(Table44[[#This Row],[Towing]:[Towing]]="Y",'Towing Bat Cost'!H28,0),"N/A")</f>
        <v>7405.5547488199281</v>
      </c>
      <c r="M57" s="157">
        <f>IF(Table44[[#This Row],[Applicable Package?]:[Applicable Package?]]="Y",SUM('Rolled Up Non-Incremental Costs'!I28,'ICE Removal Cost'!I28,'Trans Removal Cost'!I28,'LEV3 Criteria Emissions Cost'!I28,'ZEV Assembly Reductions'!I28,'ACCII Criteria Compliance Cost'!I28,'ACCII GHG Compliance'!I28,'Current GHG Compliance'!I28)+IF(Table44[[#This Row],[Cold]:[Cold]]="Y",'Cold Weather Package'!I28,0)+IF(Table44[[#This Row],[eAWD]:[eAWD]]="Y",'eAWD Package'!I28,0)+IF(Table44[[#This Row],[Towing]:[Towing]]="Y",'Towing Bat Cost'!I28,0),"N/A")</f>
        <v>6280.8388798723208</v>
      </c>
      <c r="N57" s="157">
        <f>IF(Table44[[#This Row],[Applicable Package?]:[Applicable Package?]]="Y",SUM('Rolled Up Non-Incremental Costs'!J28,'ICE Removal Cost'!J28,'Trans Removal Cost'!J28,'LEV3 Criteria Emissions Cost'!J28,'ZEV Assembly Reductions'!J28,'ACCII Criteria Compliance Cost'!J28,'ACCII GHG Compliance'!J28,'Current GHG Compliance'!J28)+IF(Table44[[#This Row],[Cold]:[Cold]]="Y",'Cold Weather Package'!J28,0)+IF(Table44[[#This Row],[eAWD]:[eAWD]]="Y",'eAWD Package'!J28,0)+IF(Table44[[#This Row],[Towing]:[Towing]]="Y",'Towing Bat Cost'!J28,0),"N/A")</f>
        <v>5182.8997368021774</v>
      </c>
      <c r="O57" s="157">
        <f>IF(Table44[[#This Row],[Applicable Package?]:[Applicable Package?]]="Y",SUM('Rolled Up Non-Incremental Costs'!K28,'ICE Removal Cost'!K28,'Trans Removal Cost'!K28,'LEV3 Criteria Emissions Cost'!K28,'ZEV Assembly Reductions'!K28,'ACCII Criteria Compliance Cost'!K28,'ACCII GHG Compliance'!K28,'Current GHG Compliance'!K28)+IF(Table44[[#This Row],[Cold]:[Cold]]="Y",'Cold Weather Package'!K28,0)+IF(Table44[[#This Row],[eAWD]:[eAWD]]="Y",'eAWD Package'!K28,0)+IF(Table44[[#This Row],[Towing]:[Towing]]="Y",'Towing Bat Cost'!K28,0),"N/A")</f>
        <v>4809.5348385198267</v>
      </c>
      <c r="P57" s="157">
        <f>IF(Table44[[#This Row],[Applicable Package?]:[Applicable Package?]]="Y",SUM('Rolled Up Non-Incremental Costs'!L28,'ICE Removal Cost'!L28,'Trans Removal Cost'!L28,'LEV3 Criteria Emissions Cost'!L28,'ZEV Assembly Reductions'!L28,'ACCII Criteria Compliance Cost'!L28,'ACCII GHG Compliance'!L28,'Current GHG Compliance'!L28)+IF(Table44[[#This Row],[Cold]:[Cold]]="Y",'Cold Weather Package'!L28,0)+IF(Table44[[#This Row],[eAWD]:[eAWD]]="Y",'eAWD Package'!L28,0)+IF(Table44[[#This Row],[Towing]:[Towing]]="Y",'Towing Bat Cost'!L28,0),"N/A")</f>
        <v>4441.4319715439633</v>
      </c>
      <c r="Q57" s="157">
        <f>IF(Table44[[#This Row],[Applicable Package?]:[Applicable Package?]]="Y",SUM('Rolled Up Non-Incremental Costs'!M28,'ICE Removal Cost'!M28,'Trans Removal Cost'!M28,'LEV3 Criteria Emissions Cost'!M28,'ZEV Assembly Reductions'!M28,'ACCII Criteria Compliance Cost'!M28,'ACCII GHG Compliance'!M28,'Current GHG Compliance'!M28)+IF(Table44[[#This Row],[Cold]:[Cold]]="Y",'Cold Weather Package'!M28,0)+IF(Table44[[#This Row],[eAWD]:[eAWD]]="Y",'eAWD Package'!M28,0)+IF(Table44[[#This Row],[Towing]:[Towing]]="Y",'Towing Bat Cost'!M28,0),"N/A")</f>
        <v>4078.580701578785</v>
      </c>
      <c r="R57" s="157">
        <f>IF(Table44[[#This Row],[Applicable Package?]:[Applicable Package?]]="Y",SUM('Rolled Up Non-Incremental Costs'!N28,'ICE Removal Cost'!N28,'Trans Removal Cost'!N28,'LEV3 Criteria Emissions Cost'!N28,'ZEV Assembly Reductions'!N28,'ACCII Criteria Compliance Cost'!N28,'ACCII GHG Compliance'!N28,'Current GHG Compliance'!N28)+IF(Table44[[#This Row],[Cold]:[Cold]]="Y",'Cold Weather Package'!N28,0)+IF(Table44[[#This Row],[eAWD]:[eAWD]]="Y",'eAWD Package'!N28,0)+IF(Table44[[#This Row],[Towing]:[Towing]]="Y",'Towing Bat Cost'!N28,0),"N/A")</f>
        <v>3720.9707209108201</v>
      </c>
      <c r="S57" s="157">
        <f>IF(Table44[[#This Row],[Applicable Package?]:[Applicable Package?]]="Y",SUM('Rolled Up Non-Incremental Costs'!O28,'ICE Removal Cost'!O28,'Trans Removal Cost'!O28,'LEV3 Criteria Emissions Cost'!O28,'ZEV Assembly Reductions'!O28,'ACCII Criteria Compliance Cost'!O28,'ACCII GHG Compliance'!O28,'Current GHG Compliance'!O28)+IF(Table44[[#This Row],[Cold]:[Cold]]="Y",'Cold Weather Package'!O28,0)+IF(Table44[[#This Row],[eAWD]:[eAWD]]="Y",'eAWD Package'!O28,0)+IF(Table44[[#This Row],[Towing]:[Towing]]="Y",'Towing Bat Cost'!O28,0),"N/A")</f>
        <v>3368.5918469206954</v>
      </c>
    </row>
    <row r="58" spans="1:19" x14ac:dyDescent="0.3">
      <c r="A58" s="28" t="str">
        <f t="shared" si="1"/>
        <v>SmallSUVBaseFCEV320</v>
      </c>
      <c r="B58" s="90" t="s">
        <v>83</v>
      </c>
      <c r="C58" s="68" t="s">
        <v>75</v>
      </c>
      <c r="D58" s="68" t="str">
        <f>'Vehicle Attributes - Base Year'!D26</f>
        <v>FCEV320</v>
      </c>
      <c r="E58" s="124" t="s">
        <v>76</v>
      </c>
      <c r="F58" s="124" t="s">
        <v>77</v>
      </c>
      <c r="G58" s="125" t="s">
        <v>77</v>
      </c>
      <c r="H58" s="156" t="s">
        <v>76</v>
      </c>
      <c r="I58" s="157">
        <f>IF(Table44[[#This Row],[Applicable Package?]:[Applicable Package?]]="Y",SUM('Rolled Up Non-Incremental Costs'!E29,'ICE Removal Cost'!E29,'Trans Removal Cost'!E29,'LEV3 Criteria Emissions Cost'!E29,'ZEV Assembly Reductions'!E29,'ACCII Criteria Compliance Cost'!E29,'ACCII GHG Compliance'!E29,'Current GHG Compliance'!E29)+IF(Table44[[#This Row],[Cold]:[Cold]]="Y",'Cold Weather Package'!E29,0)+IF(Table44[[#This Row],[eAWD]:[eAWD]]="Y",'eAWD Package'!E29,0)+IF(Table44[[#This Row],[Towing]:[Towing]]="Y",'Towing Bat Cost'!E29,0),"N/A")</f>
        <v>10249.279219890879</v>
      </c>
      <c r="J58" s="157">
        <f>IF(Table44[[#This Row],[Applicable Package?]:[Applicable Package?]]="Y",SUM('Rolled Up Non-Incremental Costs'!F29,'ICE Removal Cost'!F29,'Trans Removal Cost'!F29,'LEV3 Criteria Emissions Cost'!F29,'ZEV Assembly Reductions'!F29,'ACCII Criteria Compliance Cost'!F29,'ACCII GHG Compliance'!F29,'Current GHG Compliance'!F29)+IF(Table44[[#This Row],[Cold]:[Cold]]="Y",'Cold Weather Package'!F29,0)+IF(Table44[[#This Row],[eAWD]:[eAWD]]="Y",'eAWD Package'!F29,0)+IF(Table44[[#This Row],[Towing]:[Towing]]="Y",'Towing Bat Cost'!F29,0),"N/A")</f>
        <v>9147.4053961349709</v>
      </c>
      <c r="K58" s="157">
        <f>IF(Table44[[#This Row],[Applicable Package?]:[Applicable Package?]]="Y",SUM('Rolled Up Non-Incremental Costs'!G29,'ICE Removal Cost'!G29,'Trans Removal Cost'!G29,'LEV3 Criteria Emissions Cost'!G29,'ZEV Assembly Reductions'!G29,'ACCII Criteria Compliance Cost'!G29,'ACCII GHG Compliance'!G29,'Current GHG Compliance'!G29)+IF(Table44[[#This Row],[Cold]:[Cold]]="Y",'Cold Weather Package'!G29,0)+IF(Table44[[#This Row],[eAWD]:[eAWD]]="Y",'eAWD Package'!G29,0)+IF(Table44[[#This Row],[Towing]:[Towing]]="Y",'Towing Bat Cost'!G29,0),"N/A")</f>
        <v>8062.3874890579791</v>
      </c>
      <c r="L58" s="157">
        <f>IF(Table44[[#This Row],[Applicable Package?]:[Applicable Package?]]="Y",SUM('Rolled Up Non-Incremental Costs'!H29,'ICE Removal Cost'!H29,'Trans Removal Cost'!H29,'LEV3 Criteria Emissions Cost'!H29,'ZEV Assembly Reductions'!H29,'ACCII Criteria Compliance Cost'!H29,'ACCII GHG Compliance'!H29,'Current GHG Compliance'!H29)+IF(Table44[[#This Row],[Cold]:[Cold]]="Y",'Cold Weather Package'!H29,0)+IF(Table44[[#This Row],[eAWD]:[eAWD]]="Y",'eAWD Package'!H29,0)+IF(Table44[[#This Row],[Towing]:[Towing]]="Y",'Towing Bat Cost'!H29,0),"N/A")</f>
        <v>6994.2144503353884</v>
      </c>
      <c r="M58" s="157">
        <f>IF(Table44[[#This Row],[Applicable Package?]:[Applicable Package?]]="Y",SUM('Rolled Up Non-Incremental Costs'!I29,'ICE Removal Cost'!I29,'Trans Removal Cost'!I29,'LEV3 Criteria Emissions Cost'!I29,'ZEV Assembly Reductions'!I29,'ACCII Criteria Compliance Cost'!I29,'ACCII GHG Compliance'!I29,'Current GHG Compliance'!I29)+IF(Table44[[#This Row],[Cold]:[Cold]]="Y",'Cold Weather Package'!I29,0)+IF(Table44[[#This Row],[eAWD]:[eAWD]]="Y",'eAWD Package'!I29,0)+IF(Table44[[#This Row],[Towing]:[Towing]]="Y",'Towing Bat Cost'!I29,0),"N/A")</f>
        <v>5942.8753655114087</v>
      </c>
      <c r="N58" s="157">
        <f>IF(Table44[[#This Row],[Applicable Package?]:[Applicable Package?]]="Y",SUM('Rolled Up Non-Incremental Costs'!J29,'ICE Removal Cost'!J29,'Trans Removal Cost'!J29,'LEV3 Criteria Emissions Cost'!J29,'ZEV Assembly Reductions'!J29,'ACCII Criteria Compliance Cost'!J29,'ACCII GHG Compliance'!J29,'Current GHG Compliance'!J29)+IF(Table44[[#This Row],[Cold]:[Cold]]="Y",'Cold Weather Package'!J29,0)+IF(Table44[[#This Row],[eAWD]:[eAWD]]="Y",'eAWD Package'!J29,0)+IF(Table44[[#This Row],[Towing]:[Towing]]="Y",'Towing Bat Cost'!J29,0),"N/A")</f>
        <v>4908.3594524264372</v>
      </c>
      <c r="O58" s="157">
        <f>IF(Table44[[#This Row],[Applicable Package?]:[Applicable Package?]]="Y",SUM('Rolled Up Non-Incremental Costs'!K29,'ICE Removal Cost'!K29,'Trans Removal Cost'!K29,'LEV3 Criteria Emissions Cost'!K29,'ZEV Assembly Reductions'!K29,'ACCII Criteria Compliance Cost'!K29,'ACCII GHG Compliance'!K29,'Current GHG Compliance'!K29)+IF(Table44[[#This Row],[Cold]:[Cold]]="Y",'Cold Weather Package'!K29,0)+IF(Table44[[#This Row],[eAWD]:[eAWD]]="Y",'eAWD Package'!K29,0)+IF(Table44[[#This Row],[Towing]:[Towing]]="Y",'Towing Bat Cost'!K29,0),"N/A")</f>
        <v>4584.4982871841967</v>
      </c>
      <c r="P58" s="157">
        <f>IF(Table44[[#This Row],[Applicable Package?]:[Applicable Package?]]="Y",SUM('Rolled Up Non-Incremental Costs'!L29,'ICE Removal Cost'!L29,'Trans Removal Cost'!L29,'LEV3 Criteria Emissions Cost'!L29,'ZEV Assembly Reductions'!L29,'ACCII Criteria Compliance Cost'!L29,'ACCII GHG Compliance'!L29,'Current GHG Compliance'!L29)+IF(Table44[[#This Row],[Cold]:[Cold]]="Y",'Cold Weather Package'!L29,0)+IF(Table44[[#This Row],[eAWD]:[eAWD]]="Y",'eAWD Package'!L29,0)+IF(Table44[[#This Row],[Towing]:[Towing]]="Y",'Towing Bat Cost'!L29,0),"N/A")</f>
        <v>4264.472714944568</v>
      </c>
      <c r="Q58" s="157">
        <f>IF(Table44[[#This Row],[Applicable Package?]:[Applicable Package?]]="Y",SUM('Rolled Up Non-Incremental Costs'!M29,'ICE Removal Cost'!M29,'Trans Removal Cost'!M29,'LEV3 Criteria Emissions Cost'!M29,'ZEV Assembly Reductions'!M29,'ACCII Criteria Compliance Cost'!M29,'ACCII GHG Compliance'!M29,'Current GHG Compliance'!M29)+IF(Table44[[#This Row],[Cold]:[Cold]]="Y",'Cold Weather Package'!M29,0)+IF(Table44[[#This Row],[eAWD]:[eAWD]]="Y",'eAWD Package'!M29,0)+IF(Table44[[#This Row],[Towing]:[Towing]]="Y",'Towing Bat Cost'!M29,0),"N/A")</f>
        <v>3948.2790129888708</v>
      </c>
      <c r="R58" s="157">
        <f>IF(Table44[[#This Row],[Applicable Package?]:[Applicable Package?]]="Y",SUM('Rolled Up Non-Incremental Costs'!N29,'ICE Removal Cost'!N29,'Trans Removal Cost'!N29,'LEV3 Criteria Emissions Cost'!N29,'ZEV Assembly Reductions'!N29,'ACCII Criteria Compliance Cost'!N29,'ACCII GHG Compliance'!N29,'Current GHG Compliance'!N29)+IF(Table44[[#This Row],[Cold]:[Cold]]="Y",'Cold Weather Package'!N29,0)+IF(Table44[[#This Row],[eAWD]:[eAWD]]="Y",'eAWD Package'!N29,0)+IF(Table44[[#This Row],[Towing]:[Towing]]="Y",'Towing Bat Cost'!N29,0),"N/A")</f>
        <v>3635.9134958256072</v>
      </c>
      <c r="S58" s="157">
        <f>IF(Table44[[#This Row],[Applicable Package?]:[Applicable Package?]]="Y",SUM('Rolled Up Non-Incremental Costs'!O29,'ICE Removal Cost'!O29,'Trans Removal Cost'!O29,'LEV3 Criteria Emissions Cost'!O29,'ZEV Assembly Reductions'!O29,'ACCII Criteria Compliance Cost'!O29,'ACCII GHG Compliance'!O29,'Current GHG Compliance'!O29)+IF(Table44[[#This Row],[Cold]:[Cold]]="Y",'Cold Weather Package'!O29,0)+IF(Table44[[#This Row],[eAWD]:[eAWD]]="Y",'eAWD Package'!O29,0)+IF(Table44[[#This Row],[Towing]:[Towing]]="Y",'Towing Bat Cost'!O29,0),"N/A")</f>
        <v>3327.3725148181948</v>
      </c>
    </row>
    <row r="59" spans="1:19" x14ac:dyDescent="0.3">
      <c r="A59" t="str">
        <f t="shared" si="1"/>
        <v>SmallSUVPremiumFCEV320</v>
      </c>
      <c r="B59" s="90" t="s">
        <v>83</v>
      </c>
      <c r="C59" s="68" t="s">
        <v>80</v>
      </c>
      <c r="D59" s="68" t="str">
        <f>'Vehicle Attributes - Base Year'!D27</f>
        <v>FCEV320</v>
      </c>
      <c r="E59" s="124" t="s">
        <v>76</v>
      </c>
      <c r="F59" s="124" t="s">
        <v>77</v>
      </c>
      <c r="G59" s="125" t="s">
        <v>77</v>
      </c>
      <c r="H59" s="156" t="s">
        <v>76</v>
      </c>
      <c r="I59" s="157">
        <f>IF(Table44[[#This Row],[Applicable Package?]:[Applicable Package?]]="Y",SUM('Rolled Up Non-Incremental Costs'!E30,'ICE Removal Cost'!E30,'Trans Removal Cost'!E30,'LEV3 Criteria Emissions Cost'!E30,'ZEV Assembly Reductions'!E30,'ACCII Criteria Compliance Cost'!E30,'ACCII GHG Compliance'!E30,'Current GHG Compliance'!E30)+IF(Table44[[#This Row],[Cold]:[Cold]]="Y",'Cold Weather Package'!E30,0)+IF(Table44[[#This Row],[eAWD]:[eAWD]]="Y",'eAWD Package'!E30,0)+IF(Table44[[#This Row],[Towing]:[Towing]]="Y",'Towing Bat Cost'!E30,0),"N/A")</f>
        <v>10249.279219890879</v>
      </c>
      <c r="J59" s="157">
        <f>IF(Table44[[#This Row],[Applicable Package?]:[Applicable Package?]]="Y",SUM('Rolled Up Non-Incremental Costs'!F30,'ICE Removal Cost'!F30,'Trans Removal Cost'!F30,'LEV3 Criteria Emissions Cost'!F30,'ZEV Assembly Reductions'!F30,'ACCII Criteria Compliance Cost'!F30,'ACCII GHG Compliance'!F30,'Current GHG Compliance'!F30)+IF(Table44[[#This Row],[Cold]:[Cold]]="Y",'Cold Weather Package'!F30,0)+IF(Table44[[#This Row],[eAWD]:[eAWD]]="Y",'eAWD Package'!F30,0)+IF(Table44[[#This Row],[Towing]:[Towing]]="Y",'Towing Bat Cost'!F30,0),"N/A")</f>
        <v>9147.4053961349709</v>
      </c>
      <c r="K59" s="157">
        <f>IF(Table44[[#This Row],[Applicable Package?]:[Applicable Package?]]="Y",SUM('Rolled Up Non-Incremental Costs'!G30,'ICE Removal Cost'!G30,'Trans Removal Cost'!G30,'LEV3 Criteria Emissions Cost'!G30,'ZEV Assembly Reductions'!G30,'ACCII Criteria Compliance Cost'!G30,'ACCII GHG Compliance'!G30,'Current GHG Compliance'!G30)+IF(Table44[[#This Row],[Cold]:[Cold]]="Y",'Cold Weather Package'!G30,0)+IF(Table44[[#This Row],[eAWD]:[eAWD]]="Y",'eAWD Package'!G30,0)+IF(Table44[[#This Row],[Towing]:[Towing]]="Y",'Towing Bat Cost'!G30,0),"N/A")</f>
        <v>8062.3874890579791</v>
      </c>
      <c r="L59" s="157">
        <f>IF(Table44[[#This Row],[Applicable Package?]:[Applicable Package?]]="Y",SUM('Rolled Up Non-Incremental Costs'!H30,'ICE Removal Cost'!H30,'Trans Removal Cost'!H30,'LEV3 Criteria Emissions Cost'!H30,'ZEV Assembly Reductions'!H30,'ACCII Criteria Compliance Cost'!H30,'ACCII GHG Compliance'!H30,'Current GHG Compliance'!H30)+IF(Table44[[#This Row],[Cold]:[Cold]]="Y",'Cold Weather Package'!H30,0)+IF(Table44[[#This Row],[eAWD]:[eAWD]]="Y",'eAWD Package'!H30,0)+IF(Table44[[#This Row],[Towing]:[Towing]]="Y",'Towing Bat Cost'!H30,0),"N/A")</f>
        <v>6994.2144503353884</v>
      </c>
      <c r="M59" s="157">
        <f>IF(Table44[[#This Row],[Applicable Package?]:[Applicable Package?]]="Y",SUM('Rolled Up Non-Incremental Costs'!I30,'ICE Removal Cost'!I30,'Trans Removal Cost'!I30,'LEV3 Criteria Emissions Cost'!I30,'ZEV Assembly Reductions'!I30,'ACCII Criteria Compliance Cost'!I30,'ACCII GHG Compliance'!I30,'Current GHG Compliance'!I30)+IF(Table44[[#This Row],[Cold]:[Cold]]="Y",'Cold Weather Package'!I30,0)+IF(Table44[[#This Row],[eAWD]:[eAWD]]="Y",'eAWD Package'!I30,0)+IF(Table44[[#This Row],[Towing]:[Towing]]="Y",'Towing Bat Cost'!I30,0),"N/A")</f>
        <v>5942.8753655114087</v>
      </c>
      <c r="N59" s="157">
        <f>IF(Table44[[#This Row],[Applicable Package?]:[Applicable Package?]]="Y",SUM('Rolled Up Non-Incremental Costs'!J30,'ICE Removal Cost'!J30,'Trans Removal Cost'!J30,'LEV3 Criteria Emissions Cost'!J30,'ZEV Assembly Reductions'!J30,'ACCII Criteria Compliance Cost'!J30,'ACCII GHG Compliance'!J30,'Current GHG Compliance'!J30)+IF(Table44[[#This Row],[Cold]:[Cold]]="Y",'Cold Weather Package'!J30,0)+IF(Table44[[#This Row],[eAWD]:[eAWD]]="Y",'eAWD Package'!J30,0)+IF(Table44[[#This Row],[Towing]:[Towing]]="Y",'Towing Bat Cost'!J30,0),"N/A")</f>
        <v>4908.3594524264372</v>
      </c>
      <c r="O59" s="157">
        <f>IF(Table44[[#This Row],[Applicable Package?]:[Applicable Package?]]="Y",SUM('Rolled Up Non-Incremental Costs'!K30,'ICE Removal Cost'!K30,'Trans Removal Cost'!K30,'LEV3 Criteria Emissions Cost'!K30,'ZEV Assembly Reductions'!K30,'ACCII Criteria Compliance Cost'!K30,'ACCII GHG Compliance'!K30,'Current GHG Compliance'!K30)+IF(Table44[[#This Row],[Cold]:[Cold]]="Y",'Cold Weather Package'!K30,0)+IF(Table44[[#This Row],[eAWD]:[eAWD]]="Y",'eAWD Package'!K30,0)+IF(Table44[[#This Row],[Towing]:[Towing]]="Y",'Towing Bat Cost'!K30,0),"N/A")</f>
        <v>4584.4982871841967</v>
      </c>
      <c r="P59" s="157">
        <f>IF(Table44[[#This Row],[Applicable Package?]:[Applicable Package?]]="Y",SUM('Rolled Up Non-Incremental Costs'!L30,'ICE Removal Cost'!L30,'Trans Removal Cost'!L30,'LEV3 Criteria Emissions Cost'!L30,'ZEV Assembly Reductions'!L30,'ACCII Criteria Compliance Cost'!L30,'ACCII GHG Compliance'!L30,'Current GHG Compliance'!L30)+IF(Table44[[#This Row],[Cold]:[Cold]]="Y",'Cold Weather Package'!L30,0)+IF(Table44[[#This Row],[eAWD]:[eAWD]]="Y",'eAWD Package'!L30,0)+IF(Table44[[#This Row],[Towing]:[Towing]]="Y",'Towing Bat Cost'!L30,0),"N/A")</f>
        <v>4264.472714944568</v>
      </c>
      <c r="Q59" s="157">
        <f>IF(Table44[[#This Row],[Applicable Package?]:[Applicable Package?]]="Y",SUM('Rolled Up Non-Incremental Costs'!M30,'ICE Removal Cost'!M30,'Trans Removal Cost'!M30,'LEV3 Criteria Emissions Cost'!M30,'ZEV Assembly Reductions'!M30,'ACCII Criteria Compliance Cost'!M30,'ACCII GHG Compliance'!M30,'Current GHG Compliance'!M30)+IF(Table44[[#This Row],[Cold]:[Cold]]="Y",'Cold Weather Package'!M30,0)+IF(Table44[[#This Row],[eAWD]:[eAWD]]="Y",'eAWD Package'!M30,0)+IF(Table44[[#This Row],[Towing]:[Towing]]="Y",'Towing Bat Cost'!M30,0),"N/A")</f>
        <v>3948.2790129888708</v>
      </c>
      <c r="R59" s="157">
        <f>IF(Table44[[#This Row],[Applicable Package?]:[Applicable Package?]]="Y",SUM('Rolled Up Non-Incremental Costs'!N30,'ICE Removal Cost'!N30,'Trans Removal Cost'!N30,'LEV3 Criteria Emissions Cost'!N30,'ZEV Assembly Reductions'!N30,'ACCII Criteria Compliance Cost'!N30,'ACCII GHG Compliance'!N30,'Current GHG Compliance'!N30)+IF(Table44[[#This Row],[Cold]:[Cold]]="Y",'Cold Weather Package'!N30,0)+IF(Table44[[#This Row],[eAWD]:[eAWD]]="Y",'eAWD Package'!N30,0)+IF(Table44[[#This Row],[Towing]:[Towing]]="Y",'Towing Bat Cost'!N30,0),"N/A")</f>
        <v>3635.9134958256072</v>
      </c>
      <c r="S59" s="157">
        <f>IF(Table44[[#This Row],[Applicable Package?]:[Applicable Package?]]="Y",SUM('Rolled Up Non-Incremental Costs'!O30,'ICE Removal Cost'!O30,'Trans Removal Cost'!O30,'LEV3 Criteria Emissions Cost'!O30,'ZEV Assembly Reductions'!O30,'ACCII Criteria Compliance Cost'!O30,'ACCII GHG Compliance'!O30,'Current GHG Compliance'!O30)+IF(Table44[[#This Row],[Cold]:[Cold]]="Y",'Cold Weather Package'!O30,0)+IF(Table44[[#This Row],[eAWD]:[eAWD]]="Y",'eAWD Package'!O30,0)+IF(Table44[[#This Row],[Towing]:[Towing]]="Y",'Towing Bat Cost'!O30,0),"N/A")</f>
        <v>3327.3725148181948</v>
      </c>
    </row>
    <row r="60" spans="1:19" x14ac:dyDescent="0.3">
      <c r="A60" s="28" t="str">
        <f t="shared" si="1"/>
        <v>MedSUVBaseFCEV320</v>
      </c>
      <c r="B60" s="90" t="s">
        <v>86</v>
      </c>
      <c r="C60" s="68" t="s">
        <v>75</v>
      </c>
      <c r="D60" s="68" t="str">
        <f>'Vehicle Attributes - Base Year'!D28</f>
        <v>FCEV320</v>
      </c>
      <c r="E60" s="124" t="s">
        <v>76</v>
      </c>
      <c r="F60" s="124" t="s">
        <v>77</v>
      </c>
      <c r="G60" s="125" t="s">
        <v>77</v>
      </c>
      <c r="H60" s="156" t="s">
        <v>76</v>
      </c>
      <c r="I60" s="157">
        <f>IF(Table44[[#This Row],[Applicable Package?]:[Applicable Package?]]="Y",SUM('Rolled Up Non-Incremental Costs'!E31,'ICE Removal Cost'!E31,'Trans Removal Cost'!E31,'LEV3 Criteria Emissions Cost'!E31,'ZEV Assembly Reductions'!E31,'ACCII Criteria Compliance Cost'!E31,'ACCII GHG Compliance'!E31,'Current GHG Compliance'!E31)+IF(Table44[[#This Row],[Cold]:[Cold]]="Y",'Cold Weather Package'!E31,0)+IF(Table44[[#This Row],[eAWD]:[eAWD]]="Y",'eAWD Package'!E31,0)+IF(Table44[[#This Row],[Towing]:[Towing]]="Y",'Towing Bat Cost'!E31,0),"N/A")</f>
        <v>11110.136838309834</v>
      </c>
      <c r="J60" s="157">
        <f>IF(Table44[[#This Row],[Applicable Package?]:[Applicable Package?]]="Y",SUM('Rolled Up Non-Incremental Costs'!F31,'ICE Removal Cost'!F31,'Trans Removal Cost'!F31,'LEV3 Criteria Emissions Cost'!F31,'ZEV Assembly Reductions'!F31,'ACCII Criteria Compliance Cost'!F31,'ACCII GHG Compliance'!F31,'Current GHG Compliance'!F31)+IF(Table44[[#This Row],[Cold]:[Cold]]="Y",'Cold Weather Package'!F31,0)+IF(Table44[[#This Row],[eAWD]:[eAWD]]="Y",'eAWD Package'!F31,0)+IF(Table44[[#This Row],[Towing]:[Towing]]="Y",'Towing Bat Cost'!F31,0),"N/A")</f>
        <v>9848.0290290725607</v>
      </c>
      <c r="K60" s="157">
        <f>IF(Table44[[#This Row],[Applicable Package?]:[Applicable Package?]]="Y",SUM('Rolled Up Non-Incremental Costs'!G31,'ICE Removal Cost'!G31,'Trans Removal Cost'!G31,'LEV3 Criteria Emissions Cost'!G31,'ZEV Assembly Reductions'!G31,'ACCII Criteria Compliance Cost'!G31,'ACCII GHG Compliance'!G31,'Current GHG Compliance'!G31)+IF(Table44[[#This Row],[Cold]:[Cold]]="Y",'Cold Weather Package'!G31,0)+IF(Table44[[#This Row],[eAWD]:[eAWD]]="Y",'eAWD Package'!G31,0)+IF(Table44[[#This Row],[Towing]:[Towing]]="Y",'Towing Bat Cost'!G31,0),"N/A")</f>
        <v>8607.8538837884626</v>
      </c>
      <c r="L60" s="157">
        <f>IF(Table44[[#This Row],[Applicable Package?]:[Applicable Package?]]="Y",SUM('Rolled Up Non-Incremental Costs'!H31,'ICE Removal Cost'!H31,'Trans Removal Cost'!H31,'LEV3 Criteria Emissions Cost'!H31,'ZEV Assembly Reductions'!H31,'ACCII Criteria Compliance Cost'!H31,'ACCII GHG Compliance'!H31,'Current GHG Compliance'!H31)+IF(Table44[[#This Row],[Cold]:[Cold]]="Y",'Cold Weather Package'!H31,0)+IF(Table44[[#This Row],[eAWD]:[eAWD]]="Y",'eAWD Package'!H31,0)+IF(Table44[[#This Row],[Towing]:[Towing]]="Y",'Towing Bat Cost'!H31,0),"N/A")</f>
        <v>7389.5999772970699</v>
      </c>
      <c r="M60" s="157">
        <f>IF(Table44[[#This Row],[Applicable Package?]:[Applicable Package?]]="Y",SUM('Rolled Up Non-Incremental Costs'!I31,'ICE Removal Cost'!I31,'Trans Removal Cost'!I31,'LEV3 Criteria Emissions Cost'!I31,'ZEV Assembly Reductions'!I31,'ACCII Criteria Compliance Cost'!I31,'ACCII GHG Compliance'!I31,'Current GHG Compliance'!I31)+IF(Table44[[#This Row],[Cold]:[Cold]]="Y",'Cold Weather Package'!I31,0)+IF(Table44[[#This Row],[eAWD]:[eAWD]]="Y",'eAWD Package'!I31,0)+IF(Table44[[#This Row],[Towing]:[Towing]]="Y",'Towing Bat Cost'!I31,0),"N/A")</f>
        <v>6193.2560220750202</v>
      </c>
      <c r="N60" s="157">
        <f>IF(Table44[[#This Row],[Applicable Package?]:[Applicable Package?]]="Y",SUM('Rolled Up Non-Incremental Costs'!J31,'ICE Removal Cost'!J31,'Trans Removal Cost'!J31,'LEV3 Criteria Emissions Cost'!J31,'ZEV Assembly Reductions'!J31,'ACCII Criteria Compliance Cost'!J31,'ACCII GHG Compliance'!J31,'Current GHG Compliance'!J31)+IF(Table44[[#This Row],[Cold]:[Cold]]="Y",'Cold Weather Package'!J31,0)+IF(Table44[[#This Row],[eAWD]:[eAWD]]="Y",'eAWD Package'!J31,0)+IF(Table44[[#This Row],[Towing]:[Towing]]="Y",'Towing Bat Cost'!J31,0),"N/A")</f>
        <v>5018.8108666257958</v>
      </c>
      <c r="O60" s="157">
        <f>IF(Table44[[#This Row],[Applicable Package?]:[Applicable Package?]]="Y",SUM('Rolled Up Non-Incremental Costs'!K31,'ICE Removal Cost'!K31,'Trans Removal Cost'!K31,'LEV3 Criteria Emissions Cost'!K31,'ZEV Assembly Reductions'!K31,'ACCII Criteria Compliance Cost'!K31,'ACCII GHG Compliance'!K31,'Current GHG Compliance'!K31)+IF(Table44[[#This Row],[Cold]:[Cold]]="Y",'Cold Weather Package'!K31,0)+IF(Table44[[#This Row],[eAWD]:[eAWD]]="Y",'eAWD Package'!K31,0)+IF(Table44[[#This Row],[Towing]:[Towing]]="Y",'Towing Bat Cost'!K31,0),"N/A")</f>
        <v>4602.6198124325056</v>
      </c>
      <c r="P60" s="157">
        <f>IF(Table44[[#This Row],[Applicable Package?]:[Applicable Package?]]="Y",SUM('Rolled Up Non-Incremental Costs'!L31,'ICE Removal Cost'!L31,'Trans Removal Cost'!L31,'LEV3 Criteria Emissions Cost'!L31,'ZEV Assembly Reductions'!L31,'ACCII Criteria Compliance Cost'!L31,'ACCII GHG Compliance'!L31,'Current GHG Compliance'!L31)+IF(Table44[[#This Row],[Cold]:[Cold]]="Y",'Cold Weather Package'!L31,0)+IF(Table44[[#This Row],[eAWD]:[eAWD]]="Y",'eAWD Package'!L31,0)+IF(Table44[[#This Row],[Towing]:[Towing]]="Y",'Towing Bat Cost'!L31,0),"N/A")</f>
        <v>4191.9714605561076</v>
      </c>
      <c r="Q60" s="157">
        <f>IF(Table44[[#This Row],[Applicable Package?]:[Applicable Package?]]="Y",SUM('Rolled Up Non-Incremental Costs'!M31,'ICE Removal Cost'!M31,'Trans Removal Cost'!M31,'LEV3 Criteria Emissions Cost'!M31,'ZEV Assembly Reductions'!M31,'ACCII Criteria Compliance Cost'!M31,'ACCII GHG Compliance'!M31,'Current GHG Compliance'!M31)+IF(Table44[[#This Row],[Cold]:[Cold]]="Y",'Cold Weather Package'!M31,0)+IF(Table44[[#This Row],[eAWD]:[eAWD]]="Y",'eAWD Package'!M31,0)+IF(Table44[[#This Row],[Towing]:[Towing]]="Y",'Towing Bat Cost'!M31,0),"N/A")</f>
        <v>3786.855058102683</v>
      </c>
      <c r="R60" s="157">
        <f>IF(Table44[[#This Row],[Applicable Package?]:[Applicable Package?]]="Y",SUM('Rolled Up Non-Incremental Costs'!N31,'ICE Removal Cost'!N31,'Trans Removal Cost'!N31,'LEV3 Criteria Emissions Cost'!N31,'ZEV Assembly Reductions'!N31,'ACCII Criteria Compliance Cost'!N31,'ACCII GHG Compliance'!N31,'Current GHG Compliance'!N31)+IF(Table44[[#This Row],[Cold]:[Cold]]="Y",'Cold Weather Package'!N31,0)+IF(Table44[[#This Row],[eAWD]:[eAWD]]="Y",'eAWD Package'!N31,0)+IF(Table44[[#This Row],[Towing]:[Towing]]="Y",'Towing Bat Cost'!N31,0),"N/A")</f>
        <v>3387.2599819466195</v>
      </c>
      <c r="S60" s="157">
        <f>IF(Table44[[#This Row],[Applicable Package?]:[Applicable Package?]]="Y",SUM('Rolled Up Non-Incremental Costs'!O31,'ICE Removal Cost'!O31,'Trans Removal Cost'!O31,'LEV3 Criteria Emissions Cost'!O31,'ZEV Assembly Reductions'!O31,'ACCII Criteria Compliance Cost'!O31,'ACCII GHG Compliance'!O31,'Current GHG Compliance'!O31)+IF(Table44[[#This Row],[Cold]:[Cold]]="Y",'Cold Weather Package'!O31,0)+IF(Table44[[#This Row],[eAWD]:[eAWD]]="Y",'eAWD Package'!O31,0)+IF(Table44[[#This Row],[Towing]:[Towing]]="Y",'Towing Bat Cost'!O31,0),"N/A")</f>
        <v>2993.1757372105203</v>
      </c>
    </row>
    <row r="61" spans="1:19" x14ac:dyDescent="0.3">
      <c r="A61" t="str">
        <f t="shared" si="1"/>
        <v>MedSUVPremiumFCEV320</v>
      </c>
      <c r="B61" s="90" t="s">
        <v>86</v>
      </c>
      <c r="C61" s="68" t="s">
        <v>80</v>
      </c>
      <c r="D61" s="68" t="str">
        <f>'Vehicle Attributes - Base Year'!D29</f>
        <v>FCEV320</v>
      </c>
      <c r="E61" s="124" t="s">
        <v>76</v>
      </c>
      <c r="F61" s="124" t="s">
        <v>77</v>
      </c>
      <c r="G61" s="125" t="s">
        <v>77</v>
      </c>
      <c r="H61" s="156" t="s">
        <v>76</v>
      </c>
      <c r="I61" s="157">
        <f>IF(Table44[[#This Row],[Applicable Package?]:[Applicable Package?]]="Y",SUM('Rolled Up Non-Incremental Costs'!E32,'ICE Removal Cost'!E32,'Trans Removal Cost'!E32,'LEV3 Criteria Emissions Cost'!E32,'ZEV Assembly Reductions'!E32,'ACCII Criteria Compliance Cost'!E32,'ACCII GHG Compliance'!E32,'Current GHG Compliance'!E32)+IF(Table44[[#This Row],[Cold]:[Cold]]="Y",'Cold Weather Package'!E32,0)+IF(Table44[[#This Row],[eAWD]:[eAWD]]="Y",'eAWD Package'!E32,0)+IF(Table44[[#This Row],[Towing]:[Towing]]="Y",'Towing Bat Cost'!E32,0),"N/A")</f>
        <v>10610.136838309834</v>
      </c>
      <c r="J61" s="157">
        <f>IF(Table44[[#This Row],[Applicable Package?]:[Applicable Package?]]="Y",SUM('Rolled Up Non-Incremental Costs'!F32,'ICE Removal Cost'!F32,'Trans Removal Cost'!F32,'LEV3 Criteria Emissions Cost'!F32,'ZEV Assembly Reductions'!F32,'ACCII Criteria Compliance Cost'!F32,'ACCII GHG Compliance'!F32,'Current GHG Compliance'!F32)+IF(Table44[[#This Row],[Cold]:[Cold]]="Y",'Cold Weather Package'!F32,0)+IF(Table44[[#This Row],[eAWD]:[eAWD]]="Y",'eAWD Package'!F32,0)+IF(Table44[[#This Row],[Towing]:[Towing]]="Y",'Towing Bat Cost'!F32,0),"N/A")</f>
        <v>9348.0290290725607</v>
      </c>
      <c r="K61" s="157">
        <f>IF(Table44[[#This Row],[Applicable Package?]:[Applicable Package?]]="Y",SUM('Rolled Up Non-Incremental Costs'!G32,'ICE Removal Cost'!G32,'Trans Removal Cost'!G32,'LEV3 Criteria Emissions Cost'!G32,'ZEV Assembly Reductions'!G32,'ACCII Criteria Compliance Cost'!G32,'ACCII GHG Compliance'!G32,'Current GHG Compliance'!G32)+IF(Table44[[#This Row],[Cold]:[Cold]]="Y",'Cold Weather Package'!G32,0)+IF(Table44[[#This Row],[eAWD]:[eAWD]]="Y",'eAWD Package'!G32,0)+IF(Table44[[#This Row],[Towing]:[Towing]]="Y",'Towing Bat Cost'!G32,0),"N/A")</f>
        <v>8107.8538837884626</v>
      </c>
      <c r="L61" s="157">
        <f>IF(Table44[[#This Row],[Applicable Package?]:[Applicable Package?]]="Y",SUM('Rolled Up Non-Incremental Costs'!H32,'ICE Removal Cost'!H32,'Trans Removal Cost'!H32,'LEV3 Criteria Emissions Cost'!H32,'ZEV Assembly Reductions'!H32,'ACCII Criteria Compliance Cost'!H32,'ACCII GHG Compliance'!H32,'Current GHG Compliance'!H32)+IF(Table44[[#This Row],[Cold]:[Cold]]="Y",'Cold Weather Package'!H32,0)+IF(Table44[[#This Row],[eAWD]:[eAWD]]="Y",'eAWD Package'!H32,0)+IF(Table44[[#This Row],[Towing]:[Towing]]="Y",'Towing Bat Cost'!H32,0),"N/A")</f>
        <v>6889.5999772970699</v>
      </c>
      <c r="M61" s="157">
        <f>IF(Table44[[#This Row],[Applicable Package?]:[Applicable Package?]]="Y",SUM('Rolled Up Non-Incremental Costs'!I32,'ICE Removal Cost'!I32,'Trans Removal Cost'!I32,'LEV3 Criteria Emissions Cost'!I32,'ZEV Assembly Reductions'!I32,'ACCII Criteria Compliance Cost'!I32,'ACCII GHG Compliance'!I32,'Current GHG Compliance'!I32)+IF(Table44[[#This Row],[Cold]:[Cold]]="Y",'Cold Weather Package'!I32,0)+IF(Table44[[#This Row],[eAWD]:[eAWD]]="Y",'eAWD Package'!I32,0)+IF(Table44[[#This Row],[Towing]:[Towing]]="Y",'Towing Bat Cost'!I32,0),"N/A")</f>
        <v>5693.2560220750202</v>
      </c>
      <c r="N61" s="157">
        <f>IF(Table44[[#This Row],[Applicable Package?]:[Applicable Package?]]="Y",SUM('Rolled Up Non-Incremental Costs'!J32,'ICE Removal Cost'!J32,'Trans Removal Cost'!J32,'LEV3 Criteria Emissions Cost'!J32,'ZEV Assembly Reductions'!J32,'ACCII Criteria Compliance Cost'!J32,'ACCII GHG Compliance'!J32,'Current GHG Compliance'!J32)+IF(Table44[[#This Row],[Cold]:[Cold]]="Y",'Cold Weather Package'!J32,0)+IF(Table44[[#This Row],[eAWD]:[eAWD]]="Y",'eAWD Package'!J32,0)+IF(Table44[[#This Row],[Towing]:[Towing]]="Y",'Towing Bat Cost'!J32,0),"N/A")</f>
        <v>4518.8108666257958</v>
      </c>
      <c r="O61" s="157">
        <f>IF(Table44[[#This Row],[Applicable Package?]:[Applicable Package?]]="Y",SUM('Rolled Up Non-Incremental Costs'!K32,'ICE Removal Cost'!K32,'Trans Removal Cost'!K32,'LEV3 Criteria Emissions Cost'!K32,'ZEV Assembly Reductions'!K32,'ACCII Criteria Compliance Cost'!K32,'ACCII GHG Compliance'!K32,'Current GHG Compliance'!K32)+IF(Table44[[#This Row],[Cold]:[Cold]]="Y",'Cold Weather Package'!K32,0)+IF(Table44[[#This Row],[eAWD]:[eAWD]]="Y",'eAWD Package'!K32,0)+IF(Table44[[#This Row],[Towing]:[Towing]]="Y",'Towing Bat Cost'!K32,0),"N/A")</f>
        <v>4102.6198124325056</v>
      </c>
      <c r="P61" s="157">
        <f>IF(Table44[[#This Row],[Applicable Package?]:[Applicable Package?]]="Y",SUM('Rolled Up Non-Incremental Costs'!L32,'ICE Removal Cost'!L32,'Trans Removal Cost'!L32,'LEV3 Criteria Emissions Cost'!L32,'ZEV Assembly Reductions'!L32,'ACCII Criteria Compliance Cost'!L32,'ACCII GHG Compliance'!L32,'Current GHG Compliance'!L32)+IF(Table44[[#This Row],[Cold]:[Cold]]="Y",'Cold Weather Package'!L32,0)+IF(Table44[[#This Row],[eAWD]:[eAWD]]="Y",'eAWD Package'!L32,0)+IF(Table44[[#This Row],[Towing]:[Towing]]="Y",'Towing Bat Cost'!L32,0),"N/A")</f>
        <v>3691.9714605561076</v>
      </c>
      <c r="Q61" s="157">
        <f>IF(Table44[[#This Row],[Applicable Package?]:[Applicable Package?]]="Y",SUM('Rolled Up Non-Incremental Costs'!M32,'ICE Removal Cost'!M32,'Trans Removal Cost'!M32,'LEV3 Criteria Emissions Cost'!M32,'ZEV Assembly Reductions'!M32,'ACCII Criteria Compliance Cost'!M32,'ACCII GHG Compliance'!M32,'Current GHG Compliance'!M32)+IF(Table44[[#This Row],[Cold]:[Cold]]="Y",'Cold Weather Package'!M32,0)+IF(Table44[[#This Row],[eAWD]:[eAWD]]="Y",'eAWD Package'!M32,0)+IF(Table44[[#This Row],[Towing]:[Towing]]="Y",'Towing Bat Cost'!M32,0),"N/A")</f>
        <v>3286.855058102683</v>
      </c>
      <c r="R61" s="157">
        <f>IF(Table44[[#This Row],[Applicable Package?]:[Applicable Package?]]="Y",SUM('Rolled Up Non-Incremental Costs'!N32,'ICE Removal Cost'!N32,'Trans Removal Cost'!N32,'LEV3 Criteria Emissions Cost'!N32,'ZEV Assembly Reductions'!N32,'ACCII Criteria Compliance Cost'!N32,'ACCII GHG Compliance'!N32,'Current GHG Compliance'!N32)+IF(Table44[[#This Row],[Cold]:[Cold]]="Y",'Cold Weather Package'!N32,0)+IF(Table44[[#This Row],[eAWD]:[eAWD]]="Y",'eAWD Package'!N32,0)+IF(Table44[[#This Row],[Towing]:[Towing]]="Y",'Towing Bat Cost'!N32,0),"N/A")</f>
        <v>2887.2599819466195</v>
      </c>
      <c r="S61" s="157">
        <f>IF(Table44[[#This Row],[Applicable Package?]:[Applicable Package?]]="Y",SUM('Rolled Up Non-Incremental Costs'!O32,'ICE Removal Cost'!O32,'Trans Removal Cost'!O32,'LEV3 Criteria Emissions Cost'!O32,'ZEV Assembly Reductions'!O32,'ACCII Criteria Compliance Cost'!O32,'ACCII GHG Compliance'!O32,'Current GHG Compliance'!O32)+IF(Table44[[#This Row],[Cold]:[Cold]]="Y",'Cold Weather Package'!O32,0)+IF(Table44[[#This Row],[eAWD]:[eAWD]]="Y",'eAWD Package'!O32,0)+IF(Table44[[#This Row],[Towing]:[Towing]]="Y",'Towing Bat Cost'!O32,0),"N/A")</f>
        <v>2493.1757372105203</v>
      </c>
    </row>
    <row r="62" spans="1:19" x14ac:dyDescent="0.3">
      <c r="A62" s="28" t="str">
        <f t="shared" si="1"/>
        <v>PickupBaseFCEV320</v>
      </c>
      <c r="B62" s="90" t="s">
        <v>89</v>
      </c>
      <c r="C62" s="68" t="s">
        <v>75</v>
      </c>
      <c r="D62" s="68" t="str">
        <f>'Vehicle Attributes - Base Year'!D30</f>
        <v>FCEV320</v>
      </c>
      <c r="E62" s="124" t="s">
        <v>76</v>
      </c>
      <c r="F62" s="124" t="s">
        <v>77</v>
      </c>
      <c r="G62" s="125" t="s">
        <v>77</v>
      </c>
      <c r="H62" s="156" t="s">
        <v>76</v>
      </c>
      <c r="I62" s="157">
        <f>IF(Table44[[#This Row],[Applicable Package?]:[Applicable Package?]]="Y",SUM('Rolled Up Non-Incremental Costs'!E33,'ICE Removal Cost'!E33,'Trans Removal Cost'!E33,'LEV3 Criteria Emissions Cost'!E33,'ZEV Assembly Reductions'!E33,'ACCII Criteria Compliance Cost'!E33,'ACCII GHG Compliance'!E33,'Current GHG Compliance'!E33)+IF(Table44[[#This Row],[Cold]:[Cold]]="Y",'Cold Weather Package'!E33,0)+IF(Table44[[#This Row],[eAWD]:[eAWD]]="Y",'eAWD Package'!E33,0)+IF(Table44[[#This Row],[Towing]:[Towing]]="Y",'Towing Bat Cost'!E33,0),"N/A")</f>
        <v>15199.517558637141</v>
      </c>
      <c r="J62" s="157">
        <f>IF(Table44[[#This Row],[Applicable Package?]:[Applicable Package?]]="Y",SUM('Rolled Up Non-Incremental Costs'!F33,'ICE Removal Cost'!F33,'Trans Removal Cost'!F33,'LEV3 Criteria Emissions Cost'!F33,'ZEV Assembly Reductions'!F33,'ACCII Criteria Compliance Cost'!F33,'ACCII GHG Compliance'!F33,'Current GHG Compliance'!F33)+IF(Table44[[#This Row],[Cold]:[Cold]]="Y",'Cold Weather Package'!F33,0)+IF(Table44[[#This Row],[eAWD]:[eAWD]]="Y",'eAWD Package'!F33,0)+IF(Table44[[#This Row],[Towing]:[Towing]]="Y",'Towing Bat Cost'!F33,0),"N/A")</f>
        <v>13650.247383730682</v>
      </c>
      <c r="K62" s="157">
        <f>IF(Table44[[#This Row],[Applicable Package?]:[Applicable Package?]]="Y",SUM('Rolled Up Non-Incremental Costs'!G33,'ICE Removal Cost'!G33,'Trans Removal Cost'!G33,'LEV3 Criteria Emissions Cost'!G33,'ZEV Assembly Reductions'!G33,'ACCII Criteria Compliance Cost'!G33,'ACCII GHG Compliance'!G33,'Current GHG Compliance'!G33)+IF(Table44[[#This Row],[Cold]:[Cold]]="Y",'Cold Weather Package'!G33,0)+IF(Table44[[#This Row],[eAWD]:[eAWD]]="Y",'eAWD Package'!G33,0)+IF(Table44[[#This Row],[Towing]:[Towing]]="Y",'Towing Bat Cost'!G33,0),"N/A")</f>
        <v>12131.976125477049</v>
      </c>
      <c r="L62" s="157">
        <f>IF(Table44[[#This Row],[Applicable Package?]:[Applicable Package?]]="Y",SUM('Rolled Up Non-Incremental Costs'!H33,'ICE Removal Cost'!H33,'Trans Removal Cost'!H33,'LEV3 Criteria Emissions Cost'!H33,'ZEV Assembly Reductions'!H33,'ACCII Criteria Compliance Cost'!H33,'ACCII GHG Compliance'!H33,'Current GHG Compliance'!H33)+IF(Table44[[#This Row],[Cold]:[Cold]]="Y",'Cold Weather Package'!H33,0)+IF(Table44[[#This Row],[eAWD]:[eAWD]]="Y",'eAWD Package'!H33,0)+IF(Table44[[#This Row],[Towing]:[Towing]]="Y",'Towing Bat Cost'!H33,0),"N/A")</f>
        <v>10644.684886967054</v>
      </c>
      <c r="M62" s="157">
        <f>IF(Table44[[#This Row],[Applicable Package?]:[Applicable Package?]]="Y",SUM('Rolled Up Non-Incremental Costs'!I33,'ICE Removal Cost'!I33,'Trans Removal Cost'!I33,'LEV3 Criteria Emissions Cost'!I33,'ZEV Assembly Reductions'!I33,'ACCII Criteria Compliance Cost'!I33,'ACCII GHG Compliance'!I33,'Current GHG Compliance'!I33)+IF(Table44[[#This Row],[Cold]:[Cold]]="Y",'Cold Weather Package'!I33,0)+IF(Table44[[#This Row],[eAWD]:[eAWD]]="Y",'eAWD Package'!I33,0)+IF(Table44[[#This Row],[Towing]:[Towing]]="Y",'Towing Bat Cost'!I33,0),"N/A")</f>
        <v>9188.355007031576</v>
      </c>
      <c r="N62" s="157">
        <f>IF(Table44[[#This Row],[Applicable Package?]:[Applicable Package?]]="Y",SUM('Rolled Up Non-Incremental Costs'!J33,'ICE Removal Cost'!J33,'Trans Removal Cost'!J33,'LEV3 Criteria Emissions Cost'!J33,'ZEV Assembly Reductions'!J33,'ACCII Criteria Compliance Cost'!J33,'ACCII GHG Compliance'!J33,'Current GHG Compliance'!J33)+IF(Table44[[#This Row],[Cold]:[Cold]]="Y",'Cold Weather Package'!J33,0)+IF(Table44[[#This Row],[eAWD]:[eAWD]]="Y",'eAWD Package'!J33,0)+IF(Table44[[#This Row],[Towing]:[Towing]]="Y",'Towing Bat Cost'!J33,0),"N/A")</f>
        <v>7762.968057416434</v>
      </c>
      <c r="O62" s="157">
        <f>IF(Table44[[#This Row],[Applicable Package?]:[Applicable Package?]]="Y",SUM('Rolled Up Non-Incremental Costs'!K33,'ICE Removal Cost'!K33,'Trans Removal Cost'!K33,'LEV3 Criteria Emissions Cost'!K33,'ZEV Assembly Reductions'!K33,'ACCII Criteria Compliance Cost'!K33,'ACCII GHG Compliance'!K33,'Current GHG Compliance'!K33)+IF(Table44[[#This Row],[Cold]:[Cold]]="Y",'Cold Weather Package'!K33,0)+IF(Table44[[#This Row],[eAWD]:[eAWD]]="Y",'eAWD Package'!K33,0)+IF(Table44[[#This Row],[Towing]:[Towing]]="Y",'Towing Bat Cost'!K33,0),"N/A")</f>
        <v>7199.0847713151925</v>
      </c>
      <c r="P62" s="157">
        <f>IF(Table44[[#This Row],[Applicable Package?]:[Applicable Package?]]="Y",SUM('Rolled Up Non-Incremental Costs'!L33,'ICE Removal Cost'!L33,'Trans Removal Cost'!L33,'LEV3 Criteria Emissions Cost'!L33,'ZEV Assembly Reductions'!L33,'ACCII Criteria Compliance Cost'!L33,'ACCII GHG Compliance'!L33,'Current GHG Compliance'!L33)+IF(Table44[[#This Row],[Cold]:[Cold]]="Y",'Cold Weather Package'!L33,0)+IF(Table44[[#This Row],[eAWD]:[eAWD]]="Y",'eAWD Package'!L33,0)+IF(Table44[[#This Row],[Towing]:[Towing]]="Y",'Towing Bat Cost'!L33,0),"N/A")</f>
        <v>6643.3476172103947</v>
      </c>
      <c r="Q62" s="157">
        <f>IF(Table44[[#This Row],[Applicable Package?]:[Applicable Package?]]="Y",SUM('Rolled Up Non-Incremental Costs'!M33,'ICE Removal Cost'!M33,'Trans Removal Cost'!M33,'LEV3 Criteria Emissions Cost'!M33,'ZEV Assembly Reductions'!M33,'ACCII Criteria Compliance Cost'!M33,'ACCII GHG Compliance'!M33,'Current GHG Compliance'!M33)+IF(Table44[[#This Row],[Cold]:[Cold]]="Y",'Cold Weather Package'!M33,0)+IF(Table44[[#This Row],[eAWD]:[eAWD]]="Y",'eAWD Package'!M33,0)+IF(Table44[[#This Row],[Towing]:[Towing]]="Y",'Towing Bat Cost'!M33,0),"N/A")</f>
        <v>6095.7521925854362</v>
      </c>
      <c r="R62" s="157">
        <f>IF(Table44[[#This Row],[Applicable Package?]:[Applicable Package?]]="Y",SUM('Rolled Up Non-Incremental Costs'!N33,'ICE Removal Cost'!N33,'Trans Removal Cost'!N33,'LEV3 Criteria Emissions Cost'!N33,'ZEV Assembly Reductions'!N33,'ACCII Criteria Compliance Cost'!N33,'ACCII GHG Compliance'!N33,'Current GHG Compliance'!N33)+IF(Table44[[#This Row],[Cold]:[Cold]]="Y",'Cold Weather Package'!N33,0)+IF(Table44[[#This Row],[eAWD]:[eAWD]]="Y",'eAWD Package'!N33,0)+IF(Table44[[#This Row],[Towing]:[Towing]]="Y",'Towing Bat Cost'!N33,0),"N/A")</f>
        <v>5556.2941389488751</v>
      </c>
      <c r="S62" s="157">
        <f>IF(Table44[[#This Row],[Applicable Package?]:[Applicable Package?]]="Y",SUM('Rolled Up Non-Incremental Costs'!O33,'ICE Removal Cost'!O33,'Trans Removal Cost'!O33,'LEV3 Criteria Emissions Cost'!O33,'ZEV Assembly Reductions'!O33,'ACCII Criteria Compliance Cost'!O33,'ACCII GHG Compliance'!O33,'Current GHG Compliance'!O33)+IF(Table44[[#This Row],[Cold]:[Cold]]="Y",'Cold Weather Package'!O33,0)+IF(Table44[[#This Row],[eAWD]:[eAWD]]="Y",'eAWD Package'!O33,0)+IF(Table44[[#This Row],[Towing]:[Towing]]="Y",'Towing Bat Cost'!O33,0),"N/A")</f>
        <v>5024.9691413941855</v>
      </c>
    </row>
    <row r="63" spans="1:19" x14ac:dyDescent="0.3">
      <c r="A63" t="str">
        <f t="shared" si="1"/>
        <v>PickupHTFCEV320</v>
      </c>
      <c r="B63" s="90" t="s">
        <v>89</v>
      </c>
      <c r="C63" s="68" t="s">
        <v>113</v>
      </c>
      <c r="D63" s="68" t="str">
        <f>'Vehicle Attributes - Base Year'!D31</f>
        <v>FCEV320</v>
      </c>
      <c r="E63" s="124" t="s">
        <v>76</v>
      </c>
      <c r="F63" s="124" t="s">
        <v>77</v>
      </c>
      <c r="G63" s="125" t="s">
        <v>77</v>
      </c>
      <c r="H63" s="156" t="s">
        <v>76</v>
      </c>
      <c r="I63" s="157">
        <f>IF(Table44[[#This Row],[Applicable Package?]:[Applicable Package?]]="Y",SUM('Rolled Up Non-Incremental Costs'!E34,'ICE Removal Cost'!E34,'Trans Removal Cost'!E34,'LEV3 Criteria Emissions Cost'!E34,'ZEV Assembly Reductions'!E34,'ACCII Criteria Compliance Cost'!E34,'ACCII GHG Compliance'!E34,'Current GHG Compliance'!E34)+IF(Table44[[#This Row],[Cold]:[Cold]]="Y",'Cold Weather Package'!E34,0)+IF(Table44[[#This Row],[eAWD]:[eAWD]]="Y",'eAWD Package'!E34,0)+IF(Table44[[#This Row],[Towing]:[Towing]]="Y",'Towing Bat Cost'!E34,0),"N/A")</f>
        <v>15199.517558637141</v>
      </c>
      <c r="J63" s="157">
        <f>IF(Table44[[#This Row],[Applicable Package?]:[Applicable Package?]]="Y",SUM('Rolled Up Non-Incremental Costs'!F34,'ICE Removal Cost'!F34,'Trans Removal Cost'!F34,'LEV3 Criteria Emissions Cost'!F34,'ZEV Assembly Reductions'!F34,'ACCII Criteria Compliance Cost'!F34,'ACCII GHG Compliance'!F34,'Current GHG Compliance'!F34)+IF(Table44[[#This Row],[Cold]:[Cold]]="Y",'Cold Weather Package'!F34,0)+IF(Table44[[#This Row],[eAWD]:[eAWD]]="Y",'eAWD Package'!F34,0)+IF(Table44[[#This Row],[Towing]:[Towing]]="Y",'Towing Bat Cost'!F34,0),"N/A")</f>
        <v>13650.247383730682</v>
      </c>
      <c r="K63" s="157">
        <f>IF(Table44[[#This Row],[Applicable Package?]:[Applicable Package?]]="Y",SUM('Rolled Up Non-Incremental Costs'!G34,'ICE Removal Cost'!G34,'Trans Removal Cost'!G34,'LEV3 Criteria Emissions Cost'!G34,'ZEV Assembly Reductions'!G34,'ACCII Criteria Compliance Cost'!G34,'ACCII GHG Compliance'!G34,'Current GHG Compliance'!G34)+IF(Table44[[#This Row],[Cold]:[Cold]]="Y",'Cold Weather Package'!G34,0)+IF(Table44[[#This Row],[eAWD]:[eAWD]]="Y",'eAWD Package'!G34,0)+IF(Table44[[#This Row],[Towing]:[Towing]]="Y",'Towing Bat Cost'!G34,0),"N/A")</f>
        <v>12131.976125477049</v>
      </c>
      <c r="L63" s="157">
        <f>IF(Table44[[#This Row],[Applicable Package?]:[Applicable Package?]]="Y",SUM('Rolled Up Non-Incremental Costs'!H34,'ICE Removal Cost'!H34,'Trans Removal Cost'!H34,'LEV3 Criteria Emissions Cost'!H34,'ZEV Assembly Reductions'!H34,'ACCII Criteria Compliance Cost'!H34,'ACCII GHG Compliance'!H34,'Current GHG Compliance'!H34)+IF(Table44[[#This Row],[Cold]:[Cold]]="Y",'Cold Weather Package'!H34,0)+IF(Table44[[#This Row],[eAWD]:[eAWD]]="Y",'eAWD Package'!H34,0)+IF(Table44[[#This Row],[Towing]:[Towing]]="Y",'Towing Bat Cost'!H34,0),"N/A")</f>
        <v>10644.684886967054</v>
      </c>
      <c r="M63" s="157">
        <f>IF(Table44[[#This Row],[Applicable Package?]:[Applicable Package?]]="Y",SUM('Rolled Up Non-Incremental Costs'!I34,'ICE Removal Cost'!I34,'Trans Removal Cost'!I34,'LEV3 Criteria Emissions Cost'!I34,'ZEV Assembly Reductions'!I34,'ACCII Criteria Compliance Cost'!I34,'ACCII GHG Compliance'!I34,'Current GHG Compliance'!I34)+IF(Table44[[#This Row],[Cold]:[Cold]]="Y",'Cold Weather Package'!I34,0)+IF(Table44[[#This Row],[eAWD]:[eAWD]]="Y",'eAWD Package'!I34,0)+IF(Table44[[#This Row],[Towing]:[Towing]]="Y",'Towing Bat Cost'!I34,0),"N/A")</f>
        <v>9188.355007031576</v>
      </c>
      <c r="N63" s="157">
        <f>IF(Table44[[#This Row],[Applicable Package?]:[Applicable Package?]]="Y",SUM('Rolled Up Non-Incremental Costs'!J34,'ICE Removal Cost'!J34,'Trans Removal Cost'!J34,'LEV3 Criteria Emissions Cost'!J34,'ZEV Assembly Reductions'!J34,'ACCII Criteria Compliance Cost'!J34,'ACCII GHG Compliance'!J34,'Current GHG Compliance'!J34)+IF(Table44[[#This Row],[Cold]:[Cold]]="Y",'Cold Weather Package'!J34,0)+IF(Table44[[#This Row],[eAWD]:[eAWD]]="Y",'eAWD Package'!J34,0)+IF(Table44[[#This Row],[Towing]:[Towing]]="Y",'Towing Bat Cost'!J34,0),"N/A")</f>
        <v>7762.968057416434</v>
      </c>
      <c r="O63" s="157">
        <f>IF(Table44[[#This Row],[Applicable Package?]:[Applicable Package?]]="Y",SUM('Rolled Up Non-Incremental Costs'!K34,'ICE Removal Cost'!K34,'Trans Removal Cost'!K34,'LEV3 Criteria Emissions Cost'!K34,'ZEV Assembly Reductions'!K34,'ACCII Criteria Compliance Cost'!K34,'ACCII GHG Compliance'!K34,'Current GHG Compliance'!K34)+IF(Table44[[#This Row],[Cold]:[Cold]]="Y",'Cold Weather Package'!K34,0)+IF(Table44[[#This Row],[eAWD]:[eAWD]]="Y",'eAWD Package'!K34,0)+IF(Table44[[#This Row],[Towing]:[Towing]]="Y",'Towing Bat Cost'!K34,0),"N/A")</f>
        <v>7199.0847713151925</v>
      </c>
      <c r="P63" s="157">
        <f>IF(Table44[[#This Row],[Applicable Package?]:[Applicable Package?]]="Y",SUM('Rolled Up Non-Incremental Costs'!L34,'ICE Removal Cost'!L34,'Trans Removal Cost'!L34,'LEV3 Criteria Emissions Cost'!L34,'ZEV Assembly Reductions'!L34,'ACCII Criteria Compliance Cost'!L34,'ACCII GHG Compliance'!L34,'Current GHG Compliance'!L34)+IF(Table44[[#This Row],[Cold]:[Cold]]="Y",'Cold Weather Package'!L34,0)+IF(Table44[[#This Row],[eAWD]:[eAWD]]="Y",'eAWD Package'!L34,0)+IF(Table44[[#This Row],[Towing]:[Towing]]="Y",'Towing Bat Cost'!L34,0),"N/A")</f>
        <v>6643.3476172103947</v>
      </c>
      <c r="Q63" s="157">
        <f>IF(Table44[[#This Row],[Applicable Package?]:[Applicable Package?]]="Y",SUM('Rolled Up Non-Incremental Costs'!M34,'ICE Removal Cost'!M34,'Trans Removal Cost'!M34,'LEV3 Criteria Emissions Cost'!M34,'ZEV Assembly Reductions'!M34,'ACCII Criteria Compliance Cost'!M34,'ACCII GHG Compliance'!M34,'Current GHG Compliance'!M34)+IF(Table44[[#This Row],[Cold]:[Cold]]="Y",'Cold Weather Package'!M34,0)+IF(Table44[[#This Row],[eAWD]:[eAWD]]="Y",'eAWD Package'!M34,0)+IF(Table44[[#This Row],[Towing]:[Towing]]="Y",'Towing Bat Cost'!M34,0),"N/A")</f>
        <v>6095.7521925854362</v>
      </c>
      <c r="R63" s="157">
        <f>IF(Table44[[#This Row],[Applicable Package?]:[Applicable Package?]]="Y",SUM('Rolled Up Non-Incremental Costs'!N34,'ICE Removal Cost'!N34,'Trans Removal Cost'!N34,'LEV3 Criteria Emissions Cost'!N34,'ZEV Assembly Reductions'!N34,'ACCII Criteria Compliance Cost'!N34,'ACCII GHG Compliance'!N34,'Current GHG Compliance'!N34)+IF(Table44[[#This Row],[Cold]:[Cold]]="Y",'Cold Weather Package'!N34,0)+IF(Table44[[#This Row],[eAWD]:[eAWD]]="Y",'eAWD Package'!N34,0)+IF(Table44[[#This Row],[Towing]:[Towing]]="Y",'Towing Bat Cost'!N34,0),"N/A")</f>
        <v>5556.2941389488751</v>
      </c>
      <c r="S63" s="157">
        <f>IF(Table44[[#This Row],[Applicable Package?]:[Applicable Package?]]="Y",SUM('Rolled Up Non-Incremental Costs'!O34,'ICE Removal Cost'!O34,'Trans Removal Cost'!O34,'LEV3 Criteria Emissions Cost'!O34,'ZEV Assembly Reductions'!O34,'ACCII Criteria Compliance Cost'!O34,'ACCII GHG Compliance'!O34,'Current GHG Compliance'!O34)+IF(Table44[[#This Row],[Cold]:[Cold]]="Y",'Cold Weather Package'!O34,0)+IF(Table44[[#This Row],[eAWD]:[eAWD]]="Y",'eAWD Package'!O34,0)+IF(Table44[[#This Row],[Towing]:[Towing]]="Y",'Towing Bat Cost'!O34,0),"N/A")</f>
        <v>5024.9691413941855</v>
      </c>
    </row>
    <row r="64" spans="1:19" x14ac:dyDescent="0.3">
      <c r="A64" s="28" t="str">
        <f t="shared" si="1"/>
        <v>SmallCarBaseBEV300</v>
      </c>
      <c r="B64" s="90" t="s">
        <v>73</v>
      </c>
      <c r="C64" s="68" t="s">
        <v>75</v>
      </c>
      <c r="D64" s="68" t="str">
        <f>'Vehicle Attributes - Base Year'!D2</f>
        <v>BEV300</v>
      </c>
      <c r="E64" s="124" t="s">
        <v>77</v>
      </c>
      <c r="F64" s="124" t="s">
        <v>76</v>
      </c>
      <c r="G64" s="125" t="s">
        <v>77</v>
      </c>
      <c r="H64" s="156" t="s">
        <v>76</v>
      </c>
      <c r="I64" s="157">
        <f>IF(Table44[[#This Row],[Applicable Package?]:[Applicable Package?]]="Y",SUM('Rolled Up Non-Incremental Costs'!E5,'ICE Removal Cost'!E5,'Trans Removal Cost'!E5,'LEV3 Criteria Emissions Cost'!E5,'ZEV Assembly Reductions'!E5,'ACCII Criteria Compliance Cost'!E5,'ACCII GHG Compliance'!E5,'Current GHG Compliance'!E5)+IF(Table44[[#This Row],[Cold]:[Cold]]="Y",'Cold Weather Package'!E5,0)+IF(Table44[[#This Row],[eAWD]:[eAWD]]="Y",'eAWD Package'!E5,0)+IF(Table44[[#This Row],[Towing]:[Towing]]="Y",'Towing Bat Cost'!E5,0),"N/A")</f>
        <v>4841.9868421052633</v>
      </c>
      <c r="J64" s="157">
        <f>IF(Table44[[#This Row],[Applicable Package?]:[Applicable Package?]]="Y",SUM('Rolled Up Non-Incremental Costs'!F5,'ICE Removal Cost'!F5,'Trans Removal Cost'!F5,'LEV3 Criteria Emissions Cost'!F5,'ZEV Assembly Reductions'!F5,'ACCII Criteria Compliance Cost'!F5,'ACCII GHG Compliance'!F5,'Current GHG Compliance'!F5)+IF(Table44[[#This Row],[Cold]:[Cold]]="Y",'Cold Weather Package'!F5,0)+IF(Table44[[#This Row],[eAWD]:[eAWD]]="Y",'eAWD Package'!F5,0)+IF(Table44[[#This Row],[Towing]:[Towing]]="Y",'Towing Bat Cost'!F5,0),"N/A")</f>
        <v>4235.9347368421049</v>
      </c>
      <c r="K64" s="157">
        <f>IF(Table44[[#This Row],[Applicable Package?]:[Applicable Package?]]="Y",SUM('Rolled Up Non-Incremental Costs'!G5,'ICE Removal Cost'!G5,'Trans Removal Cost'!G5,'LEV3 Criteria Emissions Cost'!G5,'ZEV Assembly Reductions'!G5,'ACCII Criteria Compliance Cost'!G5,'ACCII GHG Compliance'!G5,'Current GHG Compliance'!G5)+IF(Table44[[#This Row],[Cold]:[Cold]]="Y",'Cold Weather Package'!G5,0)+IF(Table44[[#This Row],[eAWD]:[eAWD]]="Y",'eAWD Package'!G5,0)+IF(Table44[[#This Row],[Towing]:[Towing]]="Y",'Towing Bat Cost'!G5,0),"N/A")</f>
        <v>3671.8723646118428</v>
      </c>
      <c r="L64" s="157">
        <f>IF(Table44[[#This Row],[Applicable Package?]:[Applicable Package?]]="Y",SUM('Rolled Up Non-Incremental Costs'!H5,'ICE Removal Cost'!H5,'Trans Removal Cost'!H5,'LEV3 Criteria Emissions Cost'!H5,'ZEV Assembly Reductions'!H5,'ACCII Criteria Compliance Cost'!H5,'ACCII GHG Compliance'!H5,'Current GHG Compliance'!H5)+IF(Table44[[#This Row],[Cold]:[Cold]]="Y",'Cold Weather Package'!H5,0)+IF(Table44[[#This Row],[eAWD]:[eAWD]]="Y",'eAWD Package'!H5,0)+IF(Table44[[#This Row],[Towing]:[Towing]]="Y",'Towing Bat Cost'!H5,0),"N/A")</f>
        <v>3146.6977124098185</v>
      </c>
      <c r="M64" s="157">
        <f>IF(Table44[[#This Row],[Applicable Package?]:[Applicable Package?]]="Y",SUM('Rolled Up Non-Incremental Costs'!I5,'ICE Removal Cost'!I5,'Trans Removal Cost'!I5,'LEV3 Criteria Emissions Cost'!I5,'ZEV Assembly Reductions'!I5,'ACCII Criteria Compliance Cost'!I5,'ACCII GHG Compliance'!I5,'Current GHG Compliance'!I5)+IF(Table44[[#This Row],[Cold]:[Cold]]="Y",'Cold Weather Package'!I5,0)+IF(Table44[[#This Row],[eAWD]:[eAWD]]="Y",'eAWD Package'!I5,0)+IF(Table44[[#This Row],[Towing]:[Towing]]="Y",'Towing Bat Cost'!I5,0),"N/A")</f>
        <v>2657.5400072965131</v>
      </c>
      <c r="N64" s="157">
        <f>IF(Table44[[#This Row],[Applicable Package?]:[Applicable Package?]]="Y",SUM('Rolled Up Non-Incremental Costs'!J5,'ICE Removal Cost'!J5,'Trans Removal Cost'!J5,'LEV3 Criteria Emissions Cost'!J5,'ZEV Assembly Reductions'!J5,'ACCII Criteria Compliance Cost'!J5,'ACCII GHG Compliance'!J5,'Current GHG Compliance'!J5)+IF(Table44[[#This Row],[Cold]:[Cold]]="Y",'Cold Weather Package'!J5,0)+IF(Table44[[#This Row],[eAWD]:[eAWD]]="Y",'eAWD Package'!J5,0)+IF(Table44[[#This Row],[Towing]:[Towing]]="Y",'Towing Bat Cost'!J5,0),"N/A")</f>
        <v>2286.1723169222951</v>
      </c>
      <c r="O64" s="157">
        <f>IF(Table44[[#This Row],[Applicable Package?]:[Applicable Package?]]="Y",SUM('Rolled Up Non-Incremental Costs'!K5,'ICE Removal Cost'!K5,'Trans Removal Cost'!K5,'LEV3 Criteria Emissions Cost'!K5,'ZEV Assembly Reductions'!K5,'ACCII Criteria Compliance Cost'!K5,'ACCII GHG Compliance'!K5,'Current GHG Compliance'!K5)+IF(Table44[[#This Row],[Cold]:[Cold]]="Y",'Cold Weather Package'!K5,0)+IF(Table44[[#This Row],[eAWD]:[eAWD]]="Y",'eAWD Package'!K5,0)+IF(Table44[[#This Row],[Towing]:[Towing]]="Y",'Towing Bat Cost'!K5,0),"N/A")</f>
        <v>1957.1689995790989</v>
      </c>
      <c r="P64" s="157">
        <f>IF(Table44[[#This Row],[Applicable Package?]:[Applicable Package?]]="Y",SUM('Rolled Up Non-Incremental Costs'!L5,'ICE Removal Cost'!L5,'Trans Removal Cost'!L5,'LEV3 Criteria Emissions Cost'!L5,'ZEV Assembly Reductions'!L5,'ACCII Criteria Compliance Cost'!L5,'ACCII GHG Compliance'!L5,'Current GHG Compliance'!L5)+IF(Table44[[#This Row],[Cold]:[Cold]]="Y",'Cold Weather Package'!L5,0)+IF(Table44[[#This Row],[eAWD]:[eAWD]]="Y",'eAWD Package'!L5,0)+IF(Table44[[#This Row],[Towing]:[Towing]]="Y",'Towing Bat Cost'!L5,0),"N/A")</f>
        <v>1644.0379001903582</v>
      </c>
      <c r="Q64" s="157">
        <f>IF(Table44[[#This Row],[Applicable Package?]:[Applicable Package?]]="Y",SUM('Rolled Up Non-Incremental Costs'!M5,'ICE Removal Cost'!M5,'Trans Removal Cost'!M5,'LEV3 Criteria Emissions Cost'!M5,'ZEV Assembly Reductions'!M5,'ACCII Criteria Compliance Cost'!M5,'ACCII GHG Compliance'!M5,'Current GHG Compliance'!M5)+IF(Table44[[#This Row],[Cold]:[Cold]]="Y",'Cold Weather Package'!M5,0)+IF(Table44[[#This Row],[eAWD]:[eAWD]]="Y",'eAWD Package'!M5,0)+IF(Table44[[#This Row],[Towing]:[Towing]]="Y",'Towing Bat Cost'!M5,0),"N/A")</f>
        <v>1345.9314219597704</v>
      </c>
      <c r="R64" s="157">
        <f>IF(Table44[[#This Row],[Applicable Package?]:[Applicable Package?]]="Y",SUM('Rolled Up Non-Incremental Costs'!N5,'ICE Removal Cost'!N5,'Trans Removal Cost'!N5,'LEV3 Criteria Emissions Cost'!N5,'ZEV Assembly Reductions'!N5,'ACCII Criteria Compliance Cost'!N5,'ACCII GHG Compliance'!N5,'Current GHG Compliance'!N5)+IF(Table44[[#This Row],[Cold]:[Cold]]="Y",'Cold Weather Package'!N5,0)+IF(Table44[[#This Row],[eAWD]:[eAWD]]="Y",'eAWD Package'!N5,0)+IF(Table44[[#This Row],[Towing]:[Towing]]="Y",'Towing Bat Cost'!N5,0),"N/A")</f>
        <v>1062.048159944258</v>
      </c>
      <c r="S64" s="157">
        <f>IF(Table44[[#This Row],[Applicable Package?]:[Applicable Package?]]="Y",SUM('Rolled Up Non-Incremental Costs'!O5,'ICE Removal Cost'!O5,'Trans Removal Cost'!O5,'LEV3 Criteria Emissions Cost'!O5,'ZEV Assembly Reductions'!O5,'ACCII Criteria Compliance Cost'!O5,'ACCII GHG Compliance'!O5,'Current GHG Compliance'!O5)+IF(Table44[[#This Row],[Cold]:[Cold]]="Y",'Cold Weather Package'!O5,0)+IF(Table44[[#This Row],[eAWD]:[eAWD]]="Y",'eAWD Package'!O5,0)+IF(Table44[[#This Row],[Towing]:[Towing]]="Y",'Towing Bat Cost'!O5,0),"N/A")</f>
        <v>791.63037419072759</v>
      </c>
    </row>
    <row r="65" spans="1:19" x14ac:dyDescent="0.3">
      <c r="A65" t="str">
        <f t="shared" si="1"/>
        <v>SmallCarPremiumBEV400</v>
      </c>
      <c r="B65" s="90" t="s">
        <v>73</v>
      </c>
      <c r="C65" s="68" t="s">
        <v>80</v>
      </c>
      <c r="D65" s="68" t="str">
        <f>'Vehicle Attributes - Base Year'!D3</f>
        <v>BEV400</v>
      </c>
      <c r="E65" s="124" t="s">
        <v>77</v>
      </c>
      <c r="F65" s="124" t="s">
        <v>76</v>
      </c>
      <c r="G65" s="125" t="s">
        <v>77</v>
      </c>
      <c r="H65" s="156" t="s">
        <v>76</v>
      </c>
      <c r="I65" s="157">
        <f>IF(Table44[[#This Row],[Applicable Package?]:[Applicable Package?]]="Y",SUM('Rolled Up Non-Incremental Costs'!E6,'ICE Removal Cost'!E6,'Trans Removal Cost'!E6,'LEV3 Criteria Emissions Cost'!E6,'ZEV Assembly Reductions'!E6,'ACCII Criteria Compliance Cost'!E6,'ACCII GHG Compliance'!E6,'Current GHG Compliance'!E6)+IF(Table44[[#This Row],[Cold]:[Cold]]="Y",'Cold Weather Package'!E6,0)+IF(Table44[[#This Row],[eAWD]:[eAWD]]="Y",'eAWD Package'!E6,0)+IF(Table44[[#This Row],[Towing]:[Towing]]="Y",'Towing Bat Cost'!E6,0),"N/A")</f>
        <v>7961.3552631578959</v>
      </c>
      <c r="J65" s="157">
        <f>IF(Table44[[#This Row],[Applicable Package?]:[Applicable Package?]]="Y",SUM('Rolled Up Non-Incremental Costs'!F6,'ICE Removal Cost'!F6,'Trans Removal Cost'!F6,'LEV3 Criteria Emissions Cost'!F6,'ZEV Assembly Reductions'!F6,'ACCII Criteria Compliance Cost'!F6,'ACCII GHG Compliance'!F6,'Current GHG Compliance'!F6)+IF(Table44[[#This Row],[Cold]:[Cold]]="Y",'Cold Weather Package'!F6,0)+IF(Table44[[#This Row],[eAWD]:[eAWD]]="Y",'eAWD Package'!F6,0)+IF(Table44[[#This Row],[Towing]:[Towing]]="Y",'Towing Bat Cost'!F6,0),"N/A")</f>
        <v>7149.724605263159</v>
      </c>
      <c r="K65" s="157">
        <f>IF(Table44[[#This Row],[Applicable Package?]:[Applicable Package?]]="Y",SUM('Rolled Up Non-Incremental Costs'!G6,'ICE Removal Cost'!G6,'Trans Removal Cost'!G6,'LEV3 Criteria Emissions Cost'!G6,'ZEV Assembly Reductions'!G6,'ACCII Criteria Compliance Cost'!G6,'ACCII GHG Compliance'!G6,'Current GHG Compliance'!G6)+IF(Table44[[#This Row],[Cold]:[Cold]]="Y",'Cold Weather Package'!G6,0)+IF(Table44[[#This Row],[eAWD]:[eAWD]]="Y",'eAWD Package'!G6,0)+IF(Table44[[#This Row],[Towing]:[Towing]]="Y",'Towing Bat Cost'!G6,0),"N/A")</f>
        <v>6395.1572963552662</v>
      </c>
      <c r="L65" s="157">
        <f>IF(Table44[[#This Row],[Applicable Package?]:[Applicable Package?]]="Y",SUM('Rolled Up Non-Incremental Costs'!H6,'ICE Removal Cost'!H6,'Trans Removal Cost'!H6,'LEV3 Criteria Emissions Cost'!H6,'ZEV Assembly Reductions'!H6,'ACCII Criteria Compliance Cost'!H6,'ACCII GHG Compliance'!H6,'Current GHG Compliance'!H6)+IF(Table44[[#This Row],[Cold]:[Cold]]="Y",'Cold Weather Package'!H6,0)+IF(Table44[[#This Row],[eAWD]:[eAWD]]="Y",'eAWD Package'!H6,0)+IF(Table44[[#This Row],[Towing]:[Towing]]="Y",'Towing Bat Cost'!H6,0),"N/A")</f>
        <v>5693.4288062285941</v>
      </c>
      <c r="M65" s="157">
        <f>IF(Table44[[#This Row],[Applicable Package?]:[Applicable Package?]]="Y",SUM('Rolled Up Non-Incremental Costs'!I6,'ICE Removal Cost'!I6,'Trans Removal Cost'!I6,'LEV3 Criteria Emissions Cost'!I6,'ZEV Assembly Reductions'!I6,'ACCII Criteria Compliance Cost'!I6,'ACCII GHG Compliance'!I6,'Current GHG Compliance'!I6)+IF(Table44[[#This Row],[Cold]:[Cold]]="Y",'Cold Weather Package'!I6,0)+IF(Table44[[#This Row],[eAWD]:[eAWD]]="Y",'eAWD Package'!I6,0)+IF(Table44[[#This Row],[Towing]:[Towing]]="Y",'Towing Bat Cost'!I6,0),"N/A")</f>
        <v>5040.6296133694141</v>
      </c>
      <c r="N65" s="157">
        <f>IF(Table44[[#This Row],[Applicable Package?]:[Applicable Package?]]="Y",SUM('Rolled Up Non-Incremental Costs'!J6,'ICE Removal Cost'!J6,'Trans Removal Cost'!J6,'LEV3 Criteria Emissions Cost'!J6,'ZEV Assembly Reductions'!J6,'ACCII Criteria Compliance Cost'!J6,'ACCII GHG Compliance'!J6,'Current GHG Compliance'!J6)+IF(Table44[[#This Row],[Cold]:[Cold]]="Y",'Cold Weather Package'!J6,0)+IF(Table44[[#This Row],[eAWD]:[eAWD]]="Y",'eAWD Package'!J6,0)+IF(Table44[[#This Row],[Towing]:[Towing]]="Y",'Towing Bat Cost'!J6,0),"N/A")</f>
        <v>4548.1620811731464</v>
      </c>
      <c r="O65" s="157">
        <f>IF(Table44[[#This Row],[Applicable Package?]:[Applicable Package?]]="Y",SUM('Rolled Up Non-Incremental Costs'!K6,'ICE Removal Cost'!K6,'Trans Removal Cost'!K6,'LEV3 Criteria Emissions Cost'!K6,'ZEV Assembly Reductions'!K6,'ACCII Criteria Compliance Cost'!K6,'ACCII GHG Compliance'!K6,'Current GHG Compliance'!K6)+IF(Table44[[#This Row],[Cold]:[Cold]]="Y",'Cold Weather Package'!K6,0)+IF(Table44[[#This Row],[eAWD]:[eAWD]]="Y",'eAWD Package'!K6,0)+IF(Table44[[#This Row],[Towing]:[Towing]]="Y",'Towing Bat Cost'!K6,0),"N/A")</f>
        <v>4113.2737958345533</v>
      </c>
      <c r="P65" s="157">
        <f>IF(Table44[[#This Row],[Applicable Package?]:[Applicable Package?]]="Y",SUM('Rolled Up Non-Incremental Costs'!L6,'ICE Removal Cost'!L6,'Trans Removal Cost'!L6,'LEV3 Criteria Emissions Cost'!L6,'ZEV Assembly Reductions'!L6,'ACCII Criteria Compliance Cost'!L6,'ACCII GHG Compliance'!L6,'Current GHG Compliance'!L6)+IF(Table44[[#This Row],[Cold]:[Cold]]="Y",'Cold Weather Package'!L6,0)+IF(Table44[[#This Row],[eAWD]:[eAWD]]="Y",'eAWD Package'!L6,0)+IF(Table44[[#This Row],[Towing]:[Towing]]="Y",'Towing Bat Cost'!L6,0),"N/A")</f>
        <v>3699.8753407321892</v>
      </c>
      <c r="Q65" s="157">
        <f>IF(Table44[[#This Row],[Applicable Package?]:[Applicable Package?]]="Y",SUM('Rolled Up Non-Incremental Costs'!M6,'ICE Removal Cost'!M6,'Trans Removal Cost'!M6,'LEV3 Criteria Emissions Cost'!M6,'ZEV Assembly Reductions'!M6,'ACCII Criteria Compliance Cost'!M6,'ACCII GHG Compliance'!M6,'Current GHG Compliance'!M6)+IF(Table44[[#This Row],[Cold]:[Cold]]="Y",'Cold Weather Package'!M6,0)+IF(Table44[[#This Row],[eAWD]:[eAWD]]="Y",'eAWD Package'!M6,0)+IF(Table44[[#This Row],[Towing]:[Towing]]="Y",'Towing Bat Cost'!M6,0),"N/A")</f>
        <v>3306.8133506944851</v>
      </c>
      <c r="R65" s="157">
        <f>IF(Table44[[#This Row],[Applicable Package?]:[Applicable Package?]]="Y",SUM('Rolled Up Non-Incremental Costs'!N6,'ICE Removal Cost'!N6,'Trans Removal Cost'!N6,'LEV3 Criteria Emissions Cost'!N6,'ZEV Assembly Reductions'!N6,'ACCII Criteria Compliance Cost'!N6,'ACCII GHG Compliance'!N6,'Current GHG Compliance'!N6)+IF(Table44[[#This Row],[Cold]:[Cold]]="Y",'Cold Weather Package'!N6,0)+IF(Table44[[#This Row],[eAWD]:[eAWD]]="Y",'eAWD Package'!N6,0)+IF(Table44[[#This Row],[Towing]:[Towing]]="Y",'Towing Bat Cost'!N6,0),"N/A")</f>
        <v>2932.9973752626724</v>
      </c>
      <c r="S65" s="157">
        <f>IF(Table44[[#This Row],[Applicable Package?]:[Applicable Package?]]="Y",SUM('Rolled Up Non-Incremental Costs'!O6,'ICE Removal Cost'!O6,'Trans Removal Cost'!O6,'LEV3 Criteria Emissions Cost'!O6,'ZEV Assembly Reductions'!O6,'ACCII Criteria Compliance Cost'!O6,'ACCII GHG Compliance'!O6,'Current GHG Compliance'!O6)+IF(Table44[[#This Row],[Cold]:[Cold]]="Y",'Cold Weather Package'!O6,0)+IF(Table44[[#This Row],[eAWD]:[eAWD]]="Y",'eAWD Package'!O6,0)+IF(Table44[[#This Row],[Towing]:[Towing]]="Y",'Towing Bat Cost'!O6,0),"N/A")</f>
        <v>2577.396436430563</v>
      </c>
    </row>
    <row r="66" spans="1:19" x14ac:dyDescent="0.3">
      <c r="A66" s="28" t="str">
        <f t="shared" si="1"/>
        <v>MedCarBaseBEV300</v>
      </c>
      <c r="B66" s="90" t="s">
        <v>82</v>
      </c>
      <c r="C66" s="68" t="s">
        <v>75</v>
      </c>
      <c r="D66" s="68" t="str">
        <f>'Vehicle Attributes - Base Year'!D4</f>
        <v>BEV300</v>
      </c>
      <c r="E66" s="124" t="s">
        <v>77</v>
      </c>
      <c r="F66" s="124" t="s">
        <v>76</v>
      </c>
      <c r="G66" s="125" t="s">
        <v>77</v>
      </c>
      <c r="H66" s="156" t="s">
        <v>76</v>
      </c>
      <c r="I66" s="157">
        <f>IF(Table44[[#This Row],[Applicable Package?]:[Applicable Package?]]="Y",SUM('Rolled Up Non-Incremental Costs'!E7,'ICE Removal Cost'!E7,'Trans Removal Cost'!E7,'LEV3 Criteria Emissions Cost'!E7,'ZEV Assembly Reductions'!E7,'ACCII Criteria Compliance Cost'!E7,'ACCII GHG Compliance'!E7,'Current GHG Compliance'!E7)+IF(Table44[[#This Row],[Cold]:[Cold]]="Y",'Cold Weather Package'!E7,0)+IF(Table44[[#This Row],[eAWD]:[eAWD]]="Y",'eAWD Package'!E7,0)+IF(Table44[[#This Row],[Towing]:[Towing]]="Y",'Towing Bat Cost'!E7,0),"N/A")</f>
        <v>5562.4210526315801</v>
      </c>
      <c r="J66" s="157">
        <f>IF(Table44[[#This Row],[Applicable Package?]:[Applicable Package?]]="Y",SUM('Rolled Up Non-Incremental Costs'!F7,'ICE Removal Cost'!F7,'Trans Removal Cost'!F7,'LEV3 Criteria Emissions Cost'!F7,'ZEV Assembly Reductions'!F7,'ACCII Criteria Compliance Cost'!F7,'ACCII GHG Compliance'!F7,'Current GHG Compliance'!F7)+IF(Table44[[#This Row],[Cold]:[Cold]]="Y",'Cold Weather Package'!F7,0)+IF(Table44[[#This Row],[eAWD]:[eAWD]]="Y",'eAWD Package'!F7,0)+IF(Table44[[#This Row],[Towing]:[Towing]]="Y",'Towing Bat Cost'!F7,0),"N/A")</f>
        <v>4928.2384210526334</v>
      </c>
      <c r="K66" s="157">
        <f>IF(Table44[[#This Row],[Applicable Package?]:[Applicable Package?]]="Y",SUM('Rolled Up Non-Incremental Costs'!G7,'ICE Removal Cost'!G7,'Trans Removal Cost'!G7,'LEV3 Criteria Emissions Cost'!G7,'ZEV Assembly Reductions'!G7,'ACCII Criteria Compliance Cost'!G7,'ACCII GHG Compliance'!G7,'Current GHG Compliance'!G7)+IF(Table44[[#This Row],[Cold]:[Cold]]="Y",'Cold Weather Package'!G7,0)+IF(Table44[[#This Row],[eAWD]:[eAWD]]="Y",'eAWD Package'!G7,0)+IF(Table44[[#This Row],[Towing]:[Towing]]="Y",'Towing Bat Cost'!G7,0),"N/A")</f>
        <v>4337.8889674210541</v>
      </c>
      <c r="L66" s="157">
        <f>IF(Table44[[#This Row],[Applicable Package?]:[Applicable Package?]]="Y",SUM('Rolled Up Non-Incremental Costs'!H7,'ICE Removal Cost'!H7,'Trans Removal Cost'!H7,'LEV3 Criteria Emissions Cost'!H7,'ZEV Assembly Reductions'!H7,'ACCII Criteria Compliance Cost'!H7,'ACCII GHG Compliance'!H7,'Current GHG Compliance'!H7)+IF(Table44[[#This Row],[Cold]:[Cold]]="Y",'Cold Weather Package'!H7,0)+IF(Table44[[#This Row],[eAWD]:[eAWD]]="Y",'eAWD Package'!H7,0)+IF(Table44[[#This Row],[Towing]:[Towing]]="Y",'Towing Bat Cost'!H7,0),"N/A")</f>
        <v>3788.1356305580721</v>
      </c>
      <c r="M66" s="157">
        <f>IF(Table44[[#This Row],[Applicable Package?]:[Applicable Package?]]="Y",SUM('Rolled Up Non-Incremental Costs'!I7,'ICE Removal Cost'!I7,'Trans Removal Cost'!I7,'LEV3 Criteria Emissions Cost'!I7,'ZEV Assembly Reductions'!I7,'ACCII Criteria Compliance Cost'!I7,'ACCII GHG Compliance'!I7,'Current GHG Compliance'!I7)+IF(Table44[[#This Row],[Cold]:[Cold]]="Y",'Cold Weather Package'!I7,0)+IF(Table44[[#This Row],[eAWD]:[eAWD]]="Y",'eAWD Package'!I7,0)+IF(Table44[[#This Row],[Towing]:[Towing]]="Y",'Towing Bat Cost'!I7,0),"N/A")</f>
        <v>3275.9826450463611</v>
      </c>
      <c r="N66" s="157">
        <f>IF(Table44[[#This Row],[Applicable Package?]:[Applicable Package?]]="Y",SUM('Rolled Up Non-Incremental Costs'!J7,'ICE Removal Cost'!J7,'Trans Removal Cost'!J7,'LEV3 Criteria Emissions Cost'!J7,'ZEV Assembly Reductions'!J7,'ACCII Criteria Compliance Cost'!J7,'ACCII GHG Compliance'!J7,'Current GHG Compliance'!J7)+IF(Table44[[#This Row],[Cold]:[Cold]]="Y",'Cold Weather Package'!J7,0)+IF(Table44[[#This Row],[eAWD]:[eAWD]]="Y",'eAWD Package'!J7,0)+IF(Table44[[#This Row],[Towing]:[Towing]]="Y",'Towing Bat Cost'!J7,0),"N/A")</f>
        <v>2886.7582548032874</v>
      </c>
      <c r="O66" s="157">
        <f>IF(Table44[[#This Row],[Applicable Package?]:[Applicable Package?]]="Y",SUM('Rolled Up Non-Incremental Costs'!K7,'ICE Removal Cost'!K7,'Trans Removal Cost'!K7,'LEV3 Criteria Emissions Cost'!K7,'ZEV Assembly Reductions'!K7,'ACCII Criteria Compliance Cost'!K7,'ACCII GHG Compliance'!K7,'Current GHG Compliance'!K7)+IF(Table44[[#This Row],[Cold]:[Cold]]="Y",'Cold Weather Package'!K7,0)+IF(Table44[[#This Row],[eAWD]:[eAWD]]="Y",'eAWD Package'!K7,0)+IF(Table44[[#This Row],[Towing]:[Towing]]="Y",'Towing Bat Cost'!K7,0),"N/A")</f>
        <v>2541.7572696389352</v>
      </c>
      <c r="P66" s="157">
        <f>IF(Table44[[#This Row],[Applicable Package?]:[Applicable Package?]]="Y",SUM('Rolled Up Non-Incremental Costs'!L7,'ICE Removal Cost'!L7,'Trans Removal Cost'!L7,'LEV3 Criteria Emissions Cost'!L7,'ZEV Assembly Reductions'!L7,'ACCII Criteria Compliance Cost'!L7,'ACCII GHG Compliance'!L7,'Current GHG Compliance'!L7)+IF(Table44[[#This Row],[Cold]:[Cold]]="Y",'Cold Weather Package'!L7,0)+IF(Table44[[#This Row],[eAWD]:[eAWD]]="Y",'eAWD Package'!L7,0)+IF(Table44[[#This Row],[Towing]:[Towing]]="Y",'Towing Bat Cost'!L7,0),"N/A")</f>
        <v>2213.3355306194685</v>
      </c>
      <c r="Q66" s="157">
        <f>IF(Table44[[#This Row],[Applicable Package?]:[Applicable Package?]]="Y",SUM('Rolled Up Non-Incremental Costs'!M7,'ICE Removal Cost'!M7,'Trans Removal Cost'!M7,'LEV3 Criteria Emissions Cost'!M7,'ZEV Assembly Reductions'!M7,'ACCII Criteria Compliance Cost'!M7,'ACCII GHG Compliance'!M7,'Current GHG Compliance'!M7)+IF(Table44[[#This Row],[Cold]:[Cold]]="Y",'Cold Weather Package'!M7,0)+IF(Table44[[#This Row],[eAWD]:[eAWD]]="Y",'eAWD Package'!M7,0)+IF(Table44[[#This Row],[Towing]:[Towing]]="Y",'Towing Bat Cost'!M7,0),"N/A")</f>
        <v>1900.6084195963856</v>
      </c>
      <c r="R66" s="157">
        <f>IF(Table44[[#This Row],[Applicable Package?]:[Applicable Package?]]="Y",SUM('Rolled Up Non-Incremental Costs'!N7,'ICE Removal Cost'!N7,'Trans Removal Cost'!N7,'LEV3 Criteria Emissions Cost'!N7,'ZEV Assembly Reductions'!N7,'ACCII Criteria Compliance Cost'!N7,'ACCII GHG Compliance'!N7,'Current GHG Compliance'!N7)+IF(Table44[[#This Row],[Cold]:[Cold]]="Y",'Cold Weather Package'!N7,0)+IF(Table44[[#This Row],[eAWD]:[eAWD]]="Y",'eAWD Package'!N7,0)+IF(Table44[[#This Row],[Towing]:[Towing]]="Y",'Towing Bat Cost'!N7,0),"N/A")</f>
        <v>1602.7395203090309</v>
      </c>
      <c r="S66" s="157">
        <f>IF(Table44[[#This Row],[Applicable Package?]:[Applicable Package?]]="Y",SUM('Rolled Up Non-Incremental Costs'!O7,'ICE Removal Cost'!O7,'Trans Removal Cost'!O7,'LEV3 Criteria Emissions Cost'!O7,'ZEV Assembly Reductions'!O7,'ACCII Criteria Compliance Cost'!O7,'ACCII GHG Compliance'!O7,'Current GHG Compliance'!O7)+IF(Table44[[#This Row],[Cold]:[Cold]]="Y",'Cold Weather Package'!O7,0)+IF(Table44[[#This Row],[eAWD]:[eAWD]]="Y",'eAWD Package'!O7,0)+IF(Table44[[#This Row],[Towing]:[Towing]]="Y",'Towing Bat Cost'!O7,0),"N/A")</f>
        <v>1318.9379816408061</v>
      </c>
    </row>
    <row r="67" spans="1:19" x14ac:dyDescent="0.3">
      <c r="A67" t="str">
        <f t="shared" si="1"/>
        <v>MedCarPremiumBEV400</v>
      </c>
      <c r="B67" s="90" t="s">
        <v>82</v>
      </c>
      <c r="C67" s="68" t="s">
        <v>80</v>
      </c>
      <c r="D67" s="68" t="str">
        <f>'Vehicle Attributes - Base Year'!D5</f>
        <v>BEV400</v>
      </c>
      <c r="E67" s="124" t="s">
        <v>77</v>
      </c>
      <c r="F67" s="124" t="s">
        <v>76</v>
      </c>
      <c r="G67" s="125" t="s">
        <v>77</v>
      </c>
      <c r="H67" s="156" t="s">
        <v>76</v>
      </c>
      <c r="I67" s="157">
        <f>IF(Table44[[#This Row],[Applicable Package?]:[Applicable Package?]]="Y",SUM('Rolled Up Non-Incremental Costs'!E8,'ICE Removal Cost'!E8,'Trans Removal Cost'!E8,'LEV3 Criteria Emissions Cost'!E8,'ZEV Assembly Reductions'!E8,'ACCII Criteria Compliance Cost'!E8,'ACCII GHG Compliance'!E8,'Current GHG Compliance'!E8)+IF(Table44[[#This Row],[Cold]:[Cold]]="Y",'Cold Weather Package'!E8,0)+IF(Table44[[#This Row],[eAWD]:[eAWD]]="Y",'eAWD Package'!E8,0)+IF(Table44[[#This Row],[Towing]:[Towing]]="Y",'Towing Bat Cost'!E8,0),"N/A")</f>
        <v>9266.4894736842107</v>
      </c>
      <c r="J67" s="157">
        <f>IF(Table44[[#This Row],[Applicable Package?]:[Applicable Package?]]="Y",SUM('Rolled Up Non-Incremental Costs'!F8,'ICE Removal Cost'!F8,'Trans Removal Cost'!F8,'LEV3 Criteria Emissions Cost'!F8,'ZEV Assembly Reductions'!F8,'ACCII Criteria Compliance Cost'!F8,'ACCII GHG Compliance'!F8,'Current GHG Compliance'!F8)+IF(Table44[[#This Row],[Cold]:[Cold]]="Y",'Cold Weather Package'!F8,0)+IF(Table44[[#This Row],[eAWD]:[eAWD]]="Y",'eAWD Package'!F8,0)+IF(Table44[[#This Row],[Towing]:[Towing]]="Y",'Towing Bat Cost'!F8,0),"N/A")</f>
        <v>8394.3747894736862</v>
      </c>
      <c r="K67" s="157">
        <f>IF(Table44[[#This Row],[Applicable Package?]:[Applicable Package?]]="Y",SUM('Rolled Up Non-Incremental Costs'!G8,'ICE Removal Cost'!G8,'Trans Removal Cost'!G8,'LEV3 Criteria Emissions Cost'!G8,'ZEV Assembly Reductions'!G8,'ACCII Criteria Compliance Cost'!G8,'ACCII GHG Compliance'!G8,'Current GHG Compliance'!G8)+IF(Table44[[#This Row],[Cold]:[Cold]]="Y",'Cold Weather Package'!G8,0)+IF(Table44[[#This Row],[eAWD]:[eAWD]]="Y",'eAWD Package'!G8,0)+IF(Table44[[#This Row],[Towing]:[Towing]]="Y",'Towing Bat Cost'!G8,0),"N/A")</f>
        <v>7583.4691443894762</v>
      </c>
      <c r="L67" s="157">
        <f>IF(Table44[[#This Row],[Applicable Package?]:[Applicable Package?]]="Y",SUM('Rolled Up Non-Incremental Costs'!H8,'ICE Removal Cost'!H8,'Trans Removal Cost'!H8,'LEV3 Criteria Emissions Cost'!H8,'ZEV Assembly Reductions'!H8,'ACCII Criteria Compliance Cost'!H8,'ACCII GHG Compliance'!H8,'Current GHG Compliance'!H8)+IF(Table44[[#This Row],[Cold]:[Cold]]="Y",'Cold Weather Package'!H8,0)+IF(Table44[[#This Row],[eAWD]:[eAWD]]="Y",'eAWD Package'!H8,0)+IF(Table44[[#This Row],[Towing]:[Towing]]="Y",'Towing Bat Cost'!H8,0),"N/A")</f>
        <v>6829.2422268812988</v>
      </c>
      <c r="M67" s="157">
        <f>IF(Table44[[#This Row],[Applicable Package?]:[Applicable Package?]]="Y",SUM('Rolled Up Non-Incremental Costs'!I8,'ICE Removal Cost'!I8,'Trans Removal Cost'!I8,'LEV3 Criteria Emissions Cost'!I8,'ZEV Assembly Reductions'!I8,'ACCII Criteria Compliance Cost'!I8,'ACCII GHG Compliance'!I8,'Current GHG Compliance'!I8)+IF(Table44[[#This Row],[Cold]:[Cold]]="Y",'Cold Weather Package'!I8,0)+IF(Table44[[#This Row],[eAWD]:[eAWD]]="Y",'eAWD Package'!I8,0)+IF(Table44[[#This Row],[Towing]:[Towing]]="Y",'Towing Bat Cost'!I8,0),"N/A")</f>
        <v>6127.5015237239049</v>
      </c>
      <c r="N67" s="157">
        <f>IF(Table44[[#This Row],[Applicable Package?]:[Applicable Package?]]="Y",SUM('Rolled Up Non-Incremental Costs'!J8,'ICE Removal Cost'!J8,'Trans Removal Cost'!J8,'LEV3 Criteria Emissions Cost'!J8,'ZEV Assembly Reductions'!J8,'ACCII Criteria Compliance Cost'!J8,'ACCII GHG Compliance'!J8,'Current GHG Compliance'!J8)+IF(Table44[[#This Row],[Cold]:[Cold]]="Y",'Cold Weather Package'!J8,0)+IF(Table44[[#This Row],[eAWD]:[eAWD]]="Y",'eAWD Package'!J8,0)+IF(Table44[[#This Row],[Towing]:[Towing]]="Y",'Towing Bat Cost'!J8,0),"N/A")</f>
        <v>5597.7081191770121</v>
      </c>
      <c r="O67" s="157">
        <f>IF(Table44[[#This Row],[Applicable Package?]:[Applicable Package?]]="Y",SUM('Rolled Up Non-Incremental Costs'!K8,'ICE Removal Cost'!K8,'Trans Removal Cost'!K8,'LEV3 Criteria Emissions Cost'!K8,'ZEV Assembly Reductions'!K8,'ACCII Criteria Compliance Cost'!K8,'ACCII GHG Compliance'!K8,'Current GHG Compliance'!K8)+IF(Table44[[#This Row],[Cold]:[Cold]]="Y",'Cold Weather Package'!K8,0)+IF(Table44[[#This Row],[eAWD]:[eAWD]]="Y",'eAWD Package'!K8,0)+IF(Table44[[#This Row],[Towing]:[Towing]]="Y",'Towing Bat Cost'!K8,0),"N/A")</f>
        <v>5129.6762743223935</v>
      </c>
      <c r="P67" s="157">
        <f>IF(Table44[[#This Row],[Applicable Package?]:[Applicable Package?]]="Y",SUM('Rolled Up Non-Incremental Costs'!L8,'ICE Removal Cost'!L8,'Trans Removal Cost'!L8,'LEV3 Criteria Emissions Cost'!L8,'ZEV Assembly Reductions'!L8,'ACCII Criteria Compliance Cost'!L8,'ACCII GHG Compliance'!L8,'Current GHG Compliance'!L8)+IF(Table44[[#This Row],[Cold]:[Cold]]="Y",'Cold Weather Package'!L8,0)+IF(Table44[[#This Row],[eAWD]:[eAWD]]="Y",'eAWD Package'!L8,0)+IF(Table44[[#This Row],[Towing]:[Towing]]="Y",'Towing Bat Cost'!L8,0),"N/A")</f>
        <v>4684.7056787268612</v>
      </c>
      <c r="Q67" s="157">
        <f>IF(Table44[[#This Row],[Applicable Package?]:[Applicable Package?]]="Y",SUM('Rolled Up Non-Incremental Costs'!M8,'ICE Removal Cost'!M8,'Trans Removal Cost'!M8,'LEV3 Criteria Emissions Cost'!M8,'ZEV Assembly Reductions'!M8,'ACCII Criteria Compliance Cost'!M8,'ACCII GHG Compliance'!M8,'Current GHG Compliance'!M8)+IF(Table44[[#This Row],[Cold]:[Cold]]="Y",'Cold Weather Package'!M8,0)+IF(Table44[[#This Row],[eAWD]:[eAWD]]="Y",'eAWD Package'!M8,0)+IF(Table44[[#This Row],[Towing]:[Towing]]="Y",'Towing Bat Cost'!M8,0),"N/A")</f>
        <v>4261.5593639359486</v>
      </c>
      <c r="R67" s="157">
        <f>IF(Table44[[#This Row],[Applicable Package?]:[Applicable Package?]]="Y",SUM('Rolled Up Non-Incremental Costs'!N8,'ICE Removal Cost'!N8,'Trans Removal Cost'!N8,'LEV3 Criteria Emissions Cost'!N8,'ZEV Assembly Reductions'!N8,'ACCII Criteria Compliance Cost'!N8,'ACCII GHG Compliance'!N8,'Current GHG Compliance'!N8)+IF(Table44[[#This Row],[Cold]:[Cold]]="Y",'Cold Weather Package'!N8,0)+IF(Table44[[#This Row],[eAWD]:[eAWD]]="Y",'eAWD Package'!N8,0)+IF(Table44[[#This Row],[Towing]:[Towing]]="Y",'Towing Bat Cost'!N8,0),"N/A")</f>
        <v>3859.0678291686445</v>
      </c>
      <c r="S67" s="157">
        <f>IF(Table44[[#This Row],[Applicable Package?]:[Applicable Package?]]="Y",SUM('Rolled Up Non-Incremental Costs'!O8,'ICE Removal Cost'!O8,'Trans Removal Cost'!O8,'LEV3 Criteria Emissions Cost'!O8,'ZEV Assembly Reductions'!O8,'ACCII Criteria Compliance Cost'!O8,'ACCII GHG Compliance'!O8,'Current GHG Compliance'!O8)+IF(Table44[[#This Row],[Cold]:[Cold]]="Y",'Cold Weather Package'!O8,0)+IF(Table44[[#This Row],[eAWD]:[eAWD]]="Y",'eAWD Package'!O8,0)+IF(Table44[[#This Row],[Towing]:[Towing]]="Y",'Towing Bat Cost'!O8,0),"N/A")</f>
        <v>3476.1253500257694</v>
      </c>
    </row>
    <row r="68" spans="1:19" x14ac:dyDescent="0.3">
      <c r="A68" s="28" t="str">
        <f t="shared" si="1"/>
        <v>SmallSUVBaseBEV300</v>
      </c>
      <c r="B68" s="90" t="s">
        <v>83</v>
      </c>
      <c r="C68" s="68" t="s">
        <v>75</v>
      </c>
      <c r="D68" s="68" t="str">
        <f>'Vehicle Attributes - Base Year'!D6</f>
        <v>BEV300</v>
      </c>
      <c r="E68" s="124" t="s">
        <v>77</v>
      </c>
      <c r="F68" s="124" t="s">
        <v>76</v>
      </c>
      <c r="G68" s="125" t="s">
        <v>77</v>
      </c>
      <c r="H68" s="156" t="s">
        <v>76</v>
      </c>
      <c r="I68" s="157">
        <f>IF(Table44[[#This Row],[Applicable Package?]:[Applicable Package?]]="Y",SUM('Rolled Up Non-Incremental Costs'!E9,'ICE Removal Cost'!E9,'Trans Removal Cost'!E9,'LEV3 Criteria Emissions Cost'!E9,'ZEV Assembly Reductions'!E9,'ACCII Criteria Compliance Cost'!E9,'ACCII GHG Compliance'!E9,'Current GHG Compliance'!E9)+IF(Table44[[#This Row],[Cold]:[Cold]]="Y",'Cold Weather Package'!E9,0)+IF(Table44[[#This Row],[eAWD]:[eAWD]]="Y",'eAWD Package'!E9,0)+IF(Table44[[#This Row],[Towing]:[Towing]]="Y",'Towing Bat Cost'!E9,0),"N/A")</f>
        <v>5455.7631578947385</v>
      </c>
      <c r="J68" s="157">
        <f>IF(Table44[[#This Row],[Applicable Package?]:[Applicable Package?]]="Y",SUM('Rolled Up Non-Incremental Costs'!F9,'ICE Removal Cost'!F9,'Trans Removal Cost'!F9,'LEV3 Criteria Emissions Cost'!F9,'ZEV Assembly Reductions'!F9,'ACCII Criteria Compliance Cost'!F9,'ACCII GHG Compliance'!F9,'Current GHG Compliance'!F9)+IF(Table44[[#This Row],[Cold]:[Cold]]="Y",'Cold Weather Package'!F9,0)+IF(Table44[[#This Row],[eAWD]:[eAWD]]="Y",'eAWD Package'!F9,0)+IF(Table44[[#This Row],[Towing]:[Towing]]="Y",'Towing Bat Cost'!F9,0),"N/A")</f>
        <v>4812.1840131578938</v>
      </c>
      <c r="K68" s="157">
        <f>IF(Table44[[#This Row],[Applicable Package?]:[Applicable Package?]]="Y",SUM('Rolled Up Non-Incremental Costs'!G9,'ICE Removal Cost'!G9,'Trans Removal Cost'!G9,'LEV3 Criteria Emissions Cost'!G9,'ZEV Assembly Reductions'!G9,'ACCII Criteria Compliance Cost'!G9,'ACCII GHG Compliance'!G9,'Current GHG Compliance'!G9)+IF(Table44[[#This Row],[Cold]:[Cold]]="Y",'Cold Weather Package'!G9,0)+IF(Table44[[#This Row],[eAWD]:[eAWD]]="Y",'eAWD Package'!G9,0)+IF(Table44[[#This Row],[Towing]:[Towing]]="Y",'Towing Bat Cost'!G9,0),"N/A")</f>
        <v>4213.3130813256603</v>
      </c>
      <c r="L68" s="157">
        <f>IF(Table44[[#This Row],[Applicable Package?]:[Applicable Package?]]="Y",SUM('Rolled Up Non-Incremental Costs'!H9,'ICE Removal Cost'!H9,'Trans Removal Cost'!H9,'LEV3 Criteria Emissions Cost'!H9,'ZEV Assembly Reductions'!H9,'ACCII Criteria Compliance Cost'!H9,'ACCII GHG Compliance'!H9,'Current GHG Compliance'!H9)+IF(Table44[[#This Row],[Cold]:[Cold]]="Y",'Cold Weather Package'!H9,0)+IF(Table44[[#This Row],[eAWD]:[eAWD]]="Y",'eAWD Package'!H9,0)+IF(Table44[[#This Row],[Towing]:[Towing]]="Y",'Towing Bat Cost'!H9,0),"N/A")</f>
        <v>3655.8462440071976</v>
      </c>
      <c r="M68" s="157">
        <f>IF(Table44[[#This Row],[Applicable Package?]:[Applicable Package?]]="Y",SUM('Rolled Up Non-Incremental Costs'!I9,'ICE Removal Cost'!I9,'Trans Removal Cost'!I9,'LEV3 Criteria Emissions Cost'!I9,'ZEV Assembly Reductions'!I9,'ACCII Criteria Compliance Cost'!I9,'ACCII GHG Compliance'!I9,'Current GHG Compliance'!I9)+IF(Table44[[#This Row],[Cold]:[Cold]]="Y",'Cold Weather Package'!I9,0)+IF(Table44[[#This Row],[eAWD]:[eAWD]]="Y",'eAWD Package'!I9,0)+IF(Table44[[#This Row],[Towing]:[Towing]]="Y",'Towing Bat Cost'!I9,0),"N/A")</f>
        <v>3136.7257017525362</v>
      </c>
      <c r="N68" s="157">
        <f>IF(Table44[[#This Row],[Applicable Package?]:[Applicable Package?]]="Y",SUM('Rolled Up Non-Incremental Costs'!J9,'ICE Removal Cost'!J9,'Trans Removal Cost'!J9,'LEV3 Criteria Emissions Cost'!J9,'ZEV Assembly Reductions'!J9,'ACCII Criteria Compliance Cost'!J9,'ACCII GHG Compliance'!J9,'Current GHG Compliance'!J9)+IF(Table44[[#This Row],[Cold]:[Cold]]="Y",'Cold Weather Package'!J9,0)+IF(Table44[[#This Row],[eAWD]:[eAWD]]="Y",'eAWD Package'!J9,0)+IF(Table44[[#This Row],[Towing]:[Towing]]="Y",'Towing Bat Cost'!J9,0),"N/A")</f>
        <v>2743.0577441967207</v>
      </c>
      <c r="O68" s="157">
        <f>IF(Table44[[#This Row],[Applicable Package?]:[Applicable Package?]]="Y",SUM('Rolled Up Non-Incremental Costs'!K9,'ICE Removal Cost'!K9,'Trans Removal Cost'!K9,'LEV3 Criteria Emissions Cost'!K9,'ZEV Assembly Reductions'!K9,'ACCII Criteria Compliance Cost'!K9,'ACCII GHG Compliance'!K9,'Current GHG Compliance'!K9)+IF(Table44[[#This Row],[Cold]:[Cold]]="Y",'Cold Weather Package'!K9,0)+IF(Table44[[#This Row],[eAWD]:[eAWD]]="Y",'eAWD Package'!K9,0)+IF(Table44[[#This Row],[Towing]:[Towing]]="Y",'Towing Bat Cost'!K9,0),"N/A")</f>
        <v>2394.49785991726</v>
      </c>
      <c r="P68" s="157">
        <f>IF(Table44[[#This Row],[Applicable Package?]:[Applicable Package?]]="Y",SUM('Rolled Up Non-Incremental Costs'!L9,'ICE Removal Cost'!L9,'Trans Removal Cost'!L9,'LEV3 Criteria Emissions Cost'!L9,'ZEV Assembly Reductions'!L9,'ACCII Criteria Compliance Cost'!L9,'ACCII GHG Compliance'!L9,'Current GHG Compliance'!L9)+IF(Table44[[#This Row],[Cold]:[Cold]]="Y",'Cold Weather Package'!L9,0)+IF(Table44[[#This Row],[eAWD]:[eAWD]]="Y",'eAWD Package'!L9,0)+IF(Table44[[#This Row],[Towing]:[Towing]]="Y",'Towing Bat Cost'!L9,0),"N/A")</f>
        <v>2062.8263365299454</v>
      </c>
      <c r="Q68" s="157">
        <f>IF(Table44[[#This Row],[Applicable Package?]:[Applicable Package?]]="Y",SUM('Rolled Up Non-Incremental Costs'!M9,'ICE Removal Cost'!M9,'Trans Removal Cost'!M9,'LEV3 Criteria Emissions Cost'!M9,'ZEV Assembly Reductions'!M9,'ACCII Criteria Compliance Cost'!M9,'ACCII GHG Compliance'!M9,'Current GHG Compliance'!M9)+IF(Table44[[#This Row],[Cold]:[Cold]]="Y",'Cold Weather Package'!M9,0)+IF(Table44[[#This Row],[eAWD]:[eAWD]]="Y",'eAWD Package'!M9,0)+IF(Table44[[#This Row],[Towing]:[Towing]]="Y",'Towing Bat Cost'!M9,0),"N/A")</f>
        <v>1747.1404892036558</v>
      </c>
      <c r="R68" s="157">
        <f>IF(Table44[[#This Row],[Applicable Package?]:[Applicable Package?]]="Y",SUM('Rolled Up Non-Incremental Costs'!N9,'ICE Removal Cost'!N9,'Trans Removal Cost'!N9,'LEV3 Criteria Emissions Cost'!N9,'ZEV Assembly Reductions'!N9,'ACCII Criteria Compliance Cost'!N9,'ACCII GHG Compliance'!N9,'Current GHG Compliance'!N9)+IF(Table44[[#This Row],[Cold]:[Cold]]="Y",'Cold Weather Package'!N9,0)+IF(Table44[[#This Row],[eAWD]:[eAWD]]="Y",'eAWD Package'!N9,0)+IF(Table44[[#This Row],[Towing]:[Towing]]="Y",'Towing Bat Cost'!N9,0),"N/A")</f>
        <v>1446.5868355724929</v>
      </c>
      <c r="S68" s="157">
        <f>IF(Table44[[#This Row],[Applicable Package?]:[Applicable Package?]]="Y",SUM('Rolled Up Non-Incremental Costs'!O9,'ICE Removal Cost'!O9,'Trans Removal Cost'!O9,'LEV3 Criteria Emissions Cost'!O9,'ZEV Assembly Reductions'!O9,'ACCII Criteria Compliance Cost'!O9,'ACCII GHG Compliance'!O9,'Current GHG Compliance'!O9)+IF(Table44[[#This Row],[Cold]:[Cold]]="Y",'Cold Weather Package'!O9,0)+IF(Table44[[#This Row],[eAWD]:[eAWD]]="Y",'eAWD Package'!O9,0)+IF(Table44[[#This Row],[Towing]:[Towing]]="Y",'Towing Bat Cost'!O9,0),"N/A")</f>
        <v>1160.3584040961086</v>
      </c>
    </row>
    <row r="69" spans="1:19" x14ac:dyDescent="0.3">
      <c r="A69" t="str">
        <f t="shared" si="1"/>
        <v>SmallSUVPremiumBEV400</v>
      </c>
      <c r="B69" s="90" t="s">
        <v>83</v>
      </c>
      <c r="C69" s="68" t="s">
        <v>80</v>
      </c>
      <c r="D69" s="68" t="str">
        <f>'Vehicle Attributes - Base Year'!D7</f>
        <v>BEV400</v>
      </c>
      <c r="E69" s="124" t="s">
        <v>77</v>
      </c>
      <c r="F69" s="124" t="s">
        <v>76</v>
      </c>
      <c r="G69" s="125" t="s">
        <v>77</v>
      </c>
      <c r="H69" s="156" t="s">
        <v>76</v>
      </c>
      <c r="I69" s="157">
        <f>IF(Table44[[#This Row],[Applicable Package?]:[Applicable Package?]]="Y",SUM('Rolled Up Non-Incremental Costs'!E10,'ICE Removal Cost'!E10,'Trans Removal Cost'!E10,'LEV3 Criteria Emissions Cost'!E10,'ZEV Assembly Reductions'!E10,'ACCII Criteria Compliance Cost'!E10,'ACCII GHG Compliance'!E10,'Current GHG Compliance'!E10)+IF(Table44[[#This Row],[Cold]:[Cold]]="Y",'Cold Weather Package'!E10,0)+IF(Table44[[#This Row],[eAWD]:[eAWD]]="Y",'eAWD Package'!E10,0)+IF(Table44[[#This Row],[Towing]:[Towing]]="Y",'Towing Bat Cost'!E10,0),"N/A")</f>
        <v>9124.2789473684206</v>
      </c>
      <c r="J69" s="157">
        <f>IF(Table44[[#This Row],[Applicable Package?]:[Applicable Package?]]="Y",SUM('Rolled Up Non-Incremental Costs'!F10,'ICE Removal Cost'!F10,'Trans Removal Cost'!F10,'LEV3 Criteria Emissions Cost'!F10,'ZEV Assembly Reductions'!F10,'ACCII Criteria Compliance Cost'!F10,'ACCII GHG Compliance'!F10,'Current GHG Compliance'!F10)+IF(Table44[[#This Row],[Cold]:[Cold]]="Y",'Cold Weather Package'!F10,0)+IF(Table44[[#This Row],[eAWD]:[eAWD]]="Y",'eAWD Package'!F10,0)+IF(Table44[[#This Row],[Towing]:[Towing]]="Y",'Towing Bat Cost'!F10,0),"N/A")</f>
        <v>8239.6355789473691</v>
      </c>
      <c r="K69" s="157">
        <f>IF(Table44[[#This Row],[Applicable Package?]:[Applicable Package?]]="Y",SUM('Rolled Up Non-Incremental Costs'!G10,'ICE Removal Cost'!G10,'Trans Removal Cost'!G10,'LEV3 Criteria Emissions Cost'!G10,'ZEV Assembly Reductions'!G10,'ACCII Criteria Compliance Cost'!G10,'ACCII GHG Compliance'!G10,'Current GHG Compliance'!G10)+IF(Table44[[#This Row],[Cold]:[Cold]]="Y",'Cold Weather Package'!G10,0)+IF(Table44[[#This Row],[eAWD]:[eAWD]]="Y",'eAWD Package'!G10,0)+IF(Table44[[#This Row],[Towing]:[Towing]]="Y",'Towing Bat Cost'!G10,0),"N/A")</f>
        <v>7417.3679629289481</v>
      </c>
      <c r="L69" s="157">
        <f>IF(Table44[[#This Row],[Applicable Package?]:[Applicable Package?]]="Y",SUM('Rolled Up Non-Incremental Costs'!H10,'ICE Removal Cost'!H10,'Trans Removal Cost'!H10,'LEV3 Criteria Emissions Cost'!H10,'ZEV Assembly Reductions'!H10,'ACCII Criteria Compliance Cost'!H10,'ACCII GHG Compliance'!H10,'Current GHG Compliance'!H10)+IF(Table44[[#This Row],[Cold]:[Cold]]="Y",'Cold Weather Package'!H10,0)+IF(Table44[[#This Row],[eAWD]:[eAWD]]="Y",'eAWD Package'!H10,0)+IF(Table44[[#This Row],[Towing]:[Towing]]="Y",'Towing Bat Cost'!H10,0),"N/A")</f>
        <v>6652.8563781468019</v>
      </c>
      <c r="M69" s="157">
        <f>IF(Table44[[#This Row],[Applicable Package?]:[Applicable Package?]]="Y",SUM('Rolled Up Non-Incremental Costs'!I10,'ICE Removal Cost'!I10,'Trans Removal Cost'!I10,'LEV3 Criteria Emissions Cost'!I10,'ZEV Assembly Reductions'!I10,'ACCII Criteria Compliance Cost'!I10,'ACCII GHG Compliance'!I10,'Current GHG Compliance'!I10)+IF(Table44[[#This Row],[Cold]:[Cold]]="Y",'Cold Weather Package'!I10,0)+IF(Table44[[#This Row],[eAWD]:[eAWD]]="Y",'eAWD Package'!I10,0)+IF(Table44[[#This Row],[Towing]:[Towing]]="Y",'Towing Bat Cost'!I10,0),"N/A")</f>
        <v>5941.8255993321363</v>
      </c>
      <c r="N69" s="157">
        <f>IF(Table44[[#This Row],[Applicable Package?]:[Applicable Package?]]="Y",SUM('Rolled Up Non-Incremental Costs'!J10,'ICE Removal Cost'!J10,'Trans Removal Cost'!J10,'LEV3 Criteria Emissions Cost'!J10,'ZEV Assembly Reductions'!J10,'ACCII Criteria Compliance Cost'!J10,'ACCII GHG Compliance'!J10,'Current GHG Compliance'!J10)+IF(Table44[[#This Row],[Cold]:[Cold]]="Y",'Cold Weather Package'!J10,0)+IF(Table44[[#This Row],[eAWD]:[eAWD]]="Y",'eAWD Package'!J10,0)+IF(Table44[[#This Row],[Towing]:[Towing]]="Y",'Towing Bat Cost'!J10,0),"N/A")</f>
        <v>5406.1074383682553</v>
      </c>
      <c r="O69" s="157">
        <f>IF(Table44[[#This Row],[Applicable Package?]:[Applicable Package?]]="Y",SUM('Rolled Up Non-Incremental Costs'!K10,'ICE Removal Cost'!K10,'Trans Removal Cost'!K10,'LEV3 Criteria Emissions Cost'!K10,'ZEV Assembly Reductions'!K10,'ACCII Criteria Compliance Cost'!K10,'ACCII GHG Compliance'!K10,'Current GHG Compliance'!K10)+IF(Table44[[#This Row],[Cold]:[Cold]]="Y",'Cold Weather Package'!K10,0)+IF(Table44[[#This Row],[eAWD]:[eAWD]]="Y",'eAWD Package'!K10,0)+IF(Table44[[#This Row],[Towing]:[Towing]]="Y",'Towing Bat Cost'!K10,0),"N/A")</f>
        <v>4933.3303946934911</v>
      </c>
      <c r="P69" s="157">
        <f>IF(Table44[[#This Row],[Applicable Package?]:[Applicable Package?]]="Y",SUM('Rolled Up Non-Incremental Costs'!L10,'ICE Removal Cost'!L10,'Trans Removal Cost'!L10,'LEV3 Criteria Emissions Cost'!L10,'ZEV Assembly Reductions'!L10,'ACCII Criteria Compliance Cost'!L10,'ACCII GHG Compliance'!L10,'Current GHG Compliance'!L10)+IF(Table44[[#This Row],[Cold]:[Cold]]="Y",'Cold Weather Package'!L10,0)+IF(Table44[[#This Row],[eAWD]:[eAWD]]="Y",'eAWD Package'!L10,0)+IF(Table44[[#This Row],[Towing]:[Towing]]="Y",'Towing Bat Cost'!L10,0),"N/A")</f>
        <v>4484.0267532741618</v>
      </c>
      <c r="Q69" s="157">
        <f>IF(Table44[[#This Row],[Applicable Package?]:[Applicable Package?]]="Y",SUM('Rolled Up Non-Incremental Costs'!M10,'ICE Removal Cost'!M10,'Trans Removal Cost'!M10,'LEV3 Criteria Emissions Cost'!M10,'ZEV Assembly Reductions'!M10,'ACCII Criteria Compliance Cost'!M10,'ACCII GHG Compliance'!M10,'Current GHG Compliance'!M10)+IF(Table44[[#This Row],[Cold]:[Cold]]="Y",'Cold Weather Package'!M10,0)+IF(Table44[[#This Row],[eAWD]:[eAWD]]="Y",'eAWD Package'!M10,0)+IF(Table44[[#This Row],[Towing]:[Towing]]="Y",'Towing Bat Cost'!M10,0),"N/A")</f>
        <v>4056.9354567456439</v>
      </c>
      <c r="R69" s="157">
        <f>IF(Table44[[#This Row],[Applicable Package?]:[Applicable Package?]]="Y",SUM('Rolled Up Non-Incremental Costs'!N10,'ICE Removal Cost'!N10,'Trans Removal Cost'!N10,'LEV3 Criteria Emissions Cost'!N10,'ZEV Assembly Reductions'!N10,'ACCII Criteria Compliance Cost'!N10,'ACCII GHG Compliance'!N10,'Current GHG Compliance'!N10)+IF(Table44[[#This Row],[Cold]:[Cold]]="Y",'Cold Weather Package'!N10,0)+IF(Table44[[#This Row],[eAWD]:[eAWD]]="Y",'eAWD Package'!N10,0)+IF(Table44[[#This Row],[Towing]:[Towing]]="Y",'Towing Bat Cost'!N10,0),"N/A")</f>
        <v>3650.8642495199238</v>
      </c>
      <c r="S69" s="157">
        <f>IF(Table44[[#This Row],[Applicable Package?]:[Applicable Package?]]="Y",SUM('Rolled Up Non-Incremental Costs'!O10,'ICE Removal Cost'!O10,'Trans Removal Cost'!O10,'LEV3 Criteria Emissions Cost'!O10,'ZEV Assembly Reductions'!O10,'ACCII Criteria Compliance Cost'!O10,'ACCII GHG Compliance'!O10,'Current GHG Compliance'!O10)+IF(Table44[[#This Row],[Cold]:[Cold]]="Y",'Cold Weather Package'!O10,0)+IF(Table44[[#This Row],[eAWD]:[eAWD]]="Y",'eAWD Package'!O10,0)+IF(Table44[[#This Row],[Towing]:[Towing]]="Y",'Towing Bat Cost'!O10,0),"N/A")</f>
        <v>3264.685913299505</v>
      </c>
    </row>
    <row r="70" spans="1:19" x14ac:dyDescent="0.3">
      <c r="A70" s="28" t="str">
        <f t="shared" si="1"/>
        <v>MedSUVBaseBEV300</v>
      </c>
      <c r="B70" s="90" t="s">
        <v>86</v>
      </c>
      <c r="C70" s="68" t="s">
        <v>75</v>
      </c>
      <c r="D70" s="68" t="str">
        <f>'Vehicle Attributes - Base Year'!D8</f>
        <v>BEV300</v>
      </c>
      <c r="E70" s="124" t="s">
        <v>77</v>
      </c>
      <c r="F70" s="124" t="s">
        <v>76</v>
      </c>
      <c r="G70" s="125" t="s">
        <v>77</v>
      </c>
      <c r="H70" s="156" t="s">
        <v>76</v>
      </c>
      <c r="I70" s="157">
        <f>IF(Table44[[#This Row],[Applicable Package?]:[Applicable Package?]]="Y",SUM('Rolled Up Non-Incremental Costs'!E11,'ICE Removal Cost'!E11,'Trans Removal Cost'!E11,'LEV3 Criteria Emissions Cost'!E11,'ZEV Assembly Reductions'!E11,'ACCII Criteria Compliance Cost'!E11,'ACCII GHG Compliance'!E11,'Current GHG Compliance'!E11)+IF(Table44[[#This Row],[Cold]:[Cold]]="Y",'Cold Weather Package'!E11,0)+IF(Table44[[#This Row],[eAWD]:[eAWD]]="Y",'eAWD Package'!E11,0)+IF(Table44[[#This Row],[Towing]:[Towing]]="Y",'Towing Bat Cost'!E11,0),"N/A")</f>
        <v>6440.1960526315797</v>
      </c>
      <c r="J70" s="157">
        <f>IF(Table44[[#This Row],[Applicable Package?]:[Applicable Package?]]="Y",SUM('Rolled Up Non-Incremental Costs'!F11,'ICE Removal Cost'!F11,'Trans Removal Cost'!F11,'LEV3 Criteria Emissions Cost'!F11,'ZEV Assembly Reductions'!F11,'ACCII Criteria Compliance Cost'!F11,'ACCII GHG Compliance'!F11,'Current GHG Compliance'!F11)+IF(Table44[[#This Row],[Cold]:[Cold]]="Y",'Cold Weather Package'!F11,0)+IF(Table44[[#This Row],[eAWD]:[eAWD]]="Y",'eAWD Package'!F11,0)+IF(Table44[[#This Row],[Towing]:[Towing]]="Y",'Towing Bat Cost'!F11,0),"N/A")</f>
        <v>5662.1864210526328</v>
      </c>
      <c r="K70" s="157">
        <f>IF(Table44[[#This Row],[Applicable Package?]:[Applicable Package?]]="Y",SUM('Rolled Up Non-Incremental Costs'!G11,'ICE Removal Cost'!G11,'Trans Removal Cost'!G11,'LEV3 Criteria Emissions Cost'!G11,'ZEV Assembly Reductions'!G11,'ACCII Criteria Compliance Cost'!G11,'ACCII GHG Compliance'!G11,'Current GHG Compliance'!G11)+IF(Table44[[#This Row],[Cold]:[Cold]]="Y",'Cold Weather Package'!G11,0)+IF(Table44[[#This Row],[eAWD]:[eAWD]]="Y",'eAWD Package'!G11,0)+IF(Table44[[#This Row],[Towing]:[Towing]]="Y",'Towing Bat Cost'!G11,0),"N/A")</f>
        <v>4938.3524334335534</v>
      </c>
      <c r="L70" s="157">
        <f>IF(Table44[[#This Row],[Applicable Package?]:[Applicable Package?]]="Y",SUM('Rolled Up Non-Incremental Costs'!H11,'ICE Removal Cost'!H11,'Trans Removal Cost'!H11,'LEV3 Criteria Emissions Cost'!H11,'ZEV Assembly Reductions'!H11,'ACCII Criteria Compliance Cost'!H11,'ACCII GHG Compliance'!H11,'Current GHG Compliance'!H11)+IF(Table44[[#This Row],[Cold]:[Cold]]="Y",'Cold Weather Package'!H11,0)+IF(Table44[[#This Row],[eAWD]:[eAWD]]="Y",'eAWD Package'!H11,0)+IF(Table44[[#This Row],[Towing]:[Towing]]="Y",'Towing Bat Cost'!H11,0),"N/A")</f>
        <v>4264.6889057031149</v>
      </c>
      <c r="M70" s="157">
        <f>IF(Table44[[#This Row],[Applicable Package?]:[Applicable Package?]]="Y",SUM('Rolled Up Non-Incremental Costs'!I11,'ICE Removal Cost'!I11,'Trans Removal Cost'!I11,'LEV3 Criteria Emissions Cost'!I11,'ZEV Assembly Reductions'!I11,'ACCII Criteria Compliance Cost'!I11,'ACCII GHG Compliance'!I11,'Current GHG Compliance'!I11)+IF(Table44[[#This Row],[Cold]:[Cold]]="Y",'Cold Weather Package'!I11,0)+IF(Table44[[#This Row],[eAWD]:[eAWD]]="Y",'eAWD Package'!I11,0)+IF(Table44[[#This Row],[Towing]:[Towing]]="Y",'Towing Bat Cost'!I11,0),"N/A")</f>
        <v>3637.4892505034964</v>
      </c>
      <c r="N70" s="157">
        <f>IF(Table44[[#This Row],[Applicable Package?]:[Applicable Package?]]="Y",SUM('Rolled Up Non-Incremental Costs'!J11,'ICE Removal Cost'!J11,'Trans Removal Cost'!J11,'LEV3 Criteria Emissions Cost'!J11,'ZEV Assembly Reductions'!J11,'ACCII Criteria Compliance Cost'!J11,'ACCII GHG Compliance'!J11,'Current GHG Compliance'!J11)+IF(Table44[[#This Row],[Cold]:[Cold]]="Y",'Cold Weather Package'!J11,0)+IF(Table44[[#This Row],[eAWD]:[eAWD]]="Y",'eAWD Package'!J11,0)+IF(Table44[[#This Row],[Towing]:[Towing]]="Y",'Towing Bat Cost'!J11,0),"N/A")</f>
        <v>3162.3478353051041</v>
      </c>
      <c r="O70" s="157">
        <f>IF(Table44[[#This Row],[Applicable Package?]:[Applicable Package?]]="Y",SUM('Rolled Up Non-Incremental Costs'!K11,'ICE Removal Cost'!K11,'Trans Removal Cost'!K11,'LEV3 Criteria Emissions Cost'!K11,'ZEV Assembly Reductions'!K11,'ACCII Criteria Compliance Cost'!K11,'ACCII GHG Compliance'!K11,'Current GHG Compliance'!K11)+IF(Table44[[#This Row],[Cold]:[Cold]]="Y",'Cold Weather Package'!K11,0)+IF(Table44[[#This Row],[eAWD]:[eAWD]]="Y",'eAWD Package'!K11,0)+IF(Table44[[#This Row],[Towing]:[Towing]]="Y",'Towing Bat Cost'!K11,0),"N/A")</f>
        <v>2741.8676462143549</v>
      </c>
      <c r="P70" s="157">
        <f>IF(Table44[[#This Row],[Applicable Package?]:[Applicable Package?]]="Y",SUM('Rolled Up Non-Incremental Costs'!L11,'ICE Removal Cost'!L11,'Trans Removal Cost'!L11,'LEV3 Criteria Emissions Cost'!L11,'ZEV Assembly Reductions'!L11,'ACCII Criteria Compliance Cost'!L11,'ACCII GHG Compliance'!L11,'Current GHG Compliance'!L11)+IF(Table44[[#This Row],[Cold]:[Cold]]="Y",'Cold Weather Package'!L11,0)+IF(Table44[[#This Row],[eAWD]:[eAWD]]="Y",'eAWD Package'!L11,0)+IF(Table44[[#This Row],[Towing]:[Towing]]="Y",'Towing Bat Cost'!L11,0),"N/A")</f>
        <v>2341.8396889274036</v>
      </c>
      <c r="Q70" s="157">
        <f>IF(Table44[[#This Row],[Applicable Package?]:[Applicable Package?]]="Y",SUM('Rolled Up Non-Incremental Costs'!M11,'ICE Removal Cost'!M11,'Trans Removal Cost'!M11,'LEV3 Criteria Emissions Cost'!M11,'ZEV Assembly Reductions'!M11,'ACCII Criteria Compliance Cost'!M11,'ACCII GHG Compliance'!M11,'Current GHG Compliance'!M11)+IF(Table44[[#This Row],[Cold]:[Cold]]="Y",'Cold Weather Package'!M11,0)+IF(Table44[[#This Row],[eAWD]:[eAWD]]="Y",'eAWD Package'!M11,0)+IF(Table44[[#This Row],[Towing]:[Towing]]="Y",'Towing Bat Cost'!M11,0),"N/A")</f>
        <v>1961.1698943384815</v>
      </c>
      <c r="R70" s="157">
        <f>IF(Table44[[#This Row],[Applicable Package?]:[Applicable Package?]]="Y",SUM('Rolled Up Non-Incremental Costs'!N11,'ICE Removal Cost'!N11,'Trans Removal Cost'!N11,'LEV3 Criteria Emissions Cost'!N11,'ZEV Assembly Reductions'!N11,'ACCII Criteria Compliance Cost'!N11,'ACCII GHG Compliance'!N11,'Current GHG Compliance'!N11)+IF(Table44[[#This Row],[Cold]:[Cold]]="Y",'Cold Weather Package'!N11,0)+IF(Table44[[#This Row],[eAWD]:[eAWD]]="Y",'eAWD Package'!N11,0)+IF(Table44[[#This Row],[Towing]:[Towing]]="Y",'Towing Bat Cost'!N11,0),"N/A")</f>
        <v>1598.8238367195042</v>
      </c>
      <c r="S70" s="157">
        <f>IF(Table44[[#This Row],[Applicable Package?]:[Applicable Package?]]="Y",SUM('Rolled Up Non-Incremental Costs'!O11,'ICE Removal Cost'!O11,'Trans Removal Cost'!O11,'LEV3 Criteria Emissions Cost'!O11,'ZEV Assembly Reductions'!O11,'ACCII Criteria Compliance Cost'!O11,'ACCII GHG Compliance'!O11,'Current GHG Compliance'!O11)+IF(Table44[[#This Row],[Cold]:[Cold]]="Y",'Cold Weather Package'!O11,0)+IF(Table44[[#This Row],[eAWD]:[eAWD]]="Y",'eAWD Package'!O11,0)+IF(Table44[[#This Row],[Towing]:[Towing]]="Y",'Towing Bat Cost'!O11,0),"N/A")</f>
        <v>1253.8234708142018</v>
      </c>
    </row>
    <row r="71" spans="1:19" x14ac:dyDescent="0.3">
      <c r="A71" t="str">
        <f t="shared" si="1"/>
        <v>MedSUVPremiumBEV400</v>
      </c>
      <c r="B71" s="90" t="s">
        <v>86</v>
      </c>
      <c r="C71" s="68" t="s">
        <v>80</v>
      </c>
      <c r="D71" s="68" t="str">
        <f>'Vehicle Attributes - Base Year'!D9</f>
        <v>BEV400</v>
      </c>
      <c r="E71" s="124" t="s">
        <v>77</v>
      </c>
      <c r="F71" s="124" t="s">
        <v>76</v>
      </c>
      <c r="G71" s="125" t="s">
        <v>77</v>
      </c>
      <c r="H71" s="156" t="s">
        <v>76</v>
      </c>
      <c r="I71" s="157">
        <f>IF(Table44[[#This Row],[Applicable Package?]:[Applicable Package?]]="Y",SUM('Rolled Up Non-Incremental Costs'!E12,'ICE Removal Cost'!E12,'Trans Removal Cost'!E12,'LEV3 Criteria Emissions Cost'!E12,'ZEV Assembly Reductions'!E12,'ACCII Criteria Compliance Cost'!E12,'ACCII GHG Compliance'!E12,'Current GHG Compliance'!E12)+IF(Table44[[#This Row],[Cold]:[Cold]]="Y",'Cold Weather Package'!E12,0)+IF(Table44[[#This Row],[eAWD]:[eAWD]]="Y",'eAWD Package'!E12,0)+IF(Table44[[#This Row],[Towing]:[Towing]]="Y",'Towing Bat Cost'!E12,0),"N/A")</f>
        <v>10431.838157894737</v>
      </c>
      <c r="J71" s="157">
        <f>IF(Table44[[#This Row],[Applicable Package?]:[Applicable Package?]]="Y",SUM('Rolled Up Non-Incremental Costs'!F12,'ICE Removal Cost'!F12,'Trans Removal Cost'!F12,'LEV3 Criteria Emissions Cost'!F12,'ZEV Assembly Reductions'!F12,'ACCII Criteria Compliance Cost'!F12,'ACCII GHG Compliance'!F12,'Current GHG Compliance'!F12)+IF(Table44[[#This Row],[Cold]:[Cold]]="Y",'Cold Weather Package'!F12,0)+IF(Table44[[#This Row],[eAWD]:[eAWD]]="Y",'eAWD Package'!F12,0)+IF(Table44[[#This Row],[Towing]:[Towing]]="Y",'Towing Bat Cost'!F12,0),"N/A")</f>
        <v>9359.890513157894</v>
      </c>
      <c r="K71" s="157">
        <f>IF(Table44[[#This Row],[Applicable Package?]:[Applicable Package?]]="Y",SUM('Rolled Up Non-Incremental Costs'!G12,'ICE Removal Cost'!G12,'Trans Removal Cost'!G12,'LEV3 Criteria Emissions Cost'!G12,'ZEV Assembly Reductions'!G12,'ACCII Criteria Compliance Cost'!G12,'ACCII GHG Compliance'!G12,'Current GHG Compliance'!G12)+IF(Table44[[#This Row],[Cold]:[Cold]]="Y",'Cold Weather Package'!G12,0)+IF(Table44[[#This Row],[eAWD]:[eAWD]]="Y",'eAWD Package'!G12,0)+IF(Table44[[#This Row],[Towing]:[Towing]]="Y",'Towing Bat Cost'!G12,0),"N/A")</f>
        <v>8363.6473543631582</v>
      </c>
      <c r="L71" s="157">
        <f>IF(Table44[[#This Row],[Applicable Package?]:[Applicable Package?]]="Y",SUM('Rolled Up Non-Incremental Costs'!H12,'ICE Removal Cost'!H12,'Trans Removal Cost'!H12,'LEV3 Criteria Emissions Cost'!H12,'ZEV Assembly Reductions'!H12,'ACCII Criteria Compliance Cost'!H12,'ACCII GHG Compliance'!H12,'Current GHG Compliance'!H12)+IF(Table44[[#This Row],[Cold]:[Cold]]="Y",'Cold Weather Package'!H12,0)+IF(Table44[[#This Row],[eAWD]:[eAWD]]="Y",'eAWD Package'!H12,0)+IF(Table44[[#This Row],[Towing]:[Towing]]="Y",'Towing Bat Cost'!H12,0),"N/A")</f>
        <v>7437.5005056923237</v>
      </c>
      <c r="M71" s="157">
        <f>IF(Table44[[#This Row],[Applicable Package?]:[Applicable Package?]]="Y",SUM('Rolled Up Non-Incremental Costs'!I12,'ICE Removal Cost'!I12,'Trans Removal Cost'!I12,'LEV3 Criteria Emissions Cost'!I12,'ZEV Assembly Reductions'!I12,'ACCII Criteria Compliance Cost'!I12,'ACCII GHG Compliance'!I12,'Current GHG Compliance'!I12)+IF(Table44[[#This Row],[Cold]:[Cold]]="Y",'Cold Weather Package'!I12,0)+IF(Table44[[#This Row],[eAWD]:[eAWD]]="Y",'eAWD Package'!I12,0)+IF(Table44[[#This Row],[Towing]:[Towing]]="Y",'Towing Bat Cost'!I12,0),"N/A")</f>
        <v>6576.2600100114396</v>
      </c>
      <c r="N71" s="157">
        <f>IF(Table44[[#This Row],[Applicable Package?]:[Applicable Package?]]="Y",SUM('Rolled Up Non-Incremental Costs'!J12,'ICE Removal Cost'!J12,'Trans Removal Cost'!J12,'LEV3 Criteria Emissions Cost'!J12,'ZEV Assembly Reductions'!J12,'ACCII Criteria Compliance Cost'!J12,'ACCII GHG Compliance'!J12,'Current GHG Compliance'!J12)+IF(Table44[[#This Row],[Cold]:[Cold]]="Y",'Cold Weather Package'!J12,0)+IF(Table44[[#This Row],[eAWD]:[eAWD]]="Y",'eAWD Package'!J12,0)+IF(Table44[[#This Row],[Towing]:[Towing]]="Y",'Towing Bat Cost'!J12,0),"N/A")</f>
        <v>5927.830832670802</v>
      </c>
      <c r="O71" s="157">
        <f>IF(Table44[[#This Row],[Applicable Package?]:[Applicable Package?]]="Y",SUM('Rolled Up Non-Incremental Costs'!K12,'ICE Removal Cost'!K12,'Trans Removal Cost'!K12,'LEV3 Criteria Emissions Cost'!K12,'ZEV Assembly Reductions'!K12,'ACCII Criteria Compliance Cost'!K12,'ACCII GHG Compliance'!K12,'Current GHG Compliance'!K12)+IF(Table44[[#This Row],[Cold]:[Cold]]="Y",'Cold Weather Package'!K12,0)+IF(Table44[[#This Row],[eAWD]:[eAWD]]="Y",'eAWD Package'!K12,0)+IF(Table44[[#This Row],[Towing]:[Towing]]="Y",'Towing Bat Cost'!K12,0),"N/A")</f>
        <v>5355.7932931424721</v>
      </c>
      <c r="P71" s="157">
        <f>IF(Table44[[#This Row],[Applicable Package?]:[Applicable Package?]]="Y",SUM('Rolled Up Non-Incremental Costs'!L12,'ICE Removal Cost'!L12,'Trans Removal Cost'!L12,'LEV3 Criteria Emissions Cost'!L12,'ZEV Assembly Reductions'!L12,'ACCII Criteria Compliance Cost'!L12,'ACCII GHG Compliance'!L12,'Current GHG Compliance'!L12)+IF(Table44[[#This Row],[Cold]:[Cold]]="Y",'Cold Weather Package'!L12,0)+IF(Table44[[#This Row],[eAWD]:[eAWD]]="Y",'eAWD Package'!L12,0)+IF(Table44[[#This Row],[Towing]:[Towing]]="Y",'Towing Bat Cost'!L12,0),"N/A")</f>
        <v>4812.2334719177124</v>
      </c>
      <c r="Q71" s="157">
        <f>IF(Table44[[#This Row],[Applicable Package?]:[Applicable Package?]]="Y",SUM('Rolled Up Non-Incremental Costs'!M12,'ICE Removal Cost'!M12,'Trans Removal Cost'!M12,'LEV3 Criteria Emissions Cost'!M12,'ZEV Assembly Reductions'!M12,'ACCII Criteria Compliance Cost'!M12,'ACCII GHG Compliance'!M12,'Current GHG Compliance'!M12)+IF(Table44[[#This Row],[Cold]:[Cold]]="Y",'Cold Weather Package'!M12,0)+IF(Table44[[#This Row],[eAWD]:[eAWD]]="Y",'eAWD Package'!M12,0)+IF(Table44[[#This Row],[Towing]:[Towing]]="Y",'Towing Bat Cost'!M12,0),"N/A")</f>
        <v>4295.6206272892605</v>
      </c>
      <c r="R71" s="157">
        <f>IF(Table44[[#This Row],[Applicable Package?]:[Applicable Package?]]="Y",SUM('Rolled Up Non-Incremental Costs'!N12,'ICE Removal Cost'!N12,'Trans Removal Cost'!N12,'LEV3 Criteria Emissions Cost'!N12,'ZEV Assembly Reductions'!N12,'ACCII Criteria Compliance Cost'!N12,'ACCII GHG Compliance'!N12,'Current GHG Compliance'!N12)+IF(Table44[[#This Row],[Cold]:[Cold]]="Y",'Cold Weather Package'!N12,0)+IF(Table44[[#This Row],[eAWD]:[eAWD]]="Y",'eAWD Package'!N12,0)+IF(Table44[[#This Row],[Towing]:[Towing]]="Y",'Towing Bat Cost'!N12,0),"N/A")</f>
        <v>3804.5075415246288</v>
      </c>
      <c r="S71" s="157">
        <f>IF(Table44[[#This Row],[Applicable Package?]:[Applicable Package?]]="Y",SUM('Rolled Up Non-Incremental Costs'!O12,'ICE Removal Cost'!O12,'Trans Removal Cost'!O12,'LEV3 Criteria Emissions Cost'!O12,'ZEV Assembly Reductions'!O12,'ACCII Criteria Compliance Cost'!O12,'ACCII GHG Compliance'!O12,'Current GHG Compliance'!O12)+IF(Table44[[#This Row],[Cold]:[Cold]]="Y",'Cold Weather Package'!O12,0)+IF(Table44[[#This Row],[eAWD]:[eAWD]]="Y",'eAWD Package'!O12,0)+IF(Table44[[#This Row],[Towing]:[Towing]]="Y",'Towing Bat Cost'!O12,0),"N/A")</f>
        <v>3337.5259507698138</v>
      </c>
    </row>
    <row r="72" spans="1:19" x14ac:dyDescent="0.3">
      <c r="A72" s="28" t="str">
        <f t="shared" si="1"/>
        <v>PickupBaseBEV300</v>
      </c>
      <c r="B72" s="90" t="s">
        <v>89</v>
      </c>
      <c r="C72" s="68" t="s">
        <v>75</v>
      </c>
      <c r="D72" s="68" t="str">
        <f>'Vehicle Attributes - Base Year'!D10</f>
        <v>BEV300</v>
      </c>
      <c r="E72" s="124" t="s">
        <v>77</v>
      </c>
      <c r="F72" s="124" t="s">
        <v>76</v>
      </c>
      <c r="G72" s="125" t="s">
        <v>77</v>
      </c>
      <c r="H72" s="156" t="s">
        <v>76</v>
      </c>
      <c r="I72" s="157">
        <f>IF(Table44[[#This Row],[Applicable Package?]:[Applicable Package?]]="Y",SUM('Rolled Up Non-Incremental Costs'!E13,'ICE Removal Cost'!E13,'Trans Removal Cost'!E13,'LEV3 Criteria Emissions Cost'!E13,'ZEV Assembly Reductions'!E13,'ACCII Criteria Compliance Cost'!E13,'ACCII GHG Compliance'!E13,'Current GHG Compliance'!E13)+IF(Table44[[#This Row],[Cold]:[Cold]]="Y",'Cold Weather Package'!E13,0)+IF(Table44[[#This Row],[eAWD]:[eAWD]]="Y",'eAWD Package'!E13,0)+IF(Table44[[#This Row],[Towing]:[Towing]]="Y",'Towing Bat Cost'!E13,0),"N/A")</f>
        <v>8304.6981725146197</v>
      </c>
      <c r="J72" s="157">
        <f>IF(Table44[[#This Row],[Applicable Package?]:[Applicable Package?]]="Y",SUM('Rolled Up Non-Incremental Costs'!F13,'ICE Removal Cost'!F13,'Trans Removal Cost'!F13,'LEV3 Criteria Emissions Cost'!F13,'ZEV Assembly Reductions'!F13,'ACCII Criteria Compliance Cost'!F13,'ACCII GHG Compliance'!F13,'Current GHG Compliance'!F13)+IF(Table44[[#This Row],[Cold]:[Cold]]="Y",'Cold Weather Package'!F13,0)+IF(Table44[[#This Row],[eAWD]:[eAWD]]="Y",'eAWD Package'!F13,0)+IF(Table44[[#This Row],[Towing]:[Towing]]="Y",'Towing Bat Cost'!F13,0),"N/A")</f>
        <v>7379.579032894736</v>
      </c>
      <c r="K72" s="157">
        <f>IF(Table44[[#This Row],[Applicable Package?]:[Applicable Package?]]="Y",SUM('Rolled Up Non-Incremental Costs'!G13,'ICE Removal Cost'!G13,'Trans Removal Cost'!G13,'LEV3 Criteria Emissions Cost'!G13,'ZEV Assembly Reductions'!G13,'ACCII Criteria Compliance Cost'!G13,'ACCII GHG Compliance'!G13,'Current GHG Compliance'!G13)+IF(Table44[[#This Row],[Cold]:[Cold]]="Y",'Cold Weather Package'!G13,0)+IF(Table44[[#This Row],[eAWD]:[eAWD]]="Y",'eAWD Package'!G13,0)+IF(Table44[[#This Row],[Towing]:[Towing]]="Y",'Towing Bat Cost'!G13,0),"N/A")</f>
        <v>6519.3232562578978</v>
      </c>
      <c r="L72" s="157">
        <f>IF(Table44[[#This Row],[Applicable Package?]:[Applicable Package?]]="Y",SUM('Rolled Up Non-Incremental Costs'!H13,'ICE Removal Cost'!H13,'Trans Removal Cost'!H13,'LEV3 Criteria Emissions Cost'!H13,'ZEV Assembly Reductions'!H13,'ACCII Criteria Compliance Cost'!H13,'ACCII GHG Compliance'!H13,'Current GHG Compliance'!H13)+IF(Table44[[#This Row],[Cold]:[Cold]]="Y",'Cold Weather Package'!H13,0)+IF(Table44[[#This Row],[eAWD]:[eAWD]]="Y",'eAWD Package'!H13,0)+IF(Table44[[#This Row],[Towing]:[Towing]]="Y",'Towing Bat Cost'!H13,0),"N/A")</f>
        <v>5719.1307603653077</v>
      </c>
      <c r="M72" s="157">
        <f>IF(Table44[[#This Row],[Applicable Package?]:[Applicable Package?]]="Y",SUM('Rolled Up Non-Incremental Costs'!I13,'ICE Removal Cost'!I13,'Trans Removal Cost'!I13,'LEV3 Criteria Emissions Cost'!I13,'ZEV Assembly Reductions'!I13,'ACCII Criteria Compliance Cost'!I13,'ACCII GHG Compliance'!I13,'Current GHG Compliance'!I13)+IF(Table44[[#This Row],[Cold]:[Cold]]="Y",'Cold Weather Package'!I13,0)+IF(Table44[[#This Row],[eAWD]:[eAWD]]="Y",'eAWD Package'!I13,0)+IF(Table44[[#This Row],[Towing]:[Towing]]="Y",'Towing Bat Cost'!I13,0),"N/A")</f>
        <v>4974.5593694392292</v>
      </c>
      <c r="N72" s="157">
        <f>IF(Table44[[#This Row],[Applicable Package?]:[Applicable Package?]]="Y",SUM('Rolled Up Non-Incremental Costs'!J13,'ICE Removal Cost'!J13,'Trans Removal Cost'!J13,'LEV3 Criteria Emissions Cost'!J13,'ZEV Assembly Reductions'!J13,'ACCII Criteria Compliance Cost'!J13,'ACCII GHG Compliance'!J13,'Current GHG Compliance'!J13)+IF(Table44[[#This Row],[Cold]:[Cold]]="Y",'Cold Weather Package'!J13,0)+IF(Table44[[#This Row],[eAWD]:[eAWD]]="Y",'eAWD Package'!J13,0)+IF(Table44[[#This Row],[Towing]:[Towing]]="Y",'Towing Bat Cost'!J13,0),"N/A")</f>
        <v>4412.1808394524651</v>
      </c>
      <c r="O72" s="157">
        <f>IF(Table44[[#This Row],[Applicable Package?]:[Applicable Package?]]="Y",SUM('Rolled Up Non-Incremental Costs'!K13,'ICE Removal Cost'!K13,'Trans Removal Cost'!K13,'LEV3 Criteria Emissions Cost'!K13,'ZEV Assembly Reductions'!K13,'ACCII Criteria Compliance Cost'!K13,'ACCII GHG Compliance'!K13,'Current GHG Compliance'!K13)+IF(Table44[[#This Row],[Cold]:[Cold]]="Y",'Cold Weather Package'!K13,0)+IF(Table44[[#This Row],[eAWD]:[eAWD]]="Y",'eAWD Package'!K13,0)+IF(Table44[[#This Row],[Towing]:[Towing]]="Y",'Towing Bat Cost'!K13,0),"N/A")</f>
        <v>3915.2506505103979</v>
      </c>
      <c r="P72" s="157">
        <f>IF(Table44[[#This Row],[Applicable Package?]:[Applicable Package?]]="Y",SUM('Rolled Up Non-Incremental Costs'!L13,'ICE Removal Cost'!L13,'Trans Removal Cost'!L13,'LEV3 Criteria Emissions Cost'!L13,'ZEV Assembly Reductions'!L13,'ACCII Criteria Compliance Cost'!L13,'ACCII GHG Compliance'!L13,'Current GHG Compliance'!L13)+IF(Table44[[#This Row],[Cold]:[Cold]]="Y",'Cold Weather Package'!L13,0)+IF(Table44[[#This Row],[eAWD]:[eAWD]]="Y",'eAWD Package'!L13,0)+IF(Table44[[#This Row],[Towing]:[Towing]]="Y",'Towing Bat Cost'!L13,0),"N/A")</f>
        <v>3442.7647972927289</v>
      </c>
      <c r="Q72" s="157">
        <f>IF(Table44[[#This Row],[Applicable Package?]:[Applicable Package?]]="Y",SUM('Rolled Up Non-Incremental Costs'!M13,'ICE Removal Cost'!M13,'Trans Removal Cost'!M13,'LEV3 Criteria Emissions Cost'!M13,'ZEV Assembly Reductions'!M13,'ACCII Criteria Compliance Cost'!M13,'ACCII GHG Compliance'!M13,'Current GHG Compliance'!M13)+IF(Table44[[#This Row],[Cold]:[Cold]]="Y",'Cold Weather Package'!M13,0)+IF(Table44[[#This Row],[eAWD]:[eAWD]]="Y",'eAWD Package'!M13,0)+IF(Table44[[#This Row],[Towing]:[Towing]]="Y",'Towing Bat Cost'!M13,0),"N/A")</f>
        <v>2993.4125783397521</v>
      </c>
      <c r="R72" s="157">
        <f>IF(Table44[[#This Row],[Applicable Package?]:[Applicable Package?]]="Y",SUM('Rolled Up Non-Incremental Costs'!N13,'ICE Removal Cost'!N13,'Trans Removal Cost'!N13,'LEV3 Criteria Emissions Cost'!N13,'ZEV Assembly Reductions'!N13,'ACCII Criteria Compliance Cost'!N13,'ACCII GHG Compliance'!N13,'Current GHG Compliance'!N13)+IF(Table44[[#This Row],[Cold]:[Cold]]="Y",'Cold Weather Package'!N13,0)+IF(Table44[[#This Row],[eAWD]:[eAWD]]="Y",'eAWD Package'!N13,0)+IF(Table44[[#This Row],[Towing]:[Towing]]="Y",'Towing Bat Cost'!N13,0),"N/A")</f>
        <v>2565.9547768374587</v>
      </c>
      <c r="S72" s="157">
        <f>IF(Table44[[#This Row],[Applicable Package?]:[Applicable Package?]]="Y",SUM('Rolled Up Non-Incremental Costs'!O13,'ICE Removal Cost'!O13,'Trans Removal Cost'!O13,'LEV3 Criteria Emissions Cost'!O13,'ZEV Assembly Reductions'!O13,'ACCII Criteria Compliance Cost'!O13,'ACCII GHG Compliance'!O13,'Current GHG Compliance'!O13)+IF(Table44[[#This Row],[Cold]:[Cold]]="Y",'Cold Weather Package'!O13,0)+IF(Table44[[#This Row],[eAWD]:[eAWD]]="Y",'eAWD Package'!O13,0)+IF(Table44[[#This Row],[Towing]:[Towing]]="Y",'Towing Bat Cost'!O13,0),"N/A")</f>
        <v>2159.2197495958017</v>
      </c>
    </row>
    <row r="73" spans="1:19" x14ac:dyDescent="0.3">
      <c r="A73" t="str">
        <f t="shared" si="1"/>
        <v>PickupHTBEV400</v>
      </c>
      <c r="B73" s="90" t="s">
        <v>89</v>
      </c>
      <c r="C73" s="68" t="s">
        <v>113</v>
      </c>
      <c r="D73" s="68" t="str">
        <f>'Vehicle Attributes - Base Year'!D11</f>
        <v>BEV400</v>
      </c>
      <c r="E73" s="124" t="s">
        <v>77</v>
      </c>
      <c r="F73" s="124" t="s">
        <v>76</v>
      </c>
      <c r="G73" s="125" t="s">
        <v>77</v>
      </c>
      <c r="H73" s="156" t="s">
        <v>76</v>
      </c>
      <c r="I73" s="157">
        <f>IF(Table44[[#This Row],[Applicable Package?]:[Applicable Package?]]="Y",SUM('Rolled Up Non-Incremental Costs'!E14,'ICE Removal Cost'!E14,'Trans Removal Cost'!E14,'LEV3 Criteria Emissions Cost'!E14,'ZEV Assembly Reductions'!E14,'ACCII Criteria Compliance Cost'!E14,'ACCII GHG Compliance'!E14,'Current GHG Compliance'!E14)+IF(Table44[[#This Row],[Cold]:[Cold]]="Y",'Cold Weather Package'!E14,0)+IF(Table44[[#This Row],[eAWD]:[eAWD]]="Y",'eAWD Package'!E14,0)+IF(Table44[[#This Row],[Towing]:[Towing]]="Y",'Towing Bat Cost'!E14,0),"N/A")</f>
        <v>13465.827631578948</v>
      </c>
      <c r="J73" s="157">
        <f>IF(Table44[[#This Row],[Applicable Package?]:[Applicable Package?]]="Y",SUM('Rolled Up Non-Incremental Costs'!F14,'ICE Removal Cost'!F14,'Trans Removal Cost'!F14,'LEV3 Criteria Emissions Cost'!F14,'ZEV Assembly Reductions'!F14,'ACCII Criteria Compliance Cost'!F14,'ACCII GHG Compliance'!F14,'Current GHG Compliance'!F14)+IF(Table44[[#This Row],[Cold]:[Cold]]="Y",'Cold Weather Package'!F14,0)+IF(Table44[[#This Row],[eAWD]:[eAWD]]="Y",'eAWD Package'!F14,0)+IF(Table44[[#This Row],[Towing]:[Towing]]="Y",'Towing Bat Cost'!F14,0),"N/A")</f>
        <v>12190.550302631582</v>
      </c>
      <c r="K73" s="157">
        <f>IF(Table44[[#This Row],[Applicable Package?]:[Applicable Package?]]="Y",SUM('Rolled Up Non-Incremental Costs'!G14,'ICE Removal Cost'!G14,'Trans Removal Cost'!G14,'LEV3 Criteria Emissions Cost'!G14,'ZEV Assembly Reductions'!G14,'ACCII Criteria Compliance Cost'!G14,'ACCII GHG Compliance'!G14,'Current GHG Compliance'!G14)+IF(Table44[[#This Row],[Cold]:[Cold]]="Y",'Cold Weather Package'!G14,0)+IF(Table44[[#This Row],[eAWD]:[eAWD]]="Y",'eAWD Package'!G14,0)+IF(Table44[[#This Row],[Towing]:[Towing]]="Y",'Towing Bat Cost'!G14,0),"N/A")</f>
        <v>11005.924444252634</v>
      </c>
      <c r="L73" s="157">
        <f>IF(Table44[[#This Row],[Applicable Package?]:[Applicable Package?]]="Y",SUM('Rolled Up Non-Incremental Costs'!H14,'ICE Removal Cost'!H14,'Trans Removal Cost'!H14,'LEV3 Criteria Emissions Cost'!H14,'ZEV Assembly Reductions'!H14,'ACCII Criteria Compliance Cost'!H14,'ACCII GHG Compliance'!H14,'Current GHG Compliance'!H14)+IF(Table44[[#This Row],[Cold]:[Cold]]="Y",'Cold Weather Package'!H14,0)+IF(Table44[[#This Row],[eAWD]:[eAWD]]="Y",'eAWD Package'!H14,0)+IF(Table44[[#This Row],[Towing]:[Towing]]="Y",'Towing Bat Cost'!H14,0),"N/A")</f>
        <v>9905.2284039845454</v>
      </c>
      <c r="M73" s="157">
        <f>IF(Table44[[#This Row],[Applicable Package?]:[Applicable Package?]]="Y",SUM('Rolled Up Non-Incremental Costs'!I14,'ICE Removal Cost'!I14,'Trans Removal Cost'!I14,'LEV3 Criteria Emissions Cost'!I14,'ZEV Assembly Reductions'!I14,'ACCII Criteria Compliance Cost'!I14,'ACCII GHG Compliance'!I14,'Current GHG Compliance'!I14)+IF(Table44[[#This Row],[Cold]:[Cold]]="Y",'Cold Weather Package'!I14,0)+IF(Table44[[#This Row],[eAWD]:[eAWD]]="Y",'eAWD Package'!I14,0)+IF(Table44[[#This Row],[Towing]:[Towing]]="Y",'Towing Bat Cost'!I14,0),"N/A")</f>
        <v>8882.2418459275214</v>
      </c>
      <c r="N73" s="157">
        <f>IF(Table44[[#This Row],[Applicable Package?]:[Applicable Package?]]="Y",SUM('Rolled Up Non-Incremental Costs'!J14,'ICE Removal Cost'!J14,'Trans Removal Cost'!J14,'LEV3 Criteria Emissions Cost'!J14,'ZEV Assembly Reductions'!J14,'ACCII Criteria Compliance Cost'!J14,'ACCII GHG Compliance'!J14,'Current GHG Compliance'!J14)+IF(Table44[[#This Row],[Cold]:[Cold]]="Y",'Cold Weather Package'!J14,0)+IF(Table44[[#This Row],[eAWD]:[eAWD]]="Y",'eAWD Package'!J14,0)+IF(Table44[[#This Row],[Towing]:[Towing]]="Y",'Towing Bat Cost'!J14,0),"N/A")</f>
        <v>8114.2620560324904</v>
      </c>
      <c r="O73" s="157">
        <f>IF(Table44[[#This Row],[Applicable Package?]:[Applicable Package?]]="Y",SUM('Rolled Up Non-Incremental Costs'!K14,'ICE Removal Cost'!K14,'Trans Removal Cost'!K14,'LEV3 Criteria Emissions Cost'!K14,'ZEV Assembly Reductions'!K14,'ACCII Criteria Compliance Cost'!K14,'ACCII GHG Compliance'!K14,'Current GHG Compliance'!K14)+IF(Table44[[#This Row],[Cold]:[Cold]]="Y",'Cold Weather Package'!K14,0)+IF(Table44[[#This Row],[eAWD]:[eAWD]]="Y",'eAWD Package'!K14,0)+IF(Table44[[#This Row],[Towing]:[Towing]]="Y",'Towing Bat Cost'!K14,0),"N/A")</f>
        <v>7437.7612544804761</v>
      </c>
      <c r="P73" s="157">
        <f>IF(Table44[[#This Row],[Applicable Package?]:[Applicable Package?]]="Y",SUM('Rolled Up Non-Incremental Costs'!L14,'ICE Removal Cost'!L14,'Trans Removal Cost'!L14,'LEV3 Criteria Emissions Cost'!L14,'ZEV Assembly Reductions'!L14,'ACCII Criteria Compliance Cost'!L14,'ACCII GHG Compliance'!L14,'Current GHG Compliance'!L14)+IF(Table44[[#This Row],[Cold]:[Cold]]="Y",'Cold Weather Package'!L14,0)+IF(Table44[[#This Row],[eAWD]:[eAWD]]="Y",'eAWD Package'!L14,0)+IF(Table44[[#This Row],[Towing]:[Towing]]="Y",'Towing Bat Cost'!L14,0),"N/A")</f>
        <v>6795.305096353276</v>
      </c>
      <c r="Q73" s="157">
        <f>IF(Table44[[#This Row],[Applicable Package?]:[Applicable Package?]]="Y",SUM('Rolled Up Non-Incremental Costs'!M14,'ICE Removal Cost'!M14,'Trans Removal Cost'!M14,'LEV3 Criteria Emissions Cost'!M14,'ZEV Assembly Reductions'!M14,'ACCII Criteria Compliance Cost'!M14,'ACCII GHG Compliance'!M14,'Current GHG Compliance'!M14)+IF(Table44[[#This Row],[Cold]:[Cold]]="Y",'Cold Weather Package'!M14,0)+IF(Table44[[#This Row],[eAWD]:[eAWD]]="Y",'eAWD Package'!M14,0)+IF(Table44[[#This Row],[Towing]:[Towing]]="Y",'Towing Bat Cost'!M14,0),"N/A")</f>
        <v>6185.0595751779856</v>
      </c>
      <c r="R73" s="157">
        <f>IF(Table44[[#This Row],[Applicable Package?]:[Applicable Package?]]="Y",SUM('Rolled Up Non-Incremental Costs'!N14,'ICE Removal Cost'!N14,'Trans Removal Cost'!N14,'LEV3 Criteria Emissions Cost'!N14,'ZEV Assembly Reductions'!N14,'ACCII Criteria Compliance Cost'!N14,'ACCII GHG Compliance'!N14,'Current GHG Compliance'!N14)+IF(Table44[[#This Row],[Cold]:[Cold]]="Y",'Cold Weather Package'!N14,0)+IF(Table44[[#This Row],[eAWD]:[eAWD]]="Y",'eAWD Package'!N14,0)+IF(Table44[[#This Row],[Towing]:[Towing]]="Y",'Towing Bat Cost'!N14,0),"N/A")</f>
        <v>5605.2907969585422</v>
      </c>
      <c r="S73" s="157">
        <f>IF(Table44[[#This Row],[Applicable Package?]:[Applicable Package?]]="Y",SUM('Rolled Up Non-Incremental Costs'!O14,'ICE Removal Cost'!O14,'Trans Removal Cost'!O14,'LEV3 Criteria Emissions Cost'!O14,'ZEV Assembly Reductions'!O14,'ACCII Criteria Compliance Cost'!O14,'ACCII GHG Compliance'!O14,'Current GHG Compliance'!O14)+IF(Table44[[#This Row],[Cold]:[Cold]]="Y",'Cold Weather Package'!O14,0)+IF(Table44[[#This Row],[eAWD]:[eAWD]]="Y",'eAWD Package'!O14,0)+IF(Table44[[#This Row],[Towing]:[Towing]]="Y",'Towing Bat Cost'!O14,0),"N/A")</f>
        <v>5054.3595020113971</v>
      </c>
    </row>
    <row r="74" spans="1:19" x14ac:dyDescent="0.3">
      <c r="A74" s="28" t="str">
        <f t="shared" si="1"/>
        <v>SmallCarBasePHEV50</v>
      </c>
      <c r="B74" s="90" t="s">
        <v>73</v>
      </c>
      <c r="C74" s="68" t="s">
        <v>75</v>
      </c>
      <c r="D74" s="68" t="str">
        <f>'Vehicle Attributes - Base Year'!D12</f>
        <v>PHEV50</v>
      </c>
      <c r="E74" s="124" t="s">
        <v>77</v>
      </c>
      <c r="F74" s="124" t="s">
        <v>76</v>
      </c>
      <c r="G74" s="125" t="s">
        <v>77</v>
      </c>
      <c r="H74" s="156" t="s">
        <v>76</v>
      </c>
      <c r="I74" s="157">
        <f>IF(Table44[[#This Row],[Applicable Package?]:[Applicable Package?]]="Y",SUM('Rolled Up Non-Incremental Costs'!E15,'ICE Removal Cost'!E15,'Trans Removal Cost'!E15,'LEV3 Criteria Emissions Cost'!E15,'ZEV Assembly Reductions'!E15,'ACCII Criteria Compliance Cost'!E15,'ACCII GHG Compliance'!E15,'Current GHG Compliance'!E15)+IF(Table44[[#This Row],[Cold]:[Cold]]="Y",'Cold Weather Package'!E15,0)+IF(Table44[[#This Row],[eAWD]:[eAWD]]="Y",'eAWD Package'!E15,0)+IF(Table44[[#This Row],[Towing]:[Towing]]="Y",'Towing Bat Cost'!E15,0),"N/A")</f>
        <v>4821.7848529411767</v>
      </c>
      <c r="J74" s="157">
        <f>IF(Table44[[#This Row],[Applicable Package?]:[Applicable Package?]]="Y",SUM('Rolled Up Non-Incremental Costs'!F15,'ICE Removal Cost'!F15,'Trans Removal Cost'!F15,'LEV3 Criteria Emissions Cost'!F15,'ZEV Assembly Reductions'!F15,'ACCII Criteria Compliance Cost'!F15,'ACCII GHG Compliance'!F15,'Current GHG Compliance'!F15)+IF(Table44[[#This Row],[Cold]:[Cold]]="Y",'Cold Weather Package'!F15,0)+IF(Table44[[#This Row],[eAWD]:[eAWD]]="Y",'eAWD Package'!F15,0)+IF(Table44[[#This Row],[Towing]:[Towing]]="Y",'Towing Bat Cost'!F15,0),"N/A")</f>
        <v>4605.1118852941172</v>
      </c>
      <c r="K74" s="157">
        <f>IF(Table44[[#This Row],[Applicable Package?]:[Applicable Package?]]="Y",SUM('Rolled Up Non-Incremental Costs'!G15,'ICE Removal Cost'!G15,'Trans Removal Cost'!G15,'LEV3 Criteria Emissions Cost'!G15,'ZEV Assembly Reductions'!G15,'ACCII Criteria Compliance Cost'!G15,'ACCII GHG Compliance'!G15,'Current GHG Compliance'!G15)+IF(Table44[[#This Row],[Cold]:[Cold]]="Y",'Cold Weather Package'!G15,0)+IF(Table44[[#This Row],[eAWD]:[eAWD]]="Y",'eAWD Package'!G15,0)+IF(Table44[[#This Row],[Towing]:[Towing]]="Y",'Towing Bat Cost'!G15,0),"N/A")</f>
        <v>4402.4604494656624</v>
      </c>
      <c r="L74" s="157">
        <f>IF(Table44[[#This Row],[Applicable Package?]:[Applicable Package?]]="Y",SUM('Rolled Up Non-Incremental Costs'!H15,'ICE Removal Cost'!H15,'Trans Removal Cost'!H15,'LEV3 Criteria Emissions Cost'!H15,'ZEV Assembly Reductions'!H15,'ACCII Criteria Compliance Cost'!H15,'ACCII GHG Compliance'!H15,'Current GHG Compliance'!H15)+IF(Table44[[#This Row],[Cold]:[Cold]]="Y",'Cold Weather Package'!H15,0)+IF(Table44[[#This Row],[eAWD]:[eAWD]]="Y",'eAWD Package'!H15,0)+IF(Table44[[#This Row],[Towing]:[Towing]]="Y",'Towing Bat Cost'!H15,0),"N/A")</f>
        <v>4212.8053691577134</v>
      </c>
      <c r="M74" s="157">
        <f>IF(Table44[[#This Row],[Applicable Package?]:[Applicable Package?]]="Y",SUM('Rolled Up Non-Incremental Costs'!I15,'ICE Removal Cost'!I15,'Trans Removal Cost'!I15,'LEV3 Criteria Emissions Cost'!I15,'ZEV Assembly Reductions'!I15,'ACCII Criteria Compliance Cost'!I15,'ACCII GHG Compliance'!I15,'Current GHG Compliance'!I15)+IF(Table44[[#This Row],[Cold]:[Cold]]="Y",'Cold Weather Package'!I15,0)+IF(Table44[[#This Row],[eAWD]:[eAWD]]="Y",'eAWD Package'!I15,0)+IF(Table44[[#This Row],[Towing]:[Towing]]="Y",'Towing Bat Cost'!I15,0),"N/A")</f>
        <v>4035.1977821723058</v>
      </c>
      <c r="N74" s="157">
        <f>IF(Table44[[#This Row],[Applicable Package?]:[Applicable Package?]]="Y",SUM('Rolled Up Non-Incremental Costs'!J15,'ICE Removal Cost'!J15,'Trans Removal Cost'!J15,'LEV3 Criteria Emissions Cost'!J15,'ZEV Assembly Reductions'!J15,'ACCII Criteria Compliance Cost'!J15,'ACCII GHG Compliance'!J15,'Current GHG Compliance'!J15)+IF(Table44[[#This Row],[Cold]:[Cold]]="Y",'Cold Weather Package'!J15,0)+IF(Table44[[#This Row],[eAWD]:[eAWD]]="Y",'eAWD Package'!J15,0)+IF(Table44[[#This Row],[Towing]:[Towing]]="Y",'Towing Bat Cost'!J15,0),"N/A")</f>
        <v>3896.6169806376292</v>
      </c>
      <c r="O74" s="157">
        <f>IF(Table44[[#This Row],[Applicable Package?]:[Applicable Package?]]="Y",SUM('Rolled Up Non-Incremental Costs'!K15,'ICE Removal Cost'!K15,'Trans Removal Cost'!K15,'LEV3 Criteria Emissions Cost'!K15,'ZEV Assembly Reductions'!K15,'ACCII Criteria Compliance Cost'!K15,'ACCII GHG Compliance'!K15,'Current GHG Compliance'!K15)+IF(Table44[[#This Row],[Cold]:[Cold]]="Y",'Cold Weather Package'!K15,0)+IF(Table44[[#This Row],[eAWD]:[eAWD]]="Y",'eAWD Package'!K15,0)+IF(Table44[[#This Row],[Towing]:[Towing]]="Y",'Towing Bat Cost'!K15,0),"N/A")</f>
        <v>3772.1747398225975</v>
      </c>
      <c r="P74" s="157">
        <f>IF(Table44[[#This Row],[Applicable Package?]:[Applicable Package?]]="Y",SUM('Rolled Up Non-Incremental Costs'!L15,'ICE Removal Cost'!L15,'Trans Removal Cost'!L15,'LEV3 Criteria Emissions Cost'!L15,'ZEV Assembly Reductions'!L15,'ACCII Criteria Compliance Cost'!L15,'ACCII GHG Compliance'!L15,'Current GHG Compliance'!L15)+IF(Table44[[#This Row],[Cold]:[Cold]]="Y",'Cold Weather Package'!L15,0)+IF(Table44[[#This Row],[eAWD]:[eAWD]]="Y",'eAWD Package'!L15,0)+IF(Table44[[#This Row],[Towing]:[Towing]]="Y",'Towing Bat Cost'!L15,0),"N/A")</f>
        <v>3653.1283988034397</v>
      </c>
      <c r="Q74" s="157">
        <f>IF(Table44[[#This Row],[Applicable Package?]:[Applicable Package?]]="Y",SUM('Rolled Up Non-Incremental Costs'!M15,'ICE Removal Cost'!M15,'Trans Removal Cost'!M15,'LEV3 Criteria Emissions Cost'!M15,'ZEV Assembly Reductions'!M15,'ACCII Criteria Compliance Cost'!M15,'ACCII GHG Compliance'!M15,'Current GHG Compliance'!M15)+IF(Table44[[#This Row],[Cold]:[Cold]]="Y",'Cold Weather Package'!M15,0)+IF(Table44[[#This Row],[eAWD]:[eAWD]]="Y",'eAWD Package'!M15,0)+IF(Table44[[#This Row],[Towing]:[Towing]]="Y",'Towing Bat Cost'!M15,0),"N/A")</f>
        <v>3539.1967051952197</v>
      </c>
      <c r="R74" s="157">
        <f>IF(Table44[[#This Row],[Applicable Package?]:[Applicable Package?]]="Y",SUM('Rolled Up Non-Incremental Costs'!N15,'ICE Removal Cost'!N15,'Trans Removal Cost'!N15,'LEV3 Criteria Emissions Cost'!N15,'ZEV Assembly Reductions'!N15,'ACCII Criteria Compliance Cost'!N15,'ACCII GHG Compliance'!N15,'Current GHG Compliance'!N15)+IF(Table44[[#This Row],[Cold]:[Cold]]="Y",'Cold Weather Package'!N15,0)+IF(Table44[[#This Row],[eAWD]:[eAWD]]="Y",'eAWD Package'!N15,0)+IF(Table44[[#This Row],[Towing]:[Towing]]="Y",'Towing Bat Cost'!N15,0),"N/A")</f>
        <v>3430.1136634497866</v>
      </c>
      <c r="S74" s="157">
        <f>IF(Table44[[#This Row],[Applicable Package?]:[Applicable Package?]]="Y",SUM('Rolled Up Non-Incremental Costs'!O15,'ICE Removal Cost'!O15,'Trans Removal Cost'!O15,'LEV3 Criteria Emissions Cost'!O15,'ZEV Assembly Reductions'!O15,'ACCII Criteria Compliance Cost'!O15,'ACCII GHG Compliance'!O15,'Current GHG Compliance'!O15)+IF(Table44[[#This Row],[Cold]:[Cold]]="Y",'Cold Weather Package'!O15,0)+IF(Table44[[#This Row],[eAWD]:[eAWD]]="Y",'eAWD Package'!O15,0)+IF(Table44[[#This Row],[Towing]:[Towing]]="Y",'Towing Bat Cost'!O15,0),"N/A")</f>
        <v>3325.6277009612759</v>
      </c>
    </row>
    <row r="75" spans="1:19" x14ac:dyDescent="0.3">
      <c r="A75" t="str">
        <f t="shared" si="1"/>
        <v>SmallCarPremiumPHEV50</v>
      </c>
      <c r="B75" s="90" t="s">
        <v>73</v>
      </c>
      <c r="C75" s="68" t="s">
        <v>80</v>
      </c>
      <c r="D75" s="68" t="str">
        <f>'Vehicle Attributes - Base Year'!D13</f>
        <v>PHEV50</v>
      </c>
      <c r="E75" s="124" t="s">
        <v>77</v>
      </c>
      <c r="F75" s="124" t="s">
        <v>76</v>
      </c>
      <c r="G75" s="125" t="s">
        <v>77</v>
      </c>
      <c r="H75" s="156" t="s">
        <v>76</v>
      </c>
      <c r="I75" s="157">
        <f>IF(Table44[[#This Row],[Applicable Package?]:[Applicable Package?]]="Y",SUM('Rolled Up Non-Incremental Costs'!E16,'ICE Removal Cost'!E16,'Trans Removal Cost'!E16,'LEV3 Criteria Emissions Cost'!E16,'ZEV Assembly Reductions'!E16,'ACCII Criteria Compliance Cost'!E16,'ACCII GHG Compliance'!E16,'Current GHG Compliance'!E16)+IF(Table44[[#This Row],[Cold]:[Cold]]="Y",'Cold Weather Package'!E16,0)+IF(Table44[[#This Row],[eAWD]:[eAWD]]="Y",'eAWD Package'!E16,0)+IF(Table44[[#This Row],[Towing]:[Towing]]="Y",'Towing Bat Cost'!E16,0),"N/A")</f>
        <v>4821.7848529411767</v>
      </c>
      <c r="J75" s="157">
        <f>IF(Table44[[#This Row],[Applicable Package?]:[Applicable Package?]]="Y",SUM('Rolled Up Non-Incremental Costs'!F16,'ICE Removal Cost'!F16,'Trans Removal Cost'!F16,'LEV3 Criteria Emissions Cost'!F16,'ZEV Assembly Reductions'!F16,'ACCII Criteria Compliance Cost'!F16,'ACCII GHG Compliance'!F16,'Current GHG Compliance'!F16)+IF(Table44[[#This Row],[Cold]:[Cold]]="Y",'Cold Weather Package'!F16,0)+IF(Table44[[#This Row],[eAWD]:[eAWD]]="Y",'eAWD Package'!F16,0)+IF(Table44[[#This Row],[Towing]:[Towing]]="Y",'Towing Bat Cost'!F16,0),"N/A")</f>
        <v>4605.1118852941172</v>
      </c>
      <c r="K75" s="157">
        <f>IF(Table44[[#This Row],[Applicable Package?]:[Applicable Package?]]="Y",SUM('Rolled Up Non-Incremental Costs'!G16,'ICE Removal Cost'!G16,'Trans Removal Cost'!G16,'LEV3 Criteria Emissions Cost'!G16,'ZEV Assembly Reductions'!G16,'ACCII Criteria Compliance Cost'!G16,'ACCII GHG Compliance'!G16,'Current GHG Compliance'!G16)+IF(Table44[[#This Row],[Cold]:[Cold]]="Y",'Cold Weather Package'!G16,0)+IF(Table44[[#This Row],[eAWD]:[eAWD]]="Y",'eAWD Package'!G16,0)+IF(Table44[[#This Row],[Towing]:[Towing]]="Y",'Towing Bat Cost'!G16,0),"N/A")</f>
        <v>4402.4604494656624</v>
      </c>
      <c r="L75" s="157">
        <f>IF(Table44[[#This Row],[Applicable Package?]:[Applicable Package?]]="Y",SUM('Rolled Up Non-Incremental Costs'!H16,'ICE Removal Cost'!H16,'Trans Removal Cost'!H16,'LEV3 Criteria Emissions Cost'!H16,'ZEV Assembly Reductions'!H16,'ACCII Criteria Compliance Cost'!H16,'ACCII GHG Compliance'!H16,'Current GHG Compliance'!H16)+IF(Table44[[#This Row],[Cold]:[Cold]]="Y",'Cold Weather Package'!H16,0)+IF(Table44[[#This Row],[eAWD]:[eAWD]]="Y",'eAWD Package'!H16,0)+IF(Table44[[#This Row],[Towing]:[Towing]]="Y",'Towing Bat Cost'!H16,0),"N/A")</f>
        <v>4212.8053691577134</v>
      </c>
      <c r="M75" s="157">
        <f>IF(Table44[[#This Row],[Applicable Package?]:[Applicable Package?]]="Y",SUM('Rolled Up Non-Incremental Costs'!I16,'ICE Removal Cost'!I16,'Trans Removal Cost'!I16,'LEV3 Criteria Emissions Cost'!I16,'ZEV Assembly Reductions'!I16,'ACCII Criteria Compliance Cost'!I16,'ACCII GHG Compliance'!I16,'Current GHG Compliance'!I16)+IF(Table44[[#This Row],[Cold]:[Cold]]="Y",'Cold Weather Package'!I16,0)+IF(Table44[[#This Row],[eAWD]:[eAWD]]="Y",'eAWD Package'!I16,0)+IF(Table44[[#This Row],[Towing]:[Towing]]="Y",'Towing Bat Cost'!I16,0),"N/A")</f>
        <v>4035.1977821723058</v>
      </c>
      <c r="N75" s="157">
        <f>IF(Table44[[#This Row],[Applicable Package?]:[Applicable Package?]]="Y",SUM('Rolled Up Non-Incremental Costs'!J16,'ICE Removal Cost'!J16,'Trans Removal Cost'!J16,'LEV3 Criteria Emissions Cost'!J16,'ZEV Assembly Reductions'!J16,'ACCII Criteria Compliance Cost'!J16,'ACCII GHG Compliance'!J16,'Current GHG Compliance'!J16)+IF(Table44[[#This Row],[Cold]:[Cold]]="Y",'Cold Weather Package'!J16,0)+IF(Table44[[#This Row],[eAWD]:[eAWD]]="Y",'eAWD Package'!J16,0)+IF(Table44[[#This Row],[Towing]:[Towing]]="Y",'Towing Bat Cost'!J16,0),"N/A")</f>
        <v>3896.6169806376292</v>
      </c>
      <c r="O75" s="157">
        <f>IF(Table44[[#This Row],[Applicable Package?]:[Applicable Package?]]="Y",SUM('Rolled Up Non-Incremental Costs'!K16,'ICE Removal Cost'!K16,'Trans Removal Cost'!K16,'LEV3 Criteria Emissions Cost'!K16,'ZEV Assembly Reductions'!K16,'ACCII Criteria Compliance Cost'!K16,'ACCII GHG Compliance'!K16,'Current GHG Compliance'!K16)+IF(Table44[[#This Row],[Cold]:[Cold]]="Y",'Cold Weather Package'!K16,0)+IF(Table44[[#This Row],[eAWD]:[eAWD]]="Y",'eAWD Package'!K16,0)+IF(Table44[[#This Row],[Towing]:[Towing]]="Y",'Towing Bat Cost'!K16,0),"N/A")</f>
        <v>3772.1747398225975</v>
      </c>
      <c r="P75" s="157">
        <f>IF(Table44[[#This Row],[Applicable Package?]:[Applicable Package?]]="Y",SUM('Rolled Up Non-Incremental Costs'!L16,'ICE Removal Cost'!L16,'Trans Removal Cost'!L16,'LEV3 Criteria Emissions Cost'!L16,'ZEV Assembly Reductions'!L16,'ACCII Criteria Compliance Cost'!L16,'ACCII GHG Compliance'!L16,'Current GHG Compliance'!L16)+IF(Table44[[#This Row],[Cold]:[Cold]]="Y",'Cold Weather Package'!L16,0)+IF(Table44[[#This Row],[eAWD]:[eAWD]]="Y",'eAWD Package'!L16,0)+IF(Table44[[#This Row],[Towing]:[Towing]]="Y",'Towing Bat Cost'!L16,0),"N/A")</f>
        <v>3653.1283988034397</v>
      </c>
      <c r="Q75" s="157">
        <f>IF(Table44[[#This Row],[Applicable Package?]:[Applicable Package?]]="Y",SUM('Rolled Up Non-Incremental Costs'!M16,'ICE Removal Cost'!M16,'Trans Removal Cost'!M16,'LEV3 Criteria Emissions Cost'!M16,'ZEV Assembly Reductions'!M16,'ACCII Criteria Compliance Cost'!M16,'ACCII GHG Compliance'!M16,'Current GHG Compliance'!M16)+IF(Table44[[#This Row],[Cold]:[Cold]]="Y",'Cold Weather Package'!M16,0)+IF(Table44[[#This Row],[eAWD]:[eAWD]]="Y",'eAWD Package'!M16,0)+IF(Table44[[#This Row],[Towing]:[Towing]]="Y",'Towing Bat Cost'!M16,0),"N/A")</f>
        <v>3539.1967051952197</v>
      </c>
      <c r="R75" s="157">
        <f>IF(Table44[[#This Row],[Applicable Package?]:[Applicable Package?]]="Y",SUM('Rolled Up Non-Incremental Costs'!N16,'ICE Removal Cost'!N16,'Trans Removal Cost'!N16,'LEV3 Criteria Emissions Cost'!N16,'ZEV Assembly Reductions'!N16,'ACCII Criteria Compliance Cost'!N16,'ACCII GHG Compliance'!N16,'Current GHG Compliance'!N16)+IF(Table44[[#This Row],[Cold]:[Cold]]="Y",'Cold Weather Package'!N16,0)+IF(Table44[[#This Row],[eAWD]:[eAWD]]="Y",'eAWD Package'!N16,0)+IF(Table44[[#This Row],[Towing]:[Towing]]="Y",'Towing Bat Cost'!N16,0),"N/A")</f>
        <v>3430.1136634497866</v>
      </c>
      <c r="S75" s="157">
        <f>IF(Table44[[#This Row],[Applicable Package?]:[Applicable Package?]]="Y",SUM('Rolled Up Non-Incremental Costs'!O16,'ICE Removal Cost'!O16,'Trans Removal Cost'!O16,'LEV3 Criteria Emissions Cost'!O16,'ZEV Assembly Reductions'!O16,'ACCII Criteria Compliance Cost'!O16,'ACCII GHG Compliance'!O16,'Current GHG Compliance'!O16)+IF(Table44[[#This Row],[Cold]:[Cold]]="Y",'Cold Weather Package'!O16,0)+IF(Table44[[#This Row],[eAWD]:[eAWD]]="Y",'eAWD Package'!O16,0)+IF(Table44[[#This Row],[Towing]:[Towing]]="Y",'Towing Bat Cost'!O16,0),"N/A")</f>
        <v>3325.6277009612759</v>
      </c>
    </row>
    <row r="76" spans="1:19" x14ac:dyDescent="0.3">
      <c r="A76" s="28" t="str">
        <f t="shared" si="1"/>
        <v>MedCarBasePHEV50</v>
      </c>
      <c r="B76" s="90" t="s">
        <v>82</v>
      </c>
      <c r="C76" s="68" t="s">
        <v>75</v>
      </c>
      <c r="D76" s="68" t="str">
        <f>'Vehicle Attributes - Base Year'!D14</f>
        <v>PHEV50</v>
      </c>
      <c r="E76" s="124" t="s">
        <v>77</v>
      </c>
      <c r="F76" s="124" t="s">
        <v>76</v>
      </c>
      <c r="G76" s="125" t="s">
        <v>77</v>
      </c>
      <c r="H76" s="156" t="s">
        <v>76</v>
      </c>
      <c r="I76" s="157">
        <f>IF(Table44[[#This Row],[Applicable Package?]:[Applicable Package?]]="Y",SUM('Rolled Up Non-Incremental Costs'!E17,'ICE Removal Cost'!E17,'Trans Removal Cost'!E17,'LEV3 Criteria Emissions Cost'!E17,'ZEV Assembly Reductions'!E17,'ACCII Criteria Compliance Cost'!E17,'ACCII GHG Compliance'!E17,'Current GHG Compliance'!E17)+IF(Table44[[#This Row],[Cold]:[Cold]]="Y",'Cold Weather Package'!E17,0)+IF(Table44[[#This Row],[eAWD]:[eAWD]]="Y",'eAWD Package'!E17,0)+IF(Table44[[#This Row],[Towing]:[Towing]]="Y",'Towing Bat Cost'!E17,0),"N/A")</f>
        <v>5244.6200678823525</v>
      </c>
      <c r="J76" s="157">
        <f>IF(Table44[[#This Row],[Applicable Package?]:[Applicable Package?]]="Y",SUM('Rolled Up Non-Incremental Costs'!F17,'ICE Removal Cost'!F17,'Trans Removal Cost'!F17,'LEV3 Criteria Emissions Cost'!F17,'ZEV Assembly Reductions'!F17,'ACCII Criteria Compliance Cost'!F17,'ACCII GHG Compliance'!F17,'Current GHG Compliance'!F17)+IF(Table44[[#This Row],[Cold]:[Cold]]="Y",'Cold Weather Package'!F17,0)+IF(Table44[[#This Row],[eAWD]:[eAWD]]="Y",'eAWD Package'!F17,0)+IF(Table44[[#This Row],[Towing]:[Towing]]="Y",'Towing Bat Cost'!F17,0),"N/A")</f>
        <v>5012.2585848505887</v>
      </c>
      <c r="K76" s="157">
        <f>IF(Table44[[#This Row],[Applicable Package?]:[Applicable Package?]]="Y",SUM('Rolled Up Non-Incremental Costs'!G17,'ICE Removal Cost'!G17,'Trans Removal Cost'!G17,'LEV3 Criteria Emissions Cost'!G17,'ZEV Assembly Reductions'!G17,'ACCII Criteria Compliance Cost'!G17,'ACCII GHG Compliance'!G17,'Current GHG Compliance'!G17)+IF(Table44[[#This Row],[Cold]:[Cold]]="Y",'Cold Weather Package'!G17,0)+IF(Table44[[#This Row],[eAWD]:[eAWD]]="Y",'eAWD Package'!G17,0)+IF(Table44[[#This Row],[Towing]:[Towing]]="Y",'Towing Bat Cost'!G17,0),"N/A")</f>
        <v>4794.9310199767888</v>
      </c>
      <c r="L76" s="157">
        <f>IF(Table44[[#This Row],[Applicable Package?]:[Applicable Package?]]="Y",SUM('Rolled Up Non-Incremental Costs'!H17,'ICE Removal Cost'!H17,'Trans Removal Cost'!H17,'LEV3 Criteria Emissions Cost'!H17,'ZEV Assembly Reductions'!H17,'ACCII Criteria Compliance Cost'!H17,'ACCII GHG Compliance'!H17,'Current GHG Compliance'!H17)+IF(Table44[[#This Row],[Cold]:[Cold]]="Y",'Cold Weather Package'!H17,0)+IF(Table44[[#This Row],[eAWD]:[eAWD]]="Y",'eAWD Package'!H17,0)+IF(Table44[[#This Row],[Towing]:[Towing]]="Y",'Towing Bat Cost'!H17,0),"N/A")</f>
        <v>4591.5382099359649</v>
      </c>
      <c r="M76" s="157">
        <f>IF(Table44[[#This Row],[Applicable Package?]:[Applicable Package?]]="Y",SUM('Rolled Up Non-Incremental Costs'!I17,'ICE Removal Cost'!I17,'Trans Removal Cost'!I17,'LEV3 Criteria Emissions Cost'!I17,'ZEV Assembly Reductions'!I17,'ACCII Criteria Compliance Cost'!I17,'ACCII GHG Compliance'!I17,'Current GHG Compliance'!I17)+IF(Table44[[#This Row],[Cold]:[Cold]]="Y",'Cold Weather Package'!I17,0)+IF(Table44[[#This Row],[eAWD]:[eAWD]]="Y",'eAWD Package'!I17,0)+IF(Table44[[#This Row],[Towing]:[Towing]]="Y",'Towing Bat Cost'!I17,0),"N/A")</f>
        <v>4401.0628127586833</v>
      </c>
      <c r="N76" s="157">
        <f>IF(Table44[[#This Row],[Applicable Package?]:[Applicable Package?]]="Y",SUM('Rolled Up Non-Incremental Costs'!J17,'ICE Removal Cost'!J17,'Trans Removal Cost'!J17,'LEV3 Criteria Emissions Cost'!J17,'ZEV Assembly Reductions'!J17,'ACCII Criteria Compliance Cost'!J17,'ACCII GHG Compliance'!J17,'Current GHG Compliance'!J17)+IF(Table44[[#This Row],[Cold]:[Cold]]="Y",'Cold Weather Package'!J17,0)+IF(Table44[[#This Row],[eAWD]:[eAWD]]="Y",'eAWD Package'!J17,0)+IF(Table44[[#This Row],[Towing]:[Towing]]="Y",'Towing Bat Cost'!J17,0),"N/A")</f>
        <v>4252.4310746708179</v>
      </c>
      <c r="O76" s="157">
        <f>IF(Table44[[#This Row],[Applicable Package?]:[Applicable Package?]]="Y",SUM('Rolled Up Non-Incremental Costs'!K17,'ICE Removal Cost'!K17,'Trans Removal Cost'!K17,'LEV3 Criteria Emissions Cost'!K17,'ZEV Assembly Reductions'!K17,'ACCII Criteria Compliance Cost'!K17,'ACCII GHG Compliance'!K17,'Current GHG Compliance'!K17)+IF(Table44[[#This Row],[Cold]:[Cold]]="Y",'Cold Weather Package'!K17,0)+IF(Table44[[#This Row],[eAWD]:[eAWD]]="Y",'eAWD Package'!K17,0)+IF(Table44[[#This Row],[Towing]:[Towing]]="Y",'Towing Bat Cost'!K17,0),"N/A")</f>
        <v>4118.9587084096747</v>
      </c>
      <c r="P76" s="157">
        <f>IF(Table44[[#This Row],[Applicable Package?]:[Applicable Package?]]="Y",SUM('Rolled Up Non-Incremental Costs'!L17,'ICE Removal Cost'!L17,'Trans Removal Cost'!L17,'LEV3 Criteria Emissions Cost'!L17,'ZEV Assembly Reductions'!L17,'ACCII Criteria Compliance Cost'!L17,'ACCII GHG Compliance'!L17,'Current GHG Compliance'!L17)+IF(Table44[[#This Row],[Cold]:[Cold]]="Y",'Cold Weather Package'!L17,0)+IF(Table44[[#This Row],[eAWD]:[eAWD]]="Y",'eAWD Package'!L17,0)+IF(Table44[[#This Row],[Towing]:[Towing]]="Y",'Towing Bat Cost'!L17,0),"N/A")</f>
        <v>3991.2721343505577</v>
      </c>
      <c r="Q76" s="157">
        <f>IF(Table44[[#This Row],[Applicable Package?]:[Applicable Package?]]="Y",SUM('Rolled Up Non-Incremental Costs'!M17,'ICE Removal Cost'!M17,'Trans Removal Cost'!M17,'LEV3 Criteria Emissions Cost'!M17,'ZEV Assembly Reductions'!M17,'ACCII Criteria Compliance Cost'!M17,'ACCII GHG Compliance'!M17,'Current GHG Compliance'!M17)+IF(Table44[[#This Row],[Cold]:[Cold]]="Y",'Cold Weather Package'!M17,0)+IF(Table44[[#This Row],[eAWD]:[eAWD]]="Y",'eAWD Package'!M17,0)+IF(Table44[[#This Row],[Towing]:[Towing]]="Y",'Towing Bat Cost'!M17,0),"N/A")</f>
        <v>3869.0697985689153</v>
      </c>
      <c r="R76" s="157">
        <f>IF(Table44[[#This Row],[Applicable Package?]:[Applicable Package?]]="Y",SUM('Rolled Up Non-Incremental Costs'!N17,'ICE Removal Cost'!N17,'Trans Removal Cost'!N17,'LEV3 Criteria Emissions Cost'!N17,'ZEV Assembly Reductions'!N17,'ACCII Criteria Compliance Cost'!N17,'ACCII GHG Compliance'!N17,'Current GHG Compliance'!N17)+IF(Table44[[#This Row],[Cold]:[Cold]]="Y",'Cold Weather Package'!N17,0)+IF(Table44[[#This Row],[eAWD]:[eAWD]]="Y",'eAWD Package'!N17,0)+IF(Table44[[#This Row],[Towing]:[Towing]]="Y",'Towing Bat Cost'!N17,0),"N/A")</f>
        <v>3752.0665050355769</v>
      </c>
      <c r="S76" s="157">
        <f>IF(Table44[[#This Row],[Applicable Package?]:[Applicable Package?]]="Y",SUM('Rolled Up Non-Incremental Costs'!O17,'ICE Removal Cost'!O17,'Trans Removal Cost'!O17,'LEV3 Criteria Emissions Cost'!O17,'ZEV Assembly Reductions'!O17,'ACCII Criteria Compliance Cost'!O17,'ACCII GHG Compliance'!O17,'Current GHG Compliance'!O17)+IF(Table44[[#This Row],[Cold]:[Cold]]="Y",'Cold Weather Package'!O17,0)+IF(Table44[[#This Row],[eAWD]:[eAWD]]="Y",'eAWD Package'!O17,0)+IF(Table44[[#This Row],[Towing]:[Towing]]="Y",'Towing Bat Cost'!O17,0),"N/A")</f>
        <v>3639.9925215438052</v>
      </c>
    </row>
    <row r="77" spans="1:19" x14ac:dyDescent="0.3">
      <c r="A77" t="str">
        <f t="shared" si="1"/>
        <v>MedCarPremiumPHEV50</v>
      </c>
      <c r="B77" s="90" t="s">
        <v>82</v>
      </c>
      <c r="C77" s="68" t="s">
        <v>80</v>
      </c>
      <c r="D77" s="68" t="str">
        <f>'Vehicle Attributes - Base Year'!D15</f>
        <v>PHEV50</v>
      </c>
      <c r="E77" s="124" t="s">
        <v>77</v>
      </c>
      <c r="F77" s="124" t="s">
        <v>76</v>
      </c>
      <c r="G77" s="125" t="s">
        <v>77</v>
      </c>
      <c r="H77" s="156" t="s">
        <v>76</v>
      </c>
      <c r="I77" s="157">
        <f>IF(Table44[[#This Row],[Applicable Package?]:[Applicable Package?]]="Y",SUM('Rolled Up Non-Incremental Costs'!E18,'ICE Removal Cost'!E18,'Trans Removal Cost'!E18,'LEV3 Criteria Emissions Cost'!E18,'ZEV Assembly Reductions'!E18,'ACCII Criteria Compliance Cost'!E18,'ACCII GHG Compliance'!E18,'Current GHG Compliance'!E18)+IF(Table44[[#This Row],[Cold]:[Cold]]="Y",'Cold Weather Package'!E18,0)+IF(Table44[[#This Row],[eAWD]:[eAWD]]="Y",'eAWD Package'!E18,0)+IF(Table44[[#This Row],[Towing]:[Towing]]="Y",'Towing Bat Cost'!E18,0),"N/A")</f>
        <v>5244.6200678823525</v>
      </c>
      <c r="J77" s="157">
        <f>IF(Table44[[#This Row],[Applicable Package?]:[Applicable Package?]]="Y",SUM('Rolled Up Non-Incremental Costs'!F18,'ICE Removal Cost'!F18,'Trans Removal Cost'!F18,'LEV3 Criteria Emissions Cost'!F18,'ZEV Assembly Reductions'!F18,'ACCII Criteria Compliance Cost'!F18,'ACCII GHG Compliance'!F18,'Current GHG Compliance'!F18)+IF(Table44[[#This Row],[Cold]:[Cold]]="Y",'Cold Weather Package'!F18,0)+IF(Table44[[#This Row],[eAWD]:[eAWD]]="Y",'eAWD Package'!F18,0)+IF(Table44[[#This Row],[Towing]:[Towing]]="Y",'Towing Bat Cost'!F18,0),"N/A")</f>
        <v>5012.2585848505887</v>
      </c>
      <c r="K77" s="157">
        <f>IF(Table44[[#This Row],[Applicable Package?]:[Applicable Package?]]="Y",SUM('Rolled Up Non-Incremental Costs'!G18,'ICE Removal Cost'!G18,'Trans Removal Cost'!G18,'LEV3 Criteria Emissions Cost'!G18,'ZEV Assembly Reductions'!G18,'ACCII Criteria Compliance Cost'!G18,'ACCII GHG Compliance'!G18,'Current GHG Compliance'!G18)+IF(Table44[[#This Row],[Cold]:[Cold]]="Y",'Cold Weather Package'!G18,0)+IF(Table44[[#This Row],[eAWD]:[eAWD]]="Y",'eAWD Package'!G18,0)+IF(Table44[[#This Row],[Towing]:[Towing]]="Y",'Towing Bat Cost'!G18,0),"N/A")</f>
        <v>4794.9310199767888</v>
      </c>
      <c r="L77" s="157">
        <f>IF(Table44[[#This Row],[Applicable Package?]:[Applicable Package?]]="Y",SUM('Rolled Up Non-Incremental Costs'!H18,'ICE Removal Cost'!H18,'Trans Removal Cost'!H18,'LEV3 Criteria Emissions Cost'!H18,'ZEV Assembly Reductions'!H18,'ACCII Criteria Compliance Cost'!H18,'ACCII GHG Compliance'!H18,'Current GHG Compliance'!H18)+IF(Table44[[#This Row],[Cold]:[Cold]]="Y",'Cold Weather Package'!H18,0)+IF(Table44[[#This Row],[eAWD]:[eAWD]]="Y",'eAWD Package'!H18,0)+IF(Table44[[#This Row],[Towing]:[Towing]]="Y",'Towing Bat Cost'!H18,0),"N/A")</f>
        <v>4591.5382099359649</v>
      </c>
      <c r="M77" s="157">
        <f>IF(Table44[[#This Row],[Applicable Package?]:[Applicable Package?]]="Y",SUM('Rolled Up Non-Incremental Costs'!I18,'ICE Removal Cost'!I18,'Trans Removal Cost'!I18,'LEV3 Criteria Emissions Cost'!I18,'ZEV Assembly Reductions'!I18,'ACCII Criteria Compliance Cost'!I18,'ACCII GHG Compliance'!I18,'Current GHG Compliance'!I18)+IF(Table44[[#This Row],[Cold]:[Cold]]="Y",'Cold Weather Package'!I18,0)+IF(Table44[[#This Row],[eAWD]:[eAWD]]="Y",'eAWD Package'!I18,0)+IF(Table44[[#This Row],[Towing]:[Towing]]="Y",'Towing Bat Cost'!I18,0),"N/A")</f>
        <v>4401.0628127586833</v>
      </c>
      <c r="N77" s="157">
        <f>IF(Table44[[#This Row],[Applicable Package?]:[Applicable Package?]]="Y",SUM('Rolled Up Non-Incremental Costs'!J18,'ICE Removal Cost'!J18,'Trans Removal Cost'!J18,'LEV3 Criteria Emissions Cost'!J18,'ZEV Assembly Reductions'!J18,'ACCII Criteria Compliance Cost'!J18,'ACCII GHG Compliance'!J18,'Current GHG Compliance'!J18)+IF(Table44[[#This Row],[Cold]:[Cold]]="Y",'Cold Weather Package'!J18,0)+IF(Table44[[#This Row],[eAWD]:[eAWD]]="Y",'eAWD Package'!J18,0)+IF(Table44[[#This Row],[Towing]:[Towing]]="Y",'Towing Bat Cost'!J18,0),"N/A")</f>
        <v>4252.4310746708179</v>
      </c>
      <c r="O77" s="157">
        <f>IF(Table44[[#This Row],[Applicable Package?]:[Applicable Package?]]="Y",SUM('Rolled Up Non-Incremental Costs'!K18,'ICE Removal Cost'!K18,'Trans Removal Cost'!K18,'LEV3 Criteria Emissions Cost'!K18,'ZEV Assembly Reductions'!K18,'ACCII Criteria Compliance Cost'!K18,'ACCII GHG Compliance'!K18,'Current GHG Compliance'!K18)+IF(Table44[[#This Row],[Cold]:[Cold]]="Y",'Cold Weather Package'!K18,0)+IF(Table44[[#This Row],[eAWD]:[eAWD]]="Y",'eAWD Package'!K18,0)+IF(Table44[[#This Row],[Towing]:[Towing]]="Y",'Towing Bat Cost'!K18,0),"N/A")</f>
        <v>4118.9587084096747</v>
      </c>
      <c r="P77" s="157">
        <f>IF(Table44[[#This Row],[Applicable Package?]:[Applicable Package?]]="Y",SUM('Rolled Up Non-Incremental Costs'!L18,'ICE Removal Cost'!L18,'Trans Removal Cost'!L18,'LEV3 Criteria Emissions Cost'!L18,'ZEV Assembly Reductions'!L18,'ACCII Criteria Compliance Cost'!L18,'ACCII GHG Compliance'!L18,'Current GHG Compliance'!L18)+IF(Table44[[#This Row],[Cold]:[Cold]]="Y",'Cold Weather Package'!L18,0)+IF(Table44[[#This Row],[eAWD]:[eAWD]]="Y",'eAWD Package'!L18,0)+IF(Table44[[#This Row],[Towing]:[Towing]]="Y",'Towing Bat Cost'!L18,0),"N/A")</f>
        <v>3991.2721343505577</v>
      </c>
      <c r="Q77" s="157">
        <f>IF(Table44[[#This Row],[Applicable Package?]:[Applicable Package?]]="Y",SUM('Rolled Up Non-Incremental Costs'!M18,'ICE Removal Cost'!M18,'Trans Removal Cost'!M18,'LEV3 Criteria Emissions Cost'!M18,'ZEV Assembly Reductions'!M18,'ACCII Criteria Compliance Cost'!M18,'ACCII GHG Compliance'!M18,'Current GHG Compliance'!M18)+IF(Table44[[#This Row],[Cold]:[Cold]]="Y",'Cold Weather Package'!M18,0)+IF(Table44[[#This Row],[eAWD]:[eAWD]]="Y",'eAWD Package'!M18,0)+IF(Table44[[#This Row],[Towing]:[Towing]]="Y",'Towing Bat Cost'!M18,0),"N/A")</f>
        <v>3869.0697985689153</v>
      </c>
      <c r="R77" s="157">
        <f>IF(Table44[[#This Row],[Applicable Package?]:[Applicable Package?]]="Y",SUM('Rolled Up Non-Incremental Costs'!N18,'ICE Removal Cost'!N18,'Trans Removal Cost'!N18,'LEV3 Criteria Emissions Cost'!N18,'ZEV Assembly Reductions'!N18,'ACCII Criteria Compliance Cost'!N18,'ACCII GHG Compliance'!N18,'Current GHG Compliance'!N18)+IF(Table44[[#This Row],[Cold]:[Cold]]="Y",'Cold Weather Package'!N18,0)+IF(Table44[[#This Row],[eAWD]:[eAWD]]="Y",'eAWD Package'!N18,0)+IF(Table44[[#This Row],[Towing]:[Towing]]="Y",'Towing Bat Cost'!N18,0),"N/A")</f>
        <v>3752.0665050355769</v>
      </c>
      <c r="S77" s="157">
        <f>IF(Table44[[#This Row],[Applicable Package?]:[Applicable Package?]]="Y",SUM('Rolled Up Non-Incremental Costs'!O18,'ICE Removal Cost'!O18,'Trans Removal Cost'!O18,'LEV3 Criteria Emissions Cost'!O18,'ZEV Assembly Reductions'!O18,'ACCII Criteria Compliance Cost'!O18,'ACCII GHG Compliance'!O18,'Current GHG Compliance'!O18)+IF(Table44[[#This Row],[Cold]:[Cold]]="Y",'Cold Weather Package'!O18,0)+IF(Table44[[#This Row],[eAWD]:[eAWD]]="Y",'eAWD Package'!O18,0)+IF(Table44[[#This Row],[Towing]:[Towing]]="Y",'Towing Bat Cost'!O18,0),"N/A")</f>
        <v>3639.9925215438052</v>
      </c>
    </row>
    <row r="78" spans="1:19" x14ac:dyDescent="0.3">
      <c r="A78" s="28" t="str">
        <f t="shared" si="1"/>
        <v>SmallSUVBasePHEV50</v>
      </c>
      <c r="B78" s="90" t="s">
        <v>83</v>
      </c>
      <c r="C78" s="68" t="s">
        <v>75</v>
      </c>
      <c r="D78" s="68" t="str">
        <f>'Vehicle Attributes - Base Year'!D16</f>
        <v>PHEV50</v>
      </c>
      <c r="E78" s="124" t="s">
        <v>77</v>
      </c>
      <c r="F78" s="124" t="s">
        <v>76</v>
      </c>
      <c r="G78" s="125" t="s">
        <v>77</v>
      </c>
      <c r="H78" s="156" t="s">
        <v>76</v>
      </c>
      <c r="I78" s="157">
        <f>IF(Table44[[#This Row],[Applicable Package?]:[Applicable Package?]]="Y",SUM('Rolled Up Non-Incremental Costs'!E19,'ICE Removal Cost'!E19,'Trans Removal Cost'!E19,'LEV3 Criteria Emissions Cost'!E19,'ZEV Assembly Reductions'!E19,'ACCII Criteria Compliance Cost'!E19,'ACCII GHG Compliance'!E19,'Current GHG Compliance'!E19)+IF(Table44[[#This Row],[Cold]:[Cold]]="Y",'Cold Weather Package'!E19,0)+IF(Table44[[#This Row],[eAWD]:[eAWD]]="Y",'eAWD Package'!E19,0)+IF(Table44[[#This Row],[Towing]:[Towing]]="Y",'Towing Bat Cost'!E19,0),"N/A")</f>
        <v>5679.0569112913436</v>
      </c>
      <c r="J78" s="157">
        <f>IF(Table44[[#This Row],[Applicable Package?]:[Applicable Package?]]="Y",SUM('Rolled Up Non-Incremental Costs'!F19,'ICE Removal Cost'!F19,'Trans Removal Cost'!F19,'LEV3 Criteria Emissions Cost'!F19,'ZEV Assembly Reductions'!F19,'ACCII Criteria Compliance Cost'!F19,'ACCII GHG Compliance'!F19,'Current GHG Compliance'!F19)+IF(Table44[[#This Row],[Cold]:[Cold]]="Y",'Cold Weather Package'!F19,0)+IF(Table44[[#This Row],[eAWD]:[eAWD]]="Y",'eAWD Package'!F19,0)+IF(Table44[[#This Row],[Towing]:[Towing]]="Y",'Towing Bat Cost'!F19,0),"N/A")</f>
        <v>5417.2478451196057</v>
      </c>
      <c r="K78" s="157">
        <f>IF(Table44[[#This Row],[Applicable Package?]:[Applicable Package?]]="Y",SUM('Rolled Up Non-Incremental Costs'!G19,'ICE Removal Cost'!G19,'Trans Removal Cost'!G19,'LEV3 Criteria Emissions Cost'!G19,'ZEV Assembly Reductions'!G19,'ACCII Criteria Compliance Cost'!G19,'ACCII GHG Compliance'!G19,'Current GHG Compliance'!G19)+IF(Table44[[#This Row],[Cold]:[Cold]]="Y",'Cold Weather Package'!G19,0)+IF(Table44[[#This Row],[eAWD]:[eAWD]]="Y",'eAWD Package'!G19,0)+IF(Table44[[#This Row],[Towing]:[Towing]]="Y",'Towing Bat Cost'!G19,0),"N/A")</f>
        <v>5172.6411279150279</v>
      </c>
      <c r="L78" s="157">
        <f>IF(Table44[[#This Row],[Applicable Package?]:[Applicable Package?]]="Y",SUM('Rolled Up Non-Incremental Costs'!H19,'ICE Removal Cost'!H19,'Trans Removal Cost'!H19,'LEV3 Criteria Emissions Cost'!H19,'ZEV Assembly Reductions'!H19,'ACCII Criteria Compliance Cost'!H19,'ACCII GHG Compliance'!H19,'Current GHG Compliance'!H19)+IF(Table44[[#This Row],[Cold]:[Cold]]="Y",'Cold Weather Package'!H19,0)+IF(Table44[[#This Row],[eAWD]:[eAWD]]="Y",'eAWD Package'!H19,0)+IF(Table44[[#This Row],[Towing]:[Towing]]="Y",'Towing Bat Cost'!H19,0),"N/A")</f>
        <v>4943.9760213054342</v>
      </c>
      <c r="M78" s="157">
        <f>IF(Table44[[#This Row],[Applicable Package?]:[Applicable Package?]]="Y",SUM('Rolled Up Non-Incremental Costs'!I19,'ICE Removal Cost'!I19,'Trans Removal Cost'!I19,'LEV3 Criteria Emissions Cost'!I19,'ZEV Assembly Reductions'!I19,'ACCII Criteria Compliance Cost'!I19,'ACCII GHG Compliance'!I19,'Current GHG Compliance'!I19)+IF(Table44[[#This Row],[Cold]:[Cold]]="Y",'Cold Weather Package'!I19,0)+IF(Table44[[#This Row],[eAWD]:[eAWD]]="Y",'eAWD Package'!I19,0)+IF(Table44[[#This Row],[Towing]:[Towing]]="Y",'Towing Bat Cost'!I19,0),"N/A")</f>
        <v>4730.0856668683555</v>
      </c>
      <c r="N78" s="157">
        <f>IF(Table44[[#This Row],[Applicable Package?]:[Applicable Package?]]="Y",SUM('Rolled Up Non-Incremental Costs'!J19,'ICE Removal Cost'!J19,'Trans Removal Cost'!J19,'LEV3 Criteria Emissions Cost'!J19,'ZEV Assembly Reductions'!J19,'ACCII Criteria Compliance Cost'!J19,'ACCII GHG Compliance'!J19,'Current GHG Compliance'!J19)+IF(Table44[[#This Row],[Cold]:[Cold]]="Y",'Cold Weather Package'!J19,0)+IF(Table44[[#This Row],[eAWD]:[eAWD]]="Y",'eAWD Package'!J19,0)+IF(Table44[[#This Row],[Towing]:[Towing]]="Y",'Towing Bat Cost'!J19,0),"N/A")</f>
        <v>4564.1615494119151</v>
      </c>
      <c r="O78" s="157">
        <f>IF(Table44[[#This Row],[Applicable Package?]:[Applicable Package?]]="Y",SUM('Rolled Up Non-Incremental Costs'!K19,'ICE Removal Cost'!K19,'Trans Removal Cost'!K19,'LEV3 Criteria Emissions Cost'!K19,'ZEV Assembly Reductions'!K19,'ACCII Criteria Compliance Cost'!K19,'ACCII GHG Compliance'!K19,'Current GHG Compliance'!K19)+IF(Table44[[#This Row],[Cold]:[Cold]]="Y",'Cold Weather Package'!K19,0)+IF(Table44[[#This Row],[eAWD]:[eAWD]]="Y",'eAWD Package'!K19,0)+IF(Table44[[#This Row],[Towing]:[Towing]]="Y",'Towing Bat Cost'!K19,0),"N/A")</f>
        <v>4415.5856266287965</v>
      </c>
      <c r="P78" s="157">
        <f>IF(Table44[[#This Row],[Applicable Package?]:[Applicable Package?]]="Y",SUM('Rolled Up Non-Incremental Costs'!L19,'ICE Removal Cost'!L19,'Trans Removal Cost'!L19,'LEV3 Criteria Emissions Cost'!L19,'ZEV Assembly Reductions'!L19,'ACCII Criteria Compliance Cost'!L19,'ACCII GHG Compliance'!L19,'Current GHG Compliance'!L19)+IF(Table44[[#This Row],[Cold]:[Cold]]="Y",'Cold Weather Package'!L19,0)+IF(Table44[[#This Row],[eAWD]:[eAWD]]="Y",'eAWD Package'!L19,0)+IF(Table44[[#This Row],[Towing]:[Towing]]="Y",'Towing Bat Cost'!L19,0),"N/A")</f>
        <v>4273.6027788975834</v>
      </c>
      <c r="Q78" s="157">
        <f>IF(Table44[[#This Row],[Applicable Package?]:[Applicable Package?]]="Y",SUM('Rolled Up Non-Incremental Costs'!M19,'ICE Removal Cost'!M19,'Trans Removal Cost'!M19,'LEV3 Criteria Emissions Cost'!M19,'ZEV Assembly Reductions'!M19,'ACCII Criteria Compliance Cost'!M19,'ACCII GHG Compliance'!M19,'Current GHG Compliance'!M19)+IF(Table44[[#This Row],[Cold]:[Cold]]="Y",'Cold Weather Package'!M19,0)+IF(Table44[[#This Row],[eAWD]:[eAWD]]="Y",'eAWD Package'!M19,0)+IF(Table44[[#This Row],[Towing]:[Towing]]="Y",'Towing Bat Cost'!M19,0),"N/A")</f>
        <v>4137.8674499263852</v>
      </c>
      <c r="R78" s="157">
        <f>IF(Table44[[#This Row],[Applicable Package?]:[Applicable Package?]]="Y",SUM('Rolled Up Non-Incremental Costs'!N19,'ICE Removal Cost'!N19,'Trans Removal Cost'!N19,'LEV3 Criteria Emissions Cost'!N19,'ZEV Assembly Reductions'!N19,'ACCII Criteria Compliance Cost'!N19,'ACCII GHG Compliance'!N19,'Current GHG Compliance'!N19)+IF(Table44[[#This Row],[Cold]:[Cold]]="Y",'Cold Weather Package'!N19,0)+IF(Table44[[#This Row],[eAWD]:[eAWD]]="Y",'eAWD Package'!N19,0)+IF(Table44[[#This Row],[Towing]:[Towing]]="Y",'Towing Bat Cost'!N19,0),"N/A")</f>
        <v>4008.0528484846263</v>
      </c>
      <c r="S78" s="157">
        <f>IF(Table44[[#This Row],[Applicable Package?]:[Applicable Package?]]="Y",SUM('Rolled Up Non-Incremental Costs'!O19,'ICE Removal Cost'!O19,'Trans Removal Cost'!O19,'LEV3 Criteria Emissions Cost'!O19,'ZEV Assembly Reductions'!O19,'ACCII Criteria Compliance Cost'!O19,'ACCII GHG Compliance'!O19,'Current GHG Compliance'!O19)+IF(Table44[[#This Row],[Cold]:[Cold]]="Y",'Cold Weather Package'!O19,0)+IF(Table44[[#This Row],[eAWD]:[eAWD]]="Y",'eAWD Package'!O19,0)+IF(Table44[[#This Row],[Towing]:[Towing]]="Y",'Towing Bat Cost'!O19,0),"N/A")</f>
        <v>3883.8499225573869</v>
      </c>
    </row>
    <row r="79" spans="1:19" x14ac:dyDescent="0.3">
      <c r="A79" t="str">
        <f t="shared" si="1"/>
        <v>SmallSUVPremiumPHEV50</v>
      </c>
      <c r="B79" s="90" t="s">
        <v>83</v>
      </c>
      <c r="C79" s="68" t="s">
        <v>80</v>
      </c>
      <c r="D79" s="68" t="str">
        <f>'Vehicle Attributes - Base Year'!D17</f>
        <v>PHEV50</v>
      </c>
      <c r="E79" s="124" t="s">
        <v>77</v>
      </c>
      <c r="F79" s="124" t="s">
        <v>76</v>
      </c>
      <c r="G79" s="125" t="s">
        <v>77</v>
      </c>
      <c r="H79" s="156" t="s">
        <v>76</v>
      </c>
      <c r="I79" s="157">
        <f>IF(Table44[[#This Row],[Applicable Package?]:[Applicable Package?]]="Y",SUM('Rolled Up Non-Incremental Costs'!E20,'ICE Removal Cost'!E20,'Trans Removal Cost'!E20,'LEV3 Criteria Emissions Cost'!E20,'ZEV Assembly Reductions'!E20,'ACCII Criteria Compliance Cost'!E20,'ACCII GHG Compliance'!E20,'Current GHG Compliance'!E20)+IF(Table44[[#This Row],[Cold]:[Cold]]="Y",'Cold Weather Package'!E20,0)+IF(Table44[[#This Row],[eAWD]:[eAWD]]="Y",'eAWD Package'!E20,0)+IF(Table44[[#This Row],[Towing]:[Towing]]="Y",'Towing Bat Cost'!E20,0),"N/A")</f>
        <v>5679.0569112913436</v>
      </c>
      <c r="J79" s="157">
        <f>IF(Table44[[#This Row],[Applicable Package?]:[Applicable Package?]]="Y",SUM('Rolled Up Non-Incremental Costs'!F20,'ICE Removal Cost'!F20,'Trans Removal Cost'!F20,'LEV3 Criteria Emissions Cost'!F20,'ZEV Assembly Reductions'!F20,'ACCII Criteria Compliance Cost'!F20,'ACCII GHG Compliance'!F20,'Current GHG Compliance'!F20)+IF(Table44[[#This Row],[Cold]:[Cold]]="Y",'Cold Weather Package'!F20,0)+IF(Table44[[#This Row],[eAWD]:[eAWD]]="Y",'eAWD Package'!F20,0)+IF(Table44[[#This Row],[Towing]:[Towing]]="Y",'Towing Bat Cost'!F20,0),"N/A")</f>
        <v>5417.2478451196057</v>
      </c>
      <c r="K79" s="157">
        <f>IF(Table44[[#This Row],[Applicable Package?]:[Applicable Package?]]="Y",SUM('Rolled Up Non-Incremental Costs'!G20,'ICE Removal Cost'!G20,'Trans Removal Cost'!G20,'LEV3 Criteria Emissions Cost'!G20,'ZEV Assembly Reductions'!G20,'ACCII Criteria Compliance Cost'!G20,'ACCII GHG Compliance'!G20,'Current GHG Compliance'!G20)+IF(Table44[[#This Row],[Cold]:[Cold]]="Y",'Cold Weather Package'!G20,0)+IF(Table44[[#This Row],[eAWD]:[eAWD]]="Y",'eAWD Package'!G20,0)+IF(Table44[[#This Row],[Towing]:[Towing]]="Y",'Towing Bat Cost'!G20,0),"N/A")</f>
        <v>5172.6411279150279</v>
      </c>
      <c r="L79" s="157">
        <f>IF(Table44[[#This Row],[Applicable Package?]:[Applicable Package?]]="Y",SUM('Rolled Up Non-Incremental Costs'!H20,'ICE Removal Cost'!H20,'Trans Removal Cost'!H20,'LEV3 Criteria Emissions Cost'!H20,'ZEV Assembly Reductions'!H20,'ACCII Criteria Compliance Cost'!H20,'ACCII GHG Compliance'!H20,'Current GHG Compliance'!H20)+IF(Table44[[#This Row],[Cold]:[Cold]]="Y",'Cold Weather Package'!H20,0)+IF(Table44[[#This Row],[eAWD]:[eAWD]]="Y",'eAWD Package'!H20,0)+IF(Table44[[#This Row],[Towing]:[Towing]]="Y",'Towing Bat Cost'!H20,0),"N/A")</f>
        <v>4943.9760213054342</v>
      </c>
      <c r="M79" s="157">
        <f>IF(Table44[[#This Row],[Applicable Package?]:[Applicable Package?]]="Y",SUM('Rolled Up Non-Incremental Costs'!I20,'ICE Removal Cost'!I20,'Trans Removal Cost'!I20,'LEV3 Criteria Emissions Cost'!I20,'ZEV Assembly Reductions'!I20,'ACCII Criteria Compliance Cost'!I20,'ACCII GHG Compliance'!I20,'Current GHG Compliance'!I20)+IF(Table44[[#This Row],[Cold]:[Cold]]="Y",'Cold Weather Package'!I20,0)+IF(Table44[[#This Row],[eAWD]:[eAWD]]="Y",'eAWD Package'!I20,0)+IF(Table44[[#This Row],[Towing]:[Towing]]="Y",'Towing Bat Cost'!I20,0),"N/A")</f>
        <v>4730.0856668683555</v>
      </c>
      <c r="N79" s="157">
        <f>IF(Table44[[#This Row],[Applicable Package?]:[Applicable Package?]]="Y",SUM('Rolled Up Non-Incremental Costs'!J20,'ICE Removal Cost'!J20,'Trans Removal Cost'!J20,'LEV3 Criteria Emissions Cost'!J20,'ZEV Assembly Reductions'!J20,'ACCII Criteria Compliance Cost'!J20,'ACCII GHG Compliance'!J20,'Current GHG Compliance'!J20)+IF(Table44[[#This Row],[Cold]:[Cold]]="Y",'Cold Weather Package'!J20,0)+IF(Table44[[#This Row],[eAWD]:[eAWD]]="Y",'eAWD Package'!J20,0)+IF(Table44[[#This Row],[Towing]:[Towing]]="Y",'Towing Bat Cost'!J20,0),"N/A")</f>
        <v>4564.1615494119151</v>
      </c>
      <c r="O79" s="157">
        <f>IF(Table44[[#This Row],[Applicable Package?]:[Applicable Package?]]="Y",SUM('Rolled Up Non-Incremental Costs'!K20,'ICE Removal Cost'!K20,'Trans Removal Cost'!K20,'LEV3 Criteria Emissions Cost'!K20,'ZEV Assembly Reductions'!K20,'ACCII Criteria Compliance Cost'!K20,'ACCII GHG Compliance'!K20,'Current GHG Compliance'!K20)+IF(Table44[[#This Row],[Cold]:[Cold]]="Y",'Cold Weather Package'!K20,0)+IF(Table44[[#This Row],[eAWD]:[eAWD]]="Y",'eAWD Package'!K20,0)+IF(Table44[[#This Row],[Towing]:[Towing]]="Y",'Towing Bat Cost'!K20,0),"N/A")</f>
        <v>4415.5856266287965</v>
      </c>
      <c r="P79" s="157">
        <f>IF(Table44[[#This Row],[Applicable Package?]:[Applicable Package?]]="Y",SUM('Rolled Up Non-Incremental Costs'!L20,'ICE Removal Cost'!L20,'Trans Removal Cost'!L20,'LEV3 Criteria Emissions Cost'!L20,'ZEV Assembly Reductions'!L20,'ACCII Criteria Compliance Cost'!L20,'ACCII GHG Compliance'!L20,'Current GHG Compliance'!L20)+IF(Table44[[#This Row],[Cold]:[Cold]]="Y",'Cold Weather Package'!L20,0)+IF(Table44[[#This Row],[eAWD]:[eAWD]]="Y",'eAWD Package'!L20,0)+IF(Table44[[#This Row],[Towing]:[Towing]]="Y",'Towing Bat Cost'!L20,0),"N/A")</f>
        <v>4273.6027788975834</v>
      </c>
      <c r="Q79" s="157">
        <f>IF(Table44[[#This Row],[Applicable Package?]:[Applicable Package?]]="Y",SUM('Rolled Up Non-Incremental Costs'!M20,'ICE Removal Cost'!M20,'Trans Removal Cost'!M20,'LEV3 Criteria Emissions Cost'!M20,'ZEV Assembly Reductions'!M20,'ACCII Criteria Compliance Cost'!M20,'ACCII GHG Compliance'!M20,'Current GHG Compliance'!M20)+IF(Table44[[#This Row],[Cold]:[Cold]]="Y",'Cold Weather Package'!M20,0)+IF(Table44[[#This Row],[eAWD]:[eAWD]]="Y",'eAWD Package'!M20,0)+IF(Table44[[#This Row],[Towing]:[Towing]]="Y",'Towing Bat Cost'!M20,0),"N/A")</f>
        <v>4137.8674499263852</v>
      </c>
      <c r="R79" s="157">
        <f>IF(Table44[[#This Row],[Applicable Package?]:[Applicable Package?]]="Y",SUM('Rolled Up Non-Incremental Costs'!N20,'ICE Removal Cost'!N20,'Trans Removal Cost'!N20,'LEV3 Criteria Emissions Cost'!N20,'ZEV Assembly Reductions'!N20,'ACCII Criteria Compliance Cost'!N20,'ACCII GHG Compliance'!N20,'Current GHG Compliance'!N20)+IF(Table44[[#This Row],[Cold]:[Cold]]="Y",'Cold Weather Package'!N20,0)+IF(Table44[[#This Row],[eAWD]:[eAWD]]="Y",'eAWD Package'!N20,0)+IF(Table44[[#This Row],[Towing]:[Towing]]="Y",'Towing Bat Cost'!N20,0),"N/A")</f>
        <v>4008.0528484846263</v>
      </c>
      <c r="S79" s="157">
        <f>IF(Table44[[#This Row],[Applicable Package?]:[Applicable Package?]]="Y",SUM('Rolled Up Non-Incremental Costs'!O20,'ICE Removal Cost'!O20,'Trans Removal Cost'!O20,'LEV3 Criteria Emissions Cost'!O20,'ZEV Assembly Reductions'!O20,'ACCII Criteria Compliance Cost'!O20,'ACCII GHG Compliance'!O20,'Current GHG Compliance'!O20)+IF(Table44[[#This Row],[Cold]:[Cold]]="Y",'Cold Weather Package'!O20,0)+IF(Table44[[#This Row],[eAWD]:[eAWD]]="Y",'eAWD Package'!O20,0)+IF(Table44[[#This Row],[Towing]:[Towing]]="Y",'Towing Bat Cost'!O20,0),"N/A")</f>
        <v>3883.8499225573869</v>
      </c>
    </row>
    <row r="80" spans="1:19" x14ac:dyDescent="0.3">
      <c r="A80" s="28" t="str">
        <f t="shared" si="1"/>
        <v>MedSUVBasePHEV50</v>
      </c>
      <c r="B80" s="90" t="s">
        <v>86</v>
      </c>
      <c r="C80" s="68" t="s">
        <v>75</v>
      </c>
      <c r="D80" s="68" t="str">
        <f>'Vehicle Attributes - Base Year'!D18</f>
        <v>PHEV50</v>
      </c>
      <c r="E80" s="124" t="s">
        <v>77</v>
      </c>
      <c r="F80" s="124" t="s">
        <v>76</v>
      </c>
      <c r="G80" s="125" t="s">
        <v>77</v>
      </c>
      <c r="H80" s="156" t="s">
        <v>76</v>
      </c>
      <c r="I80" s="157">
        <f>IF(Table44[[#This Row],[Applicable Package?]:[Applicable Package?]]="Y",SUM('Rolled Up Non-Incremental Costs'!E21,'ICE Removal Cost'!E21,'Trans Removal Cost'!E21,'LEV3 Criteria Emissions Cost'!E21,'ZEV Assembly Reductions'!E21,'ACCII Criteria Compliance Cost'!E21,'ACCII GHG Compliance'!E21,'Current GHG Compliance'!E21)+IF(Table44[[#This Row],[Cold]:[Cold]]="Y",'Cold Weather Package'!E21,0)+IF(Table44[[#This Row],[eAWD]:[eAWD]]="Y",'eAWD Package'!E21,0)+IF(Table44[[#This Row],[Towing]:[Towing]]="Y",'Towing Bat Cost'!E21,0),"N/A")</f>
        <v>6117.9277144924545</v>
      </c>
      <c r="J80" s="157">
        <f>IF(Table44[[#This Row],[Applicable Package?]:[Applicable Package?]]="Y",SUM('Rolled Up Non-Incremental Costs'!F21,'ICE Removal Cost'!F21,'Trans Removal Cost'!F21,'LEV3 Criteria Emissions Cost'!F21,'ZEV Assembly Reductions'!F21,'ACCII Criteria Compliance Cost'!F21,'ACCII GHG Compliance'!F21,'Current GHG Compliance'!F21)+IF(Table44[[#This Row],[Cold]:[Cold]]="Y",'Cold Weather Package'!F21,0)+IF(Table44[[#This Row],[eAWD]:[eAWD]]="Y",'eAWD Package'!F21,0)+IF(Table44[[#This Row],[Towing]:[Towing]]="Y",'Towing Bat Cost'!F21,0),"N/A")</f>
        <v>5836.449722641647</v>
      </c>
      <c r="K80" s="157">
        <f>IF(Table44[[#This Row],[Applicable Package?]:[Applicable Package?]]="Y",SUM('Rolled Up Non-Incremental Costs'!G21,'ICE Removal Cost'!G21,'Trans Removal Cost'!G21,'LEV3 Criteria Emissions Cost'!G21,'ZEV Assembly Reductions'!G21,'ACCII Criteria Compliance Cost'!G21,'ACCII GHG Compliance'!G21,'Current GHG Compliance'!G21)+IF(Table44[[#This Row],[Cold]:[Cold]]="Y",'Cold Weather Package'!G21,0)+IF(Table44[[#This Row],[eAWD]:[eAWD]]="Y",'eAWD Package'!G21,0)+IF(Table44[[#This Row],[Towing]:[Towing]]="Y",'Towing Bat Cost'!G21,0),"N/A")</f>
        <v>5573.5114372621429</v>
      </c>
      <c r="L80" s="157">
        <f>IF(Table44[[#This Row],[Applicable Package?]:[Applicable Package?]]="Y",SUM('Rolled Up Non-Incremental Costs'!H21,'ICE Removal Cost'!H21,'Trans Removal Cost'!H21,'LEV3 Criteria Emissions Cost'!H21,'ZEV Assembly Reductions'!H21,'ACCII Criteria Compliance Cost'!H21,'ACCII GHG Compliance'!H21,'Current GHG Compliance'!H21)+IF(Table44[[#This Row],[Cold]:[Cold]]="Y",'Cold Weather Package'!H21,0)+IF(Table44[[#This Row],[eAWD]:[eAWD]]="Y",'eAWD Package'!H21,0)+IF(Table44[[#This Row],[Towing]:[Towing]]="Y",'Towing Bat Cost'!H21,0),"N/A")</f>
        <v>5327.753595522061</v>
      </c>
      <c r="M80" s="157">
        <f>IF(Table44[[#This Row],[Applicable Package?]:[Applicable Package?]]="Y",SUM('Rolled Up Non-Incremental Costs'!I21,'ICE Removal Cost'!I21,'Trans Removal Cost'!I21,'LEV3 Criteria Emissions Cost'!I21,'ZEV Assembly Reductions'!I21,'ACCII Criteria Compliance Cost'!I21,'ACCII GHG Compliance'!I21,'Current GHG Compliance'!I21)+IF(Table44[[#This Row],[Cold]:[Cold]]="Y",'Cold Weather Package'!I21,0)+IF(Table44[[#This Row],[eAWD]:[eAWD]]="Y",'eAWD Package'!I21,0)+IF(Table44[[#This Row],[Towing]:[Towing]]="Y",'Towing Bat Cost'!I21,0),"N/A")</f>
        <v>5097.9181562973599</v>
      </c>
      <c r="N80" s="157">
        <f>IF(Table44[[#This Row],[Applicable Package?]:[Applicable Package?]]="Y",SUM('Rolled Up Non-Incremental Costs'!J21,'ICE Removal Cost'!J21,'Trans Removal Cost'!J21,'LEV3 Criteria Emissions Cost'!J21,'ZEV Assembly Reductions'!J21,'ACCII Criteria Compliance Cost'!J21,'ACCII GHG Compliance'!J21,'Current GHG Compliance'!J21)+IF(Table44[[#This Row],[Cold]:[Cold]]="Y",'Cold Weather Package'!J21,0)+IF(Table44[[#This Row],[eAWD]:[eAWD]]="Y",'eAWD Package'!J21,0)+IF(Table44[[#This Row],[Towing]:[Towing]]="Y",'Towing Bat Cost'!J21,0),"N/A")</f>
        <v>4919.7926656168629</v>
      </c>
      <c r="O80" s="157">
        <f>IF(Table44[[#This Row],[Applicable Package?]:[Applicable Package?]]="Y",SUM('Rolled Up Non-Incremental Costs'!K21,'ICE Removal Cost'!K21,'Trans Removal Cost'!K21,'LEV3 Criteria Emissions Cost'!K21,'ZEV Assembly Reductions'!K21,'ACCII Criteria Compliance Cost'!K21,'ACCII GHG Compliance'!K21,'Current GHG Compliance'!K21)+IF(Table44[[#This Row],[Cold]:[Cold]]="Y",'Cold Weather Package'!K21,0)+IF(Table44[[#This Row],[eAWD]:[eAWD]]="Y",'eAWD Package'!K21,0)+IF(Table44[[#This Row],[Towing]:[Towing]]="Y",'Towing Bat Cost'!K21,0),"N/A")</f>
        <v>4760.3644523306557</v>
      </c>
      <c r="P80" s="157">
        <f>IF(Table44[[#This Row],[Applicable Package?]:[Applicable Package?]]="Y",SUM('Rolled Up Non-Incremental Costs'!L21,'ICE Removal Cost'!L21,'Trans Removal Cost'!L21,'LEV3 Criteria Emissions Cost'!L21,'ZEV Assembly Reductions'!L21,'ACCII Criteria Compliance Cost'!L21,'ACCII GHG Compliance'!L21,'Current GHG Compliance'!L21)+IF(Table44[[#This Row],[Cold]:[Cold]]="Y",'Cold Weather Package'!L21,0)+IF(Table44[[#This Row],[eAWD]:[eAWD]]="Y",'eAWD Package'!L21,0)+IF(Table44[[#This Row],[Towing]:[Towing]]="Y",'Towing Bat Cost'!L21,0),"N/A")</f>
        <v>4608.037291870306</v>
      </c>
      <c r="Q80" s="157">
        <f>IF(Table44[[#This Row],[Applicable Package?]:[Applicable Package?]]="Y",SUM('Rolled Up Non-Incremental Costs'!M21,'ICE Removal Cost'!M21,'Trans Removal Cost'!M21,'LEV3 Criteria Emissions Cost'!M21,'ZEV Assembly Reductions'!M21,'ACCII Criteria Compliance Cost'!M21,'ACCII GHG Compliance'!M21,'Current GHG Compliance'!M21)+IF(Table44[[#This Row],[Cold]:[Cold]]="Y",'Cold Weather Package'!M21,0)+IF(Table44[[#This Row],[eAWD]:[eAWD]]="Y",'eAWD Package'!M21,0)+IF(Table44[[#This Row],[Towing]:[Towing]]="Y",'Towing Bat Cost'!M21,0),"N/A")</f>
        <v>4462.4386780121113</v>
      </c>
      <c r="R80" s="157">
        <f>IF(Table44[[#This Row],[Applicable Package?]:[Applicable Package?]]="Y",SUM('Rolled Up Non-Incremental Costs'!N21,'ICE Removal Cost'!N21,'Trans Removal Cost'!N21,'LEV3 Criteria Emissions Cost'!N21,'ZEV Assembly Reductions'!N21,'ACCII Criteria Compliance Cost'!N21,'ACCII GHG Compliance'!N21,'Current GHG Compliance'!N21)+IF(Table44[[#This Row],[Cold]:[Cold]]="Y",'Cold Weather Package'!N21,0)+IF(Table44[[#This Row],[eAWD]:[eAWD]]="Y",'eAWD Package'!N21,0)+IF(Table44[[#This Row],[Towing]:[Towing]]="Y",'Towing Bat Cost'!N21,0),"N/A")</f>
        <v>4323.2163364839371</v>
      </c>
      <c r="S80" s="157">
        <f>IF(Table44[[#This Row],[Applicable Package?]:[Applicable Package?]]="Y",SUM('Rolled Up Non-Incremental Costs'!O21,'ICE Removal Cost'!O21,'Trans Removal Cost'!O21,'LEV3 Criteria Emissions Cost'!O21,'ZEV Assembly Reductions'!O21,'ACCII Criteria Compliance Cost'!O21,'ACCII GHG Compliance'!O21,'Current GHG Compliance'!O21)+IF(Table44[[#This Row],[Cold]:[Cold]]="Y",'Cold Weather Package'!O21,0)+IF(Table44[[#This Row],[eAWD]:[eAWD]]="Y",'eAWD Package'!O21,0)+IF(Table44[[#This Row],[Towing]:[Towing]]="Y",'Towing Bat Cost'!O21,0),"N/A")</f>
        <v>4190.0371188934996</v>
      </c>
    </row>
    <row r="81" spans="1:19" x14ac:dyDescent="0.3">
      <c r="A81" t="str">
        <f t="shared" si="1"/>
        <v>MedSUVPremiumPHEV50</v>
      </c>
      <c r="B81" s="90" t="s">
        <v>86</v>
      </c>
      <c r="C81" s="68" t="s">
        <v>80</v>
      </c>
      <c r="D81" s="68" t="str">
        <f>'Vehicle Attributes - Base Year'!D19</f>
        <v>PHEV50</v>
      </c>
      <c r="E81" s="124" t="s">
        <v>77</v>
      </c>
      <c r="F81" s="124" t="s">
        <v>76</v>
      </c>
      <c r="G81" s="125" t="s">
        <v>77</v>
      </c>
      <c r="H81" s="156" t="s">
        <v>76</v>
      </c>
      <c r="I81" s="157">
        <f>IF(Table44[[#This Row],[Applicable Package?]:[Applicable Package?]]="Y",SUM('Rolled Up Non-Incremental Costs'!E22,'ICE Removal Cost'!E22,'Trans Removal Cost'!E22,'LEV3 Criteria Emissions Cost'!E22,'ZEV Assembly Reductions'!E22,'ACCII Criteria Compliance Cost'!E22,'ACCII GHG Compliance'!E22,'Current GHG Compliance'!E22)+IF(Table44[[#This Row],[Cold]:[Cold]]="Y",'Cold Weather Package'!E22,0)+IF(Table44[[#This Row],[eAWD]:[eAWD]]="Y",'eAWD Package'!E22,0)+IF(Table44[[#This Row],[Towing]:[Towing]]="Y",'Towing Bat Cost'!E22,0),"N/A")</f>
        <v>4976.1012098839019</v>
      </c>
      <c r="J81" s="157">
        <f>IF(Table44[[#This Row],[Applicable Package?]:[Applicable Package?]]="Y",SUM('Rolled Up Non-Incremental Costs'!F22,'ICE Removal Cost'!F22,'Trans Removal Cost'!F22,'LEV3 Criteria Emissions Cost'!F22,'ZEV Assembly Reductions'!F22,'ACCII Criteria Compliance Cost'!F22,'ACCII GHG Compliance'!F22,'Current GHG Compliance'!F22)+IF(Table44[[#This Row],[Cold]:[Cold]]="Y",'Cold Weather Package'!F22,0)+IF(Table44[[#This Row],[eAWD]:[eAWD]]="Y",'eAWD Package'!F22,0)+IF(Table44[[#This Row],[Towing]:[Towing]]="Y",'Towing Bat Cost'!F22,0),"N/A")</f>
        <v>4706.0414830791797</v>
      </c>
      <c r="K81" s="157">
        <f>IF(Table44[[#This Row],[Applicable Package?]:[Applicable Package?]]="Y",SUM('Rolled Up Non-Incremental Costs'!G22,'ICE Removal Cost'!G22,'Trans Removal Cost'!G22,'LEV3 Criteria Emissions Cost'!G22,'ZEV Assembly Reductions'!G22,'ACCII Criteria Compliance Cost'!G22,'ACCII GHG Compliance'!G22,'Current GHG Compliance'!G22)+IF(Table44[[#This Row],[Cold]:[Cold]]="Y",'Cold Weather Package'!G22,0)+IF(Table44[[#This Row],[eAWD]:[eAWD]]="Y",'eAWD Package'!G22,0)+IF(Table44[[#This Row],[Towing]:[Towing]]="Y",'Towing Bat Cost'!G22,0),"N/A")</f>
        <v>4454.4072800952999</v>
      </c>
      <c r="L81" s="157">
        <f>IF(Table44[[#This Row],[Applicable Package?]:[Applicable Package?]]="Y",SUM('Rolled Up Non-Incremental Costs'!H22,'ICE Removal Cost'!H22,'Trans Removal Cost'!H22,'LEV3 Criteria Emissions Cost'!H22,'ZEV Assembly Reductions'!H22,'ACCII Criteria Compliance Cost'!H22,'ACCII GHG Compliance'!H22,'Current GHG Compliance'!H22)+IF(Table44[[#This Row],[Cold]:[Cold]]="Y",'Cold Weather Package'!H22,0)+IF(Table44[[#This Row],[eAWD]:[eAWD]]="Y",'eAWD Package'!H22,0)+IF(Table44[[#This Row],[Towing]:[Towing]]="Y",'Towing Bat Cost'!H22,0),"N/A")</f>
        <v>4219.8404799268865</v>
      </c>
      <c r="M81" s="157">
        <f>IF(Table44[[#This Row],[Applicable Package?]:[Applicable Package?]]="Y",SUM('Rolled Up Non-Incremental Costs'!I22,'ICE Removal Cost'!I22,'Trans Removal Cost'!I22,'LEV3 Criteria Emissions Cost'!I22,'ZEV Assembly Reductions'!I22,'ACCII Criteria Compliance Cost'!I22,'ACCII GHG Compliance'!I22,'Current GHG Compliance'!I22)+IF(Table44[[#This Row],[Cold]:[Cold]]="Y",'Cold Weather Package'!I22,0)+IF(Table44[[#This Row],[eAWD]:[eAWD]]="Y",'eAWD Package'!I22,0)+IF(Table44[[#This Row],[Towing]:[Towing]]="Y",'Towing Bat Cost'!I22,0),"N/A")</f>
        <v>4001.0841718581378</v>
      </c>
      <c r="N81" s="157">
        <f>IF(Table44[[#This Row],[Applicable Package?]:[Applicable Package?]]="Y",SUM('Rolled Up Non-Incremental Costs'!J22,'ICE Removal Cost'!J22,'Trans Removal Cost'!J22,'LEV3 Criteria Emissions Cost'!J22,'ZEV Assembly Reductions'!J22,'ACCII Criteria Compliance Cost'!J22,'ACCII GHG Compliance'!J22,'Current GHG Compliance'!J22)+IF(Table44[[#This Row],[Cold]:[Cold]]="Y",'Cold Weather Package'!J22,0)+IF(Table44[[#This Row],[eAWD]:[eAWD]]="Y",'eAWD Package'!J22,0)+IF(Table44[[#This Row],[Towing]:[Towing]]="Y",'Towing Bat Cost'!J22,0),"N/A")</f>
        <v>3833.9270210220329</v>
      </c>
      <c r="O81" s="157">
        <f>IF(Table44[[#This Row],[Applicable Package?]:[Applicable Package?]]="Y",SUM('Rolled Up Non-Incremental Costs'!K22,'ICE Removal Cost'!K22,'Trans Removal Cost'!K22,'LEV3 Criteria Emissions Cost'!K22,'ZEV Assembly Reductions'!K22,'ACCII Criteria Compliance Cost'!K22,'ACCII GHG Compliance'!K22,'Current GHG Compliance'!K22)+IF(Table44[[#This Row],[Cold]:[Cold]]="Y",'Cold Weather Package'!K22,0)+IF(Table44[[#This Row],[eAWD]:[eAWD]]="Y",'eAWD Package'!K22,0)+IF(Table44[[#This Row],[Towing]:[Towing]]="Y",'Towing Bat Cost'!K22,0),"N/A")</f>
        <v>3685.357464181774</v>
      </c>
      <c r="P81" s="157">
        <f>IF(Table44[[#This Row],[Applicable Package?]:[Applicable Package?]]="Y",SUM('Rolled Up Non-Incremental Costs'!L22,'ICE Removal Cost'!L22,'Trans Removal Cost'!L22,'LEV3 Criteria Emissions Cost'!L22,'ZEV Assembly Reductions'!L22,'ACCII Criteria Compliance Cost'!L22,'ACCII GHG Compliance'!L22,'Current GHG Compliance'!L22)+IF(Table44[[#This Row],[Cold]:[Cold]]="Y",'Cold Weather Package'!L22,0)+IF(Table44[[#This Row],[eAWD]:[eAWD]]="Y",'eAWD Package'!L22,0)+IF(Table44[[#This Row],[Towing]:[Towing]]="Y",'Towing Bat Cost'!L22,0),"N/A")</f>
        <v>3543.7803736029127</v>
      </c>
      <c r="Q81" s="157">
        <f>IF(Table44[[#This Row],[Applicable Package?]:[Applicable Package?]]="Y",SUM('Rolled Up Non-Incremental Costs'!M22,'ICE Removal Cost'!M22,'Trans Removal Cost'!M22,'LEV3 Criteria Emissions Cost'!M22,'ZEV Assembly Reductions'!M22,'ACCII Criteria Compliance Cost'!M22,'ACCII GHG Compliance'!M22,'Current GHG Compliance'!M22)+IF(Table44[[#This Row],[Cold]:[Cold]]="Y",'Cold Weather Package'!M22,0)+IF(Table44[[#This Row],[eAWD]:[eAWD]]="Y",'eAWD Package'!M22,0)+IF(Table44[[#This Row],[Towing]:[Towing]]="Y",'Towing Bat Cost'!M22,0),"N/A")</f>
        <v>3408.8243289273923</v>
      </c>
      <c r="R81" s="157">
        <f>IF(Table44[[#This Row],[Applicable Package?]:[Applicable Package?]]="Y",SUM('Rolled Up Non-Incremental Costs'!N22,'ICE Removal Cost'!N22,'Trans Removal Cost'!N22,'LEV3 Criteria Emissions Cost'!N22,'ZEV Assembly Reductions'!N22,'ACCII Criteria Compliance Cost'!N22,'ACCII GHG Compliance'!N22,'Current GHG Compliance'!N22)+IF(Table44[[#This Row],[Cold]:[Cold]]="Y",'Cold Weather Package'!N22,0)+IF(Table44[[#This Row],[eAWD]:[eAWD]]="Y",'eAWD Package'!N22,0)+IF(Table44[[#This Row],[Towing]:[Towing]]="Y",'Towing Bat Cost'!N22,0),"N/A")</f>
        <v>3280.1381308900654</v>
      </c>
      <c r="S81" s="157">
        <f>IF(Table44[[#This Row],[Applicable Package?]:[Applicable Package?]]="Y",SUM('Rolled Up Non-Incremental Costs'!O22,'ICE Removal Cost'!O22,'Trans Removal Cost'!O22,'LEV3 Criteria Emissions Cost'!O22,'ZEV Assembly Reductions'!O22,'ACCII Criteria Compliance Cost'!O22,'ACCII GHG Compliance'!O22,'Current GHG Compliance'!O22)+IF(Table44[[#This Row],[Cold]:[Cold]]="Y",'Cold Weather Package'!O22,0)+IF(Table44[[#This Row],[eAWD]:[eAWD]]="Y",'eAWD Package'!O22,0)+IF(Table44[[#This Row],[Towing]:[Towing]]="Y",'Towing Bat Cost'!O22,0),"N/A")</f>
        <v>3157.3896953555668</v>
      </c>
    </row>
    <row r="82" spans="1:19" x14ac:dyDescent="0.3">
      <c r="A82" s="28" t="str">
        <f t="shared" si="1"/>
        <v>PickupBasePHEV50</v>
      </c>
      <c r="B82" s="90" t="s">
        <v>89</v>
      </c>
      <c r="C82" s="68" t="s">
        <v>75</v>
      </c>
      <c r="D82" s="68" t="str">
        <f>'Vehicle Attributes - Base Year'!D20</f>
        <v>PHEV50</v>
      </c>
      <c r="E82" s="124" t="s">
        <v>77</v>
      </c>
      <c r="F82" s="124" t="s">
        <v>76</v>
      </c>
      <c r="G82" s="125" t="s">
        <v>77</v>
      </c>
      <c r="H82" s="156" t="s">
        <v>76</v>
      </c>
      <c r="I82" s="157">
        <f>IF(Table44[[#This Row],[Applicable Package?]:[Applicable Package?]]="Y",SUM('Rolled Up Non-Incremental Costs'!E23,'ICE Removal Cost'!E23,'Trans Removal Cost'!E23,'LEV3 Criteria Emissions Cost'!E23,'ZEV Assembly Reductions'!E23,'ACCII Criteria Compliance Cost'!E23,'ACCII GHG Compliance'!E23,'Current GHG Compliance'!E23)+IF(Table44[[#This Row],[Cold]:[Cold]]="Y",'Cold Weather Package'!E23,0)+IF(Table44[[#This Row],[eAWD]:[eAWD]]="Y",'eAWD Package'!E23,0)+IF(Table44[[#This Row],[Towing]:[Towing]]="Y",'Towing Bat Cost'!E23,0),"N/A")</f>
        <v>5876.5135809680669</v>
      </c>
      <c r="J82" s="157">
        <f>IF(Table44[[#This Row],[Applicable Package?]:[Applicable Package?]]="Y",SUM('Rolled Up Non-Incremental Costs'!F23,'ICE Removal Cost'!F23,'Trans Removal Cost'!F23,'LEV3 Criteria Emissions Cost'!F23,'ZEV Assembly Reductions'!F23,'ACCII Criteria Compliance Cost'!F23,'ACCII GHG Compliance'!F23,'Current GHG Compliance'!F23)+IF(Table44[[#This Row],[Cold]:[Cold]]="Y",'Cold Weather Package'!F23,0)+IF(Table44[[#This Row],[eAWD]:[eAWD]]="Y",'eAWD Package'!F23,0)+IF(Table44[[#This Row],[Towing]:[Towing]]="Y",'Towing Bat Cost'!F23,0),"N/A")</f>
        <v>5555.4291319230924</v>
      </c>
      <c r="K82" s="157">
        <f>IF(Table44[[#This Row],[Applicable Package?]:[Applicable Package?]]="Y",SUM('Rolled Up Non-Incremental Costs'!G23,'ICE Removal Cost'!G23,'Trans Removal Cost'!G23,'LEV3 Criteria Emissions Cost'!G23,'ZEV Assembly Reductions'!G23,'ACCII Criteria Compliance Cost'!G23,'ACCII GHG Compliance'!G23,'Current GHG Compliance'!G23)+IF(Table44[[#This Row],[Cold]:[Cold]]="Y",'Cold Weather Package'!G23,0)+IF(Table44[[#This Row],[eAWD]:[eAWD]]="Y",'eAWD Package'!G23,0)+IF(Table44[[#This Row],[Towing]:[Towing]]="Y",'Towing Bat Cost'!G23,0),"N/A")</f>
        <v>5256.4172916015823</v>
      </c>
      <c r="L82" s="157">
        <f>IF(Table44[[#This Row],[Applicable Package?]:[Applicable Package?]]="Y",SUM('Rolled Up Non-Incremental Costs'!H23,'ICE Removal Cost'!H23,'Trans Removal Cost'!H23,'LEV3 Criteria Emissions Cost'!H23,'ZEV Assembly Reductions'!H23,'ACCII Criteria Compliance Cost'!H23,'ACCII GHG Compliance'!H23,'Current GHG Compliance'!H23)+IF(Table44[[#This Row],[Cold]:[Cold]]="Y",'Cold Weather Package'!H23,0)+IF(Table44[[#This Row],[eAWD]:[eAWD]]="Y",'eAWD Package'!H23,0)+IF(Table44[[#This Row],[Towing]:[Towing]]="Y",'Towing Bat Cost'!H23,0),"N/A")</f>
        <v>4977.8493032163069</v>
      </c>
      <c r="M82" s="157">
        <f>IF(Table44[[#This Row],[Applicable Package?]:[Applicable Package?]]="Y",SUM('Rolled Up Non-Incremental Costs'!I23,'ICE Removal Cost'!I23,'Trans Removal Cost'!I23,'LEV3 Criteria Emissions Cost'!I23,'ZEV Assembly Reductions'!I23,'ACCII Criteria Compliance Cost'!I23,'ACCII GHG Compliance'!I23,'Current GHG Compliance'!I23)+IF(Table44[[#This Row],[Cold]:[Cold]]="Y",'Cold Weather Package'!I23,0)+IF(Table44[[#This Row],[eAWD]:[eAWD]]="Y",'eAWD Package'!I23,0)+IF(Table44[[#This Row],[Towing]:[Towing]]="Y",'Towing Bat Cost'!I23,0),"N/A")</f>
        <v>4718.2178070396649</v>
      </c>
      <c r="N82" s="157">
        <f>IF(Table44[[#This Row],[Applicable Package?]:[Applicable Package?]]="Y",SUM('Rolled Up Non-Incremental Costs'!J23,'ICE Removal Cost'!J23,'Trans Removal Cost'!J23,'LEV3 Criteria Emissions Cost'!J23,'ZEV Assembly Reductions'!J23,'ACCII Criteria Compliance Cost'!J23,'ACCII GHG Compliance'!J23,'Current GHG Compliance'!J23)+IF(Table44[[#This Row],[Cold]:[Cold]]="Y",'Cold Weather Package'!J23,0)+IF(Table44[[#This Row],[eAWD]:[eAWD]]="Y",'eAWD Package'!J23,0)+IF(Table44[[#This Row],[Towing]:[Towing]]="Y",'Towing Bat Cost'!J23,0),"N/A")</f>
        <v>4520.4509369448788</v>
      </c>
      <c r="O82" s="157">
        <f>IF(Table44[[#This Row],[Applicable Package?]:[Applicable Package?]]="Y",SUM('Rolled Up Non-Incremental Costs'!K23,'ICE Removal Cost'!K23,'Trans Removal Cost'!K23,'LEV3 Criteria Emissions Cost'!K23,'ZEV Assembly Reductions'!K23,'ACCII Criteria Compliance Cost'!K23,'ACCII GHG Compliance'!K23,'Current GHG Compliance'!K23)+IF(Table44[[#This Row],[Cold]:[Cold]]="Y",'Cold Weather Package'!K23,0)+IF(Table44[[#This Row],[eAWD]:[eAWD]]="Y",'eAWD Package'!K23,0)+IF(Table44[[#This Row],[Towing]:[Towing]]="Y",'Towing Bat Cost'!K23,0),"N/A")</f>
        <v>4344.952197757535</v>
      </c>
      <c r="P82" s="157">
        <f>IF(Table44[[#This Row],[Applicable Package?]:[Applicable Package?]]="Y",SUM('Rolled Up Non-Incremental Costs'!L23,'ICE Removal Cost'!L23,'Trans Removal Cost'!L23,'LEV3 Criteria Emissions Cost'!L23,'ZEV Assembly Reductions'!L23,'ACCII Criteria Compliance Cost'!L23,'ACCII GHG Compliance'!L23,'Current GHG Compliance'!L23)+IF(Table44[[#This Row],[Cold]:[Cold]]="Y",'Cold Weather Package'!L23,0)+IF(Table44[[#This Row],[eAWD]:[eAWD]]="Y",'eAWD Package'!L23,0)+IF(Table44[[#This Row],[Towing]:[Towing]]="Y",'Towing Bat Cost'!L23,0),"N/A")</f>
        <v>4177.8137175445936</v>
      </c>
      <c r="Q82" s="157">
        <f>IF(Table44[[#This Row],[Applicable Package?]:[Applicable Package?]]="Y",SUM('Rolled Up Non-Incremental Costs'!M23,'ICE Removal Cost'!M23,'Trans Removal Cost'!M23,'LEV3 Criteria Emissions Cost'!M23,'ZEV Assembly Reductions'!M23,'ACCII Criteria Compliance Cost'!M23,'ACCII GHG Compliance'!M23,'Current GHG Compliance'!M23)+IF(Table44[[#This Row],[Cold]:[Cold]]="Y",'Cold Weather Package'!M23,0)+IF(Table44[[#This Row],[eAWD]:[eAWD]]="Y",'eAWD Package'!M23,0)+IF(Table44[[#This Row],[Towing]:[Towing]]="Y",'Towing Bat Cost'!M23,0),"N/A")</f>
        <v>4018.5902550971678</v>
      </c>
      <c r="R82" s="157">
        <f>IF(Table44[[#This Row],[Applicable Package?]:[Applicable Package?]]="Y",SUM('Rolled Up Non-Incremental Costs'!N23,'ICE Removal Cost'!N23,'Trans Removal Cost'!N23,'LEV3 Criteria Emissions Cost'!N23,'ZEV Assembly Reductions'!N23,'ACCII Criteria Compliance Cost'!N23,'ACCII GHG Compliance'!N23,'Current GHG Compliance'!N23)+IF(Table44[[#This Row],[Cold]:[Cold]]="Y",'Cold Weather Package'!N23,0)+IF(Table44[[#This Row],[eAWD]:[eAWD]]="Y",'eAWD Package'!N23,0)+IF(Table44[[#This Row],[Towing]:[Towing]]="Y",'Towing Bat Cost'!N23,0),"N/A")</f>
        <v>3866.8608213328571</v>
      </c>
      <c r="S82" s="157">
        <f>IF(Table44[[#This Row],[Applicable Package?]:[Applicable Package?]]="Y",SUM('Rolled Up Non-Incremental Costs'!O23,'ICE Removal Cost'!O23,'Trans Removal Cost'!O23,'LEV3 Criteria Emissions Cost'!O23,'ZEV Assembly Reductions'!O23,'ACCII Criteria Compliance Cost'!O23,'ACCII GHG Compliance'!O23,'Current GHG Compliance'!O23)+IF(Table44[[#This Row],[Cold]:[Cold]]="Y",'Cold Weather Package'!O23,0)+IF(Table44[[#This Row],[eAWD]:[eAWD]]="Y",'eAWD Package'!O23,0)+IF(Table44[[#This Row],[Towing]:[Towing]]="Y",'Towing Bat Cost'!O23,0),"N/A")</f>
        <v>3722.2273527401212</v>
      </c>
    </row>
    <row r="83" spans="1:19" x14ac:dyDescent="0.3">
      <c r="A83" t="str">
        <f t="shared" si="1"/>
        <v>PickupHTPHEV50</v>
      </c>
      <c r="B83" s="90" t="s">
        <v>89</v>
      </c>
      <c r="C83" s="68" t="s">
        <v>113</v>
      </c>
      <c r="D83" s="68" t="str">
        <f>'Vehicle Attributes - Base Year'!D21</f>
        <v>PHEV50</v>
      </c>
      <c r="E83" s="124" t="s">
        <v>77</v>
      </c>
      <c r="F83" s="124" t="s">
        <v>76</v>
      </c>
      <c r="G83" s="125" t="s">
        <v>77</v>
      </c>
      <c r="H83" s="156" t="s">
        <v>76</v>
      </c>
      <c r="I83" s="157">
        <f>IF(Table44[[#This Row],[Applicable Package?]:[Applicable Package?]]="Y",SUM('Rolled Up Non-Incremental Costs'!E24,'ICE Removal Cost'!E24,'Trans Removal Cost'!E24,'LEV3 Criteria Emissions Cost'!E24,'ZEV Assembly Reductions'!E24,'ACCII Criteria Compliance Cost'!E24,'ACCII GHG Compliance'!E24,'Current GHG Compliance'!E24)+IF(Table44[[#This Row],[Cold]:[Cold]]="Y",'Cold Weather Package'!E24,0)+IF(Table44[[#This Row],[eAWD]:[eAWD]]="Y",'eAWD Package'!E24,0)+IF(Table44[[#This Row],[Towing]:[Towing]]="Y",'Towing Bat Cost'!E24,0),"N/A")</f>
        <v>5876.5135809680669</v>
      </c>
      <c r="J83" s="157">
        <f>IF(Table44[[#This Row],[Applicable Package?]:[Applicable Package?]]="Y",SUM('Rolled Up Non-Incremental Costs'!F24,'ICE Removal Cost'!F24,'Trans Removal Cost'!F24,'LEV3 Criteria Emissions Cost'!F24,'ZEV Assembly Reductions'!F24,'ACCII Criteria Compliance Cost'!F24,'ACCII GHG Compliance'!F24,'Current GHG Compliance'!F24)+IF(Table44[[#This Row],[Cold]:[Cold]]="Y",'Cold Weather Package'!F24,0)+IF(Table44[[#This Row],[eAWD]:[eAWD]]="Y",'eAWD Package'!F24,0)+IF(Table44[[#This Row],[Towing]:[Towing]]="Y",'Towing Bat Cost'!F24,0),"N/A")</f>
        <v>5555.4291319230924</v>
      </c>
      <c r="K83" s="157">
        <f>IF(Table44[[#This Row],[Applicable Package?]:[Applicable Package?]]="Y",SUM('Rolled Up Non-Incremental Costs'!G24,'ICE Removal Cost'!G24,'Trans Removal Cost'!G24,'LEV3 Criteria Emissions Cost'!G24,'ZEV Assembly Reductions'!G24,'ACCII Criteria Compliance Cost'!G24,'ACCII GHG Compliance'!G24,'Current GHG Compliance'!G24)+IF(Table44[[#This Row],[Cold]:[Cold]]="Y",'Cold Weather Package'!G24,0)+IF(Table44[[#This Row],[eAWD]:[eAWD]]="Y",'eAWD Package'!G24,0)+IF(Table44[[#This Row],[Towing]:[Towing]]="Y",'Towing Bat Cost'!G24,0),"N/A")</f>
        <v>5256.4172916015823</v>
      </c>
      <c r="L83" s="157">
        <f>IF(Table44[[#This Row],[Applicable Package?]:[Applicable Package?]]="Y",SUM('Rolled Up Non-Incremental Costs'!H24,'ICE Removal Cost'!H24,'Trans Removal Cost'!H24,'LEV3 Criteria Emissions Cost'!H24,'ZEV Assembly Reductions'!H24,'ACCII Criteria Compliance Cost'!H24,'ACCII GHG Compliance'!H24,'Current GHG Compliance'!H24)+IF(Table44[[#This Row],[Cold]:[Cold]]="Y",'Cold Weather Package'!H24,0)+IF(Table44[[#This Row],[eAWD]:[eAWD]]="Y",'eAWD Package'!H24,0)+IF(Table44[[#This Row],[Towing]:[Towing]]="Y",'Towing Bat Cost'!H24,0),"N/A")</f>
        <v>4977.8493032163069</v>
      </c>
      <c r="M83" s="157">
        <f>IF(Table44[[#This Row],[Applicable Package?]:[Applicable Package?]]="Y",SUM('Rolled Up Non-Incremental Costs'!I24,'ICE Removal Cost'!I24,'Trans Removal Cost'!I24,'LEV3 Criteria Emissions Cost'!I24,'ZEV Assembly Reductions'!I24,'ACCII Criteria Compliance Cost'!I24,'ACCII GHG Compliance'!I24,'Current GHG Compliance'!I24)+IF(Table44[[#This Row],[Cold]:[Cold]]="Y",'Cold Weather Package'!I24,0)+IF(Table44[[#This Row],[eAWD]:[eAWD]]="Y",'eAWD Package'!I24,0)+IF(Table44[[#This Row],[Towing]:[Towing]]="Y",'Towing Bat Cost'!I24,0),"N/A")</f>
        <v>4718.2178070396649</v>
      </c>
      <c r="N83" s="157">
        <f>IF(Table44[[#This Row],[Applicable Package?]:[Applicable Package?]]="Y",SUM('Rolled Up Non-Incremental Costs'!J24,'ICE Removal Cost'!J24,'Trans Removal Cost'!J24,'LEV3 Criteria Emissions Cost'!J24,'ZEV Assembly Reductions'!J24,'ACCII Criteria Compliance Cost'!J24,'ACCII GHG Compliance'!J24,'Current GHG Compliance'!J24)+IF(Table44[[#This Row],[Cold]:[Cold]]="Y",'Cold Weather Package'!J24,0)+IF(Table44[[#This Row],[eAWD]:[eAWD]]="Y",'eAWD Package'!J24,0)+IF(Table44[[#This Row],[Towing]:[Towing]]="Y",'Towing Bat Cost'!J24,0),"N/A")</f>
        <v>4520.4509369448788</v>
      </c>
      <c r="O83" s="157">
        <f>IF(Table44[[#This Row],[Applicable Package?]:[Applicable Package?]]="Y",SUM('Rolled Up Non-Incremental Costs'!K24,'ICE Removal Cost'!K24,'Trans Removal Cost'!K24,'LEV3 Criteria Emissions Cost'!K24,'ZEV Assembly Reductions'!K24,'ACCII Criteria Compliance Cost'!K24,'ACCII GHG Compliance'!K24,'Current GHG Compliance'!K24)+IF(Table44[[#This Row],[Cold]:[Cold]]="Y",'Cold Weather Package'!K24,0)+IF(Table44[[#This Row],[eAWD]:[eAWD]]="Y",'eAWD Package'!K24,0)+IF(Table44[[#This Row],[Towing]:[Towing]]="Y",'Towing Bat Cost'!K24,0),"N/A")</f>
        <v>4344.952197757535</v>
      </c>
      <c r="P83" s="157">
        <f>IF(Table44[[#This Row],[Applicable Package?]:[Applicable Package?]]="Y",SUM('Rolled Up Non-Incremental Costs'!L24,'ICE Removal Cost'!L24,'Trans Removal Cost'!L24,'LEV3 Criteria Emissions Cost'!L24,'ZEV Assembly Reductions'!L24,'ACCII Criteria Compliance Cost'!L24,'ACCII GHG Compliance'!L24,'Current GHG Compliance'!L24)+IF(Table44[[#This Row],[Cold]:[Cold]]="Y",'Cold Weather Package'!L24,0)+IF(Table44[[#This Row],[eAWD]:[eAWD]]="Y",'eAWD Package'!L24,0)+IF(Table44[[#This Row],[Towing]:[Towing]]="Y",'Towing Bat Cost'!L24,0),"N/A")</f>
        <v>4177.8137175445936</v>
      </c>
      <c r="Q83" s="157">
        <f>IF(Table44[[#This Row],[Applicable Package?]:[Applicable Package?]]="Y",SUM('Rolled Up Non-Incremental Costs'!M24,'ICE Removal Cost'!M24,'Trans Removal Cost'!M24,'LEV3 Criteria Emissions Cost'!M24,'ZEV Assembly Reductions'!M24,'ACCII Criteria Compliance Cost'!M24,'ACCII GHG Compliance'!M24,'Current GHG Compliance'!M24)+IF(Table44[[#This Row],[Cold]:[Cold]]="Y",'Cold Weather Package'!M24,0)+IF(Table44[[#This Row],[eAWD]:[eAWD]]="Y",'eAWD Package'!M24,0)+IF(Table44[[#This Row],[Towing]:[Towing]]="Y",'Towing Bat Cost'!M24,0),"N/A")</f>
        <v>4018.5902550971678</v>
      </c>
      <c r="R83" s="157">
        <f>IF(Table44[[#This Row],[Applicable Package?]:[Applicable Package?]]="Y",SUM('Rolled Up Non-Incremental Costs'!N24,'ICE Removal Cost'!N24,'Trans Removal Cost'!N24,'LEV3 Criteria Emissions Cost'!N24,'ZEV Assembly Reductions'!N24,'ACCII Criteria Compliance Cost'!N24,'ACCII GHG Compliance'!N24,'Current GHG Compliance'!N24)+IF(Table44[[#This Row],[Cold]:[Cold]]="Y",'Cold Weather Package'!N24,0)+IF(Table44[[#This Row],[eAWD]:[eAWD]]="Y",'eAWD Package'!N24,0)+IF(Table44[[#This Row],[Towing]:[Towing]]="Y",'Towing Bat Cost'!N24,0),"N/A")</f>
        <v>3866.8608213328571</v>
      </c>
      <c r="S83" s="157">
        <f>IF(Table44[[#This Row],[Applicable Package?]:[Applicable Package?]]="Y",SUM('Rolled Up Non-Incremental Costs'!O24,'ICE Removal Cost'!O24,'Trans Removal Cost'!O24,'LEV3 Criteria Emissions Cost'!O24,'ZEV Assembly Reductions'!O24,'ACCII Criteria Compliance Cost'!O24,'ACCII GHG Compliance'!O24,'Current GHG Compliance'!O24)+IF(Table44[[#This Row],[Cold]:[Cold]]="Y",'Cold Weather Package'!O24,0)+IF(Table44[[#This Row],[eAWD]:[eAWD]]="Y",'eAWD Package'!O24,0)+IF(Table44[[#This Row],[Towing]:[Towing]]="Y",'Towing Bat Cost'!O24,0),"N/A")</f>
        <v>3722.2273527401212</v>
      </c>
    </row>
    <row r="84" spans="1:19" x14ac:dyDescent="0.3">
      <c r="A84" s="28" t="str">
        <f t="shared" si="1"/>
        <v>SmallCarBaseFCEV320</v>
      </c>
      <c r="B84" s="90" t="s">
        <v>73</v>
      </c>
      <c r="C84" s="68" t="s">
        <v>75</v>
      </c>
      <c r="D84" s="68" t="str">
        <f>'Vehicle Attributes - Base Year'!D22</f>
        <v>FCEV320</v>
      </c>
      <c r="E84" s="124" t="s">
        <v>77</v>
      </c>
      <c r="F84" s="124" t="s">
        <v>76</v>
      </c>
      <c r="G84" s="125" t="s">
        <v>77</v>
      </c>
      <c r="H84" s="156" t="s">
        <v>76</v>
      </c>
      <c r="I84" s="157">
        <f>IF(Table44[[#This Row],[Applicable Package?]:[Applicable Package?]]="Y",SUM('Rolled Up Non-Incremental Costs'!E25,'ICE Removal Cost'!E25,'Trans Removal Cost'!E25,'LEV3 Criteria Emissions Cost'!E25,'ZEV Assembly Reductions'!E25,'ACCII Criteria Compliance Cost'!E25,'ACCII GHG Compliance'!E25,'Current GHG Compliance'!E25)+IF(Table44[[#This Row],[Cold]:[Cold]]="Y",'Cold Weather Package'!E25,0)+IF(Table44[[#This Row],[eAWD]:[eAWD]]="Y",'eAWD Package'!E25,0)+IF(Table44[[#This Row],[Towing]:[Towing]]="Y",'Towing Bat Cost'!E25,0),"N/A")</f>
        <v>8058.2669049268252</v>
      </c>
      <c r="J84" s="157">
        <f>IF(Table44[[#This Row],[Applicable Package?]:[Applicable Package?]]="Y",SUM('Rolled Up Non-Incremental Costs'!F25,'ICE Removal Cost'!F25,'Trans Removal Cost'!F25,'LEV3 Criteria Emissions Cost'!F25,'ZEV Assembly Reductions'!F25,'ACCII Criteria Compliance Cost'!F25,'ACCII GHG Compliance'!F25,'Current GHG Compliance'!F25)+IF(Table44[[#This Row],[Cold]:[Cold]]="Y",'Cold Weather Package'!F25,0)+IF(Table44[[#This Row],[eAWD]:[eAWD]]="Y",'eAWD Package'!F25,0)+IF(Table44[[#This Row],[Towing]:[Towing]]="Y",'Towing Bat Cost'!F25,0),"N/A")</f>
        <v>7222.879283133424</v>
      </c>
      <c r="K84" s="157">
        <f>IF(Table44[[#This Row],[Applicable Package?]:[Applicable Package?]]="Y",SUM('Rolled Up Non-Incremental Costs'!G25,'ICE Removal Cost'!G25,'Trans Removal Cost'!G25,'LEV3 Criteria Emissions Cost'!G25,'ZEV Assembly Reductions'!G25,'ACCII Criteria Compliance Cost'!G25,'ACCII GHG Compliance'!G25,'Current GHG Compliance'!G25)+IF(Table44[[#This Row],[Cold]:[Cold]]="Y",'Cold Weather Package'!G25,0)+IF(Table44[[#This Row],[eAWD]:[eAWD]]="Y",'eAWD Package'!G25,0)+IF(Table44[[#This Row],[Towing]:[Towing]]="Y",'Towing Bat Cost'!G25,0),"N/A")</f>
        <v>6399.4471229237861</v>
      </c>
      <c r="L84" s="157">
        <f>IF(Table44[[#This Row],[Applicable Package?]:[Applicable Package?]]="Y",SUM('Rolled Up Non-Incremental Costs'!H25,'ICE Removal Cost'!H25,'Trans Removal Cost'!H25,'LEV3 Criteria Emissions Cost'!H25,'ZEV Assembly Reductions'!H25,'ACCII Criteria Compliance Cost'!H25,'ACCII GHG Compliance'!H25,'Current GHG Compliance'!H25)+IF(Table44[[#This Row],[Cold]:[Cold]]="Y",'Cold Weather Package'!H25,0)+IF(Table44[[#This Row],[eAWD]:[eAWD]]="Y",'eAWD Package'!H25,0)+IF(Table44[[#This Row],[Towing]:[Towing]]="Y",'Towing Bat Cost'!H25,0),"N/A")</f>
        <v>5587.9659841108714</v>
      </c>
      <c r="M84" s="157">
        <f>IF(Table44[[#This Row],[Applicable Package?]:[Applicable Package?]]="Y",SUM('Rolled Up Non-Incremental Costs'!I25,'ICE Removal Cost'!I25,'Trans Removal Cost'!I25,'LEV3 Criteria Emissions Cost'!I25,'ZEV Assembly Reductions'!I25,'ACCII Criteria Compliance Cost'!I25,'ACCII GHG Compliance'!I25,'Current GHG Compliance'!I25)+IF(Table44[[#This Row],[Cold]:[Cold]]="Y",'Cold Weather Package'!I25,0)+IF(Table44[[#This Row],[eAWD]:[eAWD]]="Y",'eAWD Package'!I25,0)+IF(Table44[[#This Row],[Towing]:[Towing]]="Y",'Towing Bat Cost'!I25,0),"N/A")</f>
        <v>4788.4314709095188</v>
      </c>
      <c r="N84" s="157">
        <f>IF(Table44[[#This Row],[Applicable Package?]:[Applicable Package?]]="Y",SUM('Rolled Up Non-Incremental Costs'!J25,'ICE Removal Cost'!J25,'Trans Removal Cost'!J25,'LEV3 Criteria Emissions Cost'!J25,'ZEV Assembly Reductions'!J25,'ACCII Criteria Compliance Cost'!J25,'ACCII GHG Compliance'!J25,'Current GHG Compliance'!J25)+IF(Table44[[#This Row],[Cold]:[Cold]]="Y",'Cold Weather Package'!J25,0)+IF(Table44[[#This Row],[eAWD]:[eAWD]]="Y",'eAWD Package'!J25,0)+IF(Table44[[#This Row],[Towing]:[Towing]]="Y",'Towing Bat Cost'!J25,0),"N/A")</f>
        <v>4000.8392314924058</v>
      </c>
      <c r="O84" s="157">
        <f>IF(Table44[[#This Row],[Applicable Package?]:[Applicable Package?]]="Y",SUM('Rolled Up Non-Incremental Costs'!K25,'ICE Removal Cost'!K25,'Trans Removal Cost'!K25,'LEV3 Criteria Emissions Cost'!K25,'ZEV Assembly Reductions'!K25,'ACCII Criteria Compliance Cost'!K25,'ACCII GHG Compliance'!K25,'Current GHG Compliance'!K25)+IF(Table44[[#This Row],[Cold]:[Cold]]="Y",'Cold Weather Package'!K25,0)+IF(Table44[[#This Row],[eAWD]:[eAWD]]="Y",'eAWD Package'!K25,0)+IF(Table44[[#This Row],[Towing]:[Towing]]="Y",'Towing Bat Cost'!K25,0),"N/A")</f>
        <v>3695.6675513576374</v>
      </c>
      <c r="P84" s="157">
        <f>IF(Table44[[#This Row],[Applicable Package?]:[Applicable Package?]]="Y",SUM('Rolled Up Non-Incremental Costs'!L25,'ICE Removal Cost'!L25,'Trans Removal Cost'!L25,'LEV3 Criteria Emissions Cost'!L25,'ZEV Assembly Reductions'!L25,'ACCII Criteria Compliance Cost'!L25,'ACCII GHG Compliance'!L25,'Current GHG Compliance'!L25)+IF(Table44[[#This Row],[Cold]:[Cold]]="Y",'Cold Weather Package'!L25,0)+IF(Table44[[#This Row],[eAWD]:[eAWD]]="Y",'eAWD Package'!L25,0)+IF(Table44[[#This Row],[Towing]:[Towing]]="Y",'Towing Bat Cost'!L25,0),"N/A")</f>
        <v>3393.7445947847273</v>
      </c>
      <c r="Q84" s="157">
        <f>IF(Table44[[#This Row],[Applicable Package?]:[Applicable Package?]]="Y",SUM('Rolled Up Non-Incremental Costs'!M25,'ICE Removal Cost'!M25,'Trans Removal Cost'!M25,'LEV3 Criteria Emissions Cost'!M25,'ZEV Assembly Reductions'!M25,'ACCII Criteria Compliance Cost'!M25,'ACCII GHG Compliance'!M25,'Current GHG Compliance'!M25)+IF(Table44[[#This Row],[Cold]:[Cold]]="Y",'Cold Weather Package'!M25,0)+IF(Table44[[#This Row],[eAWD]:[eAWD]]="Y",'eAWD Package'!M25,0)+IF(Table44[[#This Row],[Towing]:[Towing]]="Y",'Towing Bat Cost'!M25,0),"N/A")</f>
        <v>3095.059467391985</v>
      </c>
      <c r="R84" s="157">
        <f>IF(Table44[[#This Row],[Applicable Package?]:[Applicable Package?]]="Y",SUM('Rolled Up Non-Incremental Costs'!N25,'ICE Removal Cost'!N25,'Trans Removal Cost'!N25,'LEV3 Criteria Emissions Cost'!N25,'ZEV Assembly Reductions'!N25,'ACCII Criteria Compliance Cost'!N25,'ACCII GHG Compliance'!N25,'Current GHG Compliance'!N25)+IF(Table44[[#This Row],[Cold]:[Cold]]="Y",'Cold Weather Package'!N25,0)+IF(Table44[[#This Row],[eAWD]:[eAWD]]="Y",'eAWD Package'!N25,0)+IF(Table44[[#This Row],[Towing]:[Towing]]="Y",'Towing Bat Cost'!N25,0),"N/A")</f>
        <v>2799.601405980894</v>
      </c>
      <c r="S84" s="157">
        <f>IF(Table44[[#This Row],[Applicable Package?]:[Applicable Package?]]="Y",SUM('Rolled Up Non-Incremental Costs'!O25,'ICE Removal Cost'!O25,'Trans Removal Cost'!O25,'LEV3 Criteria Emissions Cost'!O25,'ZEV Assembly Reductions'!O25,'ACCII Criteria Compliance Cost'!O25,'ACCII GHG Compliance'!O25,'Current GHG Compliance'!O25)+IF(Table44[[#This Row],[Cold]:[Cold]]="Y",'Cold Weather Package'!O25,0)+IF(Table44[[#This Row],[eAWD]:[eAWD]]="Y",'eAWD Package'!O25,0)+IF(Table44[[#This Row],[Towing]:[Towing]]="Y",'Towing Bat Cost'!O25,0),"N/A")</f>
        <v>2507.359777001885</v>
      </c>
    </row>
    <row r="85" spans="1:19" x14ac:dyDescent="0.3">
      <c r="A85" t="str">
        <f t="shared" si="1"/>
        <v>SmallCarPremiumFCEV320</v>
      </c>
      <c r="B85" s="90" t="s">
        <v>73</v>
      </c>
      <c r="C85" s="68" t="s">
        <v>80</v>
      </c>
      <c r="D85" s="68" t="str">
        <f>'Vehicle Attributes - Base Year'!D23</f>
        <v>FCEV320</v>
      </c>
      <c r="E85" s="124" t="s">
        <v>77</v>
      </c>
      <c r="F85" s="124" t="s">
        <v>76</v>
      </c>
      <c r="G85" s="125" t="s">
        <v>77</v>
      </c>
      <c r="H85" s="156" t="s">
        <v>76</v>
      </c>
      <c r="I85" s="157">
        <f>IF(Table44[[#This Row],[Applicable Package?]:[Applicable Package?]]="Y",SUM('Rolled Up Non-Incremental Costs'!E26,'ICE Removal Cost'!E26,'Trans Removal Cost'!E26,'LEV3 Criteria Emissions Cost'!E26,'ZEV Assembly Reductions'!E26,'ACCII Criteria Compliance Cost'!E26,'ACCII GHG Compliance'!E26,'Current GHG Compliance'!E26)+IF(Table44[[#This Row],[Cold]:[Cold]]="Y",'Cold Weather Package'!E26,0)+IF(Table44[[#This Row],[eAWD]:[eAWD]]="Y",'eAWD Package'!E26,0)+IF(Table44[[#This Row],[Towing]:[Towing]]="Y",'Towing Bat Cost'!E26,0),"N/A")</f>
        <v>8058.2669049268252</v>
      </c>
      <c r="J85" s="157">
        <f>IF(Table44[[#This Row],[Applicable Package?]:[Applicable Package?]]="Y",SUM('Rolled Up Non-Incremental Costs'!F26,'ICE Removal Cost'!F26,'Trans Removal Cost'!F26,'LEV3 Criteria Emissions Cost'!F26,'ZEV Assembly Reductions'!F26,'ACCII Criteria Compliance Cost'!F26,'ACCII GHG Compliance'!F26,'Current GHG Compliance'!F26)+IF(Table44[[#This Row],[Cold]:[Cold]]="Y",'Cold Weather Package'!F26,0)+IF(Table44[[#This Row],[eAWD]:[eAWD]]="Y",'eAWD Package'!F26,0)+IF(Table44[[#This Row],[Towing]:[Towing]]="Y",'Towing Bat Cost'!F26,0),"N/A")</f>
        <v>7222.879283133424</v>
      </c>
      <c r="K85" s="157">
        <f>IF(Table44[[#This Row],[Applicable Package?]:[Applicable Package?]]="Y",SUM('Rolled Up Non-Incremental Costs'!G26,'ICE Removal Cost'!G26,'Trans Removal Cost'!G26,'LEV3 Criteria Emissions Cost'!G26,'ZEV Assembly Reductions'!G26,'ACCII Criteria Compliance Cost'!G26,'ACCII GHG Compliance'!G26,'Current GHG Compliance'!G26)+IF(Table44[[#This Row],[Cold]:[Cold]]="Y",'Cold Weather Package'!G26,0)+IF(Table44[[#This Row],[eAWD]:[eAWD]]="Y",'eAWD Package'!G26,0)+IF(Table44[[#This Row],[Towing]:[Towing]]="Y",'Towing Bat Cost'!G26,0),"N/A")</f>
        <v>6399.4471229237861</v>
      </c>
      <c r="L85" s="157">
        <f>IF(Table44[[#This Row],[Applicable Package?]:[Applicable Package?]]="Y",SUM('Rolled Up Non-Incremental Costs'!H26,'ICE Removal Cost'!H26,'Trans Removal Cost'!H26,'LEV3 Criteria Emissions Cost'!H26,'ZEV Assembly Reductions'!H26,'ACCII Criteria Compliance Cost'!H26,'ACCII GHG Compliance'!H26,'Current GHG Compliance'!H26)+IF(Table44[[#This Row],[Cold]:[Cold]]="Y",'Cold Weather Package'!H26,0)+IF(Table44[[#This Row],[eAWD]:[eAWD]]="Y",'eAWD Package'!H26,0)+IF(Table44[[#This Row],[Towing]:[Towing]]="Y",'Towing Bat Cost'!H26,0),"N/A")</f>
        <v>5587.9659841108714</v>
      </c>
      <c r="M85" s="157">
        <f>IF(Table44[[#This Row],[Applicable Package?]:[Applicable Package?]]="Y",SUM('Rolled Up Non-Incremental Costs'!I26,'ICE Removal Cost'!I26,'Trans Removal Cost'!I26,'LEV3 Criteria Emissions Cost'!I26,'ZEV Assembly Reductions'!I26,'ACCII Criteria Compliance Cost'!I26,'ACCII GHG Compliance'!I26,'Current GHG Compliance'!I26)+IF(Table44[[#This Row],[Cold]:[Cold]]="Y",'Cold Weather Package'!I26,0)+IF(Table44[[#This Row],[eAWD]:[eAWD]]="Y",'eAWD Package'!I26,0)+IF(Table44[[#This Row],[Towing]:[Towing]]="Y",'Towing Bat Cost'!I26,0),"N/A")</f>
        <v>4788.4314709095188</v>
      </c>
      <c r="N85" s="157">
        <f>IF(Table44[[#This Row],[Applicable Package?]:[Applicable Package?]]="Y",SUM('Rolled Up Non-Incremental Costs'!J26,'ICE Removal Cost'!J26,'Trans Removal Cost'!J26,'LEV3 Criteria Emissions Cost'!J26,'ZEV Assembly Reductions'!J26,'ACCII Criteria Compliance Cost'!J26,'ACCII GHG Compliance'!J26,'Current GHG Compliance'!J26)+IF(Table44[[#This Row],[Cold]:[Cold]]="Y",'Cold Weather Package'!J26,0)+IF(Table44[[#This Row],[eAWD]:[eAWD]]="Y",'eAWD Package'!J26,0)+IF(Table44[[#This Row],[Towing]:[Towing]]="Y",'Towing Bat Cost'!J26,0),"N/A")</f>
        <v>4000.8392314924058</v>
      </c>
      <c r="O85" s="157">
        <f>IF(Table44[[#This Row],[Applicable Package?]:[Applicable Package?]]="Y",SUM('Rolled Up Non-Incremental Costs'!K26,'ICE Removal Cost'!K26,'Trans Removal Cost'!K26,'LEV3 Criteria Emissions Cost'!K26,'ZEV Assembly Reductions'!K26,'ACCII Criteria Compliance Cost'!K26,'ACCII GHG Compliance'!K26,'Current GHG Compliance'!K26)+IF(Table44[[#This Row],[Cold]:[Cold]]="Y",'Cold Weather Package'!K26,0)+IF(Table44[[#This Row],[eAWD]:[eAWD]]="Y",'eAWD Package'!K26,0)+IF(Table44[[#This Row],[Towing]:[Towing]]="Y",'Towing Bat Cost'!K26,0),"N/A")</f>
        <v>3695.6675513576374</v>
      </c>
      <c r="P85" s="157">
        <f>IF(Table44[[#This Row],[Applicable Package?]:[Applicable Package?]]="Y",SUM('Rolled Up Non-Incremental Costs'!L26,'ICE Removal Cost'!L26,'Trans Removal Cost'!L26,'LEV3 Criteria Emissions Cost'!L26,'ZEV Assembly Reductions'!L26,'ACCII Criteria Compliance Cost'!L26,'ACCII GHG Compliance'!L26,'Current GHG Compliance'!L26)+IF(Table44[[#This Row],[Cold]:[Cold]]="Y",'Cold Weather Package'!L26,0)+IF(Table44[[#This Row],[eAWD]:[eAWD]]="Y",'eAWD Package'!L26,0)+IF(Table44[[#This Row],[Towing]:[Towing]]="Y",'Towing Bat Cost'!L26,0),"N/A")</f>
        <v>3393.7445947847273</v>
      </c>
      <c r="Q85" s="157">
        <f>IF(Table44[[#This Row],[Applicable Package?]:[Applicable Package?]]="Y",SUM('Rolled Up Non-Incremental Costs'!M26,'ICE Removal Cost'!M26,'Trans Removal Cost'!M26,'LEV3 Criteria Emissions Cost'!M26,'ZEV Assembly Reductions'!M26,'ACCII Criteria Compliance Cost'!M26,'ACCII GHG Compliance'!M26,'Current GHG Compliance'!M26)+IF(Table44[[#This Row],[Cold]:[Cold]]="Y",'Cold Weather Package'!M26,0)+IF(Table44[[#This Row],[eAWD]:[eAWD]]="Y",'eAWD Package'!M26,0)+IF(Table44[[#This Row],[Towing]:[Towing]]="Y",'Towing Bat Cost'!M26,0),"N/A")</f>
        <v>3095.059467391985</v>
      </c>
      <c r="R85" s="157">
        <f>IF(Table44[[#This Row],[Applicable Package?]:[Applicable Package?]]="Y",SUM('Rolled Up Non-Incremental Costs'!N26,'ICE Removal Cost'!N26,'Trans Removal Cost'!N26,'LEV3 Criteria Emissions Cost'!N26,'ZEV Assembly Reductions'!N26,'ACCII Criteria Compliance Cost'!N26,'ACCII GHG Compliance'!N26,'Current GHG Compliance'!N26)+IF(Table44[[#This Row],[Cold]:[Cold]]="Y",'Cold Weather Package'!N26,0)+IF(Table44[[#This Row],[eAWD]:[eAWD]]="Y",'eAWD Package'!N26,0)+IF(Table44[[#This Row],[Towing]:[Towing]]="Y",'Towing Bat Cost'!N26,0),"N/A")</f>
        <v>2799.601405980894</v>
      </c>
      <c r="S85" s="157">
        <f>IF(Table44[[#This Row],[Applicable Package?]:[Applicable Package?]]="Y",SUM('Rolled Up Non-Incremental Costs'!O26,'ICE Removal Cost'!O26,'Trans Removal Cost'!O26,'LEV3 Criteria Emissions Cost'!O26,'ZEV Assembly Reductions'!O26,'ACCII Criteria Compliance Cost'!O26,'ACCII GHG Compliance'!O26,'Current GHG Compliance'!O26)+IF(Table44[[#This Row],[Cold]:[Cold]]="Y",'Cold Weather Package'!O26,0)+IF(Table44[[#This Row],[eAWD]:[eAWD]]="Y",'eAWD Package'!O26,0)+IF(Table44[[#This Row],[Towing]:[Towing]]="Y",'Towing Bat Cost'!O26,0),"N/A")</f>
        <v>2507.359777001885</v>
      </c>
    </row>
    <row r="86" spans="1:19" x14ac:dyDescent="0.3">
      <c r="A86" s="28" t="str">
        <f t="shared" si="1"/>
        <v>MedCarBaseFCEV320</v>
      </c>
      <c r="B86" s="90" t="s">
        <v>82</v>
      </c>
      <c r="C86" s="68" t="s">
        <v>75</v>
      </c>
      <c r="D86" s="68" t="str">
        <f>'Vehicle Attributes - Base Year'!D24</f>
        <v>FCEV320</v>
      </c>
      <c r="E86" s="124" t="s">
        <v>77</v>
      </c>
      <c r="F86" s="124" t="s">
        <v>76</v>
      </c>
      <c r="G86" s="125" t="s">
        <v>77</v>
      </c>
      <c r="H86" s="156" t="s">
        <v>76</v>
      </c>
      <c r="I86" s="157">
        <f>IF(Table44[[#This Row],[Applicable Package?]:[Applicable Package?]]="Y",SUM('Rolled Up Non-Incremental Costs'!E27,'ICE Removal Cost'!E27,'Trans Removal Cost'!E27,'LEV3 Criteria Emissions Cost'!E27,'ZEV Assembly Reductions'!E27,'ACCII Criteria Compliance Cost'!E27,'ACCII GHG Compliance'!E27,'Current GHG Compliance'!E27)+IF(Table44[[#This Row],[Cold]:[Cold]]="Y",'Cold Weather Package'!E27,0)+IF(Table44[[#This Row],[eAWD]:[eAWD]]="Y",'eAWD Package'!E27,0)+IF(Table44[[#This Row],[Towing]:[Towing]]="Y",'Towing Bat Cost'!E27,0),"N/A")</f>
        <v>12043.634602515749</v>
      </c>
      <c r="J86" s="157">
        <f>IF(Table44[[#This Row],[Applicable Package?]:[Applicable Package?]]="Y",SUM('Rolled Up Non-Incremental Costs'!F27,'ICE Removal Cost'!F27,'Trans Removal Cost'!F27,'LEV3 Criteria Emissions Cost'!F27,'ZEV Assembly Reductions'!F27,'ACCII Criteria Compliance Cost'!F27,'ACCII GHG Compliance'!F27,'Current GHG Compliance'!F27)+IF(Table44[[#This Row],[Cold]:[Cold]]="Y",'Cold Weather Package'!F27,0)+IF(Table44[[#This Row],[eAWD]:[eAWD]]="Y",'eAWD Package'!F27,0)+IF(Table44[[#This Row],[Towing]:[Towing]]="Y",'Towing Bat Cost'!F27,0),"N/A")</f>
        <v>10827.491454691944</v>
      </c>
      <c r="K86" s="157">
        <f>IF(Table44[[#This Row],[Applicable Package?]:[Applicable Package?]]="Y",SUM('Rolled Up Non-Incremental Costs'!G27,'ICE Removal Cost'!G27,'Trans Removal Cost'!G27,'LEV3 Criteria Emissions Cost'!G27,'ZEV Assembly Reductions'!G27,'ACCII Criteria Compliance Cost'!G27,'ACCII GHG Compliance'!G27,'Current GHG Compliance'!G27)+IF(Table44[[#This Row],[Cold]:[Cold]]="Y",'Cold Weather Package'!G27,0)+IF(Table44[[#This Row],[eAWD]:[eAWD]]="Y",'eAWD Package'!G27,0)+IF(Table44[[#This Row],[Towing]:[Towing]]="Y",'Towing Bat Cost'!G27,0),"N/A")</f>
        <v>9638.2682181905584</v>
      </c>
      <c r="L86" s="157">
        <f>IF(Table44[[#This Row],[Applicable Package?]:[Applicable Package?]]="Y",SUM('Rolled Up Non-Incremental Costs'!H27,'ICE Removal Cost'!H27,'Trans Removal Cost'!H27,'LEV3 Criteria Emissions Cost'!H27,'ZEV Assembly Reductions'!H27,'ACCII Criteria Compliance Cost'!H27,'ACCII GHG Compliance'!H27,'Current GHG Compliance'!H27)+IF(Table44[[#This Row],[Cold]:[Cold]]="Y",'Cold Weather Package'!H27,0)+IF(Table44[[#This Row],[eAWD]:[eAWD]]="Y",'eAWD Package'!H27,0)+IF(Table44[[#This Row],[Towing]:[Towing]]="Y",'Towing Bat Cost'!H27,0),"N/A")</f>
        <v>8475.9526997054327</v>
      </c>
      <c r="M86" s="157">
        <f>IF(Table44[[#This Row],[Applicable Package?]:[Applicable Package?]]="Y",SUM('Rolled Up Non-Incremental Costs'!I27,'ICE Removal Cost'!I27,'Trans Removal Cost'!I27,'LEV3 Criteria Emissions Cost'!I27,'ZEV Assembly Reductions'!I27,'ACCII Criteria Compliance Cost'!I27,'ACCII GHG Compliance'!I27,'Current GHG Compliance'!I27)+IF(Table44[[#This Row],[Cold]:[Cold]]="Y",'Cold Weather Package'!I27,0)+IF(Table44[[#This Row],[eAWD]:[eAWD]]="Y",'eAWD Package'!I27,0)+IF(Table44[[#This Row],[Towing]:[Towing]]="Y",'Towing Bat Cost'!I27,0),"N/A")</f>
        <v>7340.5328512489705</v>
      </c>
      <c r="N86" s="157">
        <f>IF(Table44[[#This Row],[Applicable Package?]:[Applicable Package?]]="Y",SUM('Rolled Up Non-Incremental Costs'!J27,'ICE Removal Cost'!J27,'Trans Removal Cost'!J27,'LEV3 Criteria Emissions Cost'!J27,'ZEV Assembly Reductions'!J27,'ACCII Criteria Compliance Cost'!J27,'ACCII GHG Compliance'!J27,'Current GHG Compliance'!J27)+IF(Table44[[#This Row],[Cold]:[Cold]]="Y",'Cold Weather Package'!J27,0)+IF(Table44[[#This Row],[eAWD]:[eAWD]]="Y",'eAWD Package'!J27,0)+IF(Table44[[#This Row],[Towing]:[Towing]]="Y",'Towing Bat Cost'!J27,0),"N/A")</f>
        <v>6231.996768465061</v>
      </c>
      <c r="O86" s="157">
        <f>IF(Table44[[#This Row],[Applicable Package?]:[Applicable Package?]]="Y",SUM('Rolled Up Non-Incremental Costs'!K27,'ICE Removal Cost'!K27,'Trans Removal Cost'!K27,'LEV3 Criteria Emissions Cost'!K27,'ZEV Assembly Reductions'!K27,'ACCII Criteria Compliance Cost'!K27,'ACCII GHG Compliance'!K27,'Current GHG Compliance'!K27)+IF(Table44[[#This Row],[Cold]:[Cold]]="Y",'Cold Weather Package'!K27,0)+IF(Table44[[#This Row],[eAWD]:[eAWD]]="Y",'eAWD Package'!K27,0)+IF(Table44[[#This Row],[Towing]:[Towing]]="Y",'Towing Bat Cost'!K27,0),"N/A")</f>
        <v>5848.1408998660809</v>
      </c>
      <c r="P86" s="157">
        <f>IF(Table44[[#This Row],[Applicable Package?]:[Applicable Package?]]="Y",SUM('Rolled Up Non-Incremental Costs'!L27,'ICE Removal Cost'!L27,'Trans Removal Cost'!L27,'LEV3 Criteria Emissions Cost'!L27,'ZEV Assembly Reductions'!L27,'ACCII Criteria Compliance Cost'!L27,'ACCII GHG Compliance'!L27,'Current GHG Compliance'!L27)+IF(Table44[[#This Row],[Cold]:[Cold]]="Y",'Cold Weather Package'!L27,0)+IF(Table44[[#This Row],[eAWD]:[eAWD]]="Y",'eAWD Package'!L27,0)+IF(Table44[[#This Row],[Towing]:[Towing]]="Y",'Towing Bat Cost'!L27,0),"N/A")</f>
        <v>5469.6519722767553</v>
      </c>
      <c r="Q86" s="157">
        <f>IF(Table44[[#This Row],[Applicable Package?]:[Applicable Package?]]="Y",SUM('Rolled Up Non-Incremental Costs'!M27,'ICE Removal Cost'!M27,'Trans Removal Cost'!M27,'LEV3 Criteria Emissions Cost'!M27,'ZEV Assembly Reductions'!M27,'ACCII Criteria Compliance Cost'!M27,'ACCII GHG Compliance'!M27,'Current GHG Compliance'!M27)+IF(Table44[[#This Row],[Cold]:[Cold]]="Y",'Cold Weather Package'!M27,0)+IF(Table44[[#This Row],[eAWD]:[eAWD]]="Y",'eAWD Package'!M27,0)+IF(Table44[[#This Row],[Towing]:[Towing]]="Y",'Towing Bat Cost'!M27,0),"N/A")</f>
        <v>5096.5185023042486</v>
      </c>
      <c r="R86" s="157">
        <f>IF(Table44[[#This Row],[Applicable Package?]:[Applicable Package?]]="Y",SUM('Rolled Up Non-Incremental Costs'!N27,'ICE Removal Cost'!N27,'Trans Removal Cost'!N27,'LEV3 Criteria Emissions Cost'!N27,'ZEV Assembly Reductions'!N27,'ACCII Criteria Compliance Cost'!N27,'ACCII GHG Compliance'!N27,'Current GHG Compliance'!N27)+IF(Table44[[#This Row],[Cold]:[Cold]]="Y",'Cold Weather Package'!N27,0)+IF(Table44[[#This Row],[eAWD]:[eAWD]]="Y",'eAWD Package'!N27,0)+IF(Table44[[#This Row],[Towing]:[Towing]]="Y",'Towing Bat Cost'!N27,0),"N/A")</f>
        <v>4728.7291436290297</v>
      </c>
      <c r="S86" s="157">
        <f>IF(Table44[[#This Row],[Applicable Package?]:[Applicable Package?]]="Y",SUM('Rolled Up Non-Incremental Costs'!O27,'ICE Removal Cost'!O27,'Trans Removal Cost'!O27,'LEV3 Criteria Emissions Cost'!O27,'ZEV Assembly Reductions'!O27,'ACCII Criteria Compliance Cost'!O27,'ACCII GHG Compliance'!O27,'Current GHG Compliance'!O27)+IF(Table44[[#This Row],[Cold]:[Cold]]="Y",'Cold Weather Package'!O27,0)+IF(Table44[[#This Row],[eAWD]:[eAWD]]="Y",'eAWD Package'!O27,0)+IF(Table44[[#This Row],[Towing]:[Towing]]="Y",'Towing Bat Cost'!O27,0),"N/A")</f>
        <v>4366.2726854117227</v>
      </c>
    </row>
    <row r="87" spans="1:19" x14ac:dyDescent="0.3">
      <c r="A87" t="str">
        <f t="shared" si="1"/>
        <v>MedCarPremiumFCEV320</v>
      </c>
      <c r="B87" s="90" t="s">
        <v>82</v>
      </c>
      <c r="C87" s="68" t="s">
        <v>80</v>
      </c>
      <c r="D87" s="68" t="str">
        <f>'Vehicle Attributes - Base Year'!D25</f>
        <v>FCEV320</v>
      </c>
      <c r="E87" s="124" t="s">
        <v>77</v>
      </c>
      <c r="F87" s="124" t="s">
        <v>76</v>
      </c>
      <c r="G87" s="125" t="s">
        <v>77</v>
      </c>
      <c r="H87" s="156" t="s">
        <v>76</v>
      </c>
      <c r="I87" s="157">
        <f>IF(Table44[[#This Row],[Applicable Package?]:[Applicable Package?]]="Y",SUM('Rolled Up Non-Incremental Costs'!E28,'ICE Removal Cost'!E28,'Trans Removal Cost'!E28,'LEV3 Criteria Emissions Cost'!E28,'ZEV Assembly Reductions'!E28,'ACCII Criteria Compliance Cost'!E28,'ACCII GHG Compliance'!E28,'Current GHG Compliance'!E28)+IF(Table44[[#This Row],[Cold]:[Cold]]="Y",'Cold Weather Package'!E28,0)+IF(Table44[[#This Row],[eAWD]:[eAWD]]="Y",'eAWD Package'!E28,0)+IF(Table44[[#This Row],[Towing]:[Towing]]="Y",'Towing Bat Cost'!E28,0),"N/A")</f>
        <v>12043.634602515749</v>
      </c>
      <c r="J87" s="157">
        <f>IF(Table44[[#This Row],[Applicable Package?]:[Applicable Package?]]="Y",SUM('Rolled Up Non-Incremental Costs'!F28,'ICE Removal Cost'!F28,'Trans Removal Cost'!F28,'LEV3 Criteria Emissions Cost'!F28,'ZEV Assembly Reductions'!F28,'ACCII Criteria Compliance Cost'!F28,'ACCII GHG Compliance'!F28,'Current GHG Compliance'!F28)+IF(Table44[[#This Row],[Cold]:[Cold]]="Y",'Cold Weather Package'!F28,0)+IF(Table44[[#This Row],[eAWD]:[eAWD]]="Y",'eAWD Package'!F28,0)+IF(Table44[[#This Row],[Towing]:[Towing]]="Y",'Towing Bat Cost'!F28,0),"N/A")</f>
        <v>10827.491454691944</v>
      </c>
      <c r="K87" s="157">
        <f>IF(Table44[[#This Row],[Applicable Package?]:[Applicable Package?]]="Y",SUM('Rolled Up Non-Incremental Costs'!G28,'ICE Removal Cost'!G28,'Trans Removal Cost'!G28,'LEV3 Criteria Emissions Cost'!G28,'ZEV Assembly Reductions'!G28,'ACCII Criteria Compliance Cost'!G28,'ACCII GHG Compliance'!G28,'Current GHG Compliance'!G28)+IF(Table44[[#This Row],[Cold]:[Cold]]="Y",'Cold Weather Package'!G28,0)+IF(Table44[[#This Row],[eAWD]:[eAWD]]="Y",'eAWD Package'!G28,0)+IF(Table44[[#This Row],[Towing]:[Towing]]="Y",'Towing Bat Cost'!G28,0),"N/A")</f>
        <v>9638.2682181905584</v>
      </c>
      <c r="L87" s="157">
        <f>IF(Table44[[#This Row],[Applicable Package?]:[Applicable Package?]]="Y",SUM('Rolled Up Non-Incremental Costs'!H28,'ICE Removal Cost'!H28,'Trans Removal Cost'!H28,'LEV3 Criteria Emissions Cost'!H28,'ZEV Assembly Reductions'!H28,'ACCII Criteria Compliance Cost'!H28,'ACCII GHG Compliance'!H28,'Current GHG Compliance'!H28)+IF(Table44[[#This Row],[Cold]:[Cold]]="Y",'Cold Weather Package'!H28,0)+IF(Table44[[#This Row],[eAWD]:[eAWD]]="Y",'eAWD Package'!H28,0)+IF(Table44[[#This Row],[Towing]:[Towing]]="Y",'Towing Bat Cost'!H28,0),"N/A")</f>
        <v>8475.9526997054327</v>
      </c>
      <c r="M87" s="157">
        <f>IF(Table44[[#This Row],[Applicable Package?]:[Applicable Package?]]="Y",SUM('Rolled Up Non-Incremental Costs'!I28,'ICE Removal Cost'!I28,'Trans Removal Cost'!I28,'LEV3 Criteria Emissions Cost'!I28,'ZEV Assembly Reductions'!I28,'ACCII Criteria Compliance Cost'!I28,'ACCII GHG Compliance'!I28,'Current GHG Compliance'!I28)+IF(Table44[[#This Row],[Cold]:[Cold]]="Y",'Cold Weather Package'!I28,0)+IF(Table44[[#This Row],[eAWD]:[eAWD]]="Y",'eAWD Package'!I28,0)+IF(Table44[[#This Row],[Towing]:[Towing]]="Y",'Towing Bat Cost'!I28,0),"N/A")</f>
        <v>7340.5328512489705</v>
      </c>
      <c r="N87" s="157">
        <f>IF(Table44[[#This Row],[Applicable Package?]:[Applicable Package?]]="Y",SUM('Rolled Up Non-Incremental Costs'!J28,'ICE Removal Cost'!J28,'Trans Removal Cost'!J28,'LEV3 Criteria Emissions Cost'!J28,'ZEV Assembly Reductions'!J28,'ACCII Criteria Compliance Cost'!J28,'ACCII GHG Compliance'!J28,'Current GHG Compliance'!J28)+IF(Table44[[#This Row],[Cold]:[Cold]]="Y",'Cold Weather Package'!J28,0)+IF(Table44[[#This Row],[eAWD]:[eAWD]]="Y",'eAWD Package'!J28,0)+IF(Table44[[#This Row],[Towing]:[Towing]]="Y",'Towing Bat Cost'!J28,0),"N/A")</f>
        <v>6231.996768465061</v>
      </c>
      <c r="O87" s="157">
        <f>IF(Table44[[#This Row],[Applicable Package?]:[Applicable Package?]]="Y",SUM('Rolled Up Non-Incremental Costs'!K28,'ICE Removal Cost'!K28,'Trans Removal Cost'!K28,'LEV3 Criteria Emissions Cost'!K28,'ZEV Assembly Reductions'!K28,'ACCII Criteria Compliance Cost'!K28,'ACCII GHG Compliance'!K28,'Current GHG Compliance'!K28)+IF(Table44[[#This Row],[Cold]:[Cold]]="Y",'Cold Weather Package'!K28,0)+IF(Table44[[#This Row],[eAWD]:[eAWD]]="Y",'eAWD Package'!K28,0)+IF(Table44[[#This Row],[Towing]:[Towing]]="Y",'Towing Bat Cost'!K28,0),"N/A")</f>
        <v>5848.1408998660809</v>
      </c>
      <c r="P87" s="157">
        <f>IF(Table44[[#This Row],[Applicable Package?]:[Applicable Package?]]="Y",SUM('Rolled Up Non-Incremental Costs'!L28,'ICE Removal Cost'!L28,'Trans Removal Cost'!L28,'LEV3 Criteria Emissions Cost'!L28,'ZEV Assembly Reductions'!L28,'ACCII Criteria Compliance Cost'!L28,'ACCII GHG Compliance'!L28,'Current GHG Compliance'!L28)+IF(Table44[[#This Row],[Cold]:[Cold]]="Y",'Cold Weather Package'!L28,0)+IF(Table44[[#This Row],[eAWD]:[eAWD]]="Y",'eAWD Package'!L28,0)+IF(Table44[[#This Row],[Towing]:[Towing]]="Y",'Towing Bat Cost'!L28,0),"N/A")</f>
        <v>5469.6519722767553</v>
      </c>
      <c r="Q87" s="157">
        <f>IF(Table44[[#This Row],[Applicable Package?]:[Applicable Package?]]="Y",SUM('Rolled Up Non-Incremental Costs'!M28,'ICE Removal Cost'!M28,'Trans Removal Cost'!M28,'LEV3 Criteria Emissions Cost'!M28,'ZEV Assembly Reductions'!M28,'ACCII Criteria Compliance Cost'!M28,'ACCII GHG Compliance'!M28,'Current GHG Compliance'!M28)+IF(Table44[[#This Row],[Cold]:[Cold]]="Y",'Cold Weather Package'!M28,0)+IF(Table44[[#This Row],[eAWD]:[eAWD]]="Y",'eAWD Package'!M28,0)+IF(Table44[[#This Row],[Towing]:[Towing]]="Y",'Towing Bat Cost'!M28,0),"N/A")</f>
        <v>5096.5185023042486</v>
      </c>
      <c r="R87" s="157">
        <f>IF(Table44[[#This Row],[Applicable Package?]:[Applicable Package?]]="Y",SUM('Rolled Up Non-Incremental Costs'!N28,'ICE Removal Cost'!N28,'Trans Removal Cost'!N28,'LEV3 Criteria Emissions Cost'!N28,'ZEV Assembly Reductions'!N28,'ACCII Criteria Compliance Cost'!N28,'ACCII GHG Compliance'!N28,'Current GHG Compliance'!N28)+IF(Table44[[#This Row],[Cold]:[Cold]]="Y",'Cold Weather Package'!N28,0)+IF(Table44[[#This Row],[eAWD]:[eAWD]]="Y",'eAWD Package'!N28,0)+IF(Table44[[#This Row],[Towing]:[Towing]]="Y",'Towing Bat Cost'!N28,0),"N/A")</f>
        <v>4728.7291436290297</v>
      </c>
      <c r="S87" s="157">
        <f>IF(Table44[[#This Row],[Applicable Package?]:[Applicable Package?]]="Y",SUM('Rolled Up Non-Incremental Costs'!O28,'ICE Removal Cost'!O28,'Trans Removal Cost'!O28,'LEV3 Criteria Emissions Cost'!O28,'ZEV Assembly Reductions'!O28,'ACCII Criteria Compliance Cost'!O28,'ACCII GHG Compliance'!O28,'Current GHG Compliance'!O28)+IF(Table44[[#This Row],[Cold]:[Cold]]="Y",'Cold Weather Package'!O28,0)+IF(Table44[[#This Row],[eAWD]:[eAWD]]="Y",'eAWD Package'!O28,0)+IF(Table44[[#This Row],[Towing]:[Towing]]="Y",'Towing Bat Cost'!O28,0),"N/A")</f>
        <v>4366.2726854117227</v>
      </c>
    </row>
    <row r="88" spans="1:19" x14ac:dyDescent="0.3">
      <c r="A88" s="28" t="str">
        <f t="shared" si="1"/>
        <v>SmallSUVBaseFCEV320</v>
      </c>
      <c r="B88" s="90" t="s">
        <v>83</v>
      </c>
      <c r="C88" s="68" t="s">
        <v>75</v>
      </c>
      <c r="D88" s="68" t="str">
        <f>'Vehicle Attributes - Base Year'!D26</f>
        <v>FCEV320</v>
      </c>
      <c r="E88" s="124" t="s">
        <v>77</v>
      </c>
      <c r="F88" s="124" t="s">
        <v>76</v>
      </c>
      <c r="G88" s="125" t="s">
        <v>77</v>
      </c>
      <c r="H88" s="156" t="s">
        <v>76</v>
      </c>
      <c r="I88" s="157">
        <f>IF(Table44[[#This Row],[Applicable Package?]:[Applicable Package?]]="Y",SUM('Rolled Up Non-Incremental Costs'!E29,'ICE Removal Cost'!E29,'Trans Removal Cost'!E29,'LEV3 Criteria Emissions Cost'!E29,'ZEV Assembly Reductions'!E29,'ACCII Criteria Compliance Cost'!E29,'ACCII GHG Compliance'!E29,'Current GHG Compliance'!E29)+IF(Table44[[#This Row],[Cold]:[Cold]]="Y",'Cold Weather Package'!E29,0)+IF(Table44[[#This Row],[eAWD]:[eAWD]]="Y",'eAWD Package'!E29,0)+IF(Table44[[#This Row],[Towing]:[Towing]]="Y",'Towing Bat Cost'!E29,0),"N/A")</f>
        <v>11338.34997989088</v>
      </c>
      <c r="J88" s="157">
        <f>IF(Table44[[#This Row],[Applicable Package?]:[Applicable Package?]]="Y",SUM('Rolled Up Non-Incremental Costs'!F29,'ICE Removal Cost'!F29,'Trans Removal Cost'!F29,'LEV3 Criteria Emissions Cost'!F29,'ZEV Assembly Reductions'!F29,'ACCII Criteria Compliance Cost'!F29,'ACCII GHG Compliance'!F29,'Current GHG Compliance'!F29)+IF(Table44[[#This Row],[Cold]:[Cold]]="Y",'Cold Weather Package'!F29,0)+IF(Table44[[#This Row],[eAWD]:[eAWD]]="Y",'eAWD Package'!F29,0)+IF(Table44[[#This Row],[Towing]:[Towing]]="Y",'Towing Bat Cost'!F29,0),"N/A")</f>
        <v>10225.58544853497</v>
      </c>
      <c r="K88" s="157">
        <f>IF(Table44[[#This Row],[Applicable Package?]:[Applicable Package?]]="Y",SUM('Rolled Up Non-Incremental Costs'!G29,'ICE Removal Cost'!G29,'Trans Removal Cost'!G29,'LEV3 Criteria Emissions Cost'!G29,'ZEV Assembly Reductions'!G29,'ACCII Criteria Compliance Cost'!G29,'ACCII GHG Compliance'!G29,'Current GHG Compliance'!G29)+IF(Table44[[#This Row],[Cold]:[Cold]]="Y",'Cold Weather Package'!G29,0)+IF(Table44[[#This Row],[eAWD]:[eAWD]]="Y",'eAWD Package'!G29,0)+IF(Table44[[#This Row],[Towing]:[Towing]]="Y",'Towing Bat Cost'!G29,0),"N/A")</f>
        <v>9129.7857409339795</v>
      </c>
      <c r="L88" s="157">
        <f>IF(Table44[[#This Row],[Applicable Package?]:[Applicable Package?]]="Y",SUM('Rolled Up Non-Incremental Costs'!H29,'ICE Removal Cost'!H29,'Trans Removal Cost'!H29,'LEV3 Criteria Emissions Cost'!H29,'ZEV Assembly Reductions'!H29,'ACCII Criteria Compliance Cost'!H29,'ACCII GHG Compliance'!H29,'Current GHG Compliance'!H29)+IF(Table44[[#This Row],[Cold]:[Cold]]="Y",'Cold Weather Package'!H29,0)+IF(Table44[[#This Row],[eAWD]:[eAWD]]="Y",'eAWD Package'!H29,0)+IF(Table44[[#This Row],[Towing]:[Towing]]="Y",'Towing Bat Cost'!H29,0),"N/A")</f>
        <v>8050.9387196926282</v>
      </c>
      <c r="M88" s="157">
        <f>IF(Table44[[#This Row],[Applicable Package?]:[Applicable Package?]]="Y",SUM('Rolled Up Non-Incremental Costs'!I29,'ICE Removal Cost'!I29,'Trans Removal Cost'!I29,'LEV3 Criteria Emissions Cost'!I29,'ZEV Assembly Reductions'!I29,'ACCII Criteria Compliance Cost'!I29,'ACCII GHG Compliance'!I29,'Current GHG Compliance'!I29)+IF(Table44[[#This Row],[Cold]:[Cold]]="Y",'Cold Weather Package'!I29,0)+IF(Table44[[#This Row],[eAWD]:[eAWD]]="Y",'eAWD Package'!I29,0)+IF(Table44[[#This Row],[Towing]:[Towing]]="Y",'Towing Bat Cost'!I29,0),"N/A")</f>
        <v>6989.032392175076</v>
      </c>
      <c r="N88" s="157">
        <f>IF(Table44[[#This Row],[Applicable Package?]:[Applicable Package?]]="Y",SUM('Rolled Up Non-Incremental Costs'!J29,'ICE Removal Cost'!J29,'Trans Removal Cost'!J29,'LEV3 Criteria Emissions Cost'!J29,'ZEV Assembly Reductions'!J29,'ACCII Criteria Compliance Cost'!J29,'ACCII GHG Compliance'!J29,'Current GHG Compliance'!J29)+IF(Table44[[#This Row],[Cold]:[Cold]]="Y",'Cold Weather Package'!J29,0)+IF(Table44[[#This Row],[eAWD]:[eAWD]]="Y",'eAWD Package'!J29,0)+IF(Table44[[#This Row],[Towing]:[Towing]]="Y",'Towing Bat Cost'!J29,0),"N/A")</f>
        <v>5944.0549088234675</v>
      </c>
      <c r="O88" s="157">
        <f>IF(Table44[[#This Row],[Applicable Package?]:[Applicable Package?]]="Y",SUM('Rolled Up Non-Incremental Costs'!K29,'ICE Removal Cost'!K29,'Trans Removal Cost'!K29,'LEV3 Criteria Emissions Cost'!K29,'ZEV Assembly Reductions'!K29,'ACCII Criteria Compliance Cost'!K29,'ACCII GHG Compliance'!K29,'Current GHG Compliance'!K29)+IF(Table44[[#This Row],[Cold]:[Cold]]="Y",'Cold Weather Package'!K29,0)+IF(Table44[[#This Row],[eAWD]:[eAWD]]="Y",'eAWD Package'!K29,0)+IF(Table44[[#This Row],[Towing]:[Towing]]="Y",'Towing Bat Cost'!K29,0),"N/A")</f>
        <v>5609.8367890172576</v>
      </c>
      <c r="P88" s="157">
        <f>IF(Table44[[#This Row],[Applicable Package?]:[Applicable Package?]]="Y",SUM('Rolled Up Non-Incremental Costs'!L29,'ICE Removal Cost'!L29,'Trans Removal Cost'!L29,'LEV3 Criteria Emissions Cost'!L29,'ZEV Assembly Reductions'!L29,'ACCII Criteria Compliance Cost'!L29,'ACCII GHG Compliance'!L29,'Current GHG Compliance'!L29)+IF(Table44[[#This Row],[Cold]:[Cold]]="Y",'Cold Weather Package'!L29,0)+IF(Table44[[#This Row],[eAWD]:[eAWD]]="Y",'eAWD Package'!L29,0)+IF(Table44[[#This Row],[Towing]:[Towing]]="Y",'Towing Bat Cost'!L29,0),"N/A")</f>
        <v>5279.5578317592981</v>
      </c>
      <c r="Q88" s="157">
        <f>IF(Table44[[#This Row],[Applicable Package?]:[Applicable Package?]]="Y",SUM('Rolled Up Non-Incremental Costs'!M29,'ICE Removal Cost'!M29,'Trans Removal Cost'!M29,'LEV3 Criteria Emissions Cost'!M29,'ZEV Assembly Reductions'!M29,'ACCII Criteria Compliance Cost'!M29,'ACCII GHG Compliance'!M29,'Current GHG Compliance'!M29)+IF(Table44[[#This Row],[Cold]:[Cold]]="Y",'Cold Weather Package'!M29,0)+IF(Table44[[#This Row],[eAWD]:[eAWD]]="Y",'eAWD Package'!M29,0)+IF(Table44[[#This Row],[Towing]:[Towing]]="Y",'Towing Bat Cost'!M29,0),"N/A")</f>
        <v>4953.2132786354532</v>
      </c>
      <c r="R88" s="157">
        <f>IF(Table44[[#This Row],[Applicable Package?]:[Applicable Package?]]="Y",SUM('Rolled Up Non-Incremental Costs'!N29,'ICE Removal Cost'!N29,'Trans Removal Cost'!N29,'LEV3 Criteria Emissions Cost'!N29,'ZEV Assembly Reductions'!N29,'ACCII Criteria Compliance Cost'!N29,'ACCII GHG Compliance'!N29,'Current GHG Compliance'!N29)+IF(Table44[[#This Row],[Cold]:[Cold]]="Y",'Cold Weather Package'!N29,0)+IF(Table44[[#This Row],[eAWD]:[eAWD]]="Y",'eAWD Package'!N29,0)+IF(Table44[[#This Row],[Towing]:[Towing]]="Y",'Towing Bat Cost'!N29,0),"N/A")</f>
        <v>4630.7984188157243</v>
      </c>
      <c r="S88" s="157">
        <f>IF(Table44[[#This Row],[Applicable Package?]:[Applicable Package?]]="Y",SUM('Rolled Up Non-Incremental Costs'!O29,'ICE Removal Cost'!O29,'Trans Removal Cost'!O29,'LEV3 Criteria Emissions Cost'!O29,'ZEV Assembly Reductions'!O29,'ACCII Criteria Compliance Cost'!O29,'ACCII GHG Compliance'!O29,'Current GHG Compliance'!O29)+IF(Table44[[#This Row],[Cold]:[Cold]]="Y",'Cold Weather Package'!O29,0)+IF(Table44[[#This Row],[eAWD]:[eAWD]]="Y",'eAWD Package'!O29,0)+IF(Table44[[#This Row],[Towing]:[Towing]]="Y",'Towing Bat Cost'!O29,0),"N/A")</f>
        <v>4312.3085885784103</v>
      </c>
    </row>
    <row r="89" spans="1:19" x14ac:dyDescent="0.3">
      <c r="A89" t="str">
        <f t="shared" ref="A89:A132" si="2">CONCATENATE(B89,C89,D89)</f>
        <v>SmallSUVPremiumFCEV320</v>
      </c>
      <c r="B89" s="90" t="s">
        <v>83</v>
      </c>
      <c r="C89" s="68" t="s">
        <v>80</v>
      </c>
      <c r="D89" s="68" t="str">
        <f>'Vehicle Attributes - Base Year'!D27</f>
        <v>FCEV320</v>
      </c>
      <c r="E89" s="124" t="s">
        <v>77</v>
      </c>
      <c r="F89" s="124" t="s">
        <v>76</v>
      </c>
      <c r="G89" s="125" t="s">
        <v>77</v>
      </c>
      <c r="H89" s="156" t="s">
        <v>76</v>
      </c>
      <c r="I89" s="157">
        <f>IF(Table44[[#This Row],[Applicable Package?]:[Applicable Package?]]="Y",SUM('Rolled Up Non-Incremental Costs'!E30,'ICE Removal Cost'!E30,'Trans Removal Cost'!E30,'LEV3 Criteria Emissions Cost'!E30,'ZEV Assembly Reductions'!E30,'ACCII Criteria Compliance Cost'!E30,'ACCII GHG Compliance'!E30,'Current GHG Compliance'!E30)+IF(Table44[[#This Row],[Cold]:[Cold]]="Y",'Cold Weather Package'!E30,0)+IF(Table44[[#This Row],[eAWD]:[eAWD]]="Y",'eAWD Package'!E30,0)+IF(Table44[[#This Row],[Towing]:[Towing]]="Y",'Towing Bat Cost'!E30,0),"N/A")</f>
        <v>11338.34997989088</v>
      </c>
      <c r="J89" s="157">
        <f>IF(Table44[[#This Row],[Applicable Package?]:[Applicable Package?]]="Y",SUM('Rolled Up Non-Incremental Costs'!F30,'ICE Removal Cost'!F30,'Trans Removal Cost'!F30,'LEV3 Criteria Emissions Cost'!F30,'ZEV Assembly Reductions'!F30,'ACCII Criteria Compliance Cost'!F30,'ACCII GHG Compliance'!F30,'Current GHG Compliance'!F30)+IF(Table44[[#This Row],[Cold]:[Cold]]="Y",'Cold Weather Package'!F30,0)+IF(Table44[[#This Row],[eAWD]:[eAWD]]="Y",'eAWD Package'!F30,0)+IF(Table44[[#This Row],[Towing]:[Towing]]="Y",'Towing Bat Cost'!F30,0),"N/A")</f>
        <v>10225.58544853497</v>
      </c>
      <c r="K89" s="157">
        <f>IF(Table44[[#This Row],[Applicable Package?]:[Applicable Package?]]="Y",SUM('Rolled Up Non-Incremental Costs'!G30,'ICE Removal Cost'!G30,'Trans Removal Cost'!G30,'LEV3 Criteria Emissions Cost'!G30,'ZEV Assembly Reductions'!G30,'ACCII Criteria Compliance Cost'!G30,'ACCII GHG Compliance'!G30,'Current GHG Compliance'!G30)+IF(Table44[[#This Row],[Cold]:[Cold]]="Y",'Cold Weather Package'!G30,0)+IF(Table44[[#This Row],[eAWD]:[eAWD]]="Y",'eAWD Package'!G30,0)+IF(Table44[[#This Row],[Towing]:[Towing]]="Y",'Towing Bat Cost'!G30,0),"N/A")</f>
        <v>9129.7857409339795</v>
      </c>
      <c r="L89" s="157">
        <f>IF(Table44[[#This Row],[Applicable Package?]:[Applicable Package?]]="Y",SUM('Rolled Up Non-Incremental Costs'!H30,'ICE Removal Cost'!H30,'Trans Removal Cost'!H30,'LEV3 Criteria Emissions Cost'!H30,'ZEV Assembly Reductions'!H30,'ACCII Criteria Compliance Cost'!H30,'ACCII GHG Compliance'!H30,'Current GHG Compliance'!H30)+IF(Table44[[#This Row],[Cold]:[Cold]]="Y",'Cold Weather Package'!H30,0)+IF(Table44[[#This Row],[eAWD]:[eAWD]]="Y",'eAWD Package'!H30,0)+IF(Table44[[#This Row],[Towing]:[Towing]]="Y",'Towing Bat Cost'!H30,0),"N/A")</f>
        <v>8050.9387196926282</v>
      </c>
      <c r="M89" s="157">
        <f>IF(Table44[[#This Row],[Applicable Package?]:[Applicable Package?]]="Y",SUM('Rolled Up Non-Incremental Costs'!I30,'ICE Removal Cost'!I30,'Trans Removal Cost'!I30,'LEV3 Criteria Emissions Cost'!I30,'ZEV Assembly Reductions'!I30,'ACCII Criteria Compliance Cost'!I30,'ACCII GHG Compliance'!I30,'Current GHG Compliance'!I30)+IF(Table44[[#This Row],[Cold]:[Cold]]="Y",'Cold Weather Package'!I30,0)+IF(Table44[[#This Row],[eAWD]:[eAWD]]="Y",'eAWD Package'!I30,0)+IF(Table44[[#This Row],[Towing]:[Towing]]="Y",'Towing Bat Cost'!I30,0),"N/A")</f>
        <v>6989.032392175076</v>
      </c>
      <c r="N89" s="157">
        <f>IF(Table44[[#This Row],[Applicable Package?]:[Applicable Package?]]="Y",SUM('Rolled Up Non-Incremental Costs'!J30,'ICE Removal Cost'!J30,'Trans Removal Cost'!J30,'LEV3 Criteria Emissions Cost'!J30,'ZEV Assembly Reductions'!J30,'ACCII Criteria Compliance Cost'!J30,'ACCII GHG Compliance'!J30,'Current GHG Compliance'!J30)+IF(Table44[[#This Row],[Cold]:[Cold]]="Y",'Cold Weather Package'!J30,0)+IF(Table44[[#This Row],[eAWD]:[eAWD]]="Y",'eAWD Package'!J30,0)+IF(Table44[[#This Row],[Towing]:[Towing]]="Y",'Towing Bat Cost'!J30,0),"N/A")</f>
        <v>5944.0549088234675</v>
      </c>
      <c r="O89" s="157">
        <f>IF(Table44[[#This Row],[Applicable Package?]:[Applicable Package?]]="Y",SUM('Rolled Up Non-Incremental Costs'!K30,'ICE Removal Cost'!K30,'Trans Removal Cost'!K30,'LEV3 Criteria Emissions Cost'!K30,'ZEV Assembly Reductions'!K30,'ACCII Criteria Compliance Cost'!K30,'ACCII GHG Compliance'!K30,'Current GHG Compliance'!K30)+IF(Table44[[#This Row],[Cold]:[Cold]]="Y",'Cold Weather Package'!K30,0)+IF(Table44[[#This Row],[eAWD]:[eAWD]]="Y",'eAWD Package'!K30,0)+IF(Table44[[#This Row],[Towing]:[Towing]]="Y",'Towing Bat Cost'!K30,0),"N/A")</f>
        <v>5609.8367890172576</v>
      </c>
      <c r="P89" s="157">
        <f>IF(Table44[[#This Row],[Applicable Package?]:[Applicable Package?]]="Y",SUM('Rolled Up Non-Incremental Costs'!L30,'ICE Removal Cost'!L30,'Trans Removal Cost'!L30,'LEV3 Criteria Emissions Cost'!L30,'ZEV Assembly Reductions'!L30,'ACCII Criteria Compliance Cost'!L30,'ACCII GHG Compliance'!L30,'Current GHG Compliance'!L30)+IF(Table44[[#This Row],[Cold]:[Cold]]="Y",'Cold Weather Package'!L30,0)+IF(Table44[[#This Row],[eAWD]:[eAWD]]="Y",'eAWD Package'!L30,0)+IF(Table44[[#This Row],[Towing]:[Towing]]="Y",'Towing Bat Cost'!L30,0),"N/A")</f>
        <v>5279.5578317592981</v>
      </c>
      <c r="Q89" s="157">
        <f>IF(Table44[[#This Row],[Applicable Package?]:[Applicable Package?]]="Y",SUM('Rolled Up Non-Incremental Costs'!M30,'ICE Removal Cost'!M30,'Trans Removal Cost'!M30,'LEV3 Criteria Emissions Cost'!M30,'ZEV Assembly Reductions'!M30,'ACCII Criteria Compliance Cost'!M30,'ACCII GHG Compliance'!M30,'Current GHG Compliance'!M30)+IF(Table44[[#This Row],[Cold]:[Cold]]="Y",'Cold Weather Package'!M30,0)+IF(Table44[[#This Row],[eAWD]:[eAWD]]="Y",'eAWD Package'!M30,0)+IF(Table44[[#This Row],[Towing]:[Towing]]="Y",'Towing Bat Cost'!M30,0),"N/A")</f>
        <v>4953.2132786354532</v>
      </c>
      <c r="R89" s="157">
        <f>IF(Table44[[#This Row],[Applicable Package?]:[Applicable Package?]]="Y",SUM('Rolled Up Non-Incremental Costs'!N30,'ICE Removal Cost'!N30,'Trans Removal Cost'!N30,'LEV3 Criteria Emissions Cost'!N30,'ZEV Assembly Reductions'!N30,'ACCII Criteria Compliance Cost'!N30,'ACCII GHG Compliance'!N30,'Current GHG Compliance'!N30)+IF(Table44[[#This Row],[Cold]:[Cold]]="Y",'Cold Weather Package'!N30,0)+IF(Table44[[#This Row],[eAWD]:[eAWD]]="Y",'eAWD Package'!N30,0)+IF(Table44[[#This Row],[Towing]:[Towing]]="Y",'Towing Bat Cost'!N30,0),"N/A")</f>
        <v>4630.7984188157243</v>
      </c>
      <c r="S89" s="157">
        <f>IF(Table44[[#This Row],[Applicable Package?]:[Applicable Package?]]="Y",SUM('Rolled Up Non-Incremental Costs'!O30,'ICE Removal Cost'!O30,'Trans Removal Cost'!O30,'LEV3 Criteria Emissions Cost'!O30,'ZEV Assembly Reductions'!O30,'ACCII Criteria Compliance Cost'!O30,'ACCII GHG Compliance'!O30,'Current GHG Compliance'!O30)+IF(Table44[[#This Row],[Cold]:[Cold]]="Y",'Cold Weather Package'!O30,0)+IF(Table44[[#This Row],[eAWD]:[eAWD]]="Y",'eAWD Package'!O30,0)+IF(Table44[[#This Row],[Towing]:[Towing]]="Y",'Towing Bat Cost'!O30,0),"N/A")</f>
        <v>4312.3085885784103</v>
      </c>
    </row>
    <row r="90" spans="1:19" x14ac:dyDescent="0.3">
      <c r="A90" s="28" t="str">
        <f t="shared" si="2"/>
        <v>MedSUVBaseFCEV320</v>
      </c>
      <c r="B90" s="90" t="s">
        <v>86</v>
      </c>
      <c r="C90" s="68" t="s">
        <v>75</v>
      </c>
      <c r="D90" s="68" t="str">
        <f>'Vehicle Attributes - Base Year'!D28</f>
        <v>FCEV320</v>
      </c>
      <c r="E90" s="124" t="s">
        <v>77</v>
      </c>
      <c r="F90" s="124" t="s">
        <v>76</v>
      </c>
      <c r="G90" s="125" t="s">
        <v>77</v>
      </c>
      <c r="H90" s="156" t="s">
        <v>76</v>
      </c>
      <c r="I90" s="157">
        <f>IF(Table44[[#This Row],[Applicable Package?]:[Applicable Package?]]="Y",SUM('Rolled Up Non-Incremental Costs'!E31,'ICE Removal Cost'!E31,'Trans Removal Cost'!E31,'LEV3 Criteria Emissions Cost'!E31,'ZEV Assembly Reductions'!E31,'ACCII Criteria Compliance Cost'!E31,'ACCII GHG Compliance'!E31,'Current GHG Compliance'!E31)+IF(Table44[[#This Row],[Cold]:[Cold]]="Y",'Cold Weather Package'!E31,0)+IF(Table44[[#This Row],[eAWD]:[eAWD]]="Y",'eAWD Package'!E31,0)+IF(Table44[[#This Row],[Towing]:[Towing]]="Y",'Towing Bat Cost'!E31,0),"N/A")</f>
        <v>12246.594013309834</v>
      </c>
      <c r="J90" s="157">
        <f>IF(Table44[[#This Row],[Applicable Package?]:[Applicable Package?]]="Y",SUM('Rolled Up Non-Incremental Costs'!F31,'ICE Removal Cost'!F31,'Trans Removal Cost'!F31,'LEV3 Criteria Emissions Cost'!F31,'ZEV Assembly Reductions'!F31,'ACCII Criteria Compliance Cost'!F31,'ACCII GHG Compliance'!F31,'Current GHG Compliance'!F31)+IF(Table44[[#This Row],[Cold]:[Cold]]="Y",'Cold Weather Package'!F31,0)+IF(Table44[[#This Row],[eAWD]:[eAWD]]="Y",'eAWD Package'!F31,0)+IF(Table44[[#This Row],[Towing]:[Towing]]="Y",'Towing Bat Cost'!F31,0),"N/A")</f>
        <v>10973.12163232256</v>
      </c>
      <c r="K90" s="157">
        <f>IF(Table44[[#This Row],[Applicable Package?]:[Applicable Package?]]="Y",SUM('Rolled Up Non-Incremental Costs'!G31,'ICE Removal Cost'!G31,'Trans Removal Cost'!G31,'LEV3 Criteria Emissions Cost'!G31,'ZEV Assembly Reductions'!G31,'ACCII Criteria Compliance Cost'!G31,'ACCII GHG Compliance'!G31,'Current GHG Compliance'!G31)+IF(Table44[[#This Row],[Cold]:[Cold]]="Y",'Cold Weather Package'!G31,0)+IF(Table44[[#This Row],[eAWD]:[eAWD]]="Y",'eAWD Package'!G31,0)+IF(Table44[[#This Row],[Towing]:[Towing]]="Y",'Towing Bat Cost'!G31,0),"N/A")</f>
        <v>9721.6955610059631</v>
      </c>
      <c r="L90" s="157">
        <f>IF(Table44[[#This Row],[Applicable Package?]:[Applicable Package?]]="Y",SUM('Rolled Up Non-Incremental Costs'!H31,'ICE Removal Cost'!H31,'Trans Removal Cost'!H31,'LEV3 Criteria Emissions Cost'!H31,'ZEV Assembly Reductions'!H31,'ACCII Criteria Compliance Cost'!H31,'ACCII GHG Compliance'!H31,'Current GHG Compliance'!H31)+IF(Table44[[#This Row],[Cold]:[Cold]]="Y",'Cold Weather Package'!H31,0)+IF(Table44[[#This Row],[eAWD]:[eAWD]]="Y",'eAWD Package'!H31,0)+IF(Table44[[#This Row],[Towing]:[Towing]]="Y",'Towing Bat Cost'!H31,0),"N/A")</f>
        <v>8492.3032377423951</v>
      </c>
      <c r="M90" s="157">
        <f>IF(Table44[[#This Row],[Applicable Package?]:[Applicable Package?]]="Y",SUM('Rolled Up Non-Incremental Costs'!I31,'ICE Removal Cost'!I31,'Trans Removal Cost'!I31,'LEV3 Criteria Emissions Cost'!I31,'ZEV Assembly Reductions'!I31,'ACCII Criteria Compliance Cost'!I31,'ACCII GHG Compliance'!I31,'Current GHG Compliance'!I31)+IF(Table44[[#This Row],[Cold]:[Cold]]="Y",'Cold Weather Package'!I31,0)+IF(Table44[[#This Row],[eAWD]:[eAWD]]="Y",'eAWD Package'!I31,0)+IF(Table44[[#This Row],[Towing]:[Towing]]="Y",'Towing Bat Cost'!I31,0),"N/A")</f>
        <v>7284.9322499158916</v>
      </c>
      <c r="N90" s="157">
        <f>IF(Table44[[#This Row],[Applicable Package?]:[Applicable Package?]]="Y",SUM('Rolled Up Non-Incremental Costs'!J31,'ICE Removal Cost'!J31,'Trans Removal Cost'!J31,'LEV3 Criteria Emissions Cost'!J31,'ZEV Assembly Reductions'!J31,'ACCII Criteria Compliance Cost'!J31,'ACCII GHG Compliance'!J31,'Current GHG Compliance'!J31)+IF(Table44[[#This Row],[Cold]:[Cold]]="Y",'Cold Weather Package'!J31,0)+IF(Table44[[#This Row],[eAWD]:[eAWD]]="Y",'eAWD Package'!J31,0)+IF(Table44[[#This Row],[Towing]:[Towing]]="Y",'Towing Bat Cost'!J31,0),"N/A")</f>
        <v>6099.5703321882584</v>
      </c>
      <c r="O90" s="157">
        <f>IF(Table44[[#This Row],[Applicable Package?]:[Applicable Package?]]="Y",SUM('Rolled Up Non-Incremental Costs'!K31,'ICE Removal Cost'!K31,'Trans Removal Cost'!K31,'LEV3 Criteria Emissions Cost'!K31,'ZEV Assembly Reductions'!K31,'ACCII Criteria Compliance Cost'!K31,'ACCII GHG Compliance'!K31,'Current GHG Compliance'!K31)+IF(Table44[[#This Row],[Cold]:[Cold]]="Y",'Cold Weather Package'!K31,0)+IF(Table44[[#This Row],[eAWD]:[eAWD]]="Y",'eAWD Package'!K31,0)+IF(Table44[[#This Row],[Towing]:[Towing]]="Y",'Towing Bat Cost'!K31,0),"N/A")</f>
        <v>5672.5716833393435</v>
      </c>
      <c r="P90" s="157">
        <f>IF(Table44[[#This Row],[Applicable Package?]:[Applicable Package?]]="Y",SUM('Rolled Up Non-Incremental Costs'!L31,'ICE Removal Cost'!L31,'Trans Removal Cost'!L31,'LEV3 Criteria Emissions Cost'!L31,'ZEV Assembly Reductions'!L31,'ACCII Criteria Compliance Cost'!L31,'ACCII GHG Compliance'!L31,'Current GHG Compliance'!L31)+IF(Table44[[#This Row],[Cold]:[Cold]]="Y",'Cold Weather Package'!L31,0)+IF(Table44[[#This Row],[eAWD]:[eAWD]]="Y",'eAWD Package'!L31,0)+IF(Table44[[#This Row],[Towing]:[Towing]]="Y",'Towing Bat Cost'!L31,0),"N/A")</f>
        <v>5251.2238127538776</v>
      </c>
      <c r="Q90" s="157">
        <f>IF(Table44[[#This Row],[Applicable Package?]:[Applicable Package?]]="Y",SUM('Rolled Up Non-Incremental Costs'!M31,'ICE Removal Cost'!M31,'Trans Removal Cost'!M31,'LEV3 Criteria Emissions Cost'!M31,'ZEV Assembly Reductions'!M31,'ACCII Criteria Compliance Cost'!M31,'ACCII GHG Compliance'!M31,'Current GHG Compliance'!M31)+IF(Table44[[#This Row],[Cold]:[Cold]]="Y",'Cold Weather Package'!M31,0)+IF(Table44[[#This Row],[eAWD]:[eAWD]]="Y",'eAWD Package'!M31,0)+IF(Table44[[#This Row],[Towing]:[Towing]]="Y",'Towing Bat Cost'!M31,0),"N/A")</f>
        <v>4835.5148867784756</v>
      </c>
      <c r="R90" s="157">
        <f>IF(Table44[[#This Row],[Applicable Package?]:[Applicable Package?]]="Y",SUM('Rolled Up Non-Incremental Costs'!N31,'ICE Removal Cost'!N31,'Trans Removal Cost'!N31,'LEV3 Criteria Emissions Cost'!N31,'ZEV Assembly Reductions'!N31,'ACCII Criteria Compliance Cost'!N31,'ACCII GHG Compliance'!N31,'Current GHG Compliance'!N31)+IF(Table44[[#This Row],[Cold]:[Cold]]="Y",'Cold Weather Package'!N31,0)+IF(Table44[[#This Row],[eAWD]:[eAWD]]="Y",'eAWD Package'!N31,0)+IF(Table44[[#This Row],[Towing]:[Towing]]="Y",'Towing Bat Cost'!N31,0),"N/A")</f>
        <v>4425.4332123356535</v>
      </c>
      <c r="S90" s="157">
        <f>IF(Table44[[#This Row],[Applicable Package?]:[Applicable Package?]]="Y",SUM('Rolled Up Non-Incremental Costs'!O31,'ICE Removal Cost'!O31,'Trans Removal Cost'!O31,'LEV3 Criteria Emissions Cost'!O31,'ZEV Assembly Reductions'!O31,'ACCII Criteria Compliance Cost'!O31,'ACCII GHG Compliance'!O31,'Current GHG Compliance'!O31)+IF(Table44[[#This Row],[Cold]:[Cold]]="Y",'Cold Weather Package'!O31,0)+IF(Table44[[#This Row],[eAWD]:[eAWD]]="Y",'eAWD Package'!O31,0)+IF(Table44[[#This Row],[Towing]:[Towing]]="Y",'Towing Bat Cost'!O31,0),"N/A")</f>
        <v>4020.9672352956641</v>
      </c>
    </row>
    <row r="91" spans="1:19" x14ac:dyDescent="0.3">
      <c r="A91" t="str">
        <f t="shared" si="2"/>
        <v>MedSUVPremiumFCEV320</v>
      </c>
      <c r="B91" s="90" t="s">
        <v>86</v>
      </c>
      <c r="C91" s="68" t="s">
        <v>80</v>
      </c>
      <c r="D91" s="68" t="str">
        <f>'Vehicle Attributes - Base Year'!D29</f>
        <v>FCEV320</v>
      </c>
      <c r="E91" s="124" t="s">
        <v>77</v>
      </c>
      <c r="F91" s="124" t="s">
        <v>76</v>
      </c>
      <c r="G91" s="125" t="s">
        <v>77</v>
      </c>
      <c r="H91" s="156" t="s">
        <v>76</v>
      </c>
      <c r="I91" s="157">
        <f>IF(Table44[[#This Row],[Applicable Package?]:[Applicable Package?]]="Y",SUM('Rolled Up Non-Incremental Costs'!E32,'ICE Removal Cost'!E32,'Trans Removal Cost'!E32,'LEV3 Criteria Emissions Cost'!E32,'ZEV Assembly Reductions'!E32,'ACCII Criteria Compliance Cost'!E32,'ACCII GHG Compliance'!E32,'Current GHG Compliance'!E32)+IF(Table44[[#This Row],[Cold]:[Cold]]="Y",'Cold Weather Package'!E32,0)+IF(Table44[[#This Row],[eAWD]:[eAWD]]="Y",'eAWD Package'!E32,0)+IF(Table44[[#This Row],[Towing]:[Towing]]="Y",'Towing Bat Cost'!E32,0),"N/A")</f>
        <v>11746.594013309834</v>
      </c>
      <c r="J91" s="157">
        <f>IF(Table44[[#This Row],[Applicable Package?]:[Applicable Package?]]="Y",SUM('Rolled Up Non-Incremental Costs'!F32,'ICE Removal Cost'!F32,'Trans Removal Cost'!F32,'LEV3 Criteria Emissions Cost'!F32,'ZEV Assembly Reductions'!F32,'ACCII Criteria Compliance Cost'!F32,'ACCII GHG Compliance'!F32,'Current GHG Compliance'!F32)+IF(Table44[[#This Row],[Cold]:[Cold]]="Y",'Cold Weather Package'!F32,0)+IF(Table44[[#This Row],[eAWD]:[eAWD]]="Y",'eAWD Package'!F32,0)+IF(Table44[[#This Row],[Towing]:[Towing]]="Y",'Towing Bat Cost'!F32,0),"N/A")</f>
        <v>10473.12163232256</v>
      </c>
      <c r="K91" s="157">
        <f>IF(Table44[[#This Row],[Applicable Package?]:[Applicable Package?]]="Y",SUM('Rolled Up Non-Incremental Costs'!G32,'ICE Removal Cost'!G32,'Trans Removal Cost'!G32,'LEV3 Criteria Emissions Cost'!G32,'ZEV Assembly Reductions'!G32,'ACCII Criteria Compliance Cost'!G32,'ACCII GHG Compliance'!G32,'Current GHG Compliance'!G32)+IF(Table44[[#This Row],[Cold]:[Cold]]="Y",'Cold Weather Package'!G32,0)+IF(Table44[[#This Row],[eAWD]:[eAWD]]="Y",'eAWD Package'!G32,0)+IF(Table44[[#This Row],[Towing]:[Towing]]="Y",'Towing Bat Cost'!G32,0),"N/A")</f>
        <v>9221.6955610059631</v>
      </c>
      <c r="L91" s="157">
        <f>IF(Table44[[#This Row],[Applicable Package?]:[Applicable Package?]]="Y",SUM('Rolled Up Non-Incremental Costs'!H32,'ICE Removal Cost'!H32,'Trans Removal Cost'!H32,'LEV3 Criteria Emissions Cost'!H32,'ZEV Assembly Reductions'!H32,'ACCII Criteria Compliance Cost'!H32,'ACCII GHG Compliance'!H32,'Current GHG Compliance'!H32)+IF(Table44[[#This Row],[Cold]:[Cold]]="Y",'Cold Weather Package'!H32,0)+IF(Table44[[#This Row],[eAWD]:[eAWD]]="Y",'eAWD Package'!H32,0)+IF(Table44[[#This Row],[Towing]:[Towing]]="Y",'Towing Bat Cost'!H32,0),"N/A")</f>
        <v>7992.3032377423951</v>
      </c>
      <c r="M91" s="157">
        <f>IF(Table44[[#This Row],[Applicable Package?]:[Applicable Package?]]="Y",SUM('Rolled Up Non-Incremental Costs'!I32,'ICE Removal Cost'!I32,'Trans Removal Cost'!I32,'LEV3 Criteria Emissions Cost'!I32,'ZEV Assembly Reductions'!I32,'ACCII Criteria Compliance Cost'!I32,'ACCII GHG Compliance'!I32,'Current GHG Compliance'!I32)+IF(Table44[[#This Row],[Cold]:[Cold]]="Y",'Cold Weather Package'!I32,0)+IF(Table44[[#This Row],[eAWD]:[eAWD]]="Y",'eAWD Package'!I32,0)+IF(Table44[[#This Row],[Towing]:[Towing]]="Y",'Towing Bat Cost'!I32,0),"N/A")</f>
        <v>6784.9322499158916</v>
      </c>
      <c r="N91" s="157">
        <f>IF(Table44[[#This Row],[Applicable Package?]:[Applicable Package?]]="Y",SUM('Rolled Up Non-Incremental Costs'!J32,'ICE Removal Cost'!J32,'Trans Removal Cost'!J32,'LEV3 Criteria Emissions Cost'!J32,'ZEV Assembly Reductions'!J32,'ACCII Criteria Compliance Cost'!J32,'ACCII GHG Compliance'!J32,'Current GHG Compliance'!J32)+IF(Table44[[#This Row],[Cold]:[Cold]]="Y",'Cold Weather Package'!J32,0)+IF(Table44[[#This Row],[eAWD]:[eAWD]]="Y",'eAWD Package'!J32,0)+IF(Table44[[#This Row],[Towing]:[Towing]]="Y",'Towing Bat Cost'!J32,0),"N/A")</f>
        <v>5599.5703321882584</v>
      </c>
      <c r="O91" s="157">
        <f>IF(Table44[[#This Row],[Applicable Package?]:[Applicable Package?]]="Y",SUM('Rolled Up Non-Incremental Costs'!K32,'ICE Removal Cost'!K32,'Trans Removal Cost'!K32,'LEV3 Criteria Emissions Cost'!K32,'ZEV Assembly Reductions'!K32,'ACCII Criteria Compliance Cost'!K32,'ACCII GHG Compliance'!K32,'Current GHG Compliance'!K32)+IF(Table44[[#This Row],[Cold]:[Cold]]="Y",'Cold Weather Package'!K32,0)+IF(Table44[[#This Row],[eAWD]:[eAWD]]="Y",'eAWD Package'!K32,0)+IF(Table44[[#This Row],[Towing]:[Towing]]="Y",'Towing Bat Cost'!K32,0),"N/A")</f>
        <v>5172.5716833393435</v>
      </c>
      <c r="P91" s="157">
        <f>IF(Table44[[#This Row],[Applicable Package?]:[Applicable Package?]]="Y",SUM('Rolled Up Non-Incremental Costs'!L32,'ICE Removal Cost'!L32,'Trans Removal Cost'!L32,'LEV3 Criteria Emissions Cost'!L32,'ZEV Assembly Reductions'!L32,'ACCII Criteria Compliance Cost'!L32,'ACCII GHG Compliance'!L32,'Current GHG Compliance'!L32)+IF(Table44[[#This Row],[Cold]:[Cold]]="Y",'Cold Weather Package'!L32,0)+IF(Table44[[#This Row],[eAWD]:[eAWD]]="Y",'eAWD Package'!L32,0)+IF(Table44[[#This Row],[Towing]:[Towing]]="Y",'Towing Bat Cost'!L32,0),"N/A")</f>
        <v>4751.2238127538776</v>
      </c>
      <c r="Q91" s="157">
        <f>IF(Table44[[#This Row],[Applicable Package?]:[Applicable Package?]]="Y",SUM('Rolled Up Non-Incremental Costs'!M32,'ICE Removal Cost'!M32,'Trans Removal Cost'!M32,'LEV3 Criteria Emissions Cost'!M32,'ZEV Assembly Reductions'!M32,'ACCII Criteria Compliance Cost'!M32,'ACCII GHG Compliance'!M32,'Current GHG Compliance'!M32)+IF(Table44[[#This Row],[Cold]:[Cold]]="Y",'Cold Weather Package'!M32,0)+IF(Table44[[#This Row],[eAWD]:[eAWD]]="Y",'eAWD Package'!M32,0)+IF(Table44[[#This Row],[Towing]:[Towing]]="Y",'Towing Bat Cost'!M32,0),"N/A")</f>
        <v>4335.5148867784756</v>
      </c>
      <c r="R91" s="157">
        <f>IF(Table44[[#This Row],[Applicable Package?]:[Applicable Package?]]="Y",SUM('Rolled Up Non-Incremental Costs'!N32,'ICE Removal Cost'!N32,'Trans Removal Cost'!N32,'LEV3 Criteria Emissions Cost'!N32,'ZEV Assembly Reductions'!N32,'ACCII Criteria Compliance Cost'!N32,'ACCII GHG Compliance'!N32,'Current GHG Compliance'!N32)+IF(Table44[[#This Row],[Cold]:[Cold]]="Y",'Cold Weather Package'!N32,0)+IF(Table44[[#This Row],[eAWD]:[eAWD]]="Y",'eAWD Package'!N32,0)+IF(Table44[[#This Row],[Towing]:[Towing]]="Y",'Towing Bat Cost'!N32,0),"N/A")</f>
        <v>3925.4332123356535</v>
      </c>
      <c r="S91" s="157">
        <f>IF(Table44[[#This Row],[Applicable Package?]:[Applicable Package?]]="Y",SUM('Rolled Up Non-Incremental Costs'!O32,'ICE Removal Cost'!O32,'Trans Removal Cost'!O32,'LEV3 Criteria Emissions Cost'!O32,'ZEV Assembly Reductions'!O32,'ACCII Criteria Compliance Cost'!O32,'ACCII GHG Compliance'!O32,'Current GHG Compliance'!O32)+IF(Table44[[#This Row],[Cold]:[Cold]]="Y",'Cold Weather Package'!O32,0)+IF(Table44[[#This Row],[eAWD]:[eAWD]]="Y",'eAWD Package'!O32,0)+IF(Table44[[#This Row],[Towing]:[Towing]]="Y",'Towing Bat Cost'!O32,0),"N/A")</f>
        <v>3520.9672352956641</v>
      </c>
    </row>
    <row r="92" spans="1:19" x14ac:dyDescent="0.3">
      <c r="A92" s="28" t="str">
        <f t="shared" si="2"/>
        <v>PickupBaseFCEV320</v>
      </c>
      <c r="B92" s="90" t="s">
        <v>89</v>
      </c>
      <c r="C92" s="68" t="s">
        <v>75</v>
      </c>
      <c r="D92" s="68" t="str">
        <f>'Vehicle Attributes - Base Year'!D30</f>
        <v>FCEV320</v>
      </c>
      <c r="E92" s="124" t="s">
        <v>77</v>
      </c>
      <c r="F92" s="124" t="s">
        <v>76</v>
      </c>
      <c r="G92" s="125" t="s">
        <v>77</v>
      </c>
      <c r="H92" s="156" t="s">
        <v>76</v>
      </c>
      <c r="I92" s="157">
        <f>IF(Table44[[#This Row],[Applicable Package?]:[Applicable Package?]]="Y",SUM('Rolled Up Non-Incremental Costs'!E33,'ICE Removal Cost'!E33,'Trans Removal Cost'!E33,'LEV3 Criteria Emissions Cost'!E33,'ZEV Assembly Reductions'!E33,'ACCII Criteria Compliance Cost'!E33,'ACCII GHG Compliance'!E33,'Current GHG Compliance'!E33)+IF(Table44[[#This Row],[Cold]:[Cold]]="Y",'Cold Weather Package'!E33,0)+IF(Table44[[#This Row],[eAWD]:[eAWD]]="Y",'eAWD Package'!E33,0)+IF(Table44[[#This Row],[Towing]:[Towing]]="Y",'Towing Bat Cost'!E33,0),"N/A")</f>
        <v>16410.07337363714</v>
      </c>
      <c r="J92" s="157">
        <f>IF(Table44[[#This Row],[Applicable Package?]:[Applicable Package?]]="Y",SUM('Rolled Up Non-Incremental Costs'!F33,'ICE Removal Cost'!F33,'Trans Removal Cost'!F33,'LEV3 Criteria Emissions Cost'!F33,'ZEV Assembly Reductions'!F33,'ACCII Criteria Compliance Cost'!F33,'ACCII GHG Compliance'!F33,'Current GHG Compliance'!F33)+IF(Table44[[#This Row],[Cold]:[Cold]]="Y",'Cold Weather Package'!F33,0)+IF(Table44[[#This Row],[eAWD]:[eAWD]]="Y",'eAWD Package'!F33,0)+IF(Table44[[#This Row],[Towing]:[Towing]]="Y",'Towing Bat Cost'!F33,0),"N/A")</f>
        <v>14848.697640580682</v>
      </c>
      <c r="K92" s="157">
        <f>IF(Table44[[#This Row],[Applicable Package?]:[Applicable Package?]]="Y",SUM('Rolled Up Non-Incremental Costs'!G33,'ICE Removal Cost'!G33,'Trans Removal Cost'!G33,'LEV3 Criteria Emissions Cost'!G33,'ZEV Assembly Reductions'!G33,'ACCII Criteria Compliance Cost'!G33,'ACCII GHG Compliance'!G33,'Current GHG Compliance'!G33)+IF(Table44[[#This Row],[Cold]:[Cold]]="Y",'Cold Weather Package'!G33,0)+IF(Table44[[#This Row],[eAWD]:[eAWD]]="Y",'eAWD Package'!G33,0)+IF(Table44[[#This Row],[Towing]:[Towing]]="Y",'Towing Bat Cost'!G33,0),"N/A")</f>
        <v>13318.441879758549</v>
      </c>
      <c r="L92" s="157">
        <f>IF(Table44[[#This Row],[Applicable Package?]:[Applicable Package?]]="Y",SUM('Rolled Up Non-Incremental Costs'!H33,'ICE Removal Cost'!H33,'Trans Removal Cost'!H33,'LEV3 Criteria Emissions Cost'!H33,'ZEV Assembly Reductions'!H33,'ACCII Criteria Compliance Cost'!H33,'ACCII GHG Compliance'!H33,'Current GHG Compliance'!H33)+IF(Table44[[#This Row],[Cold]:[Cold]]="Y",'Cold Weather Package'!H33,0)+IF(Table44[[#This Row],[eAWD]:[eAWD]]="Y",'eAWD Package'!H33,0)+IF(Table44[[#This Row],[Towing]:[Towing]]="Y",'Towing Bat Cost'!H33,0),"N/A")</f>
        <v>11819.285983705739</v>
      </c>
      <c r="M92" s="157">
        <f>IF(Table44[[#This Row],[Applicable Package?]:[Applicable Package?]]="Y",SUM('Rolled Up Non-Incremental Costs'!I33,'ICE Removal Cost'!I33,'Trans Removal Cost'!I33,'LEV3 Criteria Emissions Cost'!I33,'ZEV Assembly Reductions'!I33,'ACCII Criteria Compliance Cost'!I33,'ACCII GHG Compliance'!I33,'Current GHG Compliance'!I33)+IF(Table44[[#This Row],[Cold]:[Cold]]="Y",'Cold Weather Package'!I33,0)+IF(Table44[[#This Row],[eAWD]:[eAWD]]="Y",'eAWD Package'!I33,0)+IF(Table44[[#This Row],[Towing]:[Towing]]="Y",'Towing Bat Cost'!I33,0),"N/A")</f>
        <v>10351.210092802874</v>
      </c>
      <c r="N92" s="157">
        <f>IF(Table44[[#This Row],[Applicable Package?]:[Applicable Package?]]="Y",SUM('Rolled Up Non-Incremental Costs'!J33,'ICE Removal Cost'!J33,'Trans Removal Cost'!J33,'LEV3 Criteria Emissions Cost'!J33,'ZEV Assembly Reductions'!J33,'ACCII Criteria Compliance Cost'!J33,'ACCII GHG Compliance'!J33,'Current GHG Compliance'!J33)+IF(Table44[[#This Row],[Cold]:[Cold]]="Y",'Cold Weather Package'!J33,0)+IF(Table44[[#This Row],[eAWD]:[eAWD]]="Y",'eAWD Package'!J33,0)+IF(Table44[[#This Row],[Towing]:[Towing]]="Y",'Towing Bat Cost'!J33,0),"N/A")</f>
        <v>8914.1945923300191</v>
      </c>
      <c r="O92" s="157">
        <f>IF(Table44[[#This Row],[Applicable Package?]:[Applicable Package?]]="Y",SUM('Rolled Up Non-Incremental Costs'!K33,'ICE Removal Cost'!K33,'Trans Removal Cost'!K33,'LEV3 Criteria Emissions Cost'!K33,'ZEV Assembly Reductions'!K33,'ACCII Criteria Compliance Cost'!K33,'ACCII GHG Compliance'!K33,'Current GHG Compliance'!K33)+IF(Table44[[#This Row],[Cold]:[Cold]]="Y",'Cold Weather Package'!K33,0)+IF(Table44[[#This Row],[eAWD]:[eAWD]]="Y",'eAWD Package'!K33,0)+IF(Table44[[#This Row],[Towing]:[Towing]]="Y",'Towing Bat Cost'!K33,0),"N/A")</f>
        <v>8338.7990408796431</v>
      </c>
      <c r="P92" s="157">
        <f>IF(Table44[[#This Row],[Applicable Package?]:[Applicable Package?]]="Y",SUM('Rolled Up Non-Incremental Costs'!L33,'ICE Removal Cost'!L33,'Trans Removal Cost'!L33,'LEV3 Criteria Emissions Cost'!L33,'ZEV Assembly Reductions'!L33,'ACCII Criteria Compliance Cost'!L33,'ACCII GHG Compliance'!L33,'Current GHG Compliance'!L33)+IF(Table44[[#This Row],[Cold]:[Cold]]="Y",'Cold Weather Package'!L33,0)+IF(Table44[[#This Row],[eAWD]:[eAWD]]="Y",'eAWD Package'!L33,0)+IF(Table44[[#This Row],[Towing]:[Towing]]="Y",'Towing Bat Cost'!L33,0),"N/A")</f>
        <v>7771.6647440792003</v>
      </c>
      <c r="Q92" s="157">
        <f>IF(Table44[[#This Row],[Applicable Package?]:[Applicable Package?]]="Y",SUM('Rolled Up Non-Incremental Costs'!M33,'ICE Removal Cost'!M33,'Trans Removal Cost'!M33,'LEV3 Criteria Emissions Cost'!M33,'ZEV Assembly Reductions'!M33,'ACCII Criteria Compliance Cost'!M33,'ACCII GHG Compliance'!M33,'Current GHG Compliance'!M33)+IF(Table44[[#This Row],[Cold]:[Cold]]="Y",'Cold Weather Package'!M33,0)+IF(Table44[[#This Row],[eAWD]:[eAWD]]="Y",'eAWD Package'!M33,0)+IF(Table44[[#This Row],[Towing]:[Towing]]="Y",'Towing Bat Cost'!M33,0),"N/A")</f>
        <v>7212.7861481855534</v>
      </c>
      <c r="R92" s="157">
        <f>IF(Table44[[#This Row],[Applicable Package?]:[Applicable Package?]]="Y",SUM('Rolled Up Non-Incremental Costs'!N33,'ICE Removal Cost'!N33,'Trans Removal Cost'!N33,'LEV3 Criteria Emissions Cost'!N33,'ZEV Assembly Reductions'!N33,'ACCII Criteria Compliance Cost'!N33,'ACCII GHG Compliance'!N33,'Current GHG Compliance'!N33)+IF(Table44[[#This Row],[Cold]:[Cold]]="Y",'Cold Weather Package'!N33,0)+IF(Table44[[#This Row],[eAWD]:[eAWD]]="Y",'eAWD Package'!N33,0)+IF(Table44[[#This Row],[Towing]:[Towing]]="Y",'Towing Bat Cost'!N33,0),"N/A")</f>
        <v>6662.1577549929916</v>
      </c>
      <c r="S92" s="157">
        <f>IF(Table44[[#This Row],[Applicable Package?]:[Applicable Package?]]="Y",SUM('Rolled Up Non-Incremental Costs'!O33,'ICE Removal Cost'!O33,'Trans Removal Cost'!O33,'LEV3 Criteria Emissions Cost'!O33,'ZEV Assembly Reductions'!O33,'ACCII Criteria Compliance Cost'!O33,'ACCII GHG Compliance'!O33,'Current GHG Compliance'!O33)+IF(Table44[[#This Row],[Cold]:[Cold]]="Y",'Cold Weather Package'!O33,0)+IF(Table44[[#This Row],[eAWD]:[eAWD]]="Y",'eAWD Package'!O33,0)+IF(Table44[[#This Row],[Towing]:[Towing]]="Y",'Towing Bat Cost'!O33,0),"N/A")</f>
        <v>6119.7741212778601</v>
      </c>
    </row>
    <row r="93" spans="1:19" x14ac:dyDescent="0.3">
      <c r="A93" t="str">
        <f t="shared" si="2"/>
        <v>PickupHTFCEV320</v>
      </c>
      <c r="B93" s="90" t="s">
        <v>89</v>
      </c>
      <c r="C93" s="68" t="s">
        <v>113</v>
      </c>
      <c r="D93" s="68" t="str">
        <f>'Vehicle Attributes - Base Year'!D31</f>
        <v>FCEV320</v>
      </c>
      <c r="E93" s="124" t="s">
        <v>77</v>
      </c>
      <c r="F93" s="124" t="s">
        <v>76</v>
      </c>
      <c r="G93" s="125" t="s">
        <v>77</v>
      </c>
      <c r="H93" s="156" t="s">
        <v>76</v>
      </c>
      <c r="I93" s="157">
        <f>IF(Table44[[#This Row],[Applicable Package?]:[Applicable Package?]]="Y",SUM('Rolled Up Non-Incremental Costs'!E34,'ICE Removal Cost'!E34,'Trans Removal Cost'!E34,'LEV3 Criteria Emissions Cost'!E34,'ZEV Assembly Reductions'!E34,'ACCII Criteria Compliance Cost'!E34,'ACCII GHG Compliance'!E34,'Current GHG Compliance'!E34)+IF(Table44[[#This Row],[Cold]:[Cold]]="Y",'Cold Weather Package'!E34,0)+IF(Table44[[#This Row],[eAWD]:[eAWD]]="Y",'eAWD Package'!E34,0)+IF(Table44[[#This Row],[Towing]:[Towing]]="Y",'Towing Bat Cost'!E34,0),"N/A")</f>
        <v>16410.07337363714</v>
      </c>
      <c r="J93" s="157">
        <f>IF(Table44[[#This Row],[Applicable Package?]:[Applicable Package?]]="Y",SUM('Rolled Up Non-Incremental Costs'!F34,'ICE Removal Cost'!F34,'Trans Removal Cost'!F34,'LEV3 Criteria Emissions Cost'!F34,'ZEV Assembly Reductions'!F34,'ACCII Criteria Compliance Cost'!F34,'ACCII GHG Compliance'!F34,'Current GHG Compliance'!F34)+IF(Table44[[#This Row],[Cold]:[Cold]]="Y",'Cold Weather Package'!F34,0)+IF(Table44[[#This Row],[eAWD]:[eAWD]]="Y",'eAWD Package'!F34,0)+IF(Table44[[#This Row],[Towing]:[Towing]]="Y",'Towing Bat Cost'!F34,0),"N/A")</f>
        <v>14848.697640580682</v>
      </c>
      <c r="K93" s="157">
        <f>IF(Table44[[#This Row],[Applicable Package?]:[Applicable Package?]]="Y",SUM('Rolled Up Non-Incremental Costs'!G34,'ICE Removal Cost'!G34,'Trans Removal Cost'!G34,'LEV3 Criteria Emissions Cost'!G34,'ZEV Assembly Reductions'!G34,'ACCII Criteria Compliance Cost'!G34,'ACCII GHG Compliance'!G34,'Current GHG Compliance'!G34)+IF(Table44[[#This Row],[Cold]:[Cold]]="Y",'Cold Weather Package'!G34,0)+IF(Table44[[#This Row],[eAWD]:[eAWD]]="Y",'eAWD Package'!G34,0)+IF(Table44[[#This Row],[Towing]:[Towing]]="Y",'Towing Bat Cost'!G34,0),"N/A")</f>
        <v>13318.441879758549</v>
      </c>
      <c r="L93" s="157">
        <f>IF(Table44[[#This Row],[Applicable Package?]:[Applicable Package?]]="Y",SUM('Rolled Up Non-Incremental Costs'!H34,'ICE Removal Cost'!H34,'Trans Removal Cost'!H34,'LEV3 Criteria Emissions Cost'!H34,'ZEV Assembly Reductions'!H34,'ACCII Criteria Compliance Cost'!H34,'ACCII GHG Compliance'!H34,'Current GHG Compliance'!H34)+IF(Table44[[#This Row],[Cold]:[Cold]]="Y",'Cold Weather Package'!H34,0)+IF(Table44[[#This Row],[eAWD]:[eAWD]]="Y",'eAWD Package'!H34,0)+IF(Table44[[#This Row],[Towing]:[Towing]]="Y",'Towing Bat Cost'!H34,0),"N/A")</f>
        <v>11819.285983705739</v>
      </c>
      <c r="M93" s="157">
        <f>IF(Table44[[#This Row],[Applicable Package?]:[Applicable Package?]]="Y",SUM('Rolled Up Non-Incremental Costs'!I34,'ICE Removal Cost'!I34,'Trans Removal Cost'!I34,'LEV3 Criteria Emissions Cost'!I34,'ZEV Assembly Reductions'!I34,'ACCII Criteria Compliance Cost'!I34,'ACCII GHG Compliance'!I34,'Current GHG Compliance'!I34)+IF(Table44[[#This Row],[Cold]:[Cold]]="Y",'Cold Weather Package'!I34,0)+IF(Table44[[#This Row],[eAWD]:[eAWD]]="Y",'eAWD Package'!I34,0)+IF(Table44[[#This Row],[Towing]:[Towing]]="Y",'Towing Bat Cost'!I34,0),"N/A")</f>
        <v>10351.210092802874</v>
      </c>
      <c r="N93" s="157">
        <f>IF(Table44[[#This Row],[Applicable Package?]:[Applicable Package?]]="Y",SUM('Rolled Up Non-Incremental Costs'!J34,'ICE Removal Cost'!J34,'Trans Removal Cost'!J34,'LEV3 Criteria Emissions Cost'!J34,'ZEV Assembly Reductions'!J34,'ACCII Criteria Compliance Cost'!J34,'ACCII GHG Compliance'!J34,'Current GHG Compliance'!J34)+IF(Table44[[#This Row],[Cold]:[Cold]]="Y",'Cold Weather Package'!J34,0)+IF(Table44[[#This Row],[eAWD]:[eAWD]]="Y",'eAWD Package'!J34,0)+IF(Table44[[#This Row],[Towing]:[Towing]]="Y",'Towing Bat Cost'!J34,0),"N/A")</f>
        <v>8914.1945923300191</v>
      </c>
      <c r="O93" s="157">
        <f>IF(Table44[[#This Row],[Applicable Package?]:[Applicable Package?]]="Y",SUM('Rolled Up Non-Incremental Costs'!K34,'ICE Removal Cost'!K34,'Trans Removal Cost'!K34,'LEV3 Criteria Emissions Cost'!K34,'ZEV Assembly Reductions'!K34,'ACCII Criteria Compliance Cost'!K34,'ACCII GHG Compliance'!K34,'Current GHG Compliance'!K34)+IF(Table44[[#This Row],[Cold]:[Cold]]="Y",'Cold Weather Package'!K34,0)+IF(Table44[[#This Row],[eAWD]:[eAWD]]="Y",'eAWD Package'!K34,0)+IF(Table44[[#This Row],[Towing]:[Towing]]="Y",'Towing Bat Cost'!K34,0),"N/A")</f>
        <v>8338.7990408796431</v>
      </c>
      <c r="P93" s="157">
        <f>IF(Table44[[#This Row],[Applicable Package?]:[Applicable Package?]]="Y",SUM('Rolled Up Non-Incremental Costs'!L34,'ICE Removal Cost'!L34,'Trans Removal Cost'!L34,'LEV3 Criteria Emissions Cost'!L34,'ZEV Assembly Reductions'!L34,'ACCII Criteria Compliance Cost'!L34,'ACCII GHG Compliance'!L34,'Current GHG Compliance'!L34)+IF(Table44[[#This Row],[Cold]:[Cold]]="Y",'Cold Weather Package'!L34,0)+IF(Table44[[#This Row],[eAWD]:[eAWD]]="Y",'eAWD Package'!L34,0)+IF(Table44[[#This Row],[Towing]:[Towing]]="Y",'Towing Bat Cost'!L34,0),"N/A")</f>
        <v>7771.6647440792003</v>
      </c>
      <c r="Q93" s="157">
        <f>IF(Table44[[#This Row],[Applicable Package?]:[Applicable Package?]]="Y",SUM('Rolled Up Non-Incremental Costs'!M34,'ICE Removal Cost'!M34,'Trans Removal Cost'!M34,'LEV3 Criteria Emissions Cost'!M34,'ZEV Assembly Reductions'!M34,'ACCII Criteria Compliance Cost'!M34,'ACCII GHG Compliance'!M34,'Current GHG Compliance'!M34)+IF(Table44[[#This Row],[Cold]:[Cold]]="Y",'Cold Weather Package'!M34,0)+IF(Table44[[#This Row],[eAWD]:[eAWD]]="Y",'eAWD Package'!M34,0)+IF(Table44[[#This Row],[Towing]:[Towing]]="Y",'Towing Bat Cost'!M34,0),"N/A")</f>
        <v>7212.7861481855534</v>
      </c>
      <c r="R93" s="157">
        <f>IF(Table44[[#This Row],[Applicable Package?]:[Applicable Package?]]="Y",SUM('Rolled Up Non-Incremental Costs'!N34,'ICE Removal Cost'!N34,'Trans Removal Cost'!N34,'LEV3 Criteria Emissions Cost'!N34,'ZEV Assembly Reductions'!N34,'ACCII Criteria Compliance Cost'!N34,'ACCII GHG Compliance'!N34,'Current GHG Compliance'!N34)+IF(Table44[[#This Row],[Cold]:[Cold]]="Y",'Cold Weather Package'!N34,0)+IF(Table44[[#This Row],[eAWD]:[eAWD]]="Y",'eAWD Package'!N34,0)+IF(Table44[[#This Row],[Towing]:[Towing]]="Y",'Towing Bat Cost'!N34,0),"N/A")</f>
        <v>6662.1577549929916</v>
      </c>
      <c r="S93" s="157">
        <f>IF(Table44[[#This Row],[Applicable Package?]:[Applicable Package?]]="Y",SUM('Rolled Up Non-Incremental Costs'!O34,'ICE Removal Cost'!O34,'Trans Removal Cost'!O34,'LEV3 Criteria Emissions Cost'!O34,'ZEV Assembly Reductions'!O34,'ACCII Criteria Compliance Cost'!O34,'ACCII GHG Compliance'!O34,'Current GHG Compliance'!O34)+IF(Table44[[#This Row],[Cold]:[Cold]]="Y",'Cold Weather Package'!O34,0)+IF(Table44[[#This Row],[eAWD]:[eAWD]]="Y",'eAWD Package'!O34,0)+IF(Table44[[#This Row],[Towing]:[Towing]]="Y",'Towing Bat Cost'!O34,0),"N/A")</f>
        <v>6119.7741212778601</v>
      </c>
    </row>
    <row r="94" spans="1:19" hidden="1" x14ac:dyDescent="0.3">
      <c r="A94" s="28" t="str">
        <f t="shared" si="2"/>
        <v>SmallCarBaseBEV300</v>
      </c>
      <c r="B94" s="90" t="s">
        <v>73</v>
      </c>
      <c r="C94" s="68" t="s">
        <v>75</v>
      </c>
      <c r="D94" s="68" t="str">
        <f>'Vehicle Attributes - Base Year'!D2</f>
        <v>BEV300</v>
      </c>
      <c r="E94" s="124" t="s">
        <v>77</v>
      </c>
      <c r="F94" s="124" t="s">
        <v>77</v>
      </c>
      <c r="G94" s="125" t="s">
        <v>76</v>
      </c>
      <c r="H94" s="156" t="s">
        <v>77</v>
      </c>
      <c r="I94" s="157" t="str">
        <f>IF(Table44[[#This Row],[Applicable Package?]:[Applicable Package?]]="Y",SUM('Rolled Up Non-Incremental Costs'!E5,'ICE Removal Cost'!E5,'Trans Removal Cost'!E5,'LEV3 Criteria Emissions Cost'!E5,'ZEV Assembly Reductions'!E5,'ACCII Criteria Compliance Cost'!E5,'ACCII GHG Compliance'!E5,'Current GHG Compliance'!E5)+IF(Table44[[#This Row],[Cold]:[Cold]]="Y",'Cold Weather Package'!E5,0)+IF(Table44[[#This Row],[eAWD]:[eAWD]]="Y",'eAWD Package'!E5,0)+IF(Table44[[#This Row],[Towing]:[Towing]]="Y",'Towing Bat Cost'!E5,0),"N/A")</f>
        <v>N/A</v>
      </c>
      <c r="J94" s="157" t="str">
        <f>IF(Table44[[#This Row],[Applicable Package?]:[Applicable Package?]]="Y",SUM('Rolled Up Non-Incremental Costs'!F5,'ICE Removal Cost'!F5,'Trans Removal Cost'!F5,'LEV3 Criteria Emissions Cost'!F5,'ZEV Assembly Reductions'!F5,'ACCII Criteria Compliance Cost'!F5,'ACCII GHG Compliance'!F5,'Current GHG Compliance'!F5)+IF(Table44[[#This Row],[Cold]:[Cold]]="Y",'Cold Weather Package'!F5,0)+IF(Table44[[#This Row],[eAWD]:[eAWD]]="Y",'eAWD Package'!F5,0)+IF(Table44[[#This Row],[Towing]:[Towing]]="Y",'Towing Bat Cost'!F5,0),"N/A")</f>
        <v>N/A</v>
      </c>
      <c r="K94" s="157" t="str">
        <f>IF(Table44[[#This Row],[Applicable Package?]:[Applicable Package?]]="Y",SUM('Rolled Up Non-Incremental Costs'!G5,'ICE Removal Cost'!G5,'Trans Removal Cost'!G5,'LEV3 Criteria Emissions Cost'!G5,'ZEV Assembly Reductions'!G5,'ACCII Criteria Compliance Cost'!G5,'ACCII GHG Compliance'!G5,'Current GHG Compliance'!G5)+IF(Table44[[#This Row],[Cold]:[Cold]]="Y",'Cold Weather Package'!G5,0)+IF(Table44[[#This Row],[eAWD]:[eAWD]]="Y",'eAWD Package'!G5,0)+IF(Table44[[#This Row],[Towing]:[Towing]]="Y",'Towing Bat Cost'!G5,0),"N/A")</f>
        <v>N/A</v>
      </c>
      <c r="L94" s="157" t="str">
        <f>IF(Table44[[#This Row],[Applicable Package?]:[Applicable Package?]]="Y",SUM('Rolled Up Non-Incremental Costs'!H5,'ICE Removal Cost'!H5,'Trans Removal Cost'!H5,'LEV3 Criteria Emissions Cost'!H5,'ZEV Assembly Reductions'!H5,'ACCII Criteria Compliance Cost'!H5,'ACCII GHG Compliance'!H5,'Current GHG Compliance'!H5)+IF(Table44[[#This Row],[Cold]:[Cold]]="Y",'Cold Weather Package'!H5,0)+IF(Table44[[#This Row],[eAWD]:[eAWD]]="Y",'eAWD Package'!H5,0)+IF(Table44[[#This Row],[Towing]:[Towing]]="Y",'Towing Bat Cost'!H5,0),"N/A")</f>
        <v>N/A</v>
      </c>
      <c r="M94" s="157" t="str">
        <f>IF(Table44[[#This Row],[Applicable Package?]:[Applicable Package?]]="Y",SUM('Rolled Up Non-Incremental Costs'!I5,'ICE Removal Cost'!I5,'Trans Removal Cost'!I5,'LEV3 Criteria Emissions Cost'!I5,'ZEV Assembly Reductions'!I5,'ACCII Criteria Compliance Cost'!I5,'ACCII GHG Compliance'!I5,'Current GHG Compliance'!I5)+IF(Table44[[#This Row],[Cold]:[Cold]]="Y",'Cold Weather Package'!I5,0)+IF(Table44[[#This Row],[eAWD]:[eAWD]]="Y",'eAWD Package'!I5,0)+IF(Table44[[#This Row],[Towing]:[Towing]]="Y",'Towing Bat Cost'!I5,0),"N/A")</f>
        <v>N/A</v>
      </c>
      <c r="N94" s="157" t="str">
        <f>IF(Table44[[#This Row],[Applicable Package?]:[Applicable Package?]]="Y",SUM('Rolled Up Non-Incremental Costs'!J5,'ICE Removal Cost'!J5,'Trans Removal Cost'!J5,'LEV3 Criteria Emissions Cost'!J5,'ZEV Assembly Reductions'!J5,'ACCII Criteria Compliance Cost'!J5,'ACCII GHG Compliance'!J5,'Current GHG Compliance'!J5)+IF(Table44[[#This Row],[Cold]:[Cold]]="Y",'Cold Weather Package'!J5,0)+IF(Table44[[#This Row],[eAWD]:[eAWD]]="Y",'eAWD Package'!J5,0)+IF(Table44[[#This Row],[Towing]:[Towing]]="Y",'Towing Bat Cost'!J5,0),"N/A")</f>
        <v>N/A</v>
      </c>
      <c r="O94" s="157" t="str">
        <f>IF(Table44[[#This Row],[Applicable Package?]:[Applicable Package?]]="Y",SUM('Rolled Up Non-Incremental Costs'!K5,'ICE Removal Cost'!K5,'Trans Removal Cost'!K5,'LEV3 Criteria Emissions Cost'!K5,'ZEV Assembly Reductions'!K5,'ACCII Criteria Compliance Cost'!K5,'ACCII GHG Compliance'!K5,'Current GHG Compliance'!K5)+IF(Table44[[#This Row],[Cold]:[Cold]]="Y",'Cold Weather Package'!K5,0)+IF(Table44[[#This Row],[eAWD]:[eAWD]]="Y",'eAWD Package'!K5,0)+IF(Table44[[#This Row],[Towing]:[Towing]]="Y",'Towing Bat Cost'!K5,0),"N/A")</f>
        <v>N/A</v>
      </c>
      <c r="P94" s="157" t="str">
        <f>IF(Table44[[#This Row],[Applicable Package?]:[Applicable Package?]]="Y",SUM('Rolled Up Non-Incremental Costs'!L5,'ICE Removal Cost'!L5,'Trans Removal Cost'!L5,'LEV3 Criteria Emissions Cost'!L5,'ZEV Assembly Reductions'!L5,'ACCII Criteria Compliance Cost'!L5,'ACCII GHG Compliance'!L5,'Current GHG Compliance'!L5)+IF(Table44[[#This Row],[Cold]:[Cold]]="Y",'Cold Weather Package'!L5,0)+IF(Table44[[#This Row],[eAWD]:[eAWD]]="Y",'eAWD Package'!L5,0)+IF(Table44[[#This Row],[Towing]:[Towing]]="Y",'Towing Bat Cost'!L5,0),"N/A")</f>
        <v>N/A</v>
      </c>
      <c r="Q94" s="157" t="str">
        <f>IF(Table44[[#This Row],[Applicable Package?]:[Applicable Package?]]="Y",SUM('Rolled Up Non-Incremental Costs'!M5,'ICE Removal Cost'!M5,'Trans Removal Cost'!M5,'LEV3 Criteria Emissions Cost'!M5,'ZEV Assembly Reductions'!M5,'ACCII Criteria Compliance Cost'!M5,'ACCII GHG Compliance'!M5,'Current GHG Compliance'!M5)+IF(Table44[[#This Row],[Cold]:[Cold]]="Y",'Cold Weather Package'!M5,0)+IF(Table44[[#This Row],[eAWD]:[eAWD]]="Y",'eAWD Package'!M5,0)+IF(Table44[[#This Row],[Towing]:[Towing]]="Y",'Towing Bat Cost'!M5,0),"N/A")</f>
        <v>N/A</v>
      </c>
      <c r="R94" s="157" t="str">
        <f>IF(Table44[[#This Row],[Applicable Package?]:[Applicable Package?]]="Y",SUM('Rolled Up Non-Incremental Costs'!N5,'ICE Removal Cost'!N5,'Trans Removal Cost'!N5,'LEV3 Criteria Emissions Cost'!N5,'ZEV Assembly Reductions'!N5,'ACCII Criteria Compliance Cost'!N5,'ACCII GHG Compliance'!N5,'Current GHG Compliance'!N5)+IF(Table44[[#This Row],[Cold]:[Cold]]="Y",'Cold Weather Package'!N5,0)+IF(Table44[[#This Row],[eAWD]:[eAWD]]="Y",'eAWD Package'!N5,0)+IF(Table44[[#This Row],[Towing]:[Towing]]="Y",'Towing Bat Cost'!N5,0),"N/A")</f>
        <v>N/A</v>
      </c>
      <c r="S94" s="157" t="str">
        <f>IF(Table44[[#This Row],[Applicable Package?]:[Applicable Package?]]="Y",SUM('Rolled Up Non-Incremental Costs'!O5,'ICE Removal Cost'!O5,'Trans Removal Cost'!O5,'LEV3 Criteria Emissions Cost'!O5,'ZEV Assembly Reductions'!O5,'ACCII Criteria Compliance Cost'!O5,'ACCII GHG Compliance'!O5,'Current GHG Compliance'!O5)+IF(Table44[[#This Row],[Cold]:[Cold]]="Y",'Cold Weather Package'!O5,0)+IF(Table44[[#This Row],[eAWD]:[eAWD]]="Y",'eAWD Package'!O5,0)+IF(Table44[[#This Row],[Towing]:[Towing]]="Y",'Towing Bat Cost'!O5,0),"N/A")</f>
        <v>N/A</v>
      </c>
    </row>
    <row r="95" spans="1:19" hidden="1" x14ac:dyDescent="0.3">
      <c r="A95" t="str">
        <f t="shared" si="2"/>
        <v>SmallCarPremiumBEV400</v>
      </c>
      <c r="B95" s="90" t="s">
        <v>73</v>
      </c>
      <c r="C95" s="68" t="s">
        <v>80</v>
      </c>
      <c r="D95" s="68" t="str">
        <f>'Vehicle Attributes - Base Year'!D3</f>
        <v>BEV400</v>
      </c>
      <c r="E95" s="124" t="s">
        <v>77</v>
      </c>
      <c r="F95" s="124" t="s">
        <v>77</v>
      </c>
      <c r="G95" s="125" t="s">
        <v>76</v>
      </c>
      <c r="H95" s="156" t="s">
        <v>77</v>
      </c>
      <c r="I95" s="157" t="str">
        <f>IF(Table44[[#This Row],[Applicable Package?]:[Applicable Package?]]="Y",SUM('Rolled Up Non-Incremental Costs'!E6,'ICE Removal Cost'!E6,'Trans Removal Cost'!E6,'LEV3 Criteria Emissions Cost'!E6,'ZEV Assembly Reductions'!E6,'ACCII Criteria Compliance Cost'!E6,'ACCII GHG Compliance'!E6,'Current GHG Compliance'!E6)+IF(Table44[[#This Row],[Cold]:[Cold]]="Y",'Cold Weather Package'!E6,0)+IF(Table44[[#This Row],[eAWD]:[eAWD]]="Y",'eAWD Package'!E6,0)+IF(Table44[[#This Row],[Towing]:[Towing]]="Y",'Towing Bat Cost'!E6,0),"N/A")</f>
        <v>N/A</v>
      </c>
      <c r="J95" s="157" t="str">
        <f>IF(Table44[[#This Row],[Applicable Package?]:[Applicable Package?]]="Y",SUM('Rolled Up Non-Incremental Costs'!F6,'ICE Removal Cost'!F6,'Trans Removal Cost'!F6,'LEV3 Criteria Emissions Cost'!F6,'ZEV Assembly Reductions'!F6,'ACCII Criteria Compliance Cost'!F6,'ACCII GHG Compliance'!F6,'Current GHG Compliance'!F6)+IF(Table44[[#This Row],[Cold]:[Cold]]="Y",'Cold Weather Package'!F6,0)+IF(Table44[[#This Row],[eAWD]:[eAWD]]="Y",'eAWD Package'!F6,0)+IF(Table44[[#This Row],[Towing]:[Towing]]="Y",'Towing Bat Cost'!F6,0),"N/A")</f>
        <v>N/A</v>
      </c>
      <c r="K95" s="157" t="str">
        <f>IF(Table44[[#This Row],[Applicable Package?]:[Applicable Package?]]="Y",SUM('Rolled Up Non-Incremental Costs'!G6,'ICE Removal Cost'!G6,'Trans Removal Cost'!G6,'LEV3 Criteria Emissions Cost'!G6,'ZEV Assembly Reductions'!G6,'ACCII Criteria Compliance Cost'!G6,'ACCII GHG Compliance'!G6,'Current GHG Compliance'!G6)+IF(Table44[[#This Row],[Cold]:[Cold]]="Y",'Cold Weather Package'!G6,0)+IF(Table44[[#This Row],[eAWD]:[eAWD]]="Y",'eAWD Package'!G6,0)+IF(Table44[[#This Row],[Towing]:[Towing]]="Y",'Towing Bat Cost'!G6,0),"N/A")</f>
        <v>N/A</v>
      </c>
      <c r="L95" s="157" t="str">
        <f>IF(Table44[[#This Row],[Applicable Package?]:[Applicable Package?]]="Y",SUM('Rolled Up Non-Incremental Costs'!H6,'ICE Removal Cost'!H6,'Trans Removal Cost'!H6,'LEV3 Criteria Emissions Cost'!H6,'ZEV Assembly Reductions'!H6,'ACCII Criteria Compliance Cost'!H6,'ACCII GHG Compliance'!H6,'Current GHG Compliance'!H6)+IF(Table44[[#This Row],[Cold]:[Cold]]="Y",'Cold Weather Package'!H6,0)+IF(Table44[[#This Row],[eAWD]:[eAWD]]="Y",'eAWD Package'!H6,0)+IF(Table44[[#This Row],[Towing]:[Towing]]="Y",'Towing Bat Cost'!H6,0),"N/A")</f>
        <v>N/A</v>
      </c>
      <c r="M95" s="157" t="str">
        <f>IF(Table44[[#This Row],[Applicable Package?]:[Applicable Package?]]="Y",SUM('Rolled Up Non-Incremental Costs'!I6,'ICE Removal Cost'!I6,'Trans Removal Cost'!I6,'LEV3 Criteria Emissions Cost'!I6,'ZEV Assembly Reductions'!I6,'ACCII Criteria Compliance Cost'!I6,'ACCII GHG Compliance'!I6,'Current GHG Compliance'!I6)+IF(Table44[[#This Row],[Cold]:[Cold]]="Y",'Cold Weather Package'!I6,0)+IF(Table44[[#This Row],[eAWD]:[eAWD]]="Y",'eAWD Package'!I6,0)+IF(Table44[[#This Row],[Towing]:[Towing]]="Y",'Towing Bat Cost'!I6,0),"N/A")</f>
        <v>N/A</v>
      </c>
      <c r="N95" s="157" t="str">
        <f>IF(Table44[[#This Row],[Applicable Package?]:[Applicable Package?]]="Y",SUM('Rolled Up Non-Incremental Costs'!J6,'ICE Removal Cost'!J6,'Trans Removal Cost'!J6,'LEV3 Criteria Emissions Cost'!J6,'ZEV Assembly Reductions'!J6,'ACCII Criteria Compliance Cost'!J6,'ACCII GHG Compliance'!J6,'Current GHG Compliance'!J6)+IF(Table44[[#This Row],[Cold]:[Cold]]="Y",'Cold Weather Package'!J6,0)+IF(Table44[[#This Row],[eAWD]:[eAWD]]="Y",'eAWD Package'!J6,0)+IF(Table44[[#This Row],[Towing]:[Towing]]="Y",'Towing Bat Cost'!J6,0),"N/A")</f>
        <v>N/A</v>
      </c>
      <c r="O95" s="157" t="str">
        <f>IF(Table44[[#This Row],[Applicable Package?]:[Applicable Package?]]="Y",SUM('Rolled Up Non-Incremental Costs'!K6,'ICE Removal Cost'!K6,'Trans Removal Cost'!K6,'LEV3 Criteria Emissions Cost'!K6,'ZEV Assembly Reductions'!K6,'ACCII Criteria Compliance Cost'!K6,'ACCII GHG Compliance'!K6,'Current GHG Compliance'!K6)+IF(Table44[[#This Row],[Cold]:[Cold]]="Y",'Cold Weather Package'!K6,0)+IF(Table44[[#This Row],[eAWD]:[eAWD]]="Y",'eAWD Package'!K6,0)+IF(Table44[[#This Row],[Towing]:[Towing]]="Y",'Towing Bat Cost'!K6,0),"N/A")</f>
        <v>N/A</v>
      </c>
      <c r="P95" s="157" t="str">
        <f>IF(Table44[[#This Row],[Applicable Package?]:[Applicable Package?]]="Y",SUM('Rolled Up Non-Incremental Costs'!L6,'ICE Removal Cost'!L6,'Trans Removal Cost'!L6,'LEV3 Criteria Emissions Cost'!L6,'ZEV Assembly Reductions'!L6,'ACCII Criteria Compliance Cost'!L6,'ACCII GHG Compliance'!L6,'Current GHG Compliance'!L6)+IF(Table44[[#This Row],[Cold]:[Cold]]="Y",'Cold Weather Package'!L6,0)+IF(Table44[[#This Row],[eAWD]:[eAWD]]="Y",'eAWD Package'!L6,0)+IF(Table44[[#This Row],[Towing]:[Towing]]="Y",'Towing Bat Cost'!L6,0),"N/A")</f>
        <v>N/A</v>
      </c>
      <c r="Q95" s="157" t="str">
        <f>IF(Table44[[#This Row],[Applicable Package?]:[Applicable Package?]]="Y",SUM('Rolled Up Non-Incremental Costs'!M6,'ICE Removal Cost'!M6,'Trans Removal Cost'!M6,'LEV3 Criteria Emissions Cost'!M6,'ZEV Assembly Reductions'!M6,'ACCII Criteria Compliance Cost'!M6,'ACCII GHG Compliance'!M6,'Current GHG Compliance'!M6)+IF(Table44[[#This Row],[Cold]:[Cold]]="Y",'Cold Weather Package'!M6,0)+IF(Table44[[#This Row],[eAWD]:[eAWD]]="Y",'eAWD Package'!M6,0)+IF(Table44[[#This Row],[Towing]:[Towing]]="Y",'Towing Bat Cost'!M6,0),"N/A")</f>
        <v>N/A</v>
      </c>
      <c r="R95" s="157" t="str">
        <f>IF(Table44[[#This Row],[Applicable Package?]:[Applicable Package?]]="Y",SUM('Rolled Up Non-Incremental Costs'!N6,'ICE Removal Cost'!N6,'Trans Removal Cost'!N6,'LEV3 Criteria Emissions Cost'!N6,'ZEV Assembly Reductions'!N6,'ACCII Criteria Compliance Cost'!N6,'ACCII GHG Compliance'!N6,'Current GHG Compliance'!N6)+IF(Table44[[#This Row],[Cold]:[Cold]]="Y",'Cold Weather Package'!N6,0)+IF(Table44[[#This Row],[eAWD]:[eAWD]]="Y",'eAWD Package'!N6,0)+IF(Table44[[#This Row],[Towing]:[Towing]]="Y",'Towing Bat Cost'!N6,0),"N/A")</f>
        <v>N/A</v>
      </c>
      <c r="S95" s="157" t="str">
        <f>IF(Table44[[#This Row],[Applicable Package?]:[Applicable Package?]]="Y",SUM('Rolled Up Non-Incremental Costs'!O6,'ICE Removal Cost'!O6,'Trans Removal Cost'!O6,'LEV3 Criteria Emissions Cost'!O6,'ZEV Assembly Reductions'!O6,'ACCII Criteria Compliance Cost'!O6,'ACCII GHG Compliance'!O6,'Current GHG Compliance'!O6)+IF(Table44[[#This Row],[Cold]:[Cold]]="Y",'Cold Weather Package'!O6,0)+IF(Table44[[#This Row],[eAWD]:[eAWD]]="Y",'eAWD Package'!O6,0)+IF(Table44[[#This Row],[Towing]:[Towing]]="Y",'Towing Bat Cost'!O6,0),"N/A")</f>
        <v>N/A</v>
      </c>
    </row>
    <row r="96" spans="1:19" hidden="1" x14ac:dyDescent="0.3">
      <c r="A96" s="28" t="str">
        <f t="shared" si="2"/>
        <v>MedCarBaseBEV300</v>
      </c>
      <c r="B96" s="90" t="s">
        <v>82</v>
      </c>
      <c r="C96" s="68" t="s">
        <v>75</v>
      </c>
      <c r="D96" s="68" t="str">
        <f>'Vehicle Attributes - Base Year'!D4</f>
        <v>BEV300</v>
      </c>
      <c r="E96" s="124" t="s">
        <v>77</v>
      </c>
      <c r="F96" s="124" t="s">
        <v>77</v>
      </c>
      <c r="G96" s="125" t="s">
        <v>76</v>
      </c>
      <c r="H96" s="156" t="s">
        <v>77</v>
      </c>
      <c r="I96" s="157" t="str">
        <f>IF(Table44[[#This Row],[Applicable Package?]:[Applicable Package?]]="Y",SUM('Rolled Up Non-Incremental Costs'!E7,'ICE Removal Cost'!E7,'Trans Removal Cost'!E7,'LEV3 Criteria Emissions Cost'!E7,'ZEV Assembly Reductions'!E7,'ACCII Criteria Compliance Cost'!E7,'ACCII GHG Compliance'!E7,'Current GHG Compliance'!E7)+IF(Table44[[#This Row],[Cold]:[Cold]]="Y",'Cold Weather Package'!E7,0)+IF(Table44[[#This Row],[eAWD]:[eAWD]]="Y",'eAWD Package'!E7,0)+IF(Table44[[#This Row],[Towing]:[Towing]]="Y",'Towing Bat Cost'!E7,0),"N/A")</f>
        <v>N/A</v>
      </c>
      <c r="J96" s="157" t="str">
        <f>IF(Table44[[#This Row],[Applicable Package?]:[Applicable Package?]]="Y",SUM('Rolled Up Non-Incremental Costs'!F7,'ICE Removal Cost'!F7,'Trans Removal Cost'!F7,'LEV3 Criteria Emissions Cost'!F7,'ZEV Assembly Reductions'!F7,'ACCII Criteria Compliance Cost'!F7,'ACCII GHG Compliance'!F7,'Current GHG Compliance'!F7)+IF(Table44[[#This Row],[Cold]:[Cold]]="Y",'Cold Weather Package'!F7,0)+IF(Table44[[#This Row],[eAWD]:[eAWD]]="Y",'eAWD Package'!F7,0)+IF(Table44[[#This Row],[Towing]:[Towing]]="Y",'Towing Bat Cost'!F7,0),"N/A")</f>
        <v>N/A</v>
      </c>
      <c r="K96" s="157" t="str">
        <f>IF(Table44[[#This Row],[Applicable Package?]:[Applicable Package?]]="Y",SUM('Rolled Up Non-Incremental Costs'!G7,'ICE Removal Cost'!G7,'Trans Removal Cost'!G7,'LEV3 Criteria Emissions Cost'!G7,'ZEV Assembly Reductions'!G7,'ACCII Criteria Compliance Cost'!G7,'ACCII GHG Compliance'!G7,'Current GHG Compliance'!G7)+IF(Table44[[#This Row],[Cold]:[Cold]]="Y",'Cold Weather Package'!G7,0)+IF(Table44[[#This Row],[eAWD]:[eAWD]]="Y",'eAWD Package'!G7,0)+IF(Table44[[#This Row],[Towing]:[Towing]]="Y",'Towing Bat Cost'!G7,0),"N/A")</f>
        <v>N/A</v>
      </c>
      <c r="L96" s="157" t="str">
        <f>IF(Table44[[#This Row],[Applicable Package?]:[Applicable Package?]]="Y",SUM('Rolled Up Non-Incremental Costs'!H7,'ICE Removal Cost'!H7,'Trans Removal Cost'!H7,'LEV3 Criteria Emissions Cost'!H7,'ZEV Assembly Reductions'!H7,'ACCII Criteria Compliance Cost'!H7,'ACCII GHG Compliance'!H7,'Current GHG Compliance'!H7)+IF(Table44[[#This Row],[Cold]:[Cold]]="Y",'Cold Weather Package'!H7,0)+IF(Table44[[#This Row],[eAWD]:[eAWD]]="Y",'eAWD Package'!H7,0)+IF(Table44[[#This Row],[Towing]:[Towing]]="Y",'Towing Bat Cost'!H7,0),"N/A")</f>
        <v>N/A</v>
      </c>
      <c r="M96" s="157" t="str">
        <f>IF(Table44[[#This Row],[Applicable Package?]:[Applicable Package?]]="Y",SUM('Rolled Up Non-Incremental Costs'!I7,'ICE Removal Cost'!I7,'Trans Removal Cost'!I7,'LEV3 Criteria Emissions Cost'!I7,'ZEV Assembly Reductions'!I7,'ACCII Criteria Compliance Cost'!I7,'ACCII GHG Compliance'!I7,'Current GHG Compliance'!I7)+IF(Table44[[#This Row],[Cold]:[Cold]]="Y",'Cold Weather Package'!I7,0)+IF(Table44[[#This Row],[eAWD]:[eAWD]]="Y",'eAWD Package'!I7,0)+IF(Table44[[#This Row],[Towing]:[Towing]]="Y",'Towing Bat Cost'!I7,0),"N/A")</f>
        <v>N/A</v>
      </c>
      <c r="N96" s="157" t="str">
        <f>IF(Table44[[#This Row],[Applicable Package?]:[Applicable Package?]]="Y",SUM('Rolled Up Non-Incremental Costs'!J7,'ICE Removal Cost'!J7,'Trans Removal Cost'!J7,'LEV3 Criteria Emissions Cost'!J7,'ZEV Assembly Reductions'!J7,'ACCII Criteria Compliance Cost'!J7,'ACCII GHG Compliance'!J7,'Current GHG Compliance'!J7)+IF(Table44[[#This Row],[Cold]:[Cold]]="Y",'Cold Weather Package'!J7,0)+IF(Table44[[#This Row],[eAWD]:[eAWD]]="Y",'eAWD Package'!J7,0)+IF(Table44[[#This Row],[Towing]:[Towing]]="Y",'Towing Bat Cost'!J7,0),"N/A")</f>
        <v>N/A</v>
      </c>
      <c r="O96" s="157" t="str">
        <f>IF(Table44[[#This Row],[Applicable Package?]:[Applicable Package?]]="Y",SUM('Rolled Up Non-Incremental Costs'!K7,'ICE Removal Cost'!K7,'Trans Removal Cost'!K7,'LEV3 Criteria Emissions Cost'!K7,'ZEV Assembly Reductions'!K7,'ACCII Criteria Compliance Cost'!K7,'ACCII GHG Compliance'!K7,'Current GHG Compliance'!K7)+IF(Table44[[#This Row],[Cold]:[Cold]]="Y",'Cold Weather Package'!K7,0)+IF(Table44[[#This Row],[eAWD]:[eAWD]]="Y",'eAWD Package'!K7,0)+IF(Table44[[#This Row],[Towing]:[Towing]]="Y",'Towing Bat Cost'!K7,0),"N/A")</f>
        <v>N/A</v>
      </c>
      <c r="P96" s="157" t="str">
        <f>IF(Table44[[#This Row],[Applicable Package?]:[Applicable Package?]]="Y",SUM('Rolled Up Non-Incremental Costs'!L7,'ICE Removal Cost'!L7,'Trans Removal Cost'!L7,'LEV3 Criteria Emissions Cost'!L7,'ZEV Assembly Reductions'!L7,'ACCII Criteria Compliance Cost'!L7,'ACCII GHG Compliance'!L7,'Current GHG Compliance'!L7)+IF(Table44[[#This Row],[Cold]:[Cold]]="Y",'Cold Weather Package'!L7,0)+IF(Table44[[#This Row],[eAWD]:[eAWD]]="Y",'eAWD Package'!L7,0)+IF(Table44[[#This Row],[Towing]:[Towing]]="Y",'Towing Bat Cost'!L7,0),"N/A")</f>
        <v>N/A</v>
      </c>
      <c r="Q96" s="157" t="str">
        <f>IF(Table44[[#This Row],[Applicable Package?]:[Applicable Package?]]="Y",SUM('Rolled Up Non-Incremental Costs'!M7,'ICE Removal Cost'!M7,'Trans Removal Cost'!M7,'LEV3 Criteria Emissions Cost'!M7,'ZEV Assembly Reductions'!M7,'ACCII Criteria Compliance Cost'!M7,'ACCII GHG Compliance'!M7,'Current GHG Compliance'!M7)+IF(Table44[[#This Row],[Cold]:[Cold]]="Y",'Cold Weather Package'!M7,0)+IF(Table44[[#This Row],[eAWD]:[eAWD]]="Y",'eAWD Package'!M7,0)+IF(Table44[[#This Row],[Towing]:[Towing]]="Y",'Towing Bat Cost'!M7,0),"N/A")</f>
        <v>N/A</v>
      </c>
      <c r="R96" s="157" t="str">
        <f>IF(Table44[[#This Row],[Applicable Package?]:[Applicable Package?]]="Y",SUM('Rolled Up Non-Incremental Costs'!N7,'ICE Removal Cost'!N7,'Trans Removal Cost'!N7,'LEV3 Criteria Emissions Cost'!N7,'ZEV Assembly Reductions'!N7,'ACCII Criteria Compliance Cost'!N7,'ACCII GHG Compliance'!N7,'Current GHG Compliance'!N7)+IF(Table44[[#This Row],[Cold]:[Cold]]="Y",'Cold Weather Package'!N7,0)+IF(Table44[[#This Row],[eAWD]:[eAWD]]="Y",'eAWD Package'!N7,0)+IF(Table44[[#This Row],[Towing]:[Towing]]="Y",'Towing Bat Cost'!N7,0),"N/A")</f>
        <v>N/A</v>
      </c>
      <c r="S96" s="157" t="str">
        <f>IF(Table44[[#This Row],[Applicable Package?]:[Applicable Package?]]="Y",SUM('Rolled Up Non-Incremental Costs'!O7,'ICE Removal Cost'!O7,'Trans Removal Cost'!O7,'LEV3 Criteria Emissions Cost'!O7,'ZEV Assembly Reductions'!O7,'ACCII Criteria Compliance Cost'!O7,'ACCII GHG Compliance'!O7,'Current GHG Compliance'!O7)+IF(Table44[[#This Row],[Cold]:[Cold]]="Y",'Cold Weather Package'!O7,0)+IF(Table44[[#This Row],[eAWD]:[eAWD]]="Y",'eAWD Package'!O7,0)+IF(Table44[[#This Row],[Towing]:[Towing]]="Y",'Towing Bat Cost'!O7,0),"N/A")</f>
        <v>N/A</v>
      </c>
    </row>
    <row r="97" spans="1:19" hidden="1" x14ac:dyDescent="0.3">
      <c r="A97" t="str">
        <f t="shared" si="2"/>
        <v>MedCarPremiumBEV400</v>
      </c>
      <c r="B97" s="90" t="s">
        <v>82</v>
      </c>
      <c r="C97" s="68" t="s">
        <v>80</v>
      </c>
      <c r="D97" s="68" t="str">
        <f>'Vehicle Attributes - Base Year'!D5</f>
        <v>BEV400</v>
      </c>
      <c r="E97" s="124" t="s">
        <v>77</v>
      </c>
      <c r="F97" s="124" t="s">
        <v>77</v>
      </c>
      <c r="G97" s="125" t="s">
        <v>76</v>
      </c>
      <c r="H97" s="156" t="s">
        <v>77</v>
      </c>
      <c r="I97" s="157" t="str">
        <f>IF(Table44[[#This Row],[Applicable Package?]:[Applicable Package?]]="Y",SUM('Rolled Up Non-Incremental Costs'!E8,'ICE Removal Cost'!E8,'Trans Removal Cost'!E8,'LEV3 Criteria Emissions Cost'!E8,'ZEV Assembly Reductions'!E8,'ACCII Criteria Compliance Cost'!E8,'ACCII GHG Compliance'!E8,'Current GHG Compliance'!E8)+IF(Table44[[#This Row],[Cold]:[Cold]]="Y",'Cold Weather Package'!E8,0)+IF(Table44[[#This Row],[eAWD]:[eAWD]]="Y",'eAWD Package'!E8,0)+IF(Table44[[#This Row],[Towing]:[Towing]]="Y",'Towing Bat Cost'!E8,0),"N/A")</f>
        <v>N/A</v>
      </c>
      <c r="J97" s="157" t="str">
        <f>IF(Table44[[#This Row],[Applicable Package?]:[Applicable Package?]]="Y",SUM('Rolled Up Non-Incremental Costs'!F8,'ICE Removal Cost'!F8,'Trans Removal Cost'!F8,'LEV3 Criteria Emissions Cost'!F8,'ZEV Assembly Reductions'!F8,'ACCII Criteria Compliance Cost'!F8,'ACCII GHG Compliance'!F8,'Current GHG Compliance'!F8)+IF(Table44[[#This Row],[Cold]:[Cold]]="Y",'Cold Weather Package'!F8,0)+IF(Table44[[#This Row],[eAWD]:[eAWD]]="Y",'eAWD Package'!F8,0)+IF(Table44[[#This Row],[Towing]:[Towing]]="Y",'Towing Bat Cost'!F8,0),"N/A")</f>
        <v>N/A</v>
      </c>
      <c r="K97" s="157" t="str">
        <f>IF(Table44[[#This Row],[Applicable Package?]:[Applicable Package?]]="Y",SUM('Rolled Up Non-Incremental Costs'!G8,'ICE Removal Cost'!G8,'Trans Removal Cost'!G8,'LEV3 Criteria Emissions Cost'!G8,'ZEV Assembly Reductions'!G8,'ACCII Criteria Compliance Cost'!G8,'ACCII GHG Compliance'!G8,'Current GHG Compliance'!G8)+IF(Table44[[#This Row],[Cold]:[Cold]]="Y",'Cold Weather Package'!G8,0)+IF(Table44[[#This Row],[eAWD]:[eAWD]]="Y",'eAWD Package'!G8,0)+IF(Table44[[#This Row],[Towing]:[Towing]]="Y",'Towing Bat Cost'!G8,0),"N/A")</f>
        <v>N/A</v>
      </c>
      <c r="L97" s="157" t="str">
        <f>IF(Table44[[#This Row],[Applicable Package?]:[Applicable Package?]]="Y",SUM('Rolled Up Non-Incremental Costs'!H8,'ICE Removal Cost'!H8,'Trans Removal Cost'!H8,'LEV3 Criteria Emissions Cost'!H8,'ZEV Assembly Reductions'!H8,'ACCII Criteria Compliance Cost'!H8,'ACCII GHG Compliance'!H8,'Current GHG Compliance'!H8)+IF(Table44[[#This Row],[Cold]:[Cold]]="Y",'Cold Weather Package'!H8,0)+IF(Table44[[#This Row],[eAWD]:[eAWD]]="Y",'eAWD Package'!H8,0)+IF(Table44[[#This Row],[Towing]:[Towing]]="Y",'Towing Bat Cost'!H8,0),"N/A")</f>
        <v>N/A</v>
      </c>
      <c r="M97" s="157" t="str">
        <f>IF(Table44[[#This Row],[Applicable Package?]:[Applicable Package?]]="Y",SUM('Rolled Up Non-Incremental Costs'!I8,'ICE Removal Cost'!I8,'Trans Removal Cost'!I8,'LEV3 Criteria Emissions Cost'!I8,'ZEV Assembly Reductions'!I8,'ACCII Criteria Compliance Cost'!I8,'ACCII GHG Compliance'!I8,'Current GHG Compliance'!I8)+IF(Table44[[#This Row],[Cold]:[Cold]]="Y",'Cold Weather Package'!I8,0)+IF(Table44[[#This Row],[eAWD]:[eAWD]]="Y",'eAWD Package'!I8,0)+IF(Table44[[#This Row],[Towing]:[Towing]]="Y",'Towing Bat Cost'!I8,0),"N/A")</f>
        <v>N/A</v>
      </c>
      <c r="N97" s="157" t="str">
        <f>IF(Table44[[#This Row],[Applicable Package?]:[Applicable Package?]]="Y",SUM('Rolled Up Non-Incremental Costs'!J8,'ICE Removal Cost'!J8,'Trans Removal Cost'!J8,'LEV3 Criteria Emissions Cost'!J8,'ZEV Assembly Reductions'!J8,'ACCII Criteria Compliance Cost'!J8,'ACCII GHG Compliance'!J8,'Current GHG Compliance'!J8)+IF(Table44[[#This Row],[Cold]:[Cold]]="Y",'Cold Weather Package'!J8,0)+IF(Table44[[#This Row],[eAWD]:[eAWD]]="Y",'eAWD Package'!J8,0)+IF(Table44[[#This Row],[Towing]:[Towing]]="Y",'Towing Bat Cost'!J8,0),"N/A")</f>
        <v>N/A</v>
      </c>
      <c r="O97" s="157" t="str">
        <f>IF(Table44[[#This Row],[Applicable Package?]:[Applicable Package?]]="Y",SUM('Rolled Up Non-Incremental Costs'!K8,'ICE Removal Cost'!K8,'Trans Removal Cost'!K8,'LEV3 Criteria Emissions Cost'!K8,'ZEV Assembly Reductions'!K8,'ACCII Criteria Compliance Cost'!K8,'ACCII GHG Compliance'!K8,'Current GHG Compliance'!K8)+IF(Table44[[#This Row],[Cold]:[Cold]]="Y",'Cold Weather Package'!K8,0)+IF(Table44[[#This Row],[eAWD]:[eAWD]]="Y",'eAWD Package'!K8,0)+IF(Table44[[#This Row],[Towing]:[Towing]]="Y",'Towing Bat Cost'!K8,0),"N/A")</f>
        <v>N/A</v>
      </c>
      <c r="P97" s="157" t="str">
        <f>IF(Table44[[#This Row],[Applicable Package?]:[Applicable Package?]]="Y",SUM('Rolled Up Non-Incremental Costs'!L8,'ICE Removal Cost'!L8,'Trans Removal Cost'!L8,'LEV3 Criteria Emissions Cost'!L8,'ZEV Assembly Reductions'!L8,'ACCII Criteria Compliance Cost'!L8,'ACCII GHG Compliance'!L8,'Current GHG Compliance'!L8)+IF(Table44[[#This Row],[Cold]:[Cold]]="Y",'Cold Weather Package'!L8,0)+IF(Table44[[#This Row],[eAWD]:[eAWD]]="Y",'eAWD Package'!L8,0)+IF(Table44[[#This Row],[Towing]:[Towing]]="Y",'Towing Bat Cost'!L8,0),"N/A")</f>
        <v>N/A</v>
      </c>
      <c r="Q97" s="157" t="str">
        <f>IF(Table44[[#This Row],[Applicable Package?]:[Applicable Package?]]="Y",SUM('Rolled Up Non-Incremental Costs'!M8,'ICE Removal Cost'!M8,'Trans Removal Cost'!M8,'LEV3 Criteria Emissions Cost'!M8,'ZEV Assembly Reductions'!M8,'ACCII Criteria Compliance Cost'!M8,'ACCII GHG Compliance'!M8,'Current GHG Compliance'!M8)+IF(Table44[[#This Row],[Cold]:[Cold]]="Y",'Cold Weather Package'!M8,0)+IF(Table44[[#This Row],[eAWD]:[eAWD]]="Y",'eAWD Package'!M8,0)+IF(Table44[[#This Row],[Towing]:[Towing]]="Y",'Towing Bat Cost'!M8,0),"N/A")</f>
        <v>N/A</v>
      </c>
      <c r="R97" s="157" t="str">
        <f>IF(Table44[[#This Row],[Applicable Package?]:[Applicable Package?]]="Y",SUM('Rolled Up Non-Incremental Costs'!N8,'ICE Removal Cost'!N8,'Trans Removal Cost'!N8,'LEV3 Criteria Emissions Cost'!N8,'ZEV Assembly Reductions'!N8,'ACCII Criteria Compliance Cost'!N8,'ACCII GHG Compliance'!N8,'Current GHG Compliance'!N8)+IF(Table44[[#This Row],[Cold]:[Cold]]="Y",'Cold Weather Package'!N8,0)+IF(Table44[[#This Row],[eAWD]:[eAWD]]="Y",'eAWD Package'!N8,0)+IF(Table44[[#This Row],[Towing]:[Towing]]="Y",'Towing Bat Cost'!N8,0),"N/A")</f>
        <v>N/A</v>
      </c>
      <c r="S97" s="157" t="str">
        <f>IF(Table44[[#This Row],[Applicable Package?]:[Applicable Package?]]="Y",SUM('Rolled Up Non-Incremental Costs'!O8,'ICE Removal Cost'!O8,'Trans Removal Cost'!O8,'LEV3 Criteria Emissions Cost'!O8,'ZEV Assembly Reductions'!O8,'ACCII Criteria Compliance Cost'!O8,'ACCII GHG Compliance'!O8,'Current GHG Compliance'!O8)+IF(Table44[[#This Row],[Cold]:[Cold]]="Y",'Cold Weather Package'!O8,0)+IF(Table44[[#This Row],[eAWD]:[eAWD]]="Y",'eAWD Package'!O8,0)+IF(Table44[[#This Row],[Towing]:[Towing]]="Y",'Towing Bat Cost'!O8,0),"N/A")</f>
        <v>N/A</v>
      </c>
    </row>
    <row r="98" spans="1:19" hidden="1" x14ac:dyDescent="0.3">
      <c r="A98" s="28" t="str">
        <f t="shared" si="2"/>
        <v>SmallSUVBaseBEV300</v>
      </c>
      <c r="B98" s="90" t="s">
        <v>83</v>
      </c>
      <c r="C98" s="68" t="s">
        <v>75</v>
      </c>
      <c r="D98" s="68" t="str">
        <f>'Vehicle Attributes - Base Year'!D6</f>
        <v>BEV300</v>
      </c>
      <c r="E98" s="124" t="s">
        <v>77</v>
      </c>
      <c r="F98" s="124" t="s">
        <v>77</v>
      </c>
      <c r="G98" s="125" t="s">
        <v>76</v>
      </c>
      <c r="H98" s="156" t="s">
        <v>77</v>
      </c>
      <c r="I98" s="157" t="str">
        <f>IF(Table44[[#This Row],[Applicable Package?]:[Applicable Package?]]="Y",SUM('Rolled Up Non-Incremental Costs'!E9,'ICE Removal Cost'!E9,'Trans Removal Cost'!E9,'LEV3 Criteria Emissions Cost'!E9,'ZEV Assembly Reductions'!E9,'ACCII Criteria Compliance Cost'!E9,'ACCII GHG Compliance'!E9,'Current GHG Compliance'!E9)+IF(Table44[[#This Row],[Cold]:[Cold]]="Y",'Cold Weather Package'!E9,0)+IF(Table44[[#This Row],[eAWD]:[eAWD]]="Y",'eAWD Package'!E9,0)+IF(Table44[[#This Row],[Towing]:[Towing]]="Y",'Towing Bat Cost'!E9,0),"N/A")</f>
        <v>N/A</v>
      </c>
      <c r="J98" s="157" t="str">
        <f>IF(Table44[[#This Row],[Applicable Package?]:[Applicable Package?]]="Y",SUM('Rolled Up Non-Incremental Costs'!F9,'ICE Removal Cost'!F9,'Trans Removal Cost'!F9,'LEV3 Criteria Emissions Cost'!F9,'ZEV Assembly Reductions'!F9,'ACCII Criteria Compliance Cost'!F9,'ACCII GHG Compliance'!F9,'Current GHG Compliance'!F9)+IF(Table44[[#This Row],[Cold]:[Cold]]="Y",'Cold Weather Package'!F9,0)+IF(Table44[[#This Row],[eAWD]:[eAWD]]="Y",'eAWD Package'!F9,0)+IF(Table44[[#This Row],[Towing]:[Towing]]="Y",'Towing Bat Cost'!F9,0),"N/A")</f>
        <v>N/A</v>
      </c>
      <c r="K98" s="157" t="str">
        <f>IF(Table44[[#This Row],[Applicable Package?]:[Applicable Package?]]="Y",SUM('Rolled Up Non-Incremental Costs'!G9,'ICE Removal Cost'!G9,'Trans Removal Cost'!G9,'LEV3 Criteria Emissions Cost'!G9,'ZEV Assembly Reductions'!G9,'ACCII Criteria Compliance Cost'!G9,'ACCII GHG Compliance'!G9,'Current GHG Compliance'!G9)+IF(Table44[[#This Row],[Cold]:[Cold]]="Y",'Cold Weather Package'!G9,0)+IF(Table44[[#This Row],[eAWD]:[eAWD]]="Y",'eAWD Package'!G9,0)+IF(Table44[[#This Row],[Towing]:[Towing]]="Y",'Towing Bat Cost'!G9,0),"N/A")</f>
        <v>N/A</v>
      </c>
      <c r="L98" s="157" t="str">
        <f>IF(Table44[[#This Row],[Applicable Package?]:[Applicable Package?]]="Y",SUM('Rolled Up Non-Incremental Costs'!H9,'ICE Removal Cost'!H9,'Trans Removal Cost'!H9,'LEV3 Criteria Emissions Cost'!H9,'ZEV Assembly Reductions'!H9,'ACCII Criteria Compliance Cost'!H9,'ACCII GHG Compliance'!H9,'Current GHG Compliance'!H9)+IF(Table44[[#This Row],[Cold]:[Cold]]="Y",'Cold Weather Package'!H9,0)+IF(Table44[[#This Row],[eAWD]:[eAWD]]="Y",'eAWD Package'!H9,0)+IF(Table44[[#This Row],[Towing]:[Towing]]="Y",'Towing Bat Cost'!H9,0),"N/A")</f>
        <v>N/A</v>
      </c>
      <c r="M98" s="157" t="str">
        <f>IF(Table44[[#This Row],[Applicable Package?]:[Applicable Package?]]="Y",SUM('Rolled Up Non-Incremental Costs'!I9,'ICE Removal Cost'!I9,'Trans Removal Cost'!I9,'LEV3 Criteria Emissions Cost'!I9,'ZEV Assembly Reductions'!I9,'ACCII Criteria Compliance Cost'!I9,'ACCII GHG Compliance'!I9,'Current GHG Compliance'!I9)+IF(Table44[[#This Row],[Cold]:[Cold]]="Y",'Cold Weather Package'!I9,0)+IF(Table44[[#This Row],[eAWD]:[eAWD]]="Y",'eAWD Package'!I9,0)+IF(Table44[[#This Row],[Towing]:[Towing]]="Y",'Towing Bat Cost'!I9,0),"N/A")</f>
        <v>N/A</v>
      </c>
      <c r="N98" s="157" t="str">
        <f>IF(Table44[[#This Row],[Applicable Package?]:[Applicable Package?]]="Y",SUM('Rolled Up Non-Incremental Costs'!J9,'ICE Removal Cost'!J9,'Trans Removal Cost'!J9,'LEV3 Criteria Emissions Cost'!J9,'ZEV Assembly Reductions'!J9,'ACCII Criteria Compliance Cost'!J9,'ACCII GHG Compliance'!J9,'Current GHG Compliance'!J9)+IF(Table44[[#This Row],[Cold]:[Cold]]="Y",'Cold Weather Package'!J9,0)+IF(Table44[[#This Row],[eAWD]:[eAWD]]="Y",'eAWD Package'!J9,0)+IF(Table44[[#This Row],[Towing]:[Towing]]="Y",'Towing Bat Cost'!J9,0),"N/A")</f>
        <v>N/A</v>
      </c>
      <c r="O98" s="157" t="str">
        <f>IF(Table44[[#This Row],[Applicable Package?]:[Applicable Package?]]="Y",SUM('Rolled Up Non-Incremental Costs'!K9,'ICE Removal Cost'!K9,'Trans Removal Cost'!K9,'LEV3 Criteria Emissions Cost'!K9,'ZEV Assembly Reductions'!K9,'ACCII Criteria Compliance Cost'!K9,'ACCII GHG Compliance'!K9,'Current GHG Compliance'!K9)+IF(Table44[[#This Row],[Cold]:[Cold]]="Y",'Cold Weather Package'!K9,0)+IF(Table44[[#This Row],[eAWD]:[eAWD]]="Y",'eAWD Package'!K9,0)+IF(Table44[[#This Row],[Towing]:[Towing]]="Y",'Towing Bat Cost'!K9,0),"N/A")</f>
        <v>N/A</v>
      </c>
      <c r="P98" s="157" t="str">
        <f>IF(Table44[[#This Row],[Applicable Package?]:[Applicable Package?]]="Y",SUM('Rolled Up Non-Incremental Costs'!L9,'ICE Removal Cost'!L9,'Trans Removal Cost'!L9,'LEV3 Criteria Emissions Cost'!L9,'ZEV Assembly Reductions'!L9,'ACCII Criteria Compliance Cost'!L9,'ACCII GHG Compliance'!L9,'Current GHG Compliance'!L9)+IF(Table44[[#This Row],[Cold]:[Cold]]="Y",'Cold Weather Package'!L9,0)+IF(Table44[[#This Row],[eAWD]:[eAWD]]="Y",'eAWD Package'!L9,0)+IF(Table44[[#This Row],[Towing]:[Towing]]="Y",'Towing Bat Cost'!L9,0),"N/A")</f>
        <v>N/A</v>
      </c>
      <c r="Q98" s="157" t="str">
        <f>IF(Table44[[#This Row],[Applicable Package?]:[Applicable Package?]]="Y",SUM('Rolled Up Non-Incremental Costs'!M9,'ICE Removal Cost'!M9,'Trans Removal Cost'!M9,'LEV3 Criteria Emissions Cost'!M9,'ZEV Assembly Reductions'!M9,'ACCII Criteria Compliance Cost'!M9,'ACCII GHG Compliance'!M9,'Current GHG Compliance'!M9)+IF(Table44[[#This Row],[Cold]:[Cold]]="Y",'Cold Weather Package'!M9,0)+IF(Table44[[#This Row],[eAWD]:[eAWD]]="Y",'eAWD Package'!M9,0)+IF(Table44[[#This Row],[Towing]:[Towing]]="Y",'Towing Bat Cost'!M9,0),"N/A")</f>
        <v>N/A</v>
      </c>
      <c r="R98" s="157" t="str">
        <f>IF(Table44[[#This Row],[Applicable Package?]:[Applicable Package?]]="Y",SUM('Rolled Up Non-Incremental Costs'!N9,'ICE Removal Cost'!N9,'Trans Removal Cost'!N9,'LEV3 Criteria Emissions Cost'!N9,'ZEV Assembly Reductions'!N9,'ACCII Criteria Compliance Cost'!N9,'ACCII GHG Compliance'!N9,'Current GHG Compliance'!N9)+IF(Table44[[#This Row],[Cold]:[Cold]]="Y",'Cold Weather Package'!N9,0)+IF(Table44[[#This Row],[eAWD]:[eAWD]]="Y",'eAWD Package'!N9,0)+IF(Table44[[#This Row],[Towing]:[Towing]]="Y",'Towing Bat Cost'!N9,0),"N/A")</f>
        <v>N/A</v>
      </c>
      <c r="S98" s="157" t="str">
        <f>IF(Table44[[#This Row],[Applicable Package?]:[Applicable Package?]]="Y",SUM('Rolled Up Non-Incremental Costs'!O9,'ICE Removal Cost'!O9,'Trans Removal Cost'!O9,'LEV3 Criteria Emissions Cost'!O9,'ZEV Assembly Reductions'!O9,'ACCII Criteria Compliance Cost'!O9,'ACCII GHG Compliance'!O9,'Current GHG Compliance'!O9)+IF(Table44[[#This Row],[Cold]:[Cold]]="Y",'Cold Weather Package'!O9,0)+IF(Table44[[#This Row],[eAWD]:[eAWD]]="Y",'eAWD Package'!O9,0)+IF(Table44[[#This Row],[Towing]:[Towing]]="Y",'Towing Bat Cost'!O9,0),"N/A")</f>
        <v>N/A</v>
      </c>
    </row>
    <row r="99" spans="1:19" hidden="1" x14ac:dyDescent="0.3">
      <c r="A99" t="str">
        <f t="shared" si="2"/>
        <v>SmallSUVPremiumBEV400</v>
      </c>
      <c r="B99" s="90" t="s">
        <v>83</v>
      </c>
      <c r="C99" s="68" t="s">
        <v>80</v>
      </c>
      <c r="D99" s="68" t="str">
        <f>'Vehicle Attributes - Base Year'!D7</f>
        <v>BEV400</v>
      </c>
      <c r="E99" s="124" t="s">
        <v>77</v>
      </c>
      <c r="F99" s="124" t="s">
        <v>77</v>
      </c>
      <c r="G99" s="125" t="s">
        <v>76</v>
      </c>
      <c r="H99" s="156" t="s">
        <v>77</v>
      </c>
      <c r="I99" s="157" t="str">
        <f>IF(Table44[[#This Row],[Applicable Package?]:[Applicable Package?]]="Y",SUM('Rolled Up Non-Incremental Costs'!E10,'ICE Removal Cost'!E10,'Trans Removal Cost'!E10,'LEV3 Criteria Emissions Cost'!E10,'ZEV Assembly Reductions'!E10,'ACCII Criteria Compliance Cost'!E10,'ACCII GHG Compliance'!E10,'Current GHG Compliance'!E10)+IF(Table44[[#This Row],[Cold]:[Cold]]="Y",'Cold Weather Package'!E10,0)+IF(Table44[[#This Row],[eAWD]:[eAWD]]="Y",'eAWD Package'!E10,0)+IF(Table44[[#This Row],[Towing]:[Towing]]="Y",'Towing Bat Cost'!E10,0),"N/A")</f>
        <v>N/A</v>
      </c>
      <c r="J99" s="157" t="str">
        <f>IF(Table44[[#This Row],[Applicable Package?]:[Applicable Package?]]="Y",SUM('Rolled Up Non-Incremental Costs'!F10,'ICE Removal Cost'!F10,'Trans Removal Cost'!F10,'LEV3 Criteria Emissions Cost'!F10,'ZEV Assembly Reductions'!F10,'ACCII Criteria Compliance Cost'!F10,'ACCII GHG Compliance'!F10,'Current GHG Compliance'!F10)+IF(Table44[[#This Row],[Cold]:[Cold]]="Y",'Cold Weather Package'!F10,0)+IF(Table44[[#This Row],[eAWD]:[eAWD]]="Y",'eAWD Package'!F10,0)+IF(Table44[[#This Row],[Towing]:[Towing]]="Y",'Towing Bat Cost'!F10,0),"N/A")</f>
        <v>N/A</v>
      </c>
      <c r="K99" s="157" t="str">
        <f>IF(Table44[[#This Row],[Applicable Package?]:[Applicable Package?]]="Y",SUM('Rolled Up Non-Incremental Costs'!G10,'ICE Removal Cost'!G10,'Trans Removal Cost'!G10,'LEV3 Criteria Emissions Cost'!G10,'ZEV Assembly Reductions'!G10,'ACCII Criteria Compliance Cost'!G10,'ACCII GHG Compliance'!G10,'Current GHG Compliance'!G10)+IF(Table44[[#This Row],[Cold]:[Cold]]="Y",'Cold Weather Package'!G10,0)+IF(Table44[[#This Row],[eAWD]:[eAWD]]="Y",'eAWD Package'!G10,0)+IF(Table44[[#This Row],[Towing]:[Towing]]="Y",'Towing Bat Cost'!G10,0),"N/A")</f>
        <v>N/A</v>
      </c>
      <c r="L99" s="157" t="str">
        <f>IF(Table44[[#This Row],[Applicable Package?]:[Applicable Package?]]="Y",SUM('Rolled Up Non-Incremental Costs'!H10,'ICE Removal Cost'!H10,'Trans Removal Cost'!H10,'LEV3 Criteria Emissions Cost'!H10,'ZEV Assembly Reductions'!H10,'ACCII Criteria Compliance Cost'!H10,'ACCII GHG Compliance'!H10,'Current GHG Compliance'!H10)+IF(Table44[[#This Row],[Cold]:[Cold]]="Y",'Cold Weather Package'!H10,0)+IF(Table44[[#This Row],[eAWD]:[eAWD]]="Y",'eAWD Package'!H10,0)+IF(Table44[[#This Row],[Towing]:[Towing]]="Y",'Towing Bat Cost'!H10,0),"N/A")</f>
        <v>N/A</v>
      </c>
      <c r="M99" s="157" t="str">
        <f>IF(Table44[[#This Row],[Applicable Package?]:[Applicable Package?]]="Y",SUM('Rolled Up Non-Incremental Costs'!I10,'ICE Removal Cost'!I10,'Trans Removal Cost'!I10,'LEV3 Criteria Emissions Cost'!I10,'ZEV Assembly Reductions'!I10,'ACCII Criteria Compliance Cost'!I10,'ACCII GHG Compliance'!I10,'Current GHG Compliance'!I10)+IF(Table44[[#This Row],[Cold]:[Cold]]="Y",'Cold Weather Package'!I10,0)+IF(Table44[[#This Row],[eAWD]:[eAWD]]="Y",'eAWD Package'!I10,0)+IF(Table44[[#This Row],[Towing]:[Towing]]="Y",'Towing Bat Cost'!I10,0),"N/A")</f>
        <v>N/A</v>
      </c>
      <c r="N99" s="157" t="str">
        <f>IF(Table44[[#This Row],[Applicable Package?]:[Applicable Package?]]="Y",SUM('Rolled Up Non-Incremental Costs'!J10,'ICE Removal Cost'!J10,'Trans Removal Cost'!J10,'LEV3 Criteria Emissions Cost'!J10,'ZEV Assembly Reductions'!J10,'ACCII Criteria Compliance Cost'!J10,'ACCII GHG Compliance'!J10,'Current GHG Compliance'!J10)+IF(Table44[[#This Row],[Cold]:[Cold]]="Y",'Cold Weather Package'!J10,0)+IF(Table44[[#This Row],[eAWD]:[eAWD]]="Y",'eAWD Package'!J10,0)+IF(Table44[[#This Row],[Towing]:[Towing]]="Y",'Towing Bat Cost'!J10,0),"N/A")</f>
        <v>N/A</v>
      </c>
      <c r="O99" s="157" t="str">
        <f>IF(Table44[[#This Row],[Applicable Package?]:[Applicable Package?]]="Y",SUM('Rolled Up Non-Incremental Costs'!K10,'ICE Removal Cost'!K10,'Trans Removal Cost'!K10,'LEV3 Criteria Emissions Cost'!K10,'ZEV Assembly Reductions'!K10,'ACCII Criteria Compliance Cost'!K10,'ACCII GHG Compliance'!K10,'Current GHG Compliance'!K10)+IF(Table44[[#This Row],[Cold]:[Cold]]="Y",'Cold Weather Package'!K10,0)+IF(Table44[[#This Row],[eAWD]:[eAWD]]="Y",'eAWD Package'!K10,0)+IF(Table44[[#This Row],[Towing]:[Towing]]="Y",'Towing Bat Cost'!K10,0),"N/A")</f>
        <v>N/A</v>
      </c>
      <c r="P99" s="157" t="str">
        <f>IF(Table44[[#This Row],[Applicable Package?]:[Applicable Package?]]="Y",SUM('Rolled Up Non-Incremental Costs'!L10,'ICE Removal Cost'!L10,'Trans Removal Cost'!L10,'LEV3 Criteria Emissions Cost'!L10,'ZEV Assembly Reductions'!L10,'ACCII Criteria Compliance Cost'!L10,'ACCII GHG Compliance'!L10,'Current GHG Compliance'!L10)+IF(Table44[[#This Row],[Cold]:[Cold]]="Y",'Cold Weather Package'!L10,0)+IF(Table44[[#This Row],[eAWD]:[eAWD]]="Y",'eAWD Package'!L10,0)+IF(Table44[[#This Row],[Towing]:[Towing]]="Y",'Towing Bat Cost'!L10,0),"N/A")</f>
        <v>N/A</v>
      </c>
      <c r="Q99" s="157" t="str">
        <f>IF(Table44[[#This Row],[Applicable Package?]:[Applicable Package?]]="Y",SUM('Rolled Up Non-Incremental Costs'!M10,'ICE Removal Cost'!M10,'Trans Removal Cost'!M10,'LEV3 Criteria Emissions Cost'!M10,'ZEV Assembly Reductions'!M10,'ACCII Criteria Compliance Cost'!M10,'ACCII GHG Compliance'!M10,'Current GHG Compliance'!M10)+IF(Table44[[#This Row],[Cold]:[Cold]]="Y",'Cold Weather Package'!M10,0)+IF(Table44[[#This Row],[eAWD]:[eAWD]]="Y",'eAWD Package'!M10,0)+IF(Table44[[#This Row],[Towing]:[Towing]]="Y",'Towing Bat Cost'!M10,0),"N/A")</f>
        <v>N/A</v>
      </c>
      <c r="R99" s="157" t="str">
        <f>IF(Table44[[#This Row],[Applicable Package?]:[Applicable Package?]]="Y",SUM('Rolled Up Non-Incremental Costs'!N10,'ICE Removal Cost'!N10,'Trans Removal Cost'!N10,'LEV3 Criteria Emissions Cost'!N10,'ZEV Assembly Reductions'!N10,'ACCII Criteria Compliance Cost'!N10,'ACCII GHG Compliance'!N10,'Current GHG Compliance'!N10)+IF(Table44[[#This Row],[Cold]:[Cold]]="Y",'Cold Weather Package'!N10,0)+IF(Table44[[#This Row],[eAWD]:[eAWD]]="Y",'eAWD Package'!N10,0)+IF(Table44[[#This Row],[Towing]:[Towing]]="Y",'Towing Bat Cost'!N10,0),"N/A")</f>
        <v>N/A</v>
      </c>
      <c r="S99" s="157" t="str">
        <f>IF(Table44[[#This Row],[Applicable Package?]:[Applicable Package?]]="Y",SUM('Rolled Up Non-Incremental Costs'!O10,'ICE Removal Cost'!O10,'Trans Removal Cost'!O10,'LEV3 Criteria Emissions Cost'!O10,'ZEV Assembly Reductions'!O10,'ACCII Criteria Compliance Cost'!O10,'ACCII GHG Compliance'!O10,'Current GHG Compliance'!O10)+IF(Table44[[#This Row],[Cold]:[Cold]]="Y",'Cold Weather Package'!O10,0)+IF(Table44[[#This Row],[eAWD]:[eAWD]]="Y",'eAWD Package'!O10,0)+IF(Table44[[#This Row],[Towing]:[Towing]]="Y",'Towing Bat Cost'!O10,0),"N/A")</f>
        <v>N/A</v>
      </c>
    </row>
    <row r="100" spans="1:19" hidden="1" x14ac:dyDescent="0.3">
      <c r="A100" s="28" t="str">
        <f t="shared" si="2"/>
        <v>MedSUVBaseBEV300</v>
      </c>
      <c r="B100" s="90" t="s">
        <v>86</v>
      </c>
      <c r="C100" s="68" t="s">
        <v>75</v>
      </c>
      <c r="D100" s="68" t="str">
        <f>'Vehicle Attributes - Base Year'!D8</f>
        <v>BEV300</v>
      </c>
      <c r="E100" s="124" t="s">
        <v>77</v>
      </c>
      <c r="F100" s="124" t="s">
        <v>77</v>
      </c>
      <c r="G100" s="125" t="s">
        <v>76</v>
      </c>
      <c r="H100" s="156" t="s">
        <v>76</v>
      </c>
      <c r="I100" s="157">
        <f>IF(Table44[[#This Row],[Applicable Package?]:[Applicable Package?]]="Y",SUM('Rolled Up Non-Incremental Costs'!E11,'ICE Removal Cost'!E11,'Trans Removal Cost'!E11,'LEV3 Criteria Emissions Cost'!E11,'ZEV Assembly Reductions'!E11,'ACCII Criteria Compliance Cost'!E11,'ACCII GHG Compliance'!E11,'Current GHG Compliance'!E11)+IF(Table44[[#This Row],[Cold]:[Cold]]="Y",'Cold Weather Package'!E11,0)+IF(Table44[[#This Row],[eAWD]:[eAWD]]="Y",'eAWD Package'!E11,0)+IF(Table44[[#This Row],[Towing]:[Towing]]="Y",'Towing Bat Cost'!E11,0),"N/A")</f>
        <v>14317.960887050971</v>
      </c>
      <c r="J100" s="157">
        <f>IF(Table44[[#This Row],[Applicable Package?]:[Applicable Package?]]="Y",SUM('Rolled Up Non-Incremental Costs'!F11,'ICE Removal Cost'!F11,'Trans Removal Cost'!F11,'LEV3 Criteria Emissions Cost'!F11,'ZEV Assembly Reductions'!F11,'ACCII Criteria Compliance Cost'!F11,'ACCII GHG Compliance'!F11,'Current GHG Compliance'!F11)+IF(Table44[[#This Row],[Cold]:[Cold]]="Y",'Cold Weather Package'!F11,0)+IF(Table44[[#This Row],[eAWD]:[eAWD]]="Y",'eAWD Package'!F11,0)+IF(Table44[[#This Row],[Towing]:[Towing]]="Y",'Towing Bat Cost'!F11,0),"N/A")</f>
        <v>12872.883508082617</v>
      </c>
      <c r="K100" s="157">
        <f>IF(Table44[[#This Row],[Applicable Package?]:[Applicable Package?]]="Y",SUM('Rolled Up Non-Incremental Costs'!G11,'ICE Removal Cost'!G11,'Trans Removal Cost'!G11,'LEV3 Criteria Emissions Cost'!G11,'ZEV Assembly Reductions'!G11,'ACCII Criteria Compliance Cost'!G11,'ACCII GHG Compliance'!G11,'Current GHG Compliance'!G11)+IF(Table44[[#This Row],[Cold]:[Cold]]="Y",'Cold Weather Package'!G11,0)+IF(Table44[[#This Row],[eAWD]:[eAWD]]="Y",'eAWD Package'!G11,0)+IF(Table44[[#This Row],[Towing]:[Towing]]="Y",'Towing Bat Cost'!G11,0),"N/A")</f>
        <v>11532.56830644175</v>
      </c>
      <c r="L100" s="157">
        <f>IF(Table44[[#This Row],[Applicable Package?]:[Applicable Package?]]="Y",SUM('Rolled Up Non-Incremental Costs'!H11,'ICE Removal Cost'!H11,'Trans Removal Cost'!H11,'LEV3 Criteria Emissions Cost'!H11,'ZEV Assembly Reductions'!H11,'ACCII Criteria Compliance Cost'!H11,'ACCII GHG Compliance'!H11,'Current GHG Compliance'!H11)+IF(Table44[[#This Row],[Cold]:[Cold]]="Y",'Cold Weather Package'!H11,0)+IF(Table44[[#This Row],[eAWD]:[eAWD]]="Y",'eAWD Package'!H11,0)+IF(Table44[[#This Row],[Towing]:[Towing]]="Y",'Towing Bat Cost'!H11,0),"N/A")</f>
        <v>10289.225914080998</v>
      </c>
      <c r="M100" s="157">
        <f>IF(Table44[[#This Row],[Applicable Package?]:[Applicable Package?]]="Y",SUM('Rolled Up Non-Incremental Costs'!I11,'ICE Removal Cost'!I11,'Trans Removal Cost'!I11,'LEV3 Criteria Emissions Cost'!I11,'ZEV Assembly Reductions'!I11,'ACCII Criteria Compliance Cost'!I11,'ACCII GHG Compliance'!I11,'Current GHG Compliance'!I11)+IF(Table44[[#This Row],[Cold]:[Cold]]="Y",'Cold Weather Package'!I11,0)+IF(Table44[[#This Row],[eAWD]:[eAWD]]="Y",'eAWD Package'!I11,0)+IF(Table44[[#This Row],[Towing]:[Towing]]="Y",'Towing Bat Cost'!I11,0),"N/A")</f>
        <v>9135.648127992823</v>
      </c>
      <c r="N100" s="157">
        <f>IF(Table44[[#This Row],[Applicable Package?]:[Applicable Package?]]="Y",SUM('Rolled Up Non-Incremental Costs'!J11,'ICE Removal Cost'!J11,'Trans Removal Cost'!J11,'LEV3 Criteria Emissions Cost'!J11,'ZEV Assembly Reductions'!J11,'ACCII Criteria Compliance Cost'!J11,'ACCII GHG Compliance'!J11,'Current GHG Compliance'!J11)+IF(Table44[[#This Row],[Cold]:[Cold]]="Y",'Cold Weather Package'!J11,0)+IF(Table44[[#This Row],[eAWD]:[eAWD]]="Y",'eAWD Package'!J11,0)+IF(Table44[[#This Row],[Towing]:[Towing]]="Y",'Towing Bat Cost'!J11,0),"N/A")</f>
        <v>8277.3868041408386</v>
      </c>
      <c r="O100" s="157">
        <f>IF(Table44[[#This Row],[Applicable Package?]:[Applicable Package?]]="Y",SUM('Rolled Up Non-Incremental Costs'!K11,'ICE Removal Cost'!K11,'Trans Removal Cost'!K11,'LEV3 Criteria Emissions Cost'!K11,'ZEV Assembly Reductions'!K11,'ACCII Criteria Compliance Cost'!K11,'ACCII GHG Compliance'!K11,'Current GHG Compliance'!K11)+IF(Table44[[#This Row],[Cold]:[Cold]]="Y",'Cold Weather Package'!K11,0)+IF(Table44[[#This Row],[eAWD]:[eAWD]]="Y",'eAWD Package'!K11,0)+IF(Table44[[#This Row],[Towing]:[Towing]]="Y",'Towing Bat Cost'!K11,0),"N/A")</f>
        <v>7524.8601996432863</v>
      </c>
      <c r="P100" s="157">
        <f>IF(Table44[[#This Row],[Applicable Package?]:[Applicable Package?]]="Y",SUM('Rolled Up Non-Incremental Costs'!L11,'ICE Removal Cost'!L11,'Trans Removal Cost'!L11,'LEV3 Criteria Emissions Cost'!L11,'ZEV Assembly Reductions'!L11,'ACCII Criteria Compliance Cost'!L11,'ACCII GHG Compliance'!L11,'Current GHG Compliance'!L11)+IF(Table44[[#This Row],[Cold]:[Cold]]="Y",'Cold Weather Package'!L11,0)+IF(Table44[[#This Row],[eAWD]:[eAWD]]="Y",'eAWD Package'!L11,0)+IF(Table44[[#This Row],[Towing]:[Towing]]="Y",'Towing Bat Cost'!L11,0),"N/A")</f>
        <v>6811.4853485116837</v>
      </c>
      <c r="Q100" s="157">
        <f>IF(Table44[[#This Row],[Applicable Package?]:[Applicable Package?]]="Y",SUM('Rolled Up Non-Incremental Costs'!M11,'ICE Removal Cost'!M11,'Trans Removal Cost'!M11,'LEV3 Criteria Emissions Cost'!M11,'ZEV Assembly Reductions'!M11,'ACCII Criteria Compliance Cost'!M11,'ACCII GHG Compliance'!M11,'Current GHG Compliance'!M11)+IF(Table44[[#This Row],[Cold]:[Cold]]="Y",'Cold Weather Package'!M11,0)+IF(Table44[[#This Row],[eAWD]:[eAWD]]="Y",'eAWD Package'!M11,0)+IF(Table44[[#This Row],[Towing]:[Towing]]="Y",'Towing Bat Cost'!M11,0),"N/A")</f>
        <v>6135.1391830315497</v>
      </c>
      <c r="R100" s="157">
        <f>IF(Table44[[#This Row],[Applicable Package?]:[Applicable Package?]]="Y",SUM('Rolled Up Non-Incremental Costs'!N11,'ICE Removal Cost'!N11,'Trans Removal Cost'!N11,'LEV3 Criteria Emissions Cost'!N11,'ZEV Assembly Reductions'!N11,'ACCII Criteria Compliance Cost'!N11,'ACCII GHG Compliance'!N11,'Current GHG Compliance'!N11)+IF(Table44[[#This Row],[Cold]:[Cold]]="Y",'Cold Weather Package'!N11,0)+IF(Table44[[#This Row],[eAWD]:[eAWD]]="Y",'eAWD Package'!N11,0)+IF(Table44[[#This Row],[Towing]:[Towing]]="Y",'Towing Bat Cost'!N11,0),"N/A")</f>
        <v>5493.8146685379452</v>
      </c>
      <c r="S100" s="157">
        <f>IF(Table44[[#This Row],[Applicable Package?]:[Applicable Package?]]="Y",SUM('Rolled Up Non-Incremental Costs'!O11,'ICE Removal Cost'!O11,'Trans Removal Cost'!O11,'LEV3 Criteria Emissions Cost'!O11,'ZEV Assembly Reductions'!O11,'ACCII Criteria Compliance Cost'!O11,'ACCII GHG Compliance'!O11,'Current GHG Compliance'!O11)+IF(Table44[[#This Row],[Cold]:[Cold]]="Y",'Cold Weather Package'!O11,0)+IF(Table44[[#This Row],[eAWD]:[eAWD]]="Y",'eAWD Package'!O11,0)+IF(Table44[[#This Row],[Towing]:[Towing]]="Y",'Towing Bat Cost'!O11,0),"N/A")</f>
        <v>4885.614452655087</v>
      </c>
    </row>
    <row r="101" spans="1:19" hidden="1" x14ac:dyDescent="0.3">
      <c r="A101" t="str">
        <f t="shared" si="2"/>
        <v>MedSUVPremiumBEV400</v>
      </c>
      <c r="B101" s="90" t="s">
        <v>86</v>
      </c>
      <c r="C101" s="68" t="s">
        <v>80</v>
      </c>
      <c r="D101" s="68" t="str">
        <f>'Vehicle Attributes - Base Year'!D9</f>
        <v>BEV400</v>
      </c>
      <c r="E101" s="124" t="s">
        <v>77</v>
      </c>
      <c r="F101" s="124" t="s">
        <v>77</v>
      </c>
      <c r="G101" s="125" t="s">
        <v>76</v>
      </c>
      <c r="H101" s="156" t="s">
        <v>76</v>
      </c>
      <c r="I101" s="157">
        <f>IF(Table44[[#This Row],[Applicable Package?]:[Applicable Package?]]="Y",SUM('Rolled Up Non-Incremental Costs'!E12,'ICE Removal Cost'!E12,'Trans Removal Cost'!E12,'LEV3 Criteria Emissions Cost'!E12,'ZEV Assembly Reductions'!E12,'ACCII Criteria Compliance Cost'!E12,'ACCII GHG Compliance'!E12,'Current GHG Compliance'!E12)+IF(Table44[[#This Row],[Cold]:[Cold]]="Y",'Cold Weather Package'!E12,0)+IF(Table44[[#This Row],[eAWD]:[eAWD]]="Y",'eAWD Package'!E12,0)+IF(Table44[[#This Row],[Towing]:[Towing]]="Y",'Towing Bat Cost'!E12,0),"N/A")</f>
        <v>16214.689724310781</v>
      </c>
      <c r="J101" s="157">
        <f>IF(Table44[[#This Row],[Applicable Package?]:[Applicable Package?]]="Y",SUM('Rolled Up Non-Incremental Costs'!F12,'ICE Removal Cost'!F12,'Trans Removal Cost'!F12,'LEV3 Criteria Emissions Cost'!F12,'ZEV Assembly Reductions'!F12,'ACCII Criteria Compliance Cost'!F12,'ACCII GHG Compliance'!F12,'Current GHG Compliance'!F12)+IF(Table44[[#This Row],[Cold]:[Cold]]="Y",'Cold Weather Package'!F12,0)+IF(Table44[[#This Row],[eAWD]:[eAWD]]="Y",'eAWD Package'!F12,0)+IF(Table44[[#This Row],[Towing]:[Towing]]="Y",'Towing Bat Cost'!F12,0),"N/A")</f>
        <v>14626.142516390983</v>
      </c>
      <c r="K101" s="157">
        <f>IF(Table44[[#This Row],[Applicable Package?]:[Applicable Package?]]="Y",SUM('Rolled Up Non-Incremental Costs'!G12,'ICE Removal Cost'!G12,'Trans Removal Cost'!G12,'LEV3 Criteria Emissions Cost'!G12,'ZEV Assembly Reductions'!G12,'ACCII Criteria Compliance Cost'!G12,'ACCII GHG Compliance'!G12,'Current GHG Compliance'!G12)+IF(Table44[[#This Row],[Cold]:[Cold]]="Y",'Cold Weather Package'!G12,0)+IF(Table44[[#This Row],[eAWD]:[eAWD]]="Y",'eAWD Package'!G12,0)+IF(Table44[[#This Row],[Towing]:[Towing]]="Y",'Towing Bat Cost'!G12,0),"N/A")</f>
        <v>13152.713048742395</v>
      </c>
      <c r="L101" s="157">
        <f>IF(Table44[[#This Row],[Applicable Package?]:[Applicable Package?]]="Y",SUM('Rolled Up Non-Incremental Costs'!H12,'ICE Removal Cost'!H12,'Trans Removal Cost'!H12,'LEV3 Criteria Emissions Cost'!H12,'ZEV Assembly Reductions'!H12,'ACCII Criteria Compliance Cost'!H12,'ACCII GHG Compliance'!H12,'Current GHG Compliance'!H12)+IF(Table44[[#This Row],[Cold]:[Cold]]="Y",'Cold Weather Package'!H12,0)+IF(Table44[[#This Row],[eAWD]:[eAWD]]="Y",'eAWD Package'!H12,0)+IF(Table44[[#This Row],[Towing]:[Towing]]="Y",'Towing Bat Cost'!H12,0),"N/A")</f>
        <v>11785.842455141777</v>
      </c>
      <c r="M101" s="157">
        <f>IF(Table44[[#This Row],[Applicable Package?]:[Applicable Package?]]="Y",SUM('Rolled Up Non-Incremental Costs'!I12,'ICE Removal Cost'!I12,'Trans Removal Cost'!I12,'LEV3 Criteria Emissions Cost'!I12,'ZEV Assembly Reductions'!I12,'ACCII Criteria Compliance Cost'!I12,'ACCII GHG Compliance'!I12,'Current GHG Compliance'!I12)+IF(Table44[[#This Row],[Cold]:[Cold]]="Y",'Cold Weather Package'!I12,0)+IF(Table44[[#This Row],[eAWD]:[eAWD]]="Y",'eAWD Package'!I12,0)+IF(Table44[[#This Row],[Towing]:[Towing]]="Y",'Towing Bat Cost'!I12,0),"N/A")</f>
        <v>10517.61044199856</v>
      </c>
      <c r="N101" s="157">
        <f>IF(Table44[[#This Row],[Applicable Package?]:[Applicable Package?]]="Y",SUM('Rolled Up Non-Incremental Costs'!J12,'ICE Removal Cost'!J12,'Trans Removal Cost'!J12,'LEV3 Criteria Emissions Cost'!J12,'ZEV Assembly Reductions'!J12,'ACCII Criteria Compliance Cost'!J12,'ACCII GHG Compliance'!J12,'Current GHG Compliance'!J12)+IF(Table44[[#This Row],[Cold]:[Cold]]="Y",'Cold Weather Package'!J12,0)+IF(Table44[[#This Row],[eAWD]:[eAWD]]="Y",'eAWD Package'!J12,0)+IF(Table44[[#This Row],[Towing]:[Towing]]="Y",'Towing Bat Cost'!J12,0),"N/A")</f>
        <v>9573.872988377525</v>
      </c>
      <c r="O101" s="157">
        <f>IF(Table44[[#This Row],[Applicable Package?]:[Applicable Package?]]="Y",SUM('Rolled Up Non-Incremental Costs'!K12,'ICE Removal Cost'!K12,'Trans Removal Cost'!K12,'LEV3 Criteria Emissions Cost'!K12,'ZEV Assembly Reductions'!K12,'ACCII Criteria Compliance Cost'!K12,'ACCII GHG Compliance'!K12,'Current GHG Compliance'!K12)+IF(Table44[[#This Row],[Cold]:[Cold]]="Y",'Cold Weather Package'!K12,0)+IF(Table44[[#This Row],[eAWD]:[eAWD]]="Y",'eAWD Package'!K12,0)+IF(Table44[[#This Row],[Towing]:[Towing]]="Y",'Towing Bat Cost'!K12,0),"N/A")</f>
        <v>8746.3215974080158</v>
      </c>
      <c r="P101" s="157">
        <f>IF(Table44[[#This Row],[Applicable Package?]:[Applicable Package?]]="Y",SUM('Rolled Up Non-Incremental Costs'!L12,'ICE Removal Cost'!L12,'Trans Removal Cost'!L12,'LEV3 Criteria Emissions Cost'!L12,'ZEV Assembly Reductions'!L12,'ACCII Criteria Compliance Cost'!L12,'ACCII GHG Compliance'!L12,'Current GHG Compliance'!L12)+IF(Table44[[#This Row],[Cold]:[Cold]]="Y",'Cold Weather Package'!L12,0)+IF(Table44[[#This Row],[eAWD]:[eAWD]]="Y",'eAWD Package'!L12,0)+IF(Table44[[#This Row],[Towing]:[Towing]]="Y",'Towing Bat Cost'!L12,0),"N/A")</f>
        <v>7961.7962385426426</v>
      </c>
      <c r="Q101" s="157">
        <f>IF(Table44[[#This Row],[Applicable Package?]:[Applicable Package?]]="Y",SUM('Rolled Up Non-Incremental Costs'!M12,'ICE Removal Cost'!M12,'Trans Removal Cost'!M12,'LEV3 Criteria Emissions Cost'!M12,'ZEV Assembly Reductions'!M12,'ACCII Criteria Compliance Cost'!M12,'ACCII GHG Compliance'!M12,'Current GHG Compliance'!M12)+IF(Table44[[#This Row],[Cold]:[Cold]]="Y",'Cold Weather Package'!M12,0)+IF(Table44[[#This Row],[eAWD]:[eAWD]]="Y",'eAWD Package'!M12,0)+IF(Table44[[#This Row],[Towing]:[Towing]]="Y",'Towing Bat Cost'!M12,0),"N/A")</f>
        <v>7217.9640605892209</v>
      </c>
      <c r="R101" s="157">
        <f>IF(Table44[[#This Row],[Applicable Package?]:[Applicable Package?]]="Y",SUM('Rolled Up Non-Incremental Costs'!N12,'ICE Removal Cost'!N12,'Trans Removal Cost'!N12,'LEV3 Criteria Emissions Cost'!N12,'ZEV Assembly Reductions'!N12,'ACCII Criteria Compliance Cost'!N12,'ACCII GHG Compliance'!N12,'Current GHG Compliance'!N12)+IF(Table44[[#This Row],[Cold]:[Cold]]="Y",'Cold Weather Package'!N12,0)+IF(Table44[[#This Row],[eAWD]:[eAWD]]="Y",'eAWD Package'!N12,0)+IF(Table44[[#This Row],[Towing]:[Towing]]="Y",'Towing Bat Cost'!N12,0),"N/A")</f>
        <v>6512.6197077176857</v>
      </c>
      <c r="S101" s="157">
        <f>IF(Table44[[#This Row],[Applicable Package?]:[Applicable Package?]]="Y",SUM('Rolled Up Non-Incremental Costs'!O12,'ICE Removal Cost'!O12,'Trans Removal Cost'!O12,'LEV3 Criteria Emissions Cost'!O12,'ZEV Assembly Reductions'!O12,'ACCII Criteria Compliance Cost'!O12,'ACCII GHG Compliance'!O12,'Current GHG Compliance'!O12)+IF(Table44[[#This Row],[Cold]:[Cold]]="Y",'Cold Weather Package'!O12,0)+IF(Table44[[#This Row],[eAWD]:[eAWD]]="Y",'eAWD Package'!O12,0)+IF(Table44[[#This Row],[Towing]:[Towing]]="Y",'Towing Bat Cost'!O12,0),"N/A")</f>
        <v>5843.6783413714065</v>
      </c>
    </row>
    <row r="102" spans="1:19" hidden="1" x14ac:dyDescent="0.3">
      <c r="A102" s="28" t="str">
        <f t="shared" si="2"/>
        <v>PickupBaseBEV300</v>
      </c>
      <c r="B102" s="90" t="s">
        <v>89</v>
      </c>
      <c r="C102" s="68" t="s">
        <v>75</v>
      </c>
      <c r="D102" s="68" t="str">
        <f>'Vehicle Attributes - Base Year'!D10</f>
        <v>BEV300</v>
      </c>
      <c r="E102" s="124" t="s">
        <v>77</v>
      </c>
      <c r="F102" s="124" t="s">
        <v>77</v>
      </c>
      <c r="G102" s="125" t="s">
        <v>76</v>
      </c>
      <c r="H102" s="156" t="s">
        <v>76</v>
      </c>
      <c r="I102" s="157">
        <f>IF(Table44[[#This Row],[Applicable Package?]:[Applicable Package?]]="Y",SUM('Rolled Up Non-Incremental Costs'!E13,'ICE Removal Cost'!E13,'Trans Removal Cost'!E13,'LEV3 Criteria Emissions Cost'!E13,'ZEV Assembly Reductions'!E13,'ACCII Criteria Compliance Cost'!E13,'ACCII GHG Compliance'!E13,'Current GHG Compliance'!E13)+IF(Table44[[#This Row],[Cold]:[Cold]]="Y",'Cold Weather Package'!E13,0)+IF(Table44[[#This Row],[eAWD]:[eAWD]]="Y",'eAWD Package'!E13,0)+IF(Table44[[#This Row],[Towing]:[Towing]]="Y",'Towing Bat Cost'!E13,0),"N/A")</f>
        <v>20439.881777911454</v>
      </c>
      <c r="J102" s="157">
        <f>IF(Table44[[#This Row],[Applicable Package?]:[Applicable Package?]]="Y",SUM('Rolled Up Non-Incremental Costs'!F13,'ICE Removal Cost'!F13,'Trans Removal Cost'!F13,'LEV3 Criteria Emissions Cost'!F13,'ZEV Assembly Reductions'!F13,'ACCII Criteria Compliance Cost'!F13,'ACCII GHG Compliance'!F13,'Current GHG Compliance'!F13)+IF(Table44[[#This Row],[Cold]:[Cold]]="Y",'Cold Weather Package'!F13,0)+IF(Table44[[#This Row],[eAWD]:[eAWD]]="Y",'eAWD Package'!F13,0)+IF(Table44[[#This Row],[Towing]:[Towing]]="Y",'Towing Bat Cost'!F13,0),"N/A")</f>
        <v>18524.703472857029</v>
      </c>
      <c r="K102" s="157">
        <f>IF(Table44[[#This Row],[Applicable Package?]:[Applicable Package?]]="Y",SUM('Rolled Up Non-Incremental Costs'!G13,'ICE Removal Cost'!G13,'Trans Removal Cost'!G13,'LEV3 Criteria Emissions Cost'!G13,'ZEV Assembly Reductions'!G13,'ACCII Criteria Compliance Cost'!G13,'ACCII GHG Compliance'!G13,'Current GHG Compliance'!G13)+IF(Table44[[#This Row],[Cold]:[Cold]]="Y",'Cold Weather Package'!G13,0)+IF(Table44[[#This Row],[eAWD]:[eAWD]]="Y",'eAWD Package'!G13,0)+IF(Table44[[#This Row],[Towing]:[Towing]]="Y",'Towing Bat Cost'!G13,0),"N/A")</f>
        <v>16749.138124578258</v>
      </c>
      <c r="L102" s="157">
        <f>IF(Table44[[#This Row],[Applicable Package?]:[Applicable Package?]]="Y",SUM('Rolled Up Non-Incremental Costs'!H13,'ICE Removal Cost'!H13,'Trans Removal Cost'!H13,'LEV3 Criteria Emissions Cost'!H13,'ZEV Assembly Reductions'!H13,'ACCII Criteria Compliance Cost'!H13,'ACCII GHG Compliance'!H13,'Current GHG Compliance'!H13)+IF(Table44[[#This Row],[Cold]:[Cold]]="Y",'Cold Weather Package'!H13,0)+IF(Table44[[#This Row],[eAWD]:[eAWD]]="Y",'eAWD Package'!H13,0)+IF(Table44[[#This Row],[Towing]:[Towing]]="Y",'Towing Bat Cost'!H13,0),"N/A")</f>
        <v>15102.797176888789</v>
      </c>
      <c r="M102" s="157">
        <f>IF(Table44[[#This Row],[Applicable Package?]:[Applicable Package?]]="Y",SUM('Rolled Up Non-Incremental Costs'!I13,'ICE Removal Cost'!I13,'Trans Removal Cost'!I13,'LEV3 Criteria Emissions Cost'!I13,'ZEV Assembly Reductions'!I13,'ACCII Criteria Compliance Cost'!I13,'ACCII GHG Compliance'!I13,'Current GHG Compliance'!I13)+IF(Table44[[#This Row],[Cold]:[Cold]]="Y",'Cold Weather Package'!I13,0)+IF(Table44[[#This Row],[eAWD]:[eAWD]]="Y",'eAWD Package'!I13,0)+IF(Table44[[#This Row],[Towing]:[Towing]]="Y",'Towing Bat Cost'!I13,0),"N/A")</f>
        <v>13576.06724381124</v>
      </c>
      <c r="N102" s="157">
        <f>IF(Table44[[#This Row],[Applicable Package?]:[Applicable Package?]]="Y",SUM('Rolled Up Non-Incremental Costs'!J13,'ICE Removal Cost'!J13,'Trans Removal Cost'!J13,'LEV3 Criteria Emissions Cost'!J13,'ZEV Assembly Reductions'!J13,'ACCII Criteria Compliance Cost'!J13,'ACCII GHG Compliance'!J13,'Current GHG Compliance'!J13)+IF(Table44[[#This Row],[Cold]:[Cold]]="Y",'Cold Weather Package'!J13,0)+IF(Table44[[#This Row],[eAWD]:[eAWD]]="Y",'eAWD Package'!J13,0)+IF(Table44[[#This Row],[Towing]:[Towing]]="Y",'Towing Bat Cost'!J13,0),"N/A")</f>
        <v>12443.12330184908</v>
      </c>
      <c r="O102" s="157">
        <f>IF(Table44[[#This Row],[Applicable Package?]:[Applicable Package?]]="Y",SUM('Rolled Up Non-Incremental Costs'!K13,'ICE Removal Cost'!K13,'Trans Removal Cost'!K13,'LEV3 Criteria Emissions Cost'!K13,'ZEV Assembly Reductions'!K13,'ACCII Criteria Compliance Cost'!K13,'ACCII GHG Compliance'!K13,'Current GHG Compliance'!K13)+IF(Table44[[#This Row],[Cold]:[Cold]]="Y",'Cold Weather Package'!K13,0)+IF(Table44[[#This Row],[eAWD]:[eAWD]]="Y",'eAWD Package'!K13,0)+IF(Table44[[#This Row],[Towing]:[Towing]]="Y",'Towing Bat Cost'!K13,0),"N/A")</f>
        <v>11451.094391758214</v>
      </c>
      <c r="P102" s="157">
        <f>IF(Table44[[#This Row],[Applicable Package?]:[Applicable Package?]]="Y",SUM('Rolled Up Non-Incremental Costs'!L13,'ICE Removal Cost'!L13,'Trans Removal Cost'!L13,'LEV3 Criteria Emissions Cost'!L13,'ZEV Assembly Reductions'!L13,'ACCII Criteria Compliance Cost'!L13,'ACCII GHG Compliance'!L13,'Current GHG Compliance'!L13)+IF(Table44[[#This Row],[Cold]:[Cold]]="Y",'Cold Weather Package'!L13,0)+IF(Table44[[#This Row],[eAWD]:[eAWD]]="Y",'eAWD Package'!L13,0)+IF(Table44[[#This Row],[Towing]:[Towing]]="Y",'Towing Bat Cost'!L13,0),"N/A")</f>
        <v>10511.170518587969</v>
      </c>
      <c r="Q102" s="157">
        <f>IF(Table44[[#This Row],[Applicable Package?]:[Applicable Package?]]="Y",SUM('Rolled Up Non-Incremental Costs'!M13,'ICE Removal Cost'!M13,'Trans Removal Cost'!M13,'LEV3 Criteria Emissions Cost'!M13,'ZEV Assembly Reductions'!M13,'ACCII Criteria Compliance Cost'!M13,'ACCII GHG Compliance'!M13,'Current GHG Compliance'!M13)+IF(Table44[[#This Row],[Cold]:[Cold]]="Y",'Cold Weather Package'!M13,0)+IF(Table44[[#This Row],[eAWD]:[eAWD]]="Y",'eAWD Package'!M13,0)+IF(Table44[[#This Row],[Towing]:[Towing]]="Y",'Towing Bat Cost'!M13,0),"N/A")</f>
        <v>9620.5210170260143</v>
      </c>
      <c r="R102" s="157">
        <f>IF(Table44[[#This Row],[Applicable Package?]:[Applicable Package?]]="Y",SUM('Rolled Up Non-Incremental Costs'!N13,'ICE Removal Cost'!N13,'Trans Removal Cost'!N13,'LEV3 Criteria Emissions Cost'!N13,'ZEV Assembly Reductions'!N13,'ACCII Criteria Compliance Cost'!N13,'ACCII GHG Compliance'!N13,'Current GHG Compliance'!N13)+IF(Table44[[#This Row],[Cold]:[Cold]]="Y",'Cold Weather Package'!N13,0)+IF(Table44[[#This Row],[eAWD]:[eAWD]]="Y",'eAWD Package'!N13,0)+IF(Table44[[#This Row],[Towing]:[Towing]]="Y",'Towing Bat Cost'!N13,0),"N/A")</f>
        <v>8776.4699798312631</v>
      </c>
      <c r="S102" s="157">
        <f>IF(Table44[[#This Row],[Applicable Package?]:[Applicable Package?]]="Y",SUM('Rolled Up Non-Incremental Costs'!O13,'ICE Removal Cost'!O13,'Trans Removal Cost'!O13,'LEV3 Criteria Emissions Cost'!O13,'ZEV Assembly Reductions'!O13,'ACCII Criteria Compliance Cost'!O13,'ACCII GHG Compliance'!O13,'Current GHG Compliance'!O13)+IF(Table44[[#This Row],[Cold]:[Cold]]="Y",'Cold Weather Package'!O13,0)+IF(Table44[[#This Row],[eAWD]:[eAWD]]="Y",'eAWD Package'!O13,0)+IF(Table44[[#This Row],[Towing]:[Towing]]="Y",'Towing Bat Cost'!O13,0),"N/A")</f>
        <v>7976.4877870380551</v>
      </c>
    </row>
    <row r="103" spans="1:19" hidden="1" x14ac:dyDescent="0.3">
      <c r="A103" t="str">
        <f t="shared" si="2"/>
        <v>PickupHTBEV400</v>
      </c>
      <c r="B103" s="90" t="s">
        <v>89</v>
      </c>
      <c r="C103" s="68" t="s">
        <v>113</v>
      </c>
      <c r="D103" s="68" t="str">
        <f>'Vehicle Attributes - Base Year'!D11</f>
        <v>BEV400</v>
      </c>
      <c r="E103" s="124" t="s">
        <v>77</v>
      </c>
      <c r="F103" s="124" t="s">
        <v>77</v>
      </c>
      <c r="G103" s="125" t="s">
        <v>76</v>
      </c>
      <c r="H103" s="156" t="s">
        <v>76</v>
      </c>
      <c r="I103" s="157">
        <f>IF(Table44[[#This Row],[Applicable Package?]:[Applicable Package?]]="Y",SUM('Rolled Up Non-Incremental Costs'!E14,'ICE Removal Cost'!E14,'Trans Removal Cost'!E14,'LEV3 Criteria Emissions Cost'!E14,'ZEV Assembly Reductions'!E14,'ACCII Criteria Compliance Cost'!E14,'ACCII GHG Compliance'!E14,'Current GHG Compliance'!E14)+IF(Table44[[#This Row],[Cold]:[Cold]]="Y",'Cold Weather Package'!E14,0)+IF(Table44[[#This Row],[eAWD]:[eAWD]]="Y",'eAWD Package'!E14,0)+IF(Table44[[#This Row],[Towing]:[Towing]]="Y",'Towing Bat Cost'!E14,0),"N/A")</f>
        <v>23143.628370927319</v>
      </c>
      <c r="J103" s="157">
        <f>IF(Table44[[#This Row],[Applicable Package?]:[Applicable Package?]]="Y",SUM('Rolled Up Non-Incremental Costs'!F14,'ICE Removal Cost'!F14,'Trans Removal Cost'!F14,'LEV3 Criteria Emissions Cost'!F14,'ZEV Assembly Reductions'!F14,'ACCII Criteria Compliance Cost'!F14,'ACCII GHG Compliance'!F14,'Current GHG Compliance'!F14)+IF(Table44[[#This Row],[Cold]:[Cold]]="Y",'Cold Weather Package'!F14,0)+IF(Table44[[#This Row],[eAWD]:[eAWD]]="Y",'eAWD Package'!F14,0)+IF(Table44[[#This Row],[Towing]:[Towing]]="Y",'Towing Bat Cost'!F14,0),"N/A")</f>
        <v>21058.288567037598</v>
      </c>
      <c r="K103" s="157">
        <f>IF(Table44[[#This Row],[Applicable Package?]:[Applicable Package?]]="Y",SUM('Rolled Up Non-Incremental Costs'!G14,'ICE Removal Cost'!G14,'Trans Removal Cost'!G14,'LEV3 Criteria Emissions Cost'!G14,'ZEV Assembly Reductions'!G14,'ACCII Criteria Compliance Cost'!G14,'ACCII GHG Compliance'!G14,'Current GHG Compliance'!G14)+IF(Table44[[#This Row],[Cold]:[Cold]]="Y",'Cold Weather Package'!G14,0)+IF(Table44[[#This Row],[eAWD]:[eAWD]]="Y",'eAWD Package'!G14,0)+IF(Table44[[#This Row],[Towing]:[Towing]]="Y",'Towing Bat Cost'!G14,0),"N/A")</f>
        <v>19124.947543968243</v>
      </c>
      <c r="L103" s="157">
        <f>IF(Table44[[#This Row],[Applicable Package?]:[Applicable Package?]]="Y",SUM('Rolled Up Non-Incremental Costs'!H14,'ICE Removal Cost'!H14,'Trans Removal Cost'!H14,'LEV3 Criteria Emissions Cost'!H14,'ZEV Assembly Reductions'!H14,'ACCII Criteria Compliance Cost'!H14,'ACCII GHG Compliance'!H14,'Current GHG Compliance'!H14)+IF(Table44[[#This Row],[Cold]:[Cold]]="Y",'Cold Weather Package'!H14,0)+IF(Table44[[#This Row],[eAWD]:[eAWD]]="Y",'eAWD Package'!H14,0)+IF(Table44[[#This Row],[Towing]:[Towing]]="Y",'Towing Bat Cost'!H14,0),"N/A")</f>
        <v>17332.295311086411</v>
      </c>
      <c r="M103" s="157">
        <f>IF(Table44[[#This Row],[Applicable Package?]:[Applicable Package?]]="Y",SUM('Rolled Up Non-Incremental Costs'!I14,'ICE Removal Cost'!I14,'Trans Removal Cost'!I14,'LEV3 Criteria Emissions Cost'!I14,'ZEV Assembly Reductions'!I14,'ACCII Criteria Compliance Cost'!I14,'ACCII GHG Compliance'!I14,'Current GHG Compliance'!I14)+IF(Table44[[#This Row],[Cold]:[Cold]]="Y",'Cold Weather Package'!I14,0)+IF(Table44[[#This Row],[eAWD]:[eAWD]]="Y",'eAWD Package'!I14,0)+IF(Table44[[#This Row],[Towing]:[Towing]]="Y",'Towing Bat Cost'!I14,0),"N/A")</f>
        <v>15669.865801376454</v>
      </c>
      <c r="N103" s="157">
        <f>IF(Table44[[#This Row],[Applicable Package?]:[Applicable Package?]]="Y",SUM('Rolled Up Non-Incremental Costs'!J14,'ICE Removal Cost'!J14,'Trans Removal Cost'!J14,'LEV3 Criteria Emissions Cost'!J14,'ZEV Assembly Reductions'!J14,'ACCII Criteria Compliance Cost'!J14,'ACCII GHG Compliance'!J14,'Current GHG Compliance'!J14)+IF(Table44[[#This Row],[Cold]:[Cold]]="Y",'Cold Weather Package'!J14,0)+IF(Table44[[#This Row],[eAWD]:[eAWD]]="Y",'eAWD Package'!J14,0)+IF(Table44[[#This Row],[Towing]:[Towing]]="Y",'Towing Bat Cost'!J14,0),"N/A")</f>
        <v>14436.15169619707</v>
      </c>
      <c r="O103" s="157">
        <f>IF(Table44[[#This Row],[Applicable Package?]:[Applicable Package?]]="Y",SUM('Rolled Up Non-Incremental Costs'!K14,'ICE Removal Cost'!K14,'Trans Removal Cost'!K14,'LEV3 Criteria Emissions Cost'!K14,'ZEV Assembly Reductions'!K14,'ACCII Criteria Compliance Cost'!K14,'ACCII GHG Compliance'!K14,'Current GHG Compliance'!K14)+IF(Table44[[#This Row],[Cold]:[Cold]]="Y",'Cold Weather Package'!K14,0)+IF(Table44[[#This Row],[eAWD]:[eAWD]]="Y",'eAWD Package'!K14,0)+IF(Table44[[#This Row],[Towing]:[Towing]]="Y",'Towing Bat Cost'!K14,0),"N/A")</f>
        <v>13355.853816719778</v>
      </c>
      <c r="P103" s="157">
        <f>IF(Table44[[#This Row],[Applicable Package?]:[Applicable Package?]]="Y",SUM('Rolled Up Non-Incremental Costs'!L14,'ICE Removal Cost'!L14,'Trans Removal Cost'!L14,'LEV3 Criteria Emissions Cost'!L14,'ZEV Assembly Reductions'!L14,'ACCII Criteria Compliance Cost'!L14,'ACCII GHG Compliance'!L14,'Current GHG Compliance'!L14)+IF(Table44[[#This Row],[Cold]:[Cold]]="Y",'Cold Weather Package'!L14,0)+IF(Table44[[#This Row],[eAWD]:[eAWD]]="Y",'eAWD Package'!L14,0)+IF(Table44[[#This Row],[Towing]:[Towing]]="Y",'Towing Bat Cost'!L14,0),"N/A")</f>
        <v>12332.285206884972</v>
      </c>
      <c r="Q103" s="157">
        <f>IF(Table44[[#This Row],[Applicable Package?]:[Applicable Package?]]="Y",SUM('Rolled Up Non-Incremental Costs'!M14,'ICE Removal Cost'!M14,'Trans Removal Cost'!M14,'LEV3 Criteria Emissions Cost'!M14,'ZEV Assembly Reductions'!M14,'ACCII Criteria Compliance Cost'!M14,'ACCII GHG Compliance'!M14,'Current GHG Compliance'!M14)+IF(Table44[[#This Row],[Cold]:[Cold]]="Y",'Cold Weather Package'!M14,0)+IF(Table44[[#This Row],[eAWD]:[eAWD]]="Y",'eAWD Package'!M14,0)+IF(Table44[[#This Row],[Towing]:[Towing]]="Y",'Towing Bat Cost'!M14,0),"N/A")</f>
        <v>11362.364109572318</v>
      </c>
      <c r="R103" s="157">
        <f>IF(Table44[[#This Row],[Applicable Package?]:[Applicable Package?]]="Y",SUM('Rolled Up Non-Incremental Costs'!N14,'ICE Removal Cost'!N14,'Trans Removal Cost'!N14,'LEV3 Criteria Emissions Cost'!N14,'ZEV Assembly Reductions'!N14,'ACCII Criteria Compliance Cost'!N14,'ACCII GHG Compliance'!N14,'Current GHG Compliance'!N14)+IF(Table44[[#This Row],[Cold]:[Cold]]="Y",'Cold Weather Package'!N14,0)+IF(Table44[[#This Row],[eAWD]:[eAWD]]="Y",'eAWD Package'!N14,0)+IF(Table44[[#This Row],[Towing]:[Towing]]="Y",'Towing Bat Cost'!N14,0),"N/A")</f>
        <v>10443.177252159889</v>
      </c>
      <c r="S103" s="157">
        <f>IF(Table44[[#This Row],[Applicable Package?]:[Applicable Package?]]="Y",SUM('Rolled Up Non-Incremental Costs'!O14,'ICE Removal Cost'!O14,'Trans Removal Cost'!O14,'LEV3 Criteria Emissions Cost'!O14,'ZEV Assembly Reductions'!O14,'ACCII Criteria Compliance Cost'!O14,'ACCII GHG Compliance'!O14,'Current GHG Compliance'!O14)+IF(Table44[[#This Row],[Cold]:[Cold]]="Y",'Cold Weather Package'!O14,0)+IF(Table44[[#This Row],[eAWD]:[eAWD]]="Y",'eAWD Package'!O14,0)+IF(Table44[[#This Row],[Towing]:[Towing]]="Y",'Towing Bat Cost'!O14,0),"N/A")</f>
        <v>9571.9706244149202</v>
      </c>
    </row>
    <row r="104" spans="1:19" hidden="1" x14ac:dyDescent="0.3">
      <c r="A104" s="28" t="str">
        <f t="shared" si="2"/>
        <v>SmallCarBasePHEV50</v>
      </c>
      <c r="B104" s="90" t="s">
        <v>73</v>
      </c>
      <c r="C104" s="68" t="s">
        <v>75</v>
      </c>
      <c r="D104" s="68" t="str">
        <f>'Vehicle Attributes - Base Year'!D12</f>
        <v>PHEV50</v>
      </c>
      <c r="E104" s="124" t="s">
        <v>77</v>
      </c>
      <c r="F104" s="124" t="s">
        <v>77</v>
      </c>
      <c r="G104" s="125" t="s">
        <v>76</v>
      </c>
      <c r="H104" s="156" t="s">
        <v>77</v>
      </c>
      <c r="I104" s="157" t="str">
        <f>IF(Table44[[#This Row],[Applicable Package?]:[Applicable Package?]]="Y",SUM('Rolled Up Non-Incremental Costs'!E15,'ICE Removal Cost'!E15,'Trans Removal Cost'!E15,'LEV3 Criteria Emissions Cost'!E15,'ZEV Assembly Reductions'!E15,'ACCII Criteria Compliance Cost'!E15,'ACCII GHG Compliance'!E15,'Current GHG Compliance'!E15)+IF(Table44[[#This Row],[Cold]:[Cold]]="Y",'Cold Weather Package'!E15,0)+IF(Table44[[#This Row],[eAWD]:[eAWD]]="Y",'eAWD Package'!E15,0)+IF(Table44[[#This Row],[Towing]:[Towing]]="Y",'Towing Bat Cost'!E15,0),"N/A")</f>
        <v>N/A</v>
      </c>
      <c r="J104" s="157" t="str">
        <f>IF(Table44[[#This Row],[Applicable Package?]:[Applicable Package?]]="Y",SUM('Rolled Up Non-Incremental Costs'!F15,'ICE Removal Cost'!F15,'Trans Removal Cost'!F15,'LEV3 Criteria Emissions Cost'!F15,'ZEV Assembly Reductions'!F15,'ACCII Criteria Compliance Cost'!F15,'ACCII GHG Compliance'!F15,'Current GHG Compliance'!F15)+IF(Table44[[#This Row],[Cold]:[Cold]]="Y",'Cold Weather Package'!F15,0)+IF(Table44[[#This Row],[eAWD]:[eAWD]]="Y",'eAWD Package'!F15,0)+IF(Table44[[#This Row],[Towing]:[Towing]]="Y",'Towing Bat Cost'!F15,0),"N/A")</f>
        <v>N/A</v>
      </c>
      <c r="K104" s="157" t="str">
        <f>IF(Table44[[#This Row],[Applicable Package?]:[Applicable Package?]]="Y",SUM('Rolled Up Non-Incremental Costs'!G15,'ICE Removal Cost'!G15,'Trans Removal Cost'!G15,'LEV3 Criteria Emissions Cost'!G15,'ZEV Assembly Reductions'!G15,'ACCII Criteria Compliance Cost'!G15,'ACCII GHG Compliance'!G15,'Current GHG Compliance'!G15)+IF(Table44[[#This Row],[Cold]:[Cold]]="Y",'Cold Weather Package'!G15,0)+IF(Table44[[#This Row],[eAWD]:[eAWD]]="Y",'eAWD Package'!G15,0)+IF(Table44[[#This Row],[Towing]:[Towing]]="Y",'Towing Bat Cost'!G15,0),"N/A")</f>
        <v>N/A</v>
      </c>
      <c r="L104" s="157" t="str">
        <f>IF(Table44[[#This Row],[Applicable Package?]:[Applicable Package?]]="Y",SUM('Rolled Up Non-Incremental Costs'!H15,'ICE Removal Cost'!H15,'Trans Removal Cost'!H15,'LEV3 Criteria Emissions Cost'!H15,'ZEV Assembly Reductions'!H15,'ACCII Criteria Compliance Cost'!H15,'ACCII GHG Compliance'!H15,'Current GHG Compliance'!H15)+IF(Table44[[#This Row],[Cold]:[Cold]]="Y",'Cold Weather Package'!H15,0)+IF(Table44[[#This Row],[eAWD]:[eAWD]]="Y",'eAWD Package'!H15,0)+IF(Table44[[#This Row],[Towing]:[Towing]]="Y",'Towing Bat Cost'!H15,0),"N/A")</f>
        <v>N/A</v>
      </c>
      <c r="M104" s="157" t="str">
        <f>IF(Table44[[#This Row],[Applicable Package?]:[Applicable Package?]]="Y",SUM('Rolled Up Non-Incremental Costs'!I15,'ICE Removal Cost'!I15,'Trans Removal Cost'!I15,'LEV3 Criteria Emissions Cost'!I15,'ZEV Assembly Reductions'!I15,'ACCII Criteria Compliance Cost'!I15,'ACCII GHG Compliance'!I15,'Current GHG Compliance'!I15)+IF(Table44[[#This Row],[Cold]:[Cold]]="Y",'Cold Weather Package'!I15,0)+IF(Table44[[#This Row],[eAWD]:[eAWD]]="Y",'eAWD Package'!I15,0)+IF(Table44[[#This Row],[Towing]:[Towing]]="Y",'Towing Bat Cost'!I15,0),"N/A")</f>
        <v>N/A</v>
      </c>
      <c r="N104" s="157" t="str">
        <f>IF(Table44[[#This Row],[Applicable Package?]:[Applicable Package?]]="Y",SUM('Rolled Up Non-Incremental Costs'!J15,'ICE Removal Cost'!J15,'Trans Removal Cost'!J15,'LEV3 Criteria Emissions Cost'!J15,'ZEV Assembly Reductions'!J15,'ACCII Criteria Compliance Cost'!J15,'ACCII GHG Compliance'!J15,'Current GHG Compliance'!J15)+IF(Table44[[#This Row],[Cold]:[Cold]]="Y",'Cold Weather Package'!J15,0)+IF(Table44[[#This Row],[eAWD]:[eAWD]]="Y",'eAWD Package'!J15,0)+IF(Table44[[#This Row],[Towing]:[Towing]]="Y",'Towing Bat Cost'!J15,0),"N/A")</f>
        <v>N/A</v>
      </c>
      <c r="O104" s="157" t="str">
        <f>IF(Table44[[#This Row],[Applicable Package?]:[Applicable Package?]]="Y",SUM('Rolled Up Non-Incremental Costs'!K15,'ICE Removal Cost'!K15,'Trans Removal Cost'!K15,'LEV3 Criteria Emissions Cost'!K15,'ZEV Assembly Reductions'!K15,'ACCII Criteria Compliance Cost'!K15,'ACCII GHG Compliance'!K15,'Current GHG Compliance'!K15)+IF(Table44[[#This Row],[Cold]:[Cold]]="Y",'Cold Weather Package'!K15,0)+IF(Table44[[#This Row],[eAWD]:[eAWD]]="Y",'eAWD Package'!K15,0)+IF(Table44[[#This Row],[Towing]:[Towing]]="Y",'Towing Bat Cost'!K15,0),"N/A")</f>
        <v>N/A</v>
      </c>
      <c r="P104" s="157" t="str">
        <f>IF(Table44[[#This Row],[Applicable Package?]:[Applicable Package?]]="Y",SUM('Rolled Up Non-Incremental Costs'!L15,'ICE Removal Cost'!L15,'Trans Removal Cost'!L15,'LEV3 Criteria Emissions Cost'!L15,'ZEV Assembly Reductions'!L15,'ACCII Criteria Compliance Cost'!L15,'ACCII GHG Compliance'!L15,'Current GHG Compliance'!L15)+IF(Table44[[#This Row],[Cold]:[Cold]]="Y",'Cold Weather Package'!L15,0)+IF(Table44[[#This Row],[eAWD]:[eAWD]]="Y",'eAWD Package'!L15,0)+IF(Table44[[#This Row],[Towing]:[Towing]]="Y",'Towing Bat Cost'!L15,0),"N/A")</f>
        <v>N/A</v>
      </c>
      <c r="Q104" s="157" t="str">
        <f>IF(Table44[[#This Row],[Applicable Package?]:[Applicable Package?]]="Y",SUM('Rolled Up Non-Incremental Costs'!M15,'ICE Removal Cost'!M15,'Trans Removal Cost'!M15,'LEV3 Criteria Emissions Cost'!M15,'ZEV Assembly Reductions'!M15,'ACCII Criteria Compliance Cost'!M15,'ACCII GHG Compliance'!M15,'Current GHG Compliance'!M15)+IF(Table44[[#This Row],[Cold]:[Cold]]="Y",'Cold Weather Package'!M15,0)+IF(Table44[[#This Row],[eAWD]:[eAWD]]="Y",'eAWD Package'!M15,0)+IF(Table44[[#This Row],[Towing]:[Towing]]="Y",'Towing Bat Cost'!M15,0),"N/A")</f>
        <v>N/A</v>
      </c>
      <c r="R104" s="157" t="str">
        <f>IF(Table44[[#This Row],[Applicable Package?]:[Applicable Package?]]="Y",SUM('Rolled Up Non-Incremental Costs'!N15,'ICE Removal Cost'!N15,'Trans Removal Cost'!N15,'LEV3 Criteria Emissions Cost'!N15,'ZEV Assembly Reductions'!N15,'ACCII Criteria Compliance Cost'!N15,'ACCII GHG Compliance'!N15,'Current GHG Compliance'!N15)+IF(Table44[[#This Row],[Cold]:[Cold]]="Y",'Cold Weather Package'!N15,0)+IF(Table44[[#This Row],[eAWD]:[eAWD]]="Y",'eAWD Package'!N15,0)+IF(Table44[[#This Row],[Towing]:[Towing]]="Y",'Towing Bat Cost'!N15,0),"N/A")</f>
        <v>N/A</v>
      </c>
      <c r="S104" s="157" t="str">
        <f>IF(Table44[[#This Row],[Applicable Package?]:[Applicable Package?]]="Y",SUM('Rolled Up Non-Incremental Costs'!O15,'ICE Removal Cost'!O15,'Trans Removal Cost'!O15,'LEV3 Criteria Emissions Cost'!O15,'ZEV Assembly Reductions'!O15,'ACCII Criteria Compliance Cost'!O15,'ACCII GHG Compliance'!O15,'Current GHG Compliance'!O15)+IF(Table44[[#This Row],[Cold]:[Cold]]="Y",'Cold Weather Package'!O15,0)+IF(Table44[[#This Row],[eAWD]:[eAWD]]="Y",'eAWD Package'!O15,0)+IF(Table44[[#This Row],[Towing]:[Towing]]="Y",'Towing Bat Cost'!O15,0),"N/A")</f>
        <v>N/A</v>
      </c>
    </row>
    <row r="105" spans="1:19" hidden="1" x14ac:dyDescent="0.3">
      <c r="A105" t="str">
        <f t="shared" si="2"/>
        <v>SmallCarPremiumPHEV50</v>
      </c>
      <c r="B105" s="90" t="s">
        <v>73</v>
      </c>
      <c r="C105" s="68" t="s">
        <v>80</v>
      </c>
      <c r="D105" s="68" t="str">
        <f>'Vehicle Attributes - Base Year'!D13</f>
        <v>PHEV50</v>
      </c>
      <c r="E105" s="124" t="s">
        <v>77</v>
      </c>
      <c r="F105" s="124" t="s">
        <v>77</v>
      </c>
      <c r="G105" s="125" t="s">
        <v>76</v>
      </c>
      <c r="H105" s="156" t="s">
        <v>77</v>
      </c>
      <c r="I105" s="157" t="str">
        <f>IF(Table44[[#This Row],[Applicable Package?]:[Applicable Package?]]="Y",SUM('Rolled Up Non-Incremental Costs'!E16,'ICE Removal Cost'!E16,'Trans Removal Cost'!E16,'LEV3 Criteria Emissions Cost'!E16,'ZEV Assembly Reductions'!E16,'ACCII Criteria Compliance Cost'!E16,'ACCII GHG Compliance'!E16,'Current GHG Compliance'!E16)+IF(Table44[[#This Row],[Cold]:[Cold]]="Y",'Cold Weather Package'!E16,0)+IF(Table44[[#This Row],[eAWD]:[eAWD]]="Y",'eAWD Package'!E16,0)+IF(Table44[[#This Row],[Towing]:[Towing]]="Y",'Towing Bat Cost'!E16,0),"N/A")</f>
        <v>N/A</v>
      </c>
      <c r="J105" s="157" t="str">
        <f>IF(Table44[[#This Row],[Applicable Package?]:[Applicable Package?]]="Y",SUM('Rolled Up Non-Incremental Costs'!F16,'ICE Removal Cost'!F16,'Trans Removal Cost'!F16,'LEV3 Criteria Emissions Cost'!F16,'ZEV Assembly Reductions'!F16,'ACCII Criteria Compliance Cost'!F16,'ACCII GHG Compliance'!F16,'Current GHG Compliance'!F16)+IF(Table44[[#This Row],[Cold]:[Cold]]="Y",'Cold Weather Package'!F16,0)+IF(Table44[[#This Row],[eAWD]:[eAWD]]="Y",'eAWD Package'!F16,0)+IF(Table44[[#This Row],[Towing]:[Towing]]="Y",'Towing Bat Cost'!F16,0),"N/A")</f>
        <v>N/A</v>
      </c>
      <c r="K105" s="157" t="str">
        <f>IF(Table44[[#This Row],[Applicable Package?]:[Applicable Package?]]="Y",SUM('Rolled Up Non-Incremental Costs'!G16,'ICE Removal Cost'!G16,'Trans Removal Cost'!G16,'LEV3 Criteria Emissions Cost'!G16,'ZEV Assembly Reductions'!G16,'ACCII Criteria Compliance Cost'!G16,'ACCII GHG Compliance'!G16,'Current GHG Compliance'!G16)+IF(Table44[[#This Row],[Cold]:[Cold]]="Y",'Cold Weather Package'!G16,0)+IF(Table44[[#This Row],[eAWD]:[eAWD]]="Y",'eAWD Package'!G16,0)+IF(Table44[[#This Row],[Towing]:[Towing]]="Y",'Towing Bat Cost'!G16,0),"N/A")</f>
        <v>N/A</v>
      </c>
      <c r="L105" s="157" t="str">
        <f>IF(Table44[[#This Row],[Applicable Package?]:[Applicable Package?]]="Y",SUM('Rolled Up Non-Incremental Costs'!H16,'ICE Removal Cost'!H16,'Trans Removal Cost'!H16,'LEV3 Criteria Emissions Cost'!H16,'ZEV Assembly Reductions'!H16,'ACCII Criteria Compliance Cost'!H16,'ACCII GHG Compliance'!H16,'Current GHG Compliance'!H16)+IF(Table44[[#This Row],[Cold]:[Cold]]="Y",'Cold Weather Package'!H16,0)+IF(Table44[[#This Row],[eAWD]:[eAWD]]="Y",'eAWD Package'!H16,0)+IF(Table44[[#This Row],[Towing]:[Towing]]="Y",'Towing Bat Cost'!H16,0),"N/A")</f>
        <v>N/A</v>
      </c>
      <c r="M105" s="157" t="str">
        <f>IF(Table44[[#This Row],[Applicable Package?]:[Applicable Package?]]="Y",SUM('Rolled Up Non-Incremental Costs'!I16,'ICE Removal Cost'!I16,'Trans Removal Cost'!I16,'LEV3 Criteria Emissions Cost'!I16,'ZEV Assembly Reductions'!I16,'ACCII Criteria Compliance Cost'!I16,'ACCII GHG Compliance'!I16,'Current GHG Compliance'!I16)+IF(Table44[[#This Row],[Cold]:[Cold]]="Y",'Cold Weather Package'!I16,0)+IF(Table44[[#This Row],[eAWD]:[eAWD]]="Y",'eAWD Package'!I16,0)+IF(Table44[[#This Row],[Towing]:[Towing]]="Y",'Towing Bat Cost'!I16,0),"N/A")</f>
        <v>N/A</v>
      </c>
      <c r="N105" s="157" t="str">
        <f>IF(Table44[[#This Row],[Applicable Package?]:[Applicable Package?]]="Y",SUM('Rolled Up Non-Incremental Costs'!J16,'ICE Removal Cost'!J16,'Trans Removal Cost'!J16,'LEV3 Criteria Emissions Cost'!J16,'ZEV Assembly Reductions'!J16,'ACCII Criteria Compliance Cost'!J16,'ACCII GHG Compliance'!J16,'Current GHG Compliance'!J16)+IF(Table44[[#This Row],[Cold]:[Cold]]="Y",'Cold Weather Package'!J16,0)+IF(Table44[[#This Row],[eAWD]:[eAWD]]="Y",'eAWD Package'!J16,0)+IF(Table44[[#This Row],[Towing]:[Towing]]="Y",'Towing Bat Cost'!J16,0),"N/A")</f>
        <v>N/A</v>
      </c>
      <c r="O105" s="157" t="str">
        <f>IF(Table44[[#This Row],[Applicable Package?]:[Applicable Package?]]="Y",SUM('Rolled Up Non-Incremental Costs'!K16,'ICE Removal Cost'!K16,'Trans Removal Cost'!K16,'LEV3 Criteria Emissions Cost'!K16,'ZEV Assembly Reductions'!K16,'ACCII Criteria Compliance Cost'!K16,'ACCII GHG Compliance'!K16,'Current GHG Compliance'!K16)+IF(Table44[[#This Row],[Cold]:[Cold]]="Y",'Cold Weather Package'!K16,0)+IF(Table44[[#This Row],[eAWD]:[eAWD]]="Y",'eAWD Package'!K16,0)+IF(Table44[[#This Row],[Towing]:[Towing]]="Y",'Towing Bat Cost'!K16,0),"N/A")</f>
        <v>N/A</v>
      </c>
      <c r="P105" s="157" t="str">
        <f>IF(Table44[[#This Row],[Applicable Package?]:[Applicable Package?]]="Y",SUM('Rolled Up Non-Incremental Costs'!L16,'ICE Removal Cost'!L16,'Trans Removal Cost'!L16,'LEV3 Criteria Emissions Cost'!L16,'ZEV Assembly Reductions'!L16,'ACCII Criteria Compliance Cost'!L16,'ACCII GHG Compliance'!L16,'Current GHG Compliance'!L16)+IF(Table44[[#This Row],[Cold]:[Cold]]="Y",'Cold Weather Package'!L16,0)+IF(Table44[[#This Row],[eAWD]:[eAWD]]="Y",'eAWD Package'!L16,0)+IF(Table44[[#This Row],[Towing]:[Towing]]="Y",'Towing Bat Cost'!L16,0),"N/A")</f>
        <v>N/A</v>
      </c>
      <c r="Q105" s="157" t="str">
        <f>IF(Table44[[#This Row],[Applicable Package?]:[Applicable Package?]]="Y",SUM('Rolled Up Non-Incremental Costs'!M16,'ICE Removal Cost'!M16,'Trans Removal Cost'!M16,'LEV3 Criteria Emissions Cost'!M16,'ZEV Assembly Reductions'!M16,'ACCII Criteria Compliance Cost'!M16,'ACCII GHG Compliance'!M16,'Current GHG Compliance'!M16)+IF(Table44[[#This Row],[Cold]:[Cold]]="Y",'Cold Weather Package'!M16,0)+IF(Table44[[#This Row],[eAWD]:[eAWD]]="Y",'eAWD Package'!M16,0)+IF(Table44[[#This Row],[Towing]:[Towing]]="Y",'Towing Bat Cost'!M16,0),"N/A")</f>
        <v>N/A</v>
      </c>
      <c r="R105" s="157" t="str">
        <f>IF(Table44[[#This Row],[Applicable Package?]:[Applicable Package?]]="Y",SUM('Rolled Up Non-Incremental Costs'!N16,'ICE Removal Cost'!N16,'Trans Removal Cost'!N16,'LEV3 Criteria Emissions Cost'!N16,'ZEV Assembly Reductions'!N16,'ACCII Criteria Compliance Cost'!N16,'ACCII GHG Compliance'!N16,'Current GHG Compliance'!N16)+IF(Table44[[#This Row],[Cold]:[Cold]]="Y",'Cold Weather Package'!N16,0)+IF(Table44[[#This Row],[eAWD]:[eAWD]]="Y",'eAWD Package'!N16,0)+IF(Table44[[#This Row],[Towing]:[Towing]]="Y",'Towing Bat Cost'!N16,0),"N/A")</f>
        <v>N/A</v>
      </c>
      <c r="S105" s="157" t="str">
        <f>IF(Table44[[#This Row],[Applicable Package?]:[Applicable Package?]]="Y",SUM('Rolled Up Non-Incremental Costs'!O16,'ICE Removal Cost'!O16,'Trans Removal Cost'!O16,'LEV3 Criteria Emissions Cost'!O16,'ZEV Assembly Reductions'!O16,'ACCII Criteria Compliance Cost'!O16,'ACCII GHG Compliance'!O16,'Current GHG Compliance'!O16)+IF(Table44[[#This Row],[Cold]:[Cold]]="Y",'Cold Weather Package'!O16,0)+IF(Table44[[#This Row],[eAWD]:[eAWD]]="Y",'eAWD Package'!O16,0)+IF(Table44[[#This Row],[Towing]:[Towing]]="Y",'Towing Bat Cost'!O16,0),"N/A")</f>
        <v>N/A</v>
      </c>
    </row>
    <row r="106" spans="1:19" hidden="1" x14ac:dyDescent="0.3">
      <c r="A106" s="28" t="str">
        <f t="shared" si="2"/>
        <v>MedCarBasePHEV50</v>
      </c>
      <c r="B106" s="90" t="s">
        <v>82</v>
      </c>
      <c r="C106" s="68" t="s">
        <v>75</v>
      </c>
      <c r="D106" s="68" t="str">
        <f>'Vehicle Attributes - Base Year'!D14</f>
        <v>PHEV50</v>
      </c>
      <c r="E106" s="124" t="s">
        <v>77</v>
      </c>
      <c r="F106" s="124" t="s">
        <v>77</v>
      </c>
      <c r="G106" s="125" t="s">
        <v>76</v>
      </c>
      <c r="H106" s="156" t="s">
        <v>77</v>
      </c>
      <c r="I106" s="157" t="str">
        <f>IF(Table44[[#This Row],[Applicable Package?]:[Applicable Package?]]="Y",SUM('Rolled Up Non-Incremental Costs'!E17,'ICE Removal Cost'!E17,'Trans Removal Cost'!E17,'LEV3 Criteria Emissions Cost'!E17,'ZEV Assembly Reductions'!E17,'ACCII Criteria Compliance Cost'!E17,'ACCII GHG Compliance'!E17,'Current GHG Compliance'!E17)+IF(Table44[[#This Row],[Cold]:[Cold]]="Y",'Cold Weather Package'!E17,0)+IF(Table44[[#This Row],[eAWD]:[eAWD]]="Y",'eAWD Package'!E17,0)+IF(Table44[[#This Row],[Towing]:[Towing]]="Y",'Towing Bat Cost'!E17,0),"N/A")</f>
        <v>N/A</v>
      </c>
      <c r="J106" s="157" t="str">
        <f>IF(Table44[[#This Row],[Applicable Package?]:[Applicable Package?]]="Y",SUM('Rolled Up Non-Incremental Costs'!F17,'ICE Removal Cost'!F17,'Trans Removal Cost'!F17,'LEV3 Criteria Emissions Cost'!F17,'ZEV Assembly Reductions'!F17,'ACCII Criteria Compliance Cost'!F17,'ACCII GHG Compliance'!F17,'Current GHG Compliance'!F17)+IF(Table44[[#This Row],[Cold]:[Cold]]="Y",'Cold Weather Package'!F17,0)+IF(Table44[[#This Row],[eAWD]:[eAWD]]="Y",'eAWD Package'!F17,0)+IF(Table44[[#This Row],[Towing]:[Towing]]="Y",'Towing Bat Cost'!F17,0),"N/A")</f>
        <v>N/A</v>
      </c>
      <c r="K106" s="157" t="str">
        <f>IF(Table44[[#This Row],[Applicable Package?]:[Applicable Package?]]="Y",SUM('Rolled Up Non-Incremental Costs'!G17,'ICE Removal Cost'!G17,'Trans Removal Cost'!G17,'LEV3 Criteria Emissions Cost'!G17,'ZEV Assembly Reductions'!G17,'ACCII Criteria Compliance Cost'!G17,'ACCII GHG Compliance'!G17,'Current GHG Compliance'!G17)+IF(Table44[[#This Row],[Cold]:[Cold]]="Y",'Cold Weather Package'!G17,0)+IF(Table44[[#This Row],[eAWD]:[eAWD]]="Y",'eAWD Package'!G17,0)+IF(Table44[[#This Row],[Towing]:[Towing]]="Y",'Towing Bat Cost'!G17,0),"N/A")</f>
        <v>N/A</v>
      </c>
      <c r="L106" s="157" t="str">
        <f>IF(Table44[[#This Row],[Applicable Package?]:[Applicable Package?]]="Y",SUM('Rolled Up Non-Incremental Costs'!H17,'ICE Removal Cost'!H17,'Trans Removal Cost'!H17,'LEV3 Criteria Emissions Cost'!H17,'ZEV Assembly Reductions'!H17,'ACCII Criteria Compliance Cost'!H17,'ACCII GHG Compliance'!H17,'Current GHG Compliance'!H17)+IF(Table44[[#This Row],[Cold]:[Cold]]="Y",'Cold Weather Package'!H17,0)+IF(Table44[[#This Row],[eAWD]:[eAWD]]="Y",'eAWD Package'!H17,0)+IF(Table44[[#This Row],[Towing]:[Towing]]="Y",'Towing Bat Cost'!H17,0),"N/A")</f>
        <v>N/A</v>
      </c>
      <c r="M106" s="157" t="str">
        <f>IF(Table44[[#This Row],[Applicable Package?]:[Applicable Package?]]="Y",SUM('Rolled Up Non-Incremental Costs'!I17,'ICE Removal Cost'!I17,'Trans Removal Cost'!I17,'LEV3 Criteria Emissions Cost'!I17,'ZEV Assembly Reductions'!I17,'ACCII Criteria Compliance Cost'!I17,'ACCII GHG Compliance'!I17,'Current GHG Compliance'!I17)+IF(Table44[[#This Row],[Cold]:[Cold]]="Y",'Cold Weather Package'!I17,0)+IF(Table44[[#This Row],[eAWD]:[eAWD]]="Y",'eAWD Package'!I17,0)+IF(Table44[[#This Row],[Towing]:[Towing]]="Y",'Towing Bat Cost'!I17,0),"N/A")</f>
        <v>N/A</v>
      </c>
      <c r="N106" s="157" t="str">
        <f>IF(Table44[[#This Row],[Applicable Package?]:[Applicable Package?]]="Y",SUM('Rolled Up Non-Incremental Costs'!J17,'ICE Removal Cost'!J17,'Trans Removal Cost'!J17,'LEV3 Criteria Emissions Cost'!J17,'ZEV Assembly Reductions'!J17,'ACCII Criteria Compliance Cost'!J17,'ACCII GHG Compliance'!J17,'Current GHG Compliance'!J17)+IF(Table44[[#This Row],[Cold]:[Cold]]="Y",'Cold Weather Package'!J17,0)+IF(Table44[[#This Row],[eAWD]:[eAWD]]="Y",'eAWD Package'!J17,0)+IF(Table44[[#This Row],[Towing]:[Towing]]="Y",'Towing Bat Cost'!J17,0),"N/A")</f>
        <v>N/A</v>
      </c>
      <c r="O106" s="157" t="str">
        <f>IF(Table44[[#This Row],[Applicable Package?]:[Applicable Package?]]="Y",SUM('Rolled Up Non-Incremental Costs'!K17,'ICE Removal Cost'!K17,'Trans Removal Cost'!K17,'LEV3 Criteria Emissions Cost'!K17,'ZEV Assembly Reductions'!K17,'ACCII Criteria Compliance Cost'!K17,'ACCII GHG Compliance'!K17,'Current GHG Compliance'!K17)+IF(Table44[[#This Row],[Cold]:[Cold]]="Y",'Cold Weather Package'!K17,0)+IF(Table44[[#This Row],[eAWD]:[eAWD]]="Y",'eAWD Package'!K17,0)+IF(Table44[[#This Row],[Towing]:[Towing]]="Y",'Towing Bat Cost'!K17,0),"N/A")</f>
        <v>N/A</v>
      </c>
      <c r="P106" s="157" t="str">
        <f>IF(Table44[[#This Row],[Applicable Package?]:[Applicable Package?]]="Y",SUM('Rolled Up Non-Incremental Costs'!L17,'ICE Removal Cost'!L17,'Trans Removal Cost'!L17,'LEV3 Criteria Emissions Cost'!L17,'ZEV Assembly Reductions'!L17,'ACCII Criteria Compliance Cost'!L17,'ACCII GHG Compliance'!L17,'Current GHG Compliance'!L17)+IF(Table44[[#This Row],[Cold]:[Cold]]="Y",'Cold Weather Package'!L17,0)+IF(Table44[[#This Row],[eAWD]:[eAWD]]="Y",'eAWD Package'!L17,0)+IF(Table44[[#This Row],[Towing]:[Towing]]="Y",'Towing Bat Cost'!L17,0),"N/A")</f>
        <v>N/A</v>
      </c>
      <c r="Q106" s="157" t="str">
        <f>IF(Table44[[#This Row],[Applicable Package?]:[Applicable Package?]]="Y",SUM('Rolled Up Non-Incremental Costs'!M17,'ICE Removal Cost'!M17,'Trans Removal Cost'!M17,'LEV3 Criteria Emissions Cost'!M17,'ZEV Assembly Reductions'!M17,'ACCII Criteria Compliance Cost'!M17,'ACCII GHG Compliance'!M17,'Current GHG Compliance'!M17)+IF(Table44[[#This Row],[Cold]:[Cold]]="Y",'Cold Weather Package'!M17,0)+IF(Table44[[#This Row],[eAWD]:[eAWD]]="Y",'eAWD Package'!M17,0)+IF(Table44[[#This Row],[Towing]:[Towing]]="Y",'Towing Bat Cost'!M17,0),"N/A")</f>
        <v>N/A</v>
      </c>
      <c r="R106" s="157" t="str">
        <f>IF(Table44[[#This Row],[Applicable Package?]:[Applicable Package?]]="Y",SUM('Rolled Up Non-Incremental Costs'!N17,'ICE Removal Cost'!N17,'Trans Removal Cost'!N17,'LEV3 Criteria Emissions Cost'!N17,'ZEV Assembly Reductions'!N17,'ACCII Criteria Compliance Cost'!N17,'ACCII GHG Compliance'!N17,'Current GHG Compliance'!N17)+IF(Table44[[#This Row],[Cold]:[Cold]]="Y",'Cold Weather Package'!N17,0)+IF(Table44[[#This Row],[eAWD]:[eAWD]]="Y",'eAWD Package'!N17,0)+IF(Table44[[#This Row],[Towing]:[Towing]]="Y",'Towing Bat Cost'!N17,0),"N/A")</f>
        <v>N/A</v>
      </c>
      <c r="S106" s="157" t="str">
        <f>IF(Table44[[#This Row],[Applicable Package?]:[Applicable Package?]]="Y",SUM('Rolled Up Non-Incremental Costs'!O17,'ICE Removal Cost'!O17,'Trans Removal Cost'!O17,'LEV3 Criteria Emissions Cost'!O17,'ZEV Assembly Reductions'!O17,'ACCII Criteria Compliance Cost'!O17,'ACCII GHG Compliance'!O17,'Current GHG Compliance'!O17)+IF(Table44[[#This Row],[Cold]:[Cold]]="Y",'Cold Weather Package'!O17,0)+IF(Table44[[#This Row],[eAWD]:[eAWD]]="Y",'eAWD Package'!O17,0)+IF(Table44[[#This Row],[Towing]:[Towing]]="Y",'Towing Bat Cost'!O17,0),"N/A")</f>
        <v>N/A</v>
      </c>
    </row>
    <row r="107" spans="1:19" hidden="1" x14ac:dyDescent="0.3">
      <c r="A107" t="str">
        <f t="shared" si="2"/>
        <v>MedCarPremiumPHEV50</v>
      </c>
      <c r="B107" s="90" t="s">
        <v>82</v>
      </c>
      <c r="C107" s="68" t="s">
        <v>80</v>
      </c>
      <c r="D107" s="68" t="str">
        <f>'Vehicle Attributes - Base Year'!D15</f>
        <v>PHEV50</v>
      </c>
      <c r="E107" s="124" t="s">
        <v>77</v>
      </c>
      <c r="F107" s="124" t="s">
        <v>77</v>
      </c>
      <c r="G107" s="125" t="s">
        <v>76</v>
      </c>
      <c r="H107" s="156" t="s">
        <v>77</v>
      </c>
      <c r="I107" s="157" t="str">
        <f>IF(Table44[[#This Row],[Applicable Package?]:[Applicable Package?]]="Y",SUM('Rolled Up Non-Incremental Costs'!E18,'ICE Removal Cost'!E18,'Trans Removal Cost'!E18,'LEV3 Criteria Emissions Cost'!E18,'ZEV Assembly Reductions'!E18,'ACCII Criteria Compliance Cost'!E18,'ACCII GHG Compliance'!E18,'Current GHG Compliance'!E18)+IF(Table44[[#This Row],[Cold]:[Cold]]="Y",'Cold Weather Package'!E18,0)+IF(Table44[[#This Row],[eAWD]:[eAWD]]="Y",'eAWD Package'!E18,0)+IF(Table44[[#This Row],[Towing]:[Towing]]="Y",'Towing Bat Cost'!E18,0),"N/A")</f>
        <v>N/A</v>
      </c>
      <c r="J107" s="157" t="str">
        <f>IF(Table44[[#This Row],[Applicable Package?]:[Applicable Package?]]="Y",SUM('Rolled Up Non-Incremental Costs'!F18,'ICE Removal Cost'!F18,'Trans Removal Cost'!F18,'LEV3 Criteria Emissions Cost'!F18,'ZEV Assembly Reductions'!F18,'ACCII Criteria Compliance Cost'!F18,'ACCII GHG Compliance'!F18,'Current GHG Compliance'!F18)+IF(Table44[[#This Row],[Cold]:[Cold]]="Y",'Cold Weather Package'!F18,0)+IF(Table44[[#This Row],[eAWD]:[eAWD]]="Y",'eAWD Package'!F18,0)+IF(Table44[[#This Row],[Towing]:[Towing]]="Y",'Towing Bat Cost'!F18,0),"N/A")</f>
        <v>N/A</v>
      </c>
      <c r="K107" s="157" t="str">
        <f>IF(Table44[[#This Row],[Applicable Package?]:[Applicable Package?]]="Y",SUM('Rolled Up Non-Incremental Costs'!G18,'ICE Removal Cost'!G18,'Trans Removal Cost'!G18,'LEV3 Criteria Emissions Cost'!G18,'ZEV Assembly Reductions'!G18,'ACCII Criteria Compliance Cost'!G18,'ACCII GHG Compliance'!G18,'Current GHG Compliance'!G18)+IF(Table44[[#This Row],[Cold]:[Cold]]="Y",'Cold Weather Package'!G18,0)+IF(Table44[[#This Row],[eAWD]:[eAWD]]="Y",'eAWD Package'!G18,0)+IF(Table44[[#This Row],[Towing]:[Towing]]="Y",'Towing Bat Cost'!G18,0),"N/A")</f>
        <v>N/A</v>
      </c>
      <c r="L107" s="157" t="str">
        <f>IF(Table44[[#This Row],[Applicable Package?]:[Applicable Package?]]="Y",SUM('Rolled Up Non-Incremental Costs'!H18,'ICE Removal Cost'!H18,'Trans Removal Cost'!H18,'LEV3 Criteria Emissions Cost'!H18,'ZEV Assembly Reductions'!H18,'ACCII Criteria Compliance Cost'!H18,'ACCII GHG Compliance'!H18,'Current GHG Compliance'!H18)+IF(Table44[[#This Row],[Cold]:[Cold]]="Y",'Cold Weather Package'!H18,0)+IF(Table44[[#This Row],[eAWD]:[eAWD]]="Y",'eAWD Package'!H18,0)+IF(Table44[[#This Row],[Towing]:[Towing]]="Y",'Towing Bat Cost'!H18,0),"N/A")</f>
        <v>N/A</v>
      </c>
      <c r="M107" s="157" t="str">
        <f>IF(Table44[[#This Row],[Applicable Package?]:[Applicable Package?]]="Y",SUM('Rolled Up Non-Incremental Costs'!I18,'ICE Removal Cost'!I18,'Trans Removal Cost'!I18,'LEV3 Criteria Emissions Cost'!I18,'ZEV Assembly Reductions'!I18,'ACCII Criteria Compliance Cost'!I18,'ACCII GHG Compliance'!I18,'Current GHG Compliance'!I18)+IF(Table44[[#This Row],[Cold]:[Cold]]="Y",'Cold Weather Package'!I18,0)+IF(Table44[[#This Row],[eAWD]:[eAWD]]="Y",'eAWD Package'!I18,0)+IF(Table44[[#This Row],[Towing]:[Towing]]="Y",'Towing Bat Cost'!I18,0),"N/A")</f>
        <v>N/A</v>
      </c>
      <c r="N107" s="157" t="str">
        <f>IF(Table44[[#This Row],[Applicable Package?]:[Applicable Package?]]="Y",SUM('Rolled Up Non-Incremental Costs'!J18,'ICE Removal Cost'!J18,'Trans Removal Cost'!J18,'LEV3 Criteria Emissions Cost'!J18,'ZEV Assembly Reductions'!J18,'ACCII Criteria Compliance Cost'!J18,'ACCII GHG Compliance'!J18,'Current GHG Compliance'!J18)+IF(Table44[[#This Row],[Cold]:[Cold]]="Y",'Cold Weather Package'!J18,0)+IF(Table44[[#This Row],[eAWD]:[eAWD]]="Y",'eAWD Package'!J18,0)+IF(Table44[[#This Row],[Towing]:[Towing]]="Y",'Towing Bat Cost'!J18,0),"N/A")</f>
        <v>N/A</v>
      </c>
      <c r="O107" s="157" t="str">
        <f>IF(Table44[[#This Row],[Applicable Package?]:[Applicable Package?]]="Y",SUM('Rolled Up Non-Incremental Costs'!K18,'ICE Removal Cost'!K18,'Trans Removal Cost'!K18,'LEV3 Criteria Emissions Cost'!K18,'ZEV Assembly Reductions'!K18,'ACCII Criteria Compliance Cost'!K18,'ACCII GHG Compliance'!K18,'Current GHG Compliance'!K18)+IF(Table44[[#This Row],[Cold]:[Cold]]="Y",'Cold Weather Package'!K18,0)+IF(Table44[[#This Row],[eAWD]:[eAWD]]="Y",'eAWD Package'!K18,0)+IF(Table44[[#This Row],[Towing]:[Towing]]="Y",'Towing Bat Cost'!K18,0),"N/A")</f>
        <v>N/A</v>
      </c>
      <c r="P107" s="157" t="str">
        <f>IF(Table44[[#This Row],[Applicable Package?]:[Applicable Package?]]="Y",SUM('Rolled Up Non-Incremental Costs'!L18,'ICE Removal Cost'!L18,'Trans Removal Cost'!L18,'LEV3 Criteria Emissions Cost'!L18,'ZEV Assembly Reductions'!L18,'ACCII Criteria Compliance Cost'!L18,'ACCII GHG Compliance'!L18,'Current GHG Compliance'!L18)+IF(Table44[[#This Row],[Cold]:[Cold]]="Y",'Cold Weather Package'!L18,0)+IF(Table44[[#This Row],[eAWD]:[eAWD]]="Y",'eAWD Package'!L18,0)+IF(Table44[[#This Row],[Towing]:[Towing]]="Y",'Towing Bat Cost'!L18,0),"N/A")</f>
        <v>N/A</v>
      </c>
      <c r="Q107" s="157" t="str">
        <f>IF(Table44[[#This Row],[Applicable Package?]:[Applicable Package?]]="Y",SUM('Rolled Up Non-Incremental Costs'!M18,'ICE Removal Cost'!M18,'Trans Removal Cost'!M18,'LEV3 Criteria Emissions Cost'!M18,'ZEV Assembly Reductions'!M18,'ACCII Criteria Compliance Cost'!M18,'ACCII GHG Compliance'!M18,'Current GHG Compliance'!M18)+IF(Table44[[#This Row],[Cold]:[Cold]]="Y",'Cold Weather Package'!M18,0)+IF(Table44[[#This Row],[eAWD]:[eAWD]]="Y",'eAWD Package'!M18,0)+IF(Table44[[#This Row],[Towing]:[Towing]]="Y",'Towing Bat Cost'!M18,0),"N/A")</f>
        <v>N/A</v>
      </c>
      <c r="R107" s="157" t="str">
        <f>IF(Table44[[#This Row],[Applicable Package?]:[Applicable Package?]]="Y",SUM('Rolled Up Non-Incremental Costs'!N18,'ICE Removal Cost'!N18,'Trans Removal Cost'!N18,'LEV3 Criteria Emissions Cost'!N18,'ZEV Assembly Reductions'!N18,'ACCII Criteria Compliance Cost'!N18,'ACCII GHG Compliance'!N18,'Current GHG Compliance'!N18)+IF(Table44[[#This Row],[Cold]:[Cold]]="Y",'Cold Weather Package'!N18,0)+IF(Table44[[#This Row],[eAWD]:[eAWD]]="Y",'eAWD Package'!N18,0)+IF(Table44[[#This Row],[Towing]:[Towing]]="Y",'Towing Bat Cost'!N18,0),"N/A")</f>
        <v>N/A</v>
      </c>
      <c r="S107" s="157" t="str">
        <f>IF(Table44[[#This Row],[Applicable Package?]:[Applicable Package?]]="Y",SUM('Rolled Up Non-Incremental Costs'!O18,'ICE Removal Cost'!O18,'Trans Removal Cost'!O18,'LEV3 Criteria Emissions Cost'!O18,'ZEV Assembly Reductions'!O18,'ACCII Criteria Compliance Cost'!O18,'ACCII GHG Compliance'!O18,'Current GHG Compliance'!O18)+IF(Table44[[#This Row],[Cold]:[Cold]]="Y",'Cold Weather Package'!O18,0)+IF(Table44[[#This Row],[eAWD]:[eAWD]]="Y",'eAWD Package'!O18,0)+IF(Table44[[#This Row],[Towing]:[Towing]]="Y",'Towing Bat Cost'!O18,0),"N/A")</f>
        <v>N/A</v>
      </c>
    </row>
    <row r="108" spans="1:19" hidden="1" x14ac:dyDescent="0.3">
      <c r="A108" s="28" t="str">
        <f t="shared" si="2"/>
        <v>SmallSUVBasePHEV50</v>
      </c>
      <c r="B108" s="90" t="s">
        <v>83</v>
      </c>
      <c r="C108" s="68" t="s">
        <v>75</v>
      </c>
      <c r="D108" s="68" t="str">
        <f>'Vehicle Attributes - Base Year'!D16</f>
        <v>PHEV50</v>
      </c>
      <c r="E108" s="124" t="s">
        <v>77</v>
      </c>
      <c r="F108" s="124" t="s">
        <v>77</v>
      </c>
      <c r="G108" s="125" t="s">
        <v>76</v>
      </c>
      <c r="H108" s="156" t="s">
        <v>77</v>
      </c>
      <c r="I108" s="157" t="str">
        <f>IF(Table44[[#This Row],[Applicable Package?]:[Applicable Package?]]="Y",SUM('Rolled Up Non-Incremental Costs'!E19,'ICE Removal Cost'!E19,'Trans Removal Cost'!E19,'LEV3 Criteria Emissions Cost'!E19,'ZEV Assembly Reductions'!E19,'ACCII Criteria Compliance Cost'!E19,'ACCII GHG Compliance'!E19,'Current GHG Compliance'!E19)+IF(Table44[[#This Row],[Cold]:[Cold]]="Y",'Cold Weather Package'!E19,0)+IF(Table44[[#This Row],[eAWD]:[eAWD]]="Y",'eAWD Package'!E19,0)+IF(Table44[[#This Row],[Towing]:[Towing]]="Y",'Towing Bat Cost'!E19,0),"N/A")</f>
        <v>N/A</v>
      </c>
      <c r="J108" s="157" t="str">
        <f>IF(Table44[[#This Row],[Applicable Package?]:[Applicable Package?]]="Y",SUM('Rolled Up Non-Incremental Costs'!F19,'ICE Removal Cost'!F19,'Trans Removal Cost'!F19,'LEV3 Criteria Emissions Cost'!F19,'ZEV Assembly Reductions'!F19,'ACCII Criteria Compliance Cost'!F19,'ACCII GHG Compliance'!F19,'Current GHG Compliance'!F19)+IF(Table44[[#This Row],[Cold]:[Cold]]="Y",'Cold Weather Package'!F19,0)+IF(Table44[[#This Row],[eAWD]:[eAWD]]="Y",'eAWD Package'!F19,0)+IF(Table44[[#This Row],[Towing]:[Towing]]="Y",'Towing Bat Cost'!F19,0),"N/A")</f>
        <v>N/A</v>
      </c>
      <c r="K108" s="157" t="str">
        <f>IF(Table44[[#This Row],[Applicable Package?]:[Applicable Package?]]="Y",SUM('Rolled Up Non-Incremental Costs'!G19,'ICE Removal Cost'!G19,'Trans Removal Cost'!G19,'LEV3 Criteria Emissions Cost'!G19,'ZEV Assembly Reductions'!G19,'ACCII Criteria Compliance Cost'!G19,'ACCII GHG Compliance'!G19,'Current GHG Compliance'!G19)+IF(Table44[[#This Row],[Cold]:[Cold]]="Y",'Cold Weather Package'!G19,0)+IF(Table44[[#This Row],[eAWD]:[eAWD]]="Y",'eAWD Package'!G19,0)+IF(Table44[[#This Row],[Towing]:[Towing]]="Y",'Towing Bat Cost'!G19,0),"N/A")</f>
        <v>N/A</v>
      </c>
      <c r="L108" s="157" t="str">
        <f>IF(Table44[[#This Row],[Applicable Package?]:[Applicable Package?]]="Y",SUM('Rolled Up Non-Incremental Costs'!H19,'ICE Removal Cost'!H19,'Trans Removal Cost'!H19,'LEV3 Criteria Emissions Cost'!H19,'ZEV Assembly Reductions'!H19,'ACCII Criteria Compliance Cost'!H19,'ACCII GHG Compliance'!H19,'Current GHG Compliance'!H19)+IF(Table44[[#This Row],[Cold]:[Cold]]="Y",'Cold Weather Package'!H19,0)+IF(Table44[[#This Row],[eAWD]:[eAWD]]="Y",'eAWD Package'!H19,0)+IF(Table44[[#This Row],[Towing]:[Towing]]="Y",'Towing Bat Cost'!H19,0),"N/A")</f>
        <v>N/A</v>
      </c>
      <c r="M108" s="157" t="str">
        <f>IF(Table44[[#This Row],[Applicable Package?]:[Applicable Package?]]="Y",SUM('Rolled Up Non-Incremental Costs'!I19,'ICE Removal Cost'!I19,'Trans Removal Cost'!I19,'LEV3 Criteria Emissions Cost'!I19,'ZEV Assembly Reductions'!I19,'ACCII Criteria Compliance Cost'!I19,'ACCII GHG Compliance'!I19,'Current GHG Compliance'!I19)+IF(Table44[[#This Row],[Cold]:[Cold]]="Y",'Cold Weather Package'!I19,0)+IF(Table44[[#This Row],[eAWD]:[eAWD]]="Y",'eAWD Package'!I19,0)+IF(Table44[[#This Row],[Towing]:[Towing]]="Y",'Towing Bat Cost'!I19,0),"N/A")</f>
        <v>N/A</v>
      </c>
      <c r="N108" s="157" t="str">
        <f>IF(Table44[[#This Row],[Applicable Package?]:[Applicable Package?]]="Y",SUM('Rolled Up Non-Incremental Costs'!J19,'ICE Removal Cost'!J19,'Trans Removal Cost'!J19,'LEV3 Criteria Emissions Cost'!J19,'ZEV Assembly Reductions'!J19,'ACCII Criteria Compliance Cost'!J19,'ACCII GHG Compliance'!J19,'Current GHG Compliance'!J19)+IF(Table44[[#This Row],[Cold]:[Cold]]="Y",'Cold Weather Package'!J19,0)+IF(Table44[[#This Row],[eAWD]:[eAWD]]="Y",'eAWD Package'!J19,0)+IF(Table44[[#This Row],[Towing]:[Towing]]="Y",'Towing Bat Cost'!J19,0),"N/A")</f>
        <v>N/A</v>
      </c>
      <c r="O108" s="157" t="str">
        <f>IF(Table44[[#This Row],[Applicable Package?]:[Applicable Package?]]="Y",SUM('Rolled Up Non-Incremental Costs'!K19,'ICE Removal Cost'!K19,'Trans Removal Cost'!K19,'LEV3 Criteria Emissions Cost'!K19,'ZEV Assembly Reductions'!K19,'ACCII Criteria Compliance Cost'!K19,'ACCII GHG Compliance'!K19,'Current GHG Compliance'!K19)+IF(Table44[[#This Row],[Cold]:[Cold]]="Y",'Cold Weather Package'!K19,0)+IF(Table44[[#This Row],[eAWD]:[eAWD]]="Y",'eAWD Package'!K19,0)+IF(Table44[[#This Row],[Towing]:[Towing]]="Y",'Towing Bat Cost'!K19,0),"N/A")</f>
        <v>N/A</v>
      </c>
      <c r="P108" s="157" t="str">
        <f>IF(Table44[[#This Row],[Applicable Package?]:[Applicable Package?]]="Y",SUM('Rolled Up Non-Incremental Costs'!L19,'ICE Removal Cost'!L19,'Trans Removal Cost'!L19,'LEV3 Criteria Emissions Cost'!L19,'ZEV Assembly Reductions'!L19,'ACCII Criteria Compliance Cost'!L19,'ACCII GHG Compliance'!L19,'Current GHG Compliance'!L19)+IF(Table44[[#This Row],[Cold]:[Cold]]="Y",'Cold Weather Package'!L19,0)+IF(Table44[[#This Row],[eAWD]:[eAWD]]="Y",'eAWD Package'!L19,0)+IF(Table44[[#This Row],[Towing]:[Towing]]="Y",'Towing Bat Cost'!L19,0),"N/A")</f>
        <v>N/A</v>
      </c>
      <c r="Q108" s="157" t="str">
        <f>IF(Table44[[#This Row],[Applicable Package?]:[Applicable Package?]]="Y",SUM('Rolled Up Non-Incremental Costs'!M19,'ICE Removal Cost'!M19,'Trans Removal Cost'!M19,'LEV3 Criteria Emissions Cost'!M19,'ZEV Assembly Reductions'!M19,'ACCII Criteria Compliance Cost'!M19,'ACCII GHG Compliance'!M19,'Current GHG Compliance'!M19)+IF(Table44[[#This Row],[Cold]:[Cold]]="Y",'Cold Weather Package'!M19,0)+IF(Table44[[#This Row],[eAWD]:[eAWD]]="Y",'eAWD Package'!M19,0)+IF(Table44[[#This Row],[Towing]:[Towing]]="Y",'Towing Bat Cost'!M19,0),"N/A")</f>
        <v>N/A</v>
      </c>
      <c r="R108" s="157" t="str">
        <f>IF(Table44[[#This Row],[Applicable Package?]:[Applicable Package?]]="Y",SUM('Rolled Up Non-Incremental Costs'!N19,'ICE Removal Cost'!N19,'Trans Removal Cost'!N19,'LEV3 Criteria Emissions Cost'!N19,'ZEV Assembly Reductions'!N19,'ACCII Criteria Compliance Cost'!N19,'ACCII GHG Compliance'!N19,'Current GHG Compliance'!N19)+IF(Table44[[#This Row],[Cold]:[Cold]]="Y",'Cold Weather Package'!N19,0)+IF(Table44[[#This Row],[eAWD]:[eAWD]]="Y",'eAWD Package'!N19,0)+IF(Table44[[#This Row],[Towing]:[Towing]]="Y",'Towing Bat Cost'!N19,0),"N/A")</f>
        <v>N/A</v>
      </c>
      <c r="S108" s="157" t="str">
        <f>IF(Table44[[#This Row],[Applicable Package?]:[Applicable Package?]]="Y",SUM('Rolled Up Non-Incremental Costs'!O19,'ICE Removal Cost'!O19,'Trans Removal Cost'!O19,'LEV3 Criteria Emissions Cost'!O19,'ZEV Assembly Reductions'!O19,'ACCII Criteria Compliance Cost'!O19,'ACCII GHG Compliance'!O19,'Current GHG Compliance'!O19)+IF(Table44[[#This Row],[Cold]:[Cold]]="Y",'Cold Weather Package'!O19,0)+IF(Table44[[#This Row],[eAWD]:[eAWD]]="Y",'eAWD Package'!O19,0)+IF(Table44[[#This Row],[Towing]:[Towing]]="Y",'Towing Bat Cost'!O19,0),"N/A")</f>
        <v>N/A</v>
      </c>
    </row>
    <row r="109" spans="1:19" hidden="1" x14ac:dyDescent="0.3">
      <c r="A109" t="str">
        <f t="shared" si="2"/>
        <v>SmallSUVPremiumPHEV50</v>
      </c>
      <c r="B109" s="90" t="s">
        <v>83</v>
      </c>
      <c r="C109" s="68" t="s">
        <v>80</v>
      </c>
      <c r="D109" s="68" t="str">
        <f>'Vehicle Attributes - Base Year'!D17</f>
        <v>PHEV50</v>
      </c>
      <c r="E109" s="124" t="s">
        <v>77</v>
      </c>
      <c r="F109" s="124" t="s">
        <v>77</v>
      </c>
      <c r="G109" s="125" t="s">
        <v>76</v>
      </c>
      <c r="H109" s="156" t="s">
        <v>77</v>
      </c>
      <c r="I109" s="157" t="str">
        <f>IF(Table44[[#This Row],[Applicable Package?]:[Applicable Package?]]="Y",SUM('Rolled Up Non-Incremental Costs'!E20,'ICE Removal Cost'!E20,'Trans Removal Cost'!E20,'LEV3 Criteria Emissions Cost'!E20,'ZEV Assembly Reductions'!E20,'ACCII Criteria Compliance Cost'!E20,'ACCII GHG Compliance'!E20,'Current GHG Compliance'!E20)+IF(Table44[[#This Row],[Cold]:[Cold]]="Y",'Cold Weather Package'!E20,0)+IF(Table44[[#This Row],[eAWD]:[eAWD]]="Y",'eAWD Package'!E20,0)+IF(Table44[[#This Row],[Towing]:[Towing]]="Y",'Towing Bat Cost'!E20,0),"N/A")</f>
        <v>N/A</v>
      </c>
      <c r="J109" s="157" t="str">
        <f>IF(Table44[[#This Row],[Applicable Package?]:[Applicable Package?]]="Y",SUM('Rolled Up Non-Incremental Costs'!F20,'ICE Removal Cost'!F20,'Trans Removal Cost'!F20,'LEV3 Criteria Emissions Cost'!F20,'ZEV Assembly Reductions'!F20,'ACCII Criteria Compliance Cost'!F20,'ACCII GHG Compliance'!F20,'Current GHG Compliance'!F20)+IF(Table44[[#This Row],[Cold]:[Cold]]="Y",'Cold Weather Package'!F20,0)+IF(Table44[[#This Row],[eAWD]:[eAWD]]="Y",'eAWD Package'!F20,0)+IF(Table44[[#This Row],[Towing]:[Towing]]="Y",'Towing Bat Cost'!F20,0),"N/A")</f>
        <v>N/A</v>
      </c>
      <c r="K109" s="157" t="str">
        <f>IF(Table44[[#This Row],[Applicable Package?]:[Applicable Package?]]="Y",SUM('Rolled Up Non-Incremental Costs'!G20,'ICE Removal Cost'!G20,'Trans Removal Cost'!G20,'LEV3 Criteria Emissions Cost'!G20,'ZEV Assembly Reductions'!G20,'ACCII Criteria Compliance Cost'!G20,'ACCII GHG Compliance'!G20,'Current GHG Compliance'!G20)+IF(Table44[[#This Row],[Cold]:[Cold]]="Y",'Cold Weather Package'!G20,0)+IF(Table44[[#This Row],[eAWD]:[eAWD]]="Y",'eAWD Package'!G20,0)+IF(Table44[[#This Row],[Towing]:[Towing]]="Y",'Towing Bat Cost'!G20,0),"N/A")</f>
        <v>N/A</v>
      </c>
      <c r="L109" s="157" t="str">
        <f>IF(Table44[[#This Row],[Applicable Package?]:[Applicable Package?]]="Y",SUM('Rolled Up Non-Incremental Costs'!H20,'ICE Removal Cost'!H20,'Trans Removal Cost'!H20,'LEV3 Criteria Emissions Cost'!H20,'ZEV Assembly Reductions'!H20,'ACCII Criteria Compliance Cost'!H20,'ACCII GHG Compliance'!H20,'Current GHG Compliance'!H20)+IF(Table44[[#This Row],[Cold]:[Cold]]="Y",'Cold Weather Package'!H20,0)+IF(Table44[[#This Row],[eAWD]:[eAWD]]="Y",'eAWD Package'!H20,0)+IF(Table44[[#This Row],[Towing]:[Towing]]="Y",'Towing Bat Cost'!H20,0),"N/A")</f>
        <v>N/A</v>
      </c>
      <c r="M109" s="157" t="str">
        <f>IF(Table44[[#This Row],[Applicable Package?]:[Applicable Package?]]="Y",SUM('Rolled Up Non-Incremental Costs'!I20,'ICE Removal Cost'!I20,'Trans Removal Cost'!I20,'LEV3 Criteria Emissions Cost'!I20,'ZEV Assembly Reductions'!I20,'ACCII Criteria Compliance Cost'!I20,'ACCII GHG Compliance'!I20,'Current GHG Compliance'!I20)+IF(Table44[[#This Row],[Cold]:[Cold]]="Y",'Cold Weather Package'!I20,0)+IF(Table44[[#This Row],[eAWD]:[eAWD]]="Y",'eAWD Package'!I20,0)+IF(Table44[[#This Row],[Towing]:[Towing]]="Y",'Towing Bat Cost'!I20,0),"N/A")</f>
        <v>N/A</v>
      </c>
      <c r="N109" s="157" t="str">
        <f>IF(Table44[[#This Row],[Applicable Package?]:[Applicable Package?]]="Y",SUM('Rolled Up Non-Incremental Costs'!J20,'ICE Removal Cost'!J20,'Trans Removal Cost'!J20,'LEV3 Criteria Emissions Cost'!J20,'ZEV Assembly Reductions'!J20,'ACCII Criteria Compliance Cost'!J20,'ACCII GHG Compliance'!J20,'Current GHG Compliance'!J20)+IF(Table44[[#This Row],[Cold]:[Cold]]="Y",'Cold Weather Package'!J20,0)+IF(Table44[[#This Row],[eAWD]:[eAWD]]="Y",'eAWD Package'!J20,0)+IF(Table44[[#This Row],[Towing]:[Towing]]="Y",'Towing Bat Cost'!J20,0),"N/A")</f>
        <v>N/A</v>
      </c>
      <c r="O109" s="157" t="str">
        <f>IF(Table44[[#This Row],[Applicable Package?]:[Applicable Package?]]="Y",SUM('Rolled Up Non-Incremental Costs'!K20,'ICE Removal Cost'!K20,'Trans Removal Cost'!K20,'LEV3 Criteria Emissions Cost'!K20,'ZEV Assembly Reductions'!K20,'ACCII Criteria Compliance Cost'!K20,'ACCII GHG Compliance'!K20,'Current GHG Compliance'!K20)+IF(Table44[[#This Row],[Cold]:[Cold]]="Y",'Cold Weather Package'!K20,0)+IF(Table44[[#This Row],[eAWD]:[eAWD]]="Y",'eAWD Package'!K20,0)+IF(Table44[[#This Row],[Towing]:[Towing]]="Y",'Towing Bat Cost'!K20,0),"N/A")</f>
        <v>N/A</v>
      </c>
      <c r="P109" s="157" t="str">
        <f>IF(Table44[[#This Row],[Applicable Package?]:[Applicable Package?]]="Y",SUM('Rolled Up Non-Incremental Costs'!L20,'ICE Removal Cost'!L20,'Trans Removal Cost'!L20,'LEV3 Criteria Emissions Cost'!L20,'ZEV Assembly Reductions'!L20,'ACCII Criteria Compliance Cost'!L20,'ACCII GHG Compliance'!L20,'Current GHG Compliance'!L20)+IF(Table44[[#This Row],[Cold]:[Cold]]="Y",'Cold Weather Package'!L20,0)+IF(Table44[[#This Row],[eAWD]:[eAWD]]="Y",'eAWD Package'!L20,0)+IF(Table44[[#This Row],[Towing]:[Towing]]="Y",'Towing Bat Cost'!L20,0),"N/A")</f>
        <v>N/A</v>
      </c>
      <c r="Q109" s="157" t="str">
        <f>IF(Table44[[#This Row],[Applicable Package?]:[Applicable Package?]]="Y",SUM('Rolled Up Non-Incremental Costs'!M20,'ICE Removal Cost'!M20,'Trans Removal Cost'!M20,'LEV3 Criteria Emissions Cost'!M20,'ZEV Assembly Reductions'!M20,'ACCII Criteria Compliance Cost'!M20,'ACCII GHG Compliance'!M20,'Current GHG Compliance'!M20)+IF(Table44[[#This Row],[Cold]:[Cold]]="Y",'Cold Weather Package'!M20,0)+IF(Table44[[#This Row],[eAWD]:[eAWD]]="Y",'eAWD Package'!M20,0)+IF(Table44[[#This Row],[Towing]:[Towing]]="Y",'Towing Bat Cost'!M20,0),"N/A")</f>
        <v>N/A</v>
      </c>
      <c r="R109" s="157" t="str">
        <f>IF(Table44[[#This Row],[Applicable Package?]:[Applicable Package?]]="Y",SUM('Rolled Up Non-Incremental Costs'!N20,'ICE Removal Cost'!N20,'Trans Removal Cost'!N20,'LEV3 Criteria Emissions Cost'!N20,'ZEV Assembly Reductions'!N20,'ACCII Criteria Compliance Cost'!N20,'ACCII GHG Compliance'!N20,'Current GHG Compliance'!N20)+IF(Table44[[#This Row],[Cold]:[Cold]]="Y",'Cold Weather Package'!N20,0)+IF(Table44[[#This Row],[eAWD]:[eAWD]]="Y",'eAWD Package'!N20,0)+IF(Table44[[#This Row],[Towing]:[Towing]]="Y",'Towing Bat Cost'!N20,0),"N/A")</f>
        <v>N/A</v>
      </c>
      <c r="S109" s="157" t="str">
        <f>IF(Table44[[#This Row],[Applicable Package?]:[Applicable Package?]]="Y",SUM('Rolled Up Non-Incremental Costs'!O20,'ICE Removal Cost'!O20,'Trans Removal Cost'!O20,'LEV3 Criteria Emissions Cost'!O20,'ZEV Assembly Reductions'!O20,'ACCII Criteria Compliance Cost'!O20,'ACCII GHG Compliance'!O20,'Current GHG Compliance'!O20)+IF(Table44[[#This Row],[Cold]:[Cold]]="Y",'Cold Weather Package'!O20,0)+IF(Table44[[#This Row],[eAWD]:[eAWD]]="Y",'eAWD Package'!O20,0)+IF(Table44[[#This Row],[Towing]:[Towing]]="Y",'Towing Bat Cost'!O20,0),"N/A")</f>
        <v>N/A</v>
      </c>
    </row>
    <row r="110" spans="1:19" hidden="1" x14ac:dyDescent="0.3">
      <c r="A110" s="28" t="str">
        <f t="shared" si="2"/>
        <v>MedSUVBasePHEV50</v>
      </c>
      <c r="B110" s="90" t="s">
        <v>86</v>
      </c>
      <c r="C110" s="68" t="s">
        <v>75</v>
      </c>
      <c r="D110" s="68" t="str">
        <f>'Vehicle Attributes - Base Year'!D18</f>
        <v>PHEV50</v>
      </c>
      <c r="E110" s="124" t="s">
        <v>77</v>
      </c>
      <c r="F110" s="124" t="s">
        <v>77</v>
      </c>
      <c r="G110" s="125" t="s">
        <v>76</v>
      </c>
      <c r="H110" s="156" t="s">
        <v>76</v>
      </c>
      <c r="I110" s="157">
        <f>IF(Table44[[#This Row],[Applicable Package?]:[Applicable Package?]]="Y",SUM('Rolled Up Non-Incremental Costs'!E21,'ICE Removal Cost'!E21,'Trans Removal Cost'!E21,'LEV3 Criteria Emissions Cost'!E21,'ZEV Assembly Reductions'!E21,'ACCII Criteria Compliance Cost'!E21,'ACCII GHG Compliance'!E21,'Current GHG Compliance'!E21)+IF(Table44[[#This Row],[Cold]:[Cold]]="Y",'Cold Weather Package'!E21,0)+IF(Table44[[#This Row],[eAWD]:[eAWD]]="Y",'eAWD Package'!E21,0)+IF(Table44[[#This Row],[Towing]:[Towing]]="Y",'Towing Bat Cost'!E21,0),"N/A")</f>
        <v>4976.1012098839019</v>
      </c>
      <c r="J110" s="157">
        <f>IF(Table44[[#This Row],[Applicable Package?]:[Applicable Package?]]="Y",SUM('Rolled Up Non-Incremental Costs'!F21,'ICE Removal Cost'!F21,'Trans Removal Cost'!F21,'LEV3 Criteria Emissions Cost'!F21,'ZEV Assembly Reductions'!F21,'ACCII Criteria Compliance Cost'!F21,'ACCII GHG Compliance'!F21,'Current GHG Compliance'!F21)+IF(Table44[[#This Row],[Cold]:[Cold]]="Y",'Cold Weather Package'!F21,0)+IF(Table44[[#This Row],[eAWD]:[eAWD]]="Y",'eAWD Package'!F21,0)+IF(Table44[[#This Row],[Towing]:[Towing]]="Y",'Towing Bat Cost'!F21,0),"N/A")</f>
        <v>4706.0414830791797</v>
      </c>
      <c r="K110" s="157">
        <f>IF(Table44[[#This Row],[Applicable Package?]:[Applicable Package?]]="Y",SUM('Rolled Up Non-Incremental Costs'!G21,'ICE Removal Cost'!G21,'Trans Removal Cost'!G21,'LEV3 Criteria Emissions Cost'!G21,'ZEV Assembly Reductions'!G21,'ACCII Criteria Compliance Cost'!G21,'ACCII GHG Compliance'!G21,'Current GHG Compliance'!G21)+IF(Table44[[#This Row],[Cold]:[Cold]]="Y",'Cold Weather Package'!G21,0)+IF(Table44[[#This Row],[eAWD]:[eAWD]]="Y",'eAWD Package'!G21,0)+IF(Table44[[#This Row],[Towing]:[Towing]]="Y",'Towing Bat Cost'!G21,0),"N/A")</f>
        <v>4454.4072800952999</v>
      </c>
      <c r="L110" s="157">
        <f>IF(Table44[[#This Row],[Applicable Package?]:[Applicable Package?]]="Y",SUM('Rolled Up Non-Incremental Costs'!H21,'ICE Removal Cost'!H21,'Trans Removal Cost'!H21,'LEV3 Criteria Emissions Cost'!H21,'ZEV Assembly Reductions'!H21,'ACCII Criteria Compliance Cost'!H21,'ACCII GHG Compliance'!H21,'Current GHG Compliance'!H21)+IF(Table44[[#This Row],[Cold]:[Cold]]="Y",'Cold Weather Package'!H21,0)+IF(Table44[[#This Row],[eAWD]:[eAWD]]="Y",'eAWD Package'!H21,0)+IF(Table44[[#This Row],[Towing]:[Towing]]="Y",'Towing Bat Cost'!H21,0),"N/A")</f>
        <v>4219.8404799268865</v>
      </c>
      <c r="M110" s="157">
        <f>IF(Table44[[#This Row],[Applicable Package?]:[Applicable Package?]]="Y",SUM('Rolled Up Non-Incremental Costs'!I21,'ICE Removal Cost'!I21,'Trans Removal Cost'!I21,'LEV3 Criteria Emissions Cost'!I21,'ZEV Assembly Reductions'!I21,'ACCII Criteria Compliance Cost'!I21,'ACCII GHG Compliance'!I21,'Current GHG Compliance'!I21)+IF(Table44[[#This Row],[Cold]:[Cold]]="Y",'Cold Weather Package'!I21,0)+IF(Table44[[#This Row],[eAWD]:[eAWD]]="Y",'eAWD Package'!I21,0)+IF(Table44[[#This Row],[Towing]:[Towing]]="Y",'Towing Bat Cost'!I21,0),"N/A")</f>
        <v>4001.0841718581378</v>
      </c>
      <c r="N110" s="157">
        <f>IF(Table44[[#This Row],[Applicable Package?]:[Applicable Package?]]="Y",SUM('Rolled Up Non-Incremental Costs'!J21,'ICE Removal Cost'!J21,'Trans Removal Cost'!J21,'LEV3 Criteria Emissions Cost'!J21,'ZEV Assembly Reductions'!J21,'ACCII Criteria Compliance Cost'!J21,'ACCII GHG Compliance'!J21,'Current GHG Compliance'!J21)+IF(Table44[[#This Row],[Cold]:[Cold]]="Y",'Cold Weather Package'!J21,0)+IF(Table44[[#This Row],[eAWD]:[eAWD]]="Y",'eAWD Package'!J21,0)+IF(Table44[[#This Row],[Towing]:[Towing]]="Y",'Towing Bat Cost'!J21,0),"N/A")</f>
        <v>3833.9270210220329</v>
      </c>
      <c r="O110" s="157">
        <f>IF(Table44[[#This Row],[Applicable Package?]:[Applicable Package?]]="Y",SUM('Rolled Up Non-Incremental Costs'!K21,'ICE Removal Cost'!K21,'Trans Removal Cost'!K21,'LEV3 Criteria Emissions Cost'!K21,'ZEV Assembly Reductions'!K21,'ACCII Criteria Compliance Cost'!K21,'ACCII GHG Compliance'!K21,'Current GHG Compliance'!K21)+IF(Table44[[#This Row],[Cold]:[Cold]]="Y",'Cold Weather Package'!K21,0)+IF(Table44[[#This Row],[eAWD]:[eAWD]]="Y",'eAWD Package'!K21,0)+IF(Table44[[#This Row],[Towing]:[Towing]]="Y",'Towing Bat Cost'!K21,0),"N/A")</f>
        <v>3685.357464181774</v>
      </c>
      <c r="P110" s="157">
        <f>IF(Table44[[#This Row],[Applicable Package?]:[Applicable Package?]]="Y",SUM('Rolled Up Non-Incremental Costs'!L21,'ICE Removal Cost'!L21,'Trans Removal Cost'!L21,'LEV3 Criteria Emissions Cost'!L21,'ZEV Assembly Reductions'!L21,'ACCII Criteria Compliance Cost'!L21,'ACCII GHG Compliance'!L21,'Current GHG Compliance'!L21)+IF(Table44[[#This Row],[Cold]:[Cold]]="Y",'Cold Weather Package'!L21,0)+IF(Table44[[#This Row],[eAWD]:[eAWD]]="Y",'eAWD Package'!L21,0)+IF(Table44[[#This Row],[Towing]:[Towing]]="Y",'Towing Bat Cost'!L21,0),"N/A")</f>
        <v>3543.7803736029127</v>
      </c>
      <c r="Q110" s="157">
        <f>IF(Table44[[#This Row],[Applicable Package?]:[Applicable Package?]]="Y",SUM('Rolled Up Non-Incremental Costs'!M21,'ICE Removal Cost'!M21,'Trans Removal Cost'!M21,'LEV3 Criteria Emissions Cost'!M21,'ZEV Assembly Reductions'!M21,'ACCII Criteria Compliance Cost'!M21,'ACCII GHG Compliance'!M21,'Current GHG Compliance'!M21)+IF(Table44[[#This Row],[Cold]:[Cold]]="Y",'Cold Weather Package'!M21,0)+IF(Table44[[#This Row],[eAWD]:[eAWD]]="Y",'eAWD Package'!M21,0)+IF(Table44[[#This Row],[Towing]:[Towing]]="Y",'Towing Bat Cost'!M21,0),"N/A")</f>
        <v>3408.8243289273923</v>
      </c>
      <c r="R110" s="157">
        <f>IF(Table44[[#This Row],[Applicable Package?]:[Applicable Package?]]="Y",SUM('Rolled Up Non-Incremental Costs'!N21,'ICE Removal Cost'!N21,'Trans Removal Cost'!N21,'LEV3 Criteria Emissions Cost'!N21,'ZEV Assembly Reductions'!N21,'ACCII Criteria Compliance Cost'!N21,'ACCII GHG Compliance'!N21,'Current GHG Compliance'!N21)+IF(Table44[[#This Row],[Cold]:[Cold]]="Y",'Cold Weather Package'!N21,0)+IF(Table44[[#This Row],[eAWD]:[eAWD]]="Y",'eAWD Package'!N21,0)+IF(Table44[[#This Row],[Towing]:[Towing]]="Y",'Towing Bat Cost'!N21,0),"N/A")</f>
        <v>3280.1381308900654</v>
      </c>
      <c r="S110" s="157">
        <f>IF(Table44[[#This Row],[Applicable Package?]:[Applicable Package?]]="Y",SUM('Rolled Up Non-Incremental Costs'!O21,'ICE Removal Cost'!O21,'Trans Removal Cost'!O21,'LEV3 Criteria Emissions Cost'!O21,'ZEV Assembly Reductions'!O21,'ACCII Criteria Compliance Cost'!O21,'ACCII GHG Compliance'!O21,'Current GHG Compliance'!O21)+IF(Table44[[#This Row],[Cold]:[Cold]]="Y",'Cold Weather Package'!O21,0)+IF(Table44[[#This Row],[eAWD]:[eAWD]]="Y",'eAWD Package'!O21,0)+IF(Table44[[#This Row],[Towing]:[Towing]]="Y",'Towing Bat Cost'!O21,0),"N/A")</f>
        <v>3157.3896953555668</v>
      </c>
    </row>
    <row r="111" spans="1:19" hidden="1" x14ac:dyDescent="0.3">
      <c r="A111" t="str">
        <f t="shared" si="2"/>
        <v>MedSUVPremiumPHEV50</v>
      </c>
      <c r="B111" s="90" t="s">
        <v>86</v>
      </c>
      <c r="C111" s="68" t="s">
        <v>80</v>
      </c>
      <c r="D111" s="68" t="str">
        <f>'Vehicle Attributes - Base Year'!D19</f>
        <v>PHEV50</v>
      </c>
      <c r="E111" s="124" t="s">
        <v>77</v>
      </c>
      <c r="F111" s="124" t="s">
        <v>77</v>
      </c>
      <c r="G111" s="125" t="s">
        <v>76</v>
      </c>
      <c r="H111" s="156" t="s">
        <v>76</v>
      </c>
      <c r="I111" s="157">
        <f>IF(Table44[[#This Row],[Applicable Package?]:[Applicable Package?]]="Y",SUM('Rolled Up Non-Incremental Costs'!E22,'ICE Removal Cost'!E22,'Trans Removal Cost'!E22,'LEV3 Criteria Emissions Cost'!E22,'ZEV Assembly Reductions'!E22,'ACCII Criteria Compliance Cost'!E22,'ACCII GHG Compliance'!E22,'Current GHG Compliance'!E22)+IF(Table44[[#This Row],[Cold]:[Cold]]="Y",'Cold Weather Package'!E22,0)+IF(Table44[[#This Row],[eAWD]:[eAWD]]="Y",'eAWD Package'!E22,0)+IF(Table44[[#This Row],[Towing]:[Towing]]="Y",'Towing Bat Cost'!E22,0),"N/A")</f>
        <v>4976.1012098839019</v>
      </c>
      <c r="J111" s="157">
        <f>IF(Table44[[#This Row],[Applicable Package?]:[Applicable Package?]]="Y",SUM('Rolled Up Non-Incremental Costs'!F22,'ICE Removal Cost'!F22,'Trans Removal Cost'!F22,'LEV3 Criteria Emissions Cost'!F22,'ZEV Assembly Reductions'!F22,'ACCII Criteria Compliance Cost'!F22,'ACCII GHG Compliance'!F22,'Current GHG Compliance'!F22)+IF(Table44[[#This Row],[Cold]:[Cold]]="Y",'Cold Weather Package'!F22,0)+IF(Table44[[#This Row],[eAWD]:[eAWD]]="Y",'eAWD Package'!F22,0)+IF(Table44[[#This Row],[Towing]:[Towing]]="Y",'Towing Bat Cost'!F22,0),"N/A")</f>
        <v>4706.0414830791797</v>
      </c>
      <c r="K111" s="157">
        <f>IF(Table44[[#This Row],[Applicable Package?]:[Applicable Package?]]="Y",SUM('Rolled Up Non-Incremental Costs'!G22,'ICE Removal Cost'!G22,'Trans Removal Cost'!G22,'LEV3 Criteria Emissions Cost'!G22,'ZEV Assembly Reductions'!G22,'ACCII Criteria Compliance Cost'!G22,'ACCII GHG Compliance'!G22,'Current GHG Compliance'!G22)+IF(Table44[[#This Row],[Cold]:[Cold]]="Y",'Cold Weather Package'!G22,0)+IF(Table44[[#This Row],[eAWD]:[eAWD]]="Y",'eAWD Package'!G22,0)+IF(Table44[[#This Row],[Towing]:[Towing]]="Y",'Towing Bat Cost'!G22,0),"N/A")</f>
        <v>4454.4072800952999</v>
      </c>
      <c r="L111" s="157">
        <f>IF(Table44[[#This Row],[Applicable Package?]:[Applicable Package?]]="Y",SUM('Rolled Up Non-Incremental Costs'!H22,'ICE Removal Cost'!H22,'Trans Removal Cost'!H22,'LEV3 Criteria Emissions Cost'!H22,'ZEV Assembly Reductions'!H22,'ACCII Criteria Compliance Cost'!H22,'ACCII GHG Compliance'!H22,'Current GHG Compliance'!H22)+IF(Table44[[#This Row],[Cold]:[Cold]]="Y",'Cold Weather Package'!H22,0)+IF(Table44[[#This Row],[eAWD]:[eAWD]]="Y",'eAWD Package'!H22,0)+IF(Table44[[#This Row],[Towing]:[Towing]]="Y",'Towing Bat Cost'!H22,0),"N/A")</f>
        <v>4219.8404799268865</v>
      </c>
      <c r="M111" s="157">
        <f>IF(Table44[[#This Row],[Applicable Package?]:[Applicable Package?]]="Y",SUM('Rolled Up Non-Incremental Costs'!I22,'ICE Removal Cost'!I22,'Trans Removal Cost'!I22,'LEV3 Criteria Emissions Cost'!I22,'ZEV Assembly Reductions'!I22,'ACCII Criteria Compliance Cost'!I22,'ACCII GHG Compliance'!I22,'Current GHG Compliance'!I22)+IF(Table44[[#This Row],[Cold]:[Cold]]="Y",'Cold Weather Package'!I22,0)+IF(Table44[[#This Row],[eAWD]:[eAWD]]="Y",'eAWD Package'!I22,0)+IF(Table44[[#This Row],[Towing]:[Towing]]="Y",'Towing Bat Cost'!I22,0),"N/A")</f>
        <v>4001.0841718581378</v>
      </c>
      <c r="N111" s="157">
        <f>IF(Table44[[#This Row],[Applicable Package?]:[Applicable Package?]]="Y",SUM('Rolled Up Non-Incremental Costs'!J22,'ICE Removal Cost'!J22,'Trans Removal Cost'!J22,'LEV3 Criteria Emissions Cost'!J22,'ZEV Assembly Reductions'!J22,'ACCII Criteria Compliance Cost'!J22,'ACCII GHG Compliance'!J22,'Current GHG Compliance'!J22)+IF(Table44[[#This Row],[Cold]:[Cold]]="Y",'Cold Weather Package'!J22,0)+IF(Table44[[#This Row],[eAWD]:[eAWD]]="Y",'eAWD Package'!J22,0)+IF(Table44[[#This Row],[Towing]:[Towing]]="Y",'Towing Bat Cost'!J22,0),"N/A")</f>
        <v>3833.9270210220329</v>
      </c>
      <c r="O111" s="157">
        <f>IF(Table44[[#This Row],[Applicable Package?]:[Applicable Package?]]="Y",SUM('Rolled Up Non-Incremental Costs'!K22,'ICE Removal Cost'!K22,'Trans Removal Cost'!K22,'LEV3 Criteria Emissions Cost'!K22,'ZEV Assembly Reductions'!K22,'ACCII Criteria Compliance Cost'!K22,'ACCII GHG Compliance'!K22,'Current GHG Compliance'!K22)+IF(Table44[[#This Row],[Cold]:[Cold]]="Y",'Cold Weather Package'!K22,0)+IF(Table44[[#This Row],[eAWD]:[eAWD]]="Y",'eAWD Package'!K22,0)+IF(Table44[[#This Row],[Towing]:[Towing]]="Y",'Towing Bat Cost'!K22,0),"N/A")</f>
        <v>3685.357464181774</v>
      </c>
      <c r="P111" s="157">
        <f>IF(Table44[[#This Row],[Applicable Package?]:[Applicable Package?]]="Y",SUM('Rolled Up Non-Incremental Costs'!L22,'ICE Removal Cost'!L22,'Trans Removal Cost'!L22,'LEV3 Criteria Emissions Cost'!L22,'ZEV Assembly Reductions'!L22,'ACCII Criteria Compliance Cost'!L22,'ACCII GHG Compliance'!L22,'Current GHG Compliance'!L22)+IF(Table44[[#This Row],[Cold]:[Cold]]="Y",'Cold Weather Package'!L22,0)+IF(Table44[[#This Row],[eAWD]:[eAWD]]="Y",'eAWD Package'!L22,0)+IF(Table44[[#This Row],[Towing]:[Towing]]="Y",'Towing Bat Cost'!L22,0),"N/A")</f>
        <v>3543.7803736029127</v>
      </c>
      <c r="Q111" s="157">
        <f>IF(Table44[[#This Row],[Applicable Package?]:[Applicable Package?]]="Y",SUM('Rolled Up Non-Incremental Costs'!M22,'ICE Removal Cost'!M22,'Trans Removal Cost'!M22,'LEV3 Criteria Emissions Cost'!M22,'ZEV Assembly Reductions'!M22,'ACCII Criteria Compliance Cost'!M22,'ACCII GHG Compliance'!M22,'Current GHG Compliance'!M22)+IF(Table44[[#This Row],[Cold]:[Cold]]="Y",'Cold Weather Package'!M22,0)+IF(Table44[[#This Row],[eAWD]:[eAWD]]="Y",'eAWD Package'!M22,0)+IF(Table44[[#This Row],[Towing]:[Towing]]="Y",'Towing Bat Cost'!M22,0),"N/A")</f>
        <v>3408.8243289273923</v>
      </c>
      <c r="R111" s="157">
        <f>IF(Table44[[#This Row],[Applicable Package?]:[Applicable Package?]]="Y",SUM('Rolled Up Non-Incremental Costs'!N22,'ICE Removal Cost'!N22,'Trans Removal Cost'!N22,'LEV3 Criteria Emissions Cost'!N22,'ZEV Assembly Reductions'!N22,'ACCII Criteria Compliance Cost'!N22,'ACCII GHG Compliance'!N22,'Current GHG Compliance'!N22)+IF(Table44[[#This Row],[Cold]:[Cold]]="Y",'Cold Weather Package'!N22,0)+IF(Table44[[#This Row],[eAWD]:[eAWD]]="Y",'eAWD Package'!N22,0)+IF(Table44[[#This Row],[Towing]:[Towing]]="Y",'Towing Bat Cost'!N22,0),"N/A")</f>
        <v>3280.1381308900654</v>
      </c>
      <c r="S111" s="157">
        <f>IF(Table44[[#This Row],[Applicable Package?]:[Applicable Package?]]="Y",SUM('Rolled Up Non-Incremental Costs'!O22,'ICE Removal Cost'!O22,'Trans Removal Cost'!O22,'LEV3 Criteria Emissions Cost'!O22,'ZEV Assembly Reductions'!O22,'ACCII Criteria Compliance Cost'!O22,'ACCII GHG Compliance'!O22,'Current GHG Compliance'!O22)+IF(Table44[[#This Row],[Cold]:[Cold]]="Y",'Cold Weather Package'!O22,0)+IF(Table44[[#This Row],[eAWD]:[eAWD]]="Y",'eAWD Package'!O22,0)+IF(Table44[[#This Row],[Towing]:[Towing]]="Y",'Towing Bat Cost'!O22,0),"N/A")</f>
        <v>3157.3896953555668</v>
      </c>
    </row>
    <row r="112" spans="1:19" hidden="1" x14ac:dyDescent="0.3">
      <c r="A112" s="28" t="str">
        <f t="shared" si="2"/>
        <v>PickupBasePHEV50</v>
      </c>
      <c r="B112" s="90" t="s">
        <v>89</v>
      </c>
      <c r="C112" s="68" t="s">
        <v>75</v>
      </c>
      <c r="D112" s="68" t="str">
        <f>'Vehicle Attributes - Base Year'!D20</f>
        <v>PHEV50</v>
      </c>
      <c r="E112" s="124" t="s">
        <v>77</v>
      </c>
      <c r="F112" s="124" t="s">
        <v>77</v>
      </c>
      <c r="G112" s="125" t="s">
        <v>76</v>
      </c>
      <c r="H112" s="156" t="s">
        <v>76</v>
      </c>
      <c r="I112" s="157">
        <f>IF(Table44[[#This Row],[Applicable Package?]:[Applicable Package?]]="Y",SUM('Rolled Up Non-Incremental Costs'!E23,'ICE Removal Cost'!E23,'Trans Removal Cost'!E23,'LEV3 Criteria Emissions Cost'!E23,'ZEV Assembly Reductions'!E23,'ACCII Criteria Compliance Cost'!E23,'ACCII GHG Compliance'!E23,'Current GHG Compliance'!E23)+IF(Table44[[#This Row],[Cold]:[Cold]]="Y",'Cold Weather Package'!E23,0)+IF(Table44[[#This Row],[eAWD]:[eAWD]]="Y",'eAWD Package'!E23,0)+IF(Table44[[#This Row],[Towing]:[Towing]]="Y",'Towing Bat Cost'!E23,0),"N/A")</f>
        <v>5876.5135809680669</v>
      </c>
      <c r="J112" s="157">
        <f>IF(Table44[[#This Row],[Applicable Package?]:[Applicable Package?]]="Y",SUM('Rolled Up Non-Incremental Costs'!F23,'ICE Removal Cost'!F23,'Trans Removal Cost'!F23,'LEV3 Criteria Emissions Cost'!F23,'ZEV Assembly Reductions'!F23,'ACCII Criteria Compliance Cost'!F23,'ACCII GHG Compliance'!F23,'Current GHG Compliance'!F23)+IF(Table44[[#This Row],[Cold]:[Cold]]="Y",'Cold Weather Package'!F23,0)+IF(Table44[[#This Row],[eAWD]:[eAWD]]="Y",'eAWD Package'!F23,0)+IF(Table44[[#This Row],[Towing]:[Towing]]="Y",'Towing Bat Cost'!F23,0),"N/A")</f>
        <v>5555.4291319230924</v>
      </c>
      <c r="K112" s="157">
        <f>IF(Table44[[#This Row],[Applicable Package?]:[Applicable Package?]]="Y",SUM('Rolled Up Non-Incremental Costs'!G23,'ICE Removal Cost'!G23,'Trans Removal Cost'!G23,'LEV3 Criteria Emissions Cost'!G23,'ZEV Assembly Reductions'!G23,'ACCII Criteria Compliance Cost'!G23,'ACCII GHG Compliance'!G23,'Current GHG Compliance'!G23)+IF(Table44[[#This Row],[Cold]:[Cold]]="Y",'Cold Weather Package'!G23,0)+IF(Table44[[#This Row],[eAWD]:[eAWD]]="Y",'eAWD Package'!G23,0)+IF(Table44[[#This Row],[Towing]:[Towing]]="Y",'Towing Bat Cost'!G23,0),"N/A")</f>
        <v>5256.4172916015823</v>
      </c>
      <c r="L112" s="157">
        <f>IF(Table44[[#This Row],[Applicable Package?]:[Applicable Package?]]="Y",SUM('Rolled Up Non-Incremental Costs'!H23,'ICE Removal Cost'!H23,'Trans Removal Cost'!H23,'LEV3 Criteria Emissions Cost'!H23,'ZEV Assembly Reductions'!H23,'ACCII Criteria Compliance Cost'!H23,'ACCII GHG Compliance'!H23,'Current GHG Compliance'!H23)+IF(Table44[[#This Row],[Cold]:[Cold]]="Y",'Cold Weather Package'!H23,0)+IF(Table44[[#This Row],[eAWD]:[eAWD]]="Y",'eAWD Package'!H23,0)+IF(Table44[[#This Row],[Towing]:[Towing]]="Y",'Towing Bat Cost'!H23,0),"N/A")</f>
        <v>4977.8493032163069</v>
      </c>
      <c r="M112" s="157">
        <f>IF(Table44[[#This Row],[Applicable Package?]:[Applicable Package?]]="Y",SUM('Rolled Up Non-Incremental Costs'!I23,'ICE Removal Cost'!I23,'Trans Removal Cost'!I23,'LEV3 Criteria Emissions Cost'!I23,'ZEV Assembly Reductions'!I23,'ACCII Criteria Compliance Cost'!I23,'ACCII GHG Compliance'!I23,'Current GHG Compliance'!I23)+IF(Table44[[#This Row],[Cold]:[Cold]]="Y",'Cold Weather Package'!I23,0)+IF(Table44[[#This Row],[eAWD]:[eAWD]]="Y",'eAWD Package'!I23,0)+IF(Table44[[#This Row],[Towing]:[Towing]]="Y",'Towing Bat Cost'!I23,0),"N/A")</f>
        <v>4718.2178070396649</v>
      </c>
      <c r="N112" s="157">
        <f>IF(Table44[[#This Row],[Applicable Package?]:[Applicable Package?]]="Y",SUM('Rolled Up Non-Incremental Costs'!J23,'ICE Removal Cost'!J23,'Trans Removal Cost'!J23,'LEV3 Criteria Emissions Cost'!J23,'ZEV Assembly Reductions'!J23,'ACCII Criteria Compliance Cost'!J23,'ACCII GHG Compliance'!J23,'Current GHG Compliance'!J23)+IF(Table44[[#This Row],[Cold]:[Cold]]="Y",'Cold Weather Package'!J23,0)+IF(Table44[[#This Row],[eAWD]:[eAWD]]="Y",'eAWD Package'!J23,0)+IF(Table44[[#This Row],[Towing]:[Towing]]="Y",'Towing Bat Cost'!J23,0),"N/A")</f>
        <v>4520.4509369448788</v>
      </c>
      <c r="O112" s="157">
        <f>IF(Table44[[#This Row],[Applicable Package?]:[Applicable Package?]]="Y",SUM('Rolled Up Non-Incremental Costs'!K23,'ICE Removal Cost'!K23,'Trans Removal Cost'!K23,'LEV3 Criteria Emissions Cost'!K23,'ZEV Assembly Reductions'!K23,'ACCII Criteria Compliance Cost'!K23,'ACCII GHG Compliance'!K23,'Current GHG Compliance'!K23)+IF(Table44[[#This Row],[Cold]:[Cold]]="Y",'Cold Weather Package'!K23,0)+IF(Table44[[#This Row],[eAWD]:[eAWD]]="Y",'eAWD Package'!K23,0)+IF(Table44[[#This Row],[Towing]:[Towing]]="Y",'Towing Bat Cost'!K23,0),"N/A")</f>
        <v>4344.952197757535</v>
      </c>
      <c r="P112" s="157">
        <f>IF(Table44[[#This Row],[Applicable Package?]:[Applicable Package?]]="Y",SUM('Rolled Up Non-Incremental Costs'!L23,'ICE Removal Cost'!L23,'Trans Removal Cost'!L23,'LEV3 Criteria Emissions Cost'!L23,'ZEV Assembly Reductions'!L23,'ACCII Criteria Compliance Cost'!L23,'ACCII GHG Compliance'!L23,'Current GHG Compliance'!L23)+IF(Table44[[#This Row],[Cold]:[Cold]]="Y",'Cold Weather Package'!L23,0)+IF(Table44[[#This Row],[eAWD]:[eAWD]]="Y",'eAWD Package'!L23,0)+IF(Table44[[#This Row],[Towing]:[Towing]]="Y",'Towing Bat Cost'!L23,0),"N/A")</f>
        <v>4177.8137175445936</v>
      </c>
      <c r="Q112" s="157">
        <f>IF(Table44[[#This Row],[Applicable Package?]:[Applicable Package?]]="Y",SUM('Rolled Up Non-Incremental Costs'!M23,'ICE Removal Cost'!M23,'Trans Removal Cost'!M23,'LEV3 Criteria Emissions Cost'!M23,'ZEV Assembly Reductions'!M23,'ACCII Criteria Compliance Cost'!M23,'ACCII GHG Compliance'!M23,'Current GHG Compliance'!M23)+IF(Table44[[#This Row],[Cold]:[Cold]]="Y",'Cold Weather Package'!M23,0)+IF(Table44[[#This Row],[eAWD]:[eAWD]]="Y",'eAWD Package'!M23,0)+IF(Table44[[#This Row],[Towing]:[Towing]]="Y",'Towing Bat Cost'!M23,0),"N/A")</f>
        <v>4018.5902550971678</v>
      </c>
      <c r="R112" s="157">
        <f>IF(Table44[[#This Row],[Applicable Package?]:[Applicable Package?]]="Y",SUM('Rolled Up Non-Incremental Costs'!N23,'ICE Removal Cost'!N23,'Trans Removal Cost'!N23,'LEV3 Criteria Emissions Cost'!N23,'ZEV Assembly Reductions'!N23,'ACCII Criteria Compliance Cost'!N23,'ACCII GHG Compliance'!N23,'Current GHG Compliance'!N23)+IF(Table44[[#This Row],[Cold]:[Cold]]="Y",'Cold Weather Package'!N23,0)+IF(Table44[[#This Row],[eAWD]:[eAWD]]="Y",'eAWD Package'!N23,0)+IF(Table44[[#This Row],[Towing]:[Towing]]="Y",'Towing Bat Cost'!N23,0),"N/A")</f>
        <v>3866.8608213328571</v>
      </c>
      <c r="S112" s="157">
        <f>IF(Table44[[#This Row],[Applicable Package?]:[Applicable Package?]]="Y",SUM('Rolled Up Non-Incremental Costs'!O23,'ICE Removal Cost'!O23,'Trans Removal Cost'!O23,'LEV3 Criteria Emissions Cost'!O23,'ZEV Assembly Reductions'!O23,'ACCII Criteria Compliance Cost'!O23,'ACCII GHG Compliance'!O23,'Current GHG Compliance'!O23)+IF(Table44[[#This Row],[Cold]:[Cold]]="Y",'Cold Weather Package'!O23,0)+IF(Table44[[#This Row],[eAWD]:[eAWD]]="Y",'eAWD Package'!O23,0)+IF(Table44[[#This Row],[Towing]:[Towing]]="Y",'Towing Bat Cost'!O23,0),"N/A")</f>
        <v>3722.2273527401212</v>
      </c>
    </row>
    <row r="113" spans="1:19" hidden="1" x14ac:dyDescent="0.3">
      <c r="A113" t="str">
        <f t="shared" si="2"/>
        <v>PickupHTPHEV50</v>
      </c>
      <c r="B113" s="90" t="s">
        <v>89</v>
      </c>
      <c r="C113" s="68" t="s">
        <v>113</v>
      </c>
      <c r="D113" s="68" t="str">
        <f>'Vehicle Attributes - Base Year'!D21</f>
        <v>PHEV50</v>
      </c>
      <c r="E113" s="124" t="s">
        <v>77</v>
      </c>
      <c r="F113" s="124" t="s">
        <v>77</v>
      </c>
      <c r="G113" s="125" t="s">
        <v>76</v>
      </c>
      <c r="H113" s="156" t="s">
        <v>76</v>
      </c>
      <c r="I113" s="157">
        <f>IF(Table44[[#This Row],[Applicable Package?]:[Applicable Package?]]="Y",SUM('Rolled Up Non-Incremental Costs'!E24,'ICE Removal Cost'!E24,'Trans Removal Cost'!E24,'LEV3 Criteria Emissions Cost'!E24,'ZEV Assembly Reductions'!E24,'ACCII Criteria Compliance Cost'!E24,'ACCII GHG Compliance'!E24,'Current GHG Compliance'!E24)+IF(Table44[[#This Row],[Cold]:[Cold]]="Y",'Cold Weather Package'!E24,0)+IF(Table44[[#This Row],[eAWD]:[eAWD]]="Y",'eAWD Package'!E24,0)+IF(Table44[[#This Row],[Towing]:[Towing]]="Y",'Towing Bat Cost'!E24,0),"N/A")</f>
        <v>5876.5135809680669</v>
      </c>
      <c r="J113" s="157">
        <f>IF(Table44[[#This Row],[Applicable Package?]:[Applicable Package?]]="Y",SUM('Rolled Up Non-Incremental Costs'!F24,'ICE Removal Cost'!F24,'Trans Removal Cost'!F24,'LEV3 Criteria Emissions Cost'!F24,'ZEV Assembly Reductions'!F24,'ACCII Criteria Compliance Cost'!F24,'ACCII GHG Compliance'!F24,'Current GHG Compliance'!F24)+IF(Table44[[#This Row],[Cold]:[Cold]]="Y",'Cold Weather Package'!F24,0)+IF(Table44[[#This Row],[eAWD]:[eAWD]]="Y",'eAWD Package'!F24,0)+IF(Table44[[#This Row],[Towing]:[Towing]]="Y",'Towing Bat Cost'!F24,0),"N/A")</f>
        <v>5555.4291319230924</v>
      </c>
      <c r="K113" s="157">
        <f>IF(Table44[[#This Row],[Applicable Package?]:[Applicable Package?]]="Y",SUM('Rolled Up Non-Incremental Costs'!G24,'ICE Removal Cost'!G24,'Trans Removal Cost'!G24,'LEV3 Criteria Emissions Cost'!G24,'ZEV Assembly Reductions'!G24,'ACCII Criteria Compliance Cost'!G24,'ACCII GHG Compliance'!G24,'Current GHG Compliance'!G24)+IF(Table44[[#This Row],[Cold]:[Cold]]="Y",'Cold Weather Package'!G24,0)+IF(Table44[[#This Row],[eAWD]:[eAWD]]="Y",'eAWD Package'!G24,0)+IF(Table44[[#This Row],[Towing]:[Towing]]="Y",'Towing Bat Cost'!G24,0),"N/A")</f>
        <v>5256.4172916015823</v>
      </c>
      <c r="L113" s="157">
        <f>IF(Table44[[#This Row],[Applicable Package?]:[Applicable Package?]]="Y",SUM('Rolled Up Non-Incremental Costs'!H24,'ICE Removal Cost'!H24,'Trans Removal Cost'!H24,'LEV3 Criteria Emissions Cost'!H24,'ZEV Assembly Reductions'!H24,'ACCII Criteria Compliance Cost'!H24,'ACCII GHG Compliance'!H24,'Current GHG Compliance'!H24)+IF(Table44[[#This Row],[Cold]:[Cold]]="Y",'Cold Weather Package'!H24,0)+IF(Table44[[#This Row],[eAWD]:[eAWD]]="Y",'eAWD Package'!H24,0)+IF(Table44[[#This Row],[Towing]:[Towing]]="Y",'Towing Bat Cost'!H24,0),"N/A")</f>
        <v>4977.8493032163069</v>
      </c>
      <c r="M113" s="157">
        <f>IF(Table44[[#This Row],[Applicable Package?]:[Applicable Package?]]="Y",SUM('Rolled Up Non-Incremental Costs'!I24,'ICE Removal Cost'!I24,'Trans Removal Cost'!I24,'LEV3 Criteria Emissions Cost'!I24,'ZEV Assembly Reductions'!I24,'ACCII Criteria Compliance Cost'!I24,'ACCII GHG Compliance'!I24,'Current GHG Compliance'!I24)+IF(Table44[[#This Row],[Cold]:[Cold]]="Y",'Cold Weather Package'!I24,0)+IF(Table44[[#This Row],[eAWD]:[eAWD]]="Y",'eAWD Package'!I24,0)+IF(Table44[[#This Row],[Towing]:[Towing]]="Y",'Towing Bat Cost'!I24,0),"N/A")</f>
        <v>4718.2178070396649</v>
      </c>
      <c r="N113" s="157">
        <f>IF(Table44[[#This Row],[Applicable Package?]:[Applicable Package?]]="Y",SUM('Rolled Up Non-Incremental Costs'!J24,'ICE Removal Cost'!J24,'Trans Removal Cost'!J24,'LEV3 Criteria Emissions Cost'!J24,'ZEV Assembly Reductions'!J24,'ACCII Criteria Compliance Cost'!J24,'ACCII GHG Compliance'!J24,'Current GHG Compliance'!J24)+IF(Table44[[#This Row],[Cold]:[Cold]]="Y",'Cold Weather Package'!J24,0)+IF(Table44[[#This Row],[eAWD]:[eAWD]]="Y",'eAWD Package'!J24,0)+IF(Table44[[#This Row],[Towing]:[Towing]]="Y",'Towing Bat Cost'!J24,0),"N/A")</f>
        <v>4520.4509369448788</v>
      </c>
      <c r="O113" s="157">
        <f>IF(Table44[[#This Row],[Applicable Package?]:[Applicable Package?]]="Y",SUM('Rolled Up Non-Incremental Costs'!K24,'ICE Removal Cost'!K24,'Trans Removal Cost'!K24,'LEV3 Criteria Emissions Cost'!K24,'ZEV Assembly Reductions'!K24,'ACCII Criteria Compliance Cost'!K24,'ACCII GHG Compliance'!K24,'Current GHG Compliance'!K24)+IF(Table44[[#This Row],[Cold]:[Cold]]="Y",'Cold Weather Package'!K24,0)+IF(Table44[[#This Row],[eAWD]:[eAWD]]="Y",'eAWD Package'!K24,0)+IF(Table44[[#This Row],[Towing]:[Towing]]="Y",'Towing Bat Cost'!K24,0),"N/A")</f>
        <v>4344.952197757535</v>
      </c>
      <c r="P113" s="157">
        <f>IF(Table44[[#This Row],[Applicable Package?]:[Applicable Package?]]="Y",SUM('Rolled Up Non-Incremental Costs'!L24,'ICE Removal Cost'!L24,'Trans Removal Cost'!L24,'LEV3 Criteria Emissions Cost'!L24,'ZEV Assembly Reductions'!L24,'ACCII Criteria Compliance Cost'!L24,'ACCII GHG Compliance'!L24,'Current GHG Compliance'!L24)+IF(Table44[[#This Row],[Cold]:[Cold]]="Y",'Cold Weather Package'!L24,0)+IF(Table44[[#This Row],[eAWD]:[eAWD]]="Y",'eAWD Package'!L24,0)+IF(Table44[[#This Row],[Towing]:[Towing]]="Y",'Towing Bat Cost'!L24,0),"N/A")</f>
        <v>4177.8137175445936</v>
      </c>
      <c r="Q113" s="157">
        <f>IF(Table44[[#This Row],[Applicable Package?]:[Applicable Package?]]="Y",SUM('Rolled Up Non-Incremental Costs'!M24,'ICE Removal Cost'!M24,'Trans Removal Cost'!M24,'LEV3 Criteria Emissions Cost'!M24,'ZEV Assembly Reductions'!M24,'ACCII Criteria Compliance Cost'!M24,'ACCII GHG Compliance'!M24,'Current GHG Compliance'!M24)+IF(Table44[[#This Row],[Cold]:[Cold]]="Y",'Cold Weather Package'!M24,0)+IF(Table44[[#This Row],[eAWD]:[eAWD]]="Y",'eAWD Package'!M24,0)+IF(Table44[[#This Row],[Towing]:[Towing]]="Y",'Towing Bat Cost'!M24,0),"N/A")</f>
        <v>4018.5902550971678</v>
      </c>
      <c r="R113" s="157">
        <f>IF(Table44[[#This Row],[Applicable Package?]:[Applicable Package?]]="Y",SUM('Rolled Up Non-Incremental Costs'!N24,'ICE Removal Cost'!N24,'Trans Removal Cost'!N24,'LEV3 Criteria Emissions Cost'!N24,'ZEV Assembly Reductions'!N24,'ACCII Criteria Compliance Cost'!N24,'ACCII GHG Compliance'!N24,'Current GHG Compliance'!N24)+IF(Table44[[#This Row],[Cold]:[Cold]]="Y",'Cold Weather Package'!N24,0)+IF(Table44[[#This Row],[eAWD]:[eAWD]]="Y",'eAWD Package'!N24,0)+IF(Table44[[#This Row],[Towing]:[Towing]]="Y",'Towing Bat Cost'!N24,0),"N/A")</f>
        <v>3866.8608213328571</v>
      </c>
      <c r="S113" s="157">
        <f>IF(Table44[[#This Row],[Applicable Package?]:[Applicable Package?]]="Y",SUM('Rolled Up Non-Incremental Costs'!O24,'ICE Removal Cost'!O24,'Trans Removal Cost'!O24,'LEV3 Criteria Emissions Cost'!O24,'ZEV Assembly Reductions'!O24,'ACCII Criteria Compliance Cost'!O24,'ACCII GHG Compliance'!O24,'Current GHG Compliance'!O24)+IF(Table44[[#This Row],[Cold]:[Cold]]="Y",'Cold Weather Package'!O24,0)+IF(Table44[[#This Row],[eAWD]:[eAWD]]="Y",'eAWD Package'!O24,0)+IF(Table44[[#This Row],[Towing]:[Towing]]="Y",'Towing Bat Cost'!O24,0),"N/A")</f>
        <v>3722.2273527401212</v>
      </c>
    </row>
    <row r="114" spans="1:19" hidden="1" x14ac:dyDescent="0.3">
      <c r="A114" s="28" t="str">
        <f t="shared" si="2"/>
        <v>SmallCarBaseFCEV320</v>
      </c>
      <c r="B114" s="90" t="s">
        <v>73</v>
      </c>
      <c r="C114" s="68" t="s">
        <v>75</v>
      </c>
      <c r="D114" s="68" t="str">
        <f>'Vehicle Attributes - Base Year'!D22</f>
        <v>FCEV320</v>
      </c>
      <c r="E114" s="124" t="s">
        <v>77</v>
      </c>
      <c r="F114" s="124" t="s">
        <v>77</v>
      </c>
      <c r="G114" s="125" t="s">
        <v>76</v>
      </c>
      <c r="H114" s="156" t="s">
        <v>77</v>
      </c>
      <c r="I114" s="157" t="str">
        <f>IF(Table44[[#This Row],[Applicable Package?]:[Applicable Package?]]="Y",SUM('Rolled Up Non-Incremental Costs'!E25,'ICE Removal Cost'!E25,'Trans Removal Cost'!E25,'LEV3 Criteria Emissions Cost'!E25,'ZEV Assembly Reductions'!E25,'ACCII Criteria Compliance Cost'!E25,'ACCII GHG Compliance'!E25,'Current GHG Compliance'!E25)+IF(Table44[[#This Row],[Cold]:[Cold]]="Y",'Cold Weather Package'!E25,0)+IF(Table44[[#This Row],[eAWD]:[eAWD]]="Y",'eAWD Package'!E25,0)+IF(Table44[[#This Row],[Towing]:[Towing]]="Y",'Towing Bat Cost'!E25,0),"N/A")</f>
        <v>N/A</v>
      </c>
      <c r="J114" s="157" t="str">
        <f>IF(Table44[[#This Row],[Applicable Package?]:[Applicable Package?]]="Y",SUM('Rolled Up Non-Incremental Costs'!F25,'ICE Removal Cost'!F25,'Trans Removal Cost'!F25,'LEV3 Criteria Emissions Cost'!F25,'ZEV Assembly Reductions'!F25,'ACCII Criteria Compliance Cost'!F25,'ACCII GHG Compliance'!F25,'Current GHG Compliance'!F25)+IF(Table44[[#This Row],[Cold]:[Cold]]="Y",'Cold Weather Package'!F25,0)+IF(Table44[[#This Row],[eAWD]:[eAWD]]="Y",'eAWD Package'!F25,0)+IF(Table44[[#This Row],[Towing]:[Towing]]="Y",'Towing Bat Cost'!F25,0),"N/A")</f>
        <v>N/A</v>
      </c>
      <c r="K114" s="157" t="str">
        <f>IF(Table44[[#This Row],[Applicable Package?]:[Applicable Package?]]="Y",SUM('Rolled Up Non-Incremental Costs'!G25,'ICE Removal Cost'!G25,'Trans Removal Cost'!G25,'LEV3 Criteria Emissions Cost'!G25,'ZEV Assembly Reductions'!G25,'ACCII Criteria Compliance Cost'!G25,'ACCII GHG Compliance'!G25,'Current GHG Compliance'!G25)+IF(Table44[[#This Row],[Cold]:[Cold]]="Y",'Cold Weather Package'!G25,0)+IF(Table44[[#This Row],[eAWD]:[eAWD]]="Y",'eAWD Package'!G25,0)+IF(Table44[[#This Row],[Towing]:[Towing]]="Y",'Towing Bat Cost'!G25,0),"N/A")</f>
        <v>N/A</v>
      </c>
      <c r="L114" s="157" t="str">
        <f>IF(Table44[[#This Row],[Applicable Package?]:[Applicable Package?]]="Y",SUM('Rolled Up Non-Incremental Costs'!H25,'ICE Removal Cost'!H25,'Trans Removal Cost'!H25,'LEV3 Criteria Emissions Cost'!H25,'ZEV Assembly Reductions'!H25,'ACCII Criteria Compliance Cost'!H25,'ACCII GHG Compliance'!H25,'Current GHG Compliance'!H25)+IF(Table44[[#This Row],[Cold]:[Cold]]="Y",'Cold Weather Package'!H25,0)+IF(Table44[[#This Row],[eAWD]:[eAWD]]="Y",'eAWD Package'!H25,0)+IF(Table44[[#This Row],[Towing]:[Towing]]="Y",'Towing Bat Cost'!H25,0),"N/A")</f>
        <v>N/A</v>
      </c>
      <c r="M114" s="157" t="str">
        <f>IF(Table44[[#This Row],[Applicable Package?]:[Applicable Package?]]="Y",SUM('Rolled Up Non-Incremental Costs'!I25,'ICE Removal Cost'!I25,'Trans Removal Cost'!I25,'LEV3 Criteria Emissions Cost'!I25,'ZEV Assembly Reductions'!I25,'ACCII Criteria Compliance Cost'!I25,'ACCII GHG Compliance'!I25,'Current GHG Compliance'!I25)+IF(Table44[[#This Row],[Cold]:[Cold]]="Y",'Cold Weather Package'!I25,0)+IF(Table44[[#This Row],[eAWD]:[eAWD]]="Y",'eAWD Package'!I25,0)+IF(Table44[[#This Row],[Towing]:[Towing]]="Y",'Towing Bat Cost'!I25,0),"N/A")</f>
        <v>N/A</v>
      </c>
      <c r="N114" s="157" t="str">
        <f>IF(Table44[[#This Row],[Applicable Package?]:[Applicable Package?]]="Y",SUM('Rolled Up Non-Incremental Costs'!J25,'ICE Removal Cost'!J25,'Trans Removal Cost'!J25,'LEV3 Criteria Emissions Cost'!J25,'ZEV Assembly Reductions'!J25,'ACCII Criteria Compliance Cost'!J25,'ACCII GHG Compliance'!J25,'Current GHG Compliance'!J25)+IF(Table44[[#This Row],[Cold]:[Cold]]="Y",'Cold Weather Package'!J25,0)+IF(Table44[[#This Row],[eAWD]:[eAWD]]="Y",'eAWD Package'!J25,0)+IF(Table44[[#This Row],[Towing]:[Towing]]="Y",'Towing Bat Cost'!J25,0),"N/A")</f>
        <v>N/A</v>
      </c>
      <c r="O114" s="157" t="str">
        <f>IF(Table44[[#This Row],[Applicable Package?]:[Applicable Package?]]="Y",SUM('Rolled Up Non-Incremental Costs'!K25,'ICE Removal Cost'!K25,'Trans Removal Cost'!K25,'LEV3 Criteria Emissions Cost'!K25,'ZEV Assembly Reductions'!K25,'ACCII Criteria Compliance Cost'!K25,'ACCII GHG Compliance'!K25,'Current GHG Compliance'!K25)+IF(Table44[[#This Row],[Cold]:[Cold]]="Y",'Cold Weather Package'!K25,0)+IF(Table44[[#This Row],[eAWD]:[eAWD]]="Y",'eAWD Package'!K25,0)+IF(Table44[[#This Row],[Towing]:[Towing]]="Y",'Towing Bat Cost'!K25,0),"N/A")</f>
        <v>N/A</v>
      </c>
      <c r="P114" s="157" t="str">
        <f>IF(Table44[[#This Row],[Applicable Package?]:[Applicable Package?]]="Y",SUM('Rolled Up Non-Incremental Costs'!L25,'ICE Removal Cost'!L25,'Trans Removal Cost'!L25,'LEV3 Criteria Emissions Cost'!L25,'ZEV Assembly Reductions'!L25,'ACCII Criteria Compliance Cost'!L25,'ACCII GHG Compliance'!L25,'Current GHG Compliance'!L25)+IF(Table44[[#This Row],[Cold]:[Cold]]="Y",'Cold Weather Package'!L25,0)+IF(Table44[[#This Row],[eAWD]:[eAWD]]="Y",'eAWD Package'!L25,0)+IF(Table44[[#This Row],[Towing]:[Towing]]="Y",'Towing Bat Cost'!L25,0),"N/A")</f>
        <v>N/A</v>
      </c>
      <c r="Q114" s="157" t="str">
        <f>IF(Table44[[#This Row],[Applicable Package?]:[Applicable Package?]]="Y",SUM('Rolled Up Non-Incremental Costs'!M25,'ICE Removal Cost'!M25,'Trans Removal Cost'!M25,'LEV3 Criteria Emissions Cost'!M25,'ZEV Assembly Reductions'!M25,'ACCII Criteria Compliance Cost'!M25,'ACCII GHG Compliance'!M25,'Current GHG Compliance'!M25)+IF(Table44[[#This Row],[Cold]:[Cold]]="Y",'Cold Weather Package'!M25,0)+IF(Table44[[#This Row],[eAWD]:[eAWD]]="Y",'eAWD Package'!M25,0)+IF(Table44[[#This Row],[Towing]:[Towing]]="Y",'Towing Bat Cost'!M25,0),"N/A")</f>
        <v>N/A</v>
      </c>
      <c r="R114" s="157" t="str">
        <f>IF(Table44[[#This Row],[Applicable Package?]:[Applicable Package?]]="Y",SUM('Rolled Up Non-Incremental Costs'!N25,'ICE Removal Cost'!N25,'Trans Removal Cost'!N25,'LEV3 Criteria Emissions Cost'!N25,'ZEV Assembly Reductions'!N25,'ACCII Criteria Compliance Cost'!N25,'ACCII GHG Compliance'!N25,'Current GHG Compliance'!N25)+IF(Table44[[#This Row],[Cold]:[Cold]]="Y",'Cold Weather Package'!N25,0)+IF(Table44[[#This Row],[eAWD]:[eAWD]]="Y",'eAWD Package'!N25,0)+IF(Table44[[#This Row],[Towing]:[Towing]]="Y",'Towing Bat Cost'!N25,0),"N/A")</f>
        <v>N/A</v>
      </c>
      <c r="S114" s="157" t="str">
        <f>IF(Table44[[#This Row],[Applicable Package?]:[Applicable Package?]]="Y",SUM('Rolled Up Non-Incremental Costs'!O25,'ICE Removal Cost'!O25,'Trans Removal Cost'!O25,'LEV3 Criteria Emissions Cost'!O25,'ZEV Assembly Reductions'!O25,'ACCII Criteria Compliance Cost'!O25,'ACCII GHG Compliance'!O25,'Current GHG Compliance'!O25)+IF(Table44[[#This Row],[Cold]:[Cold]]="Y",'Cold Weather Package'!O25,0)+IF(Table44[[#This Row],[eAWD]:[eAWD]]="Y",'eAWD Package'!O25,0)+IF(Table44[[#This Row],[Towing]:[Towing]]="Y",'Towing Bat Cost'!O25,0),"N/A")</f>
        <v>N/A</v>
      </c>
    </row>
    <row r="115" spans="1:19" hidden="1" x14ac:dyDescent="0.3">
      <c r="A115" t="str">
        <f t="shared" si="2"/>
        <v>SmallCarPremiumFCEV320</v>
      </c>
      <c r="B115" s="90" t="s">
        <v>73</v>
      </c>
      <c r="C115" s="68" t="s">
        <v>80</v>
      </c>
      <c r="D115" s="68" t="str">
        <f>'Vehicle Attributes - Base Year'!D23</f>
        <v>FCEV320</v>
      </c>
      <c r="E115" s="124" t="s">
        <v>77</v>
      </c>
      <c r="F115" s="124" t="s">
        <v>77</v>
      </c>
      <c r="G115" s="125" t="s">
        <v>76</v>
      </c>
      <c r="H115" s="156" t="s">
        <v>77</v>
      </c>
      <c r="I115" s="157" t="str">
        <f>IF(Table44[[#This Row],[Applicable Package?]:[Applicable Package?]]="Y",SUM('Rolled Up Non-Incremental Costs'!E26,'ICE Removal Cost'!E26,'Trans Removal Cost'!E26,'LEV3 Criteria Emissions Cost'!E26,'ZEV Assembly Reductions'!E26,'ACCII Criteria Compliance Cost'!E26,'ACCII GHG Compliance'!E26,'Current GHG Compliance'!E26)+IF(Table44[[#This Row],[Cold]:[Cold]]="Y",'Cold Weather Package'!E26,0)+IF(Table44[[#This Row],[eAWD]:[eAWD]]="Y",'eAWD Package'!E26,0)+IF(Table44[[#This Row],[Towing]:[Towing]]="Y",'Towing Bat Cost'!E26,0),"N/A")</f>
        <v>N/A</v>
      </c>
      <c r="J115" s="157" t="str">
        <f>IF(Table44[[#This Row],[Applicable Package?]:[Applicable Package?]]="Y",SUM('Rolled Up Non-Incremental Costs'!F26,'ICE Removal Cost'!F26,'Trans Removal Cost'!F26,'LEV3 Criteria Emissions Cost'!F26,'ZEV Assembly Reductions'!F26,'ACCII Criteria Compliance Cost'!F26,'ACCII GHG Compliance'!F26,'Current GHG Compliance'!F26)+IF(Table44[[#This Row],[Cold]:[Cold]]="Y",'Cold Weather Package'!F26,0)+IF(Table44[[#This Row],[eAWD]:[eAWD]]="Y",'eAWD Package'!F26,0)+IF(Table44[[#This Row],[Towing]:[Towing]]="Y",'Towing Bat Cost'!F26,0),"N/A")</f>
        <v>N/A</v>
      </c>
      <c r="K115" s="157" t="str">
        <f>IF(Table44[[#This Row],[Applicable Package?]:[Applicable Package?]]="Y",SUM('Rolled Up Non-Incremental Costs'!G26,'ICE Removal Cost'!G26,'Trans Removal Cost'!G26,'LEV3 Criteria Emissions Cost'!G26,'ZEV Assembly Reductions'!G26,'ACCII Criteria Compliance Cost'!G26,'ACCII GHG Compliance'!G26,'Current GHG Compliance'!G26)+IF(Table44[[#This Row],[Cold]:[Cold]]="Y",'Cold Weather Package'!G26,0)+IF(Table44[[#This Row],[eAWD]:[eAWD]]="Y",'eAWD Package'!G26,0)+IF(Table44[[#This Row],[Towing]:[Towing]]="Y",'Towing Bat Cost'!G26,0),"N/A")</f>
        <v>N/A</v>
      </c>
      <c r="L115" s="157" t="str">
        <f>IF(Table44[[#This Row],[Applicable Package?]:[Applicable Package?]]="Y",SUM('Rolled Up Non-Incremental Costs'!H26,'ICE Removal Cost'!H26,'Trans Removal Cost'!H26,'LEV3 Criteria Emissions Cost'!H26,'ZEV Assembly Reductions'!H26,'ACCII Criteria Compliance Cost'!H26,'ACCII GHG Compliance'!H26,'Current GHG Compliance'!H26)+IF(Table44[[#This Row],[Cold]:[Cold]]="Y",'Cold Weather Package'!H26,0)+IF(Table44[[#This Row],[eAWD]:[eAWD]]="Y",'eAWD Package'!H26,0)+IF(Table44[[#This Row],[Towing]:[Towing]]="Y",'Towing Bat Cost'!H26,0),"N/A")</f>
        <v>N/A</v>
      </c>
      <c r="M115" s="157" t="str">
        <f>IF(Table44[[#This Row],[Applicable Package?]:[Applicable Package?]]="Y",SUM('Rolled Up Non-Incremental Costs'!I26,'ICE Removal Cost'!I26,'Trans Removal Cost'!I26,'LEV3 Criteria Emissions Cost'!I26,'ZEV Assembly Reductions'!I26,'ACCII Criteria Compliance Cost'!I26,'ACCII GHG Compliance'!I26,'Current GHG Compliance'!I26)+IF(Table44[[#This Row],[Cold]:[Cold]]="Y",'Cold Weather Package'!I26,0)+IF(Table44[[#This Row],[eAWD]:[eAWD]]="Y",'eAWD Package'!I26,0)+IF(Table44[[#This Row],[Towing]:[Towing]]="Y",'Towing Bat Cost'!I26,0),"N/A")</f>
        <v>N/A</v>
      </c>
      <c r="N115" s="157" t="str">
        <f>IF(Table44[[#This Row],[Applicable Package?]:[Applicable Package?]]="Y",SUM('Rolled Up Non-Incremental Costs'!J26,'ICE Removal Cost'!J26,'Trans Removal Cost'!J26,'LEV3 Criteria Emissions Cost'!J26,'ZEV Assembly Reductions'!J26,'ACCII Criteria Compliance Cost'!J26,'ACCII GHG Compliance'!J26,'Current GHG Compliance'!J26)+IF(Table44[[#This Row],[Cold]:[Cold]]="Y",'Cold Weather Package'!J26,0)+IF(Table44[[#This Row],[eAWD]:[eAWD]]="Y",'eAWD Package'!J26,0)+IF(Table44[[#This Row],[Towing]:[Towing]]="Y",'Towing Bat Cost'!J26,0),"N/A")</f>
        <v>N/A</v>
      </c>
      <c r="O115" s="157" t="str">
        <f>IF(Table44[[#This Row],[Applicable Package?]:[Applicable Package?]]="Y",SUM('Rolled Up Non-Incremental Costs'!K26,'ICE Removal Cost'!K26,'Trans Removal Cost'!K26,'LEV3 Criteria Emissions Cost'!K26,'ZEV Assembly Reductions'!K26,'ACCII Criteria Compliance Cost'!K26,'ACCII GHG Compliance'!K26,'Current GHG Compliance'!K26)+IF(Table44[[#This Row],[Cold]:[Cold]]="Y",'Cold Weather Package'!K26,0)+IF(Table44[[#This Row],[eAWD]:[eAWD]]="Y",'eAWD Package'!K26,0)+IF(Table44[[#This Row],[Towing]:[Towing]]="Y",'Towing Bat Cost'!K26,0),"N/A")</f>
        <v>N/A</v>
      </c>
      <c r="P115" s="157" t="str">
        <f>IF(Table44[[#This Row],[Applicable Package?]:[Applicable Package?]]="Y",SUM('Rolled Up Non-Incremental Costs'!L26,'ICE Removal Cost'!L26,'Trans Removal Cost'!L26,'LEV3 Criteria Emissions Cost'!L26,'ZEV Assembly Reductions'!L26,'ACCII Criteria Compliance Cost'!L26,'ACCII GHG Compliance'!L26,'Current GHG Compliance'!L26)+IF(Table44[[#This Row],[Cold]:[Cold]]="Y",'Cold Weather Package'!L26,0)+IF(Table44[[#This Row],[eAWD]:[eAWD]]="Y",'eAWD Package'!L26,0)+IF(Table44[[#This Row],[Towing]:[Towing]]="Y",'Towing Bat Cost'!L26,0),"N/A")</f>
        <v>N/A</v>
      </c>
      <c r="Q115" s="157" t="str">
        <f>IF(Table44[[#This Row],[Applicable Package?]:[Applicable Package?]]="Y",SUM('Rolled Up Non-Incremental Costs'!M26,'ICE Removal Cost'!M26,'Trans Removal Cost'!M26,'LEV3 Criteria Emissions Cost'!M26,'ZEV Assembly Reductions'!M26,'ACCII Criteria Compliance Cost'!M26,'ACCII GHG Compliance'!M26,'Current GHG Compliance'!M26)+IF(Table44[[#This Row],[Cold]:[Cold]]="Y",'Cold Weather Package'!M26,0)+IF(Table44[[#This Row],[eAWD]:[eAWD]]="Y",'eAWD Package'!M26,0)+IF(Table44[[#This Row],[Towing]:[Towing]]="Y",'Towing Bat Cost'!M26,0),"N/A")</f>
        <v>N/A</v>
      </c>
      <c r="R115" s="157" t="str">
        <f>IF(Table44[[#This Row],[Applicable Package?]:[Applicable Package?]]="Y",SUM('Rolled Up Non-Incremental Costs'!N26,'ICE Removal Cost'!N26,'Trans Removal Cost'!N26,'LEV3 Criteria Emissions Cost'!N26,'ZEV Assembly Reductions'!N26,'ACCII Criteria Compliance Cost'!N26,'ACCII GHG Compliance'!N26,'Current GHG Compliance'!N26)+IF(Table44[[#This Row],[Cold]:[Cold]]="Y",'Cold Weather Package'!N26,0)+IF(Table44[[#This Row],[eAWD]:[eAWD]]="Y",'eAWD Package'!N26,0)+IF(Table44[[#This Row],[Towing]:[Towing]]="Y",'Towing Bat Cost'!N26,0),"N/A")</f>
        <v>N/A</v>
      </c>
      <c r="S115" s="157" t="str">
        <f>IF(Table44[[#This Row],[Applicable Package?]:[Applicable Package?]]="Y",SUM('Rolled Up Non-Incremental Costs'!O26,'ICE Removal Cost'!O26,'Trans Removal Cost'!O26,'LEV3 Criteria Emissions Cost'!O26,'ZEV Assembly Reductions'!O26,'ACCII Criteria Compliance Cost'!O26,'ACCII GHG Compliance'!O26,'Current GHG Compliance'!O26)+IF(Table44[[#This Row],[Cold]:[Cold]]="Y",'Cold Weather Package'!O26,0)+IF(Table44[[#This Row],[eAWD]:[eAWD]]="Y",'eAWD Package'!O26,0)+IF(Table44[[#This Row],[Towing]:[Towing]]="Y",'Towing Bat Cost'!O26,0),"N/A")</f>
        <v>N/A</v>
      </c>
    </row>
    <row r="116" spans="1:19" hidden="1" x14ac:dyDescent="0.3">
      <c r="A116" s="28" t="str">
        <f t="shared" si="2"/>
        <v>MedCarBaseFCEV320</v>
      </c>
      <c r="B116" s="90" t="s">
        <v>82</v>
      </c>
      <c r="C116" s="68" t="s">
        <v>75</v>
      </c>
      <c r="D116" s="68" t="str">
        <f>'Vehicle Attributes - Base Year'!D24</f>
        <v>FCEV320</v>
      </c>
      <c r="E116" s="124" t="s">
        <v>77</v>
      </c>
      <c r="F116" s="124" t="s">
        <v>77</v>
      </c>
      <c r="G116" s="125" t="s">
        <v>76</v>
      </c>
      <c r="H116" s="156" t="s">
        <v>77</v>
      </c>
      <c r="I116" s="157" t="str">
        <f>IF(Table44[[#This Row],[Applicable Package?]:[Applicable Package?]]="Y",SUM('Rolled Up Non-Incremental Costs'!E27,'ICE Removal Cost'!E27,'Trans Removal Cost'!E27,'LEV3 Criteria Emissions Cost'!E27,'ZEV Assembly Reductions'!E27,'ACCII Criteria Compliance Cost'!E27,'ACCII GHG Compliance'!E27,'Current GHG Compliance'!E27)+IF(Table44[[#This Row],[Cold]:[Cold]]="Y",'Cold Weather Package'!E27,0)+IF(Table44[[#This Row],[eAWD]:[eAWD]]="Y",'eAWD Package'!E27,0)+IF(Table44[[#This Row],[Towing]:[Towing]]="Y",'Towing Bat Cost'!E27,0),"N/A")</f>
        <v>N/A</v>
      </c>
      <c r="J116" s="157" t="str">
        <f>IF(Table44[[#This Row],[Applicable Package?]:[Applicable Package?]]="Y",SUM('Rolled Up Non-Incremental Costs'!F27,'ICE Removal Cost'!F27,'Trans Removal Cost'!F27,'LEV3 Criteria Emissions Cost'!F27,'ZEV Assembly Reductions'!F27,'ACCII Criteria Compliance Cost'!F27,'ACCII GHG Compliance'!F27,'Current GHG Compliance'!F27)+IF(Table44[[#This Row],[Cold]:[Cold]]="Y",'Cold Weather Package'!F27,0)+IF(Table44[[#This Row],[eAWD]:[eAWD]]="Y",'eAWD Package'!F27,0)+IF(Table44[[#This Row],[Towing]:[Towing]]="Y",'Towing Bat Cost'!F27,0),"N/A")</f>
        <v>N/A</v>
      </c>
      <c r="K116" s="157" t="str">
        <f>IF(Table44[[#This Row],[Applicable Package?]:[Applicable Package?]]="Y",SUM('Rolled Up Non-Incremental Costs'!G27,'ICE Removal Cost'!G27,'Trans Removal Cost'!G27,'LEV3 Criteria Emissions Cost'!G27,'ZEV Assembly Reductions'!G27,'ACCII Criteria Compliance Cost'!G27,'ACCII GHG Compliance'!G27,'Current GHG Compliance'!G27)+IF(Table44[[#This Row],[Cold]:[Cold]]="Y",'Cold Weather Package'!G27,0)+IF(Table44[[#This Row],[eAWD]:[eAWD]]="Y",'eAWD Package'!G27,0)+IF(Table44[[#This Row],[Towing]:[Towing]]="Y",'Towing Bat Cost'!G27,0),"N/A")</f>
        <v>N/A</v>
      </c>
      <c r="L116" s="157" t="str">
        <f>IF(Table44[[#This Row],[Applicable Package?]:[Applicable Package?]]="Y",SUM('Rolled Up Non-Incremental Costs'!H27,'ICE Removal Cost'!H27,'Trans Removal Cost'!H27,'LEV3 Criteria Emissions Cost'!H27,'ZEV Assembly Reductions'!H27,'ACCII Criteria Compliance Cost'!H27,'ACCII GHG Compliance'!H27,'Current GHG Compliance'!H27)+IF(Table44[[#This Row],[Cold]:[Cold]]="Y",'Cold Weather Package'!H27,0)+IF(Table44[[#This Row],[eAWD]:[eAWD]]="Y",'eAWD Package'!H27,0)+IF(Table44[[#This Row],[Towing]:[Towing]]="Y",'Towing Bat Cost'!H27,0),"N/A")</f>
        <v>N/A</v>
      </c>
      <c r="M116" s="157" t="str">
        <f>IF(Table44[[#This Row],[Applicable Package?]:[Applicable Package?]]="Y",SUM('Rolled Up Non-Incremental Costs'!I27,'ICE Removal Cost'!I27,'Trans Removal Cost'!I27,'LEV3 Criteria Emissions Cost'!I27,'ZEV Assembly Reductions'!I27,'ACCII Criteria Compliance Cost'!I27,'ACCII GHG Compliance'!I27,'Current GHG Compliance'!I27)+IF(Table44[[#This Row],[Cold]:[Cold]]="Y",'Cold Weather Package'!I27,0)+IF(Table44[[#This Row],[eAWD]:[eAWD]]="Y",'eAWD Package'!I27,0)+IF(Table44[[#This Row],[Towing]:[Towing]]="Y",'Towing Bat Cost'!I27,0),"N/A")</f>
        <v>N/A</v>
      </c>
      <c r="N116" s="157" t="str">
        <f>IF(Table44[[#This Row],[Applicable Package?]:[Applicable Package?]]="Y",SUM('Rolled Up Non-Incremental Costs'!J27,'ICE Removal Cost'!J27,'Trans Removal Cost'!J27,'LEV3 Criteria Emissions Cost'!J27,'ZEV Assembly Reductions'!J27,'ACCII Criteria Compliance Cost'!J27,'ACCII GHG Compliance'!J27,'Current GHG Compliance'!J27)+IF(Table44[[#This Row],[Cold]:[Cold]]="Y",'Cold Weather Package'!J27,0)+IF(Table44[[#This Row],[eAWD]:[eAWD]]="Y",'eAWD Package'!J27,0)+IF(Table44[[#This Row],[Towing]:[Towing]]="Y",'Towing Bat Cost'!J27,0),"N/A")</f>
        <v>N/A</v>
      </c>
      <c r="O116" s="157" t="str">
        <f>IF(Table44[[#This Row],[Applicable Package?]:[Applicable Package?]]="Y",SUM('Rolled Up Non-Incremental Costs'!K27,'ICE Removal Cost'!K27,'Trans Removal Cost'!K27,'LEV3 Criteria Emissions Cost'!K27,'ZEV Assembly Reductions'!K27,'ACCII Criteria Compliance Cost'!K27,'ACCII GHG Compliance'!K27,'Current GHG Compliance'!K27)+IF(Table44[[#This Row],[Cold]:[Cold]]="Y",'Cold Weather Package'!K27,0)+IF(Table44[[#This Row],[eAWD]:[eAWD]]="Y",'eAWD Package'!K27,0)+IF(Table44[[#This Row],[Towing]:[Towing]]="Y",'Towing Bat Cost'!K27,0),"N/A")</f>
        <v>N/A</v>
      </c>
      <c r="P116" s="157" t="str">
        <f>IF(Table44[[#This Row],[Applicable Package?]:[Applicable Package?]]="Y",SUM('Rolled Up Non-Incremental Costs'!L27,'ICE Removal Cost'!L27,'Trans Removal Cost'!L27,'LEV3 Criteria Emissions Cost'!L27,'ZEV Assembly Reductions'!L27,'ACCII Criteria Compliance Cost'!L27,'ACCII GHG Compliance'!L27,'Current GHG Compliance'!L27)+IF(Table44[[#This Row],[Cold]:[Cold]]="Y",'Cold Weather Package'!L27,0)+IF(Table44[[#This Row],[eAWD]:[eAWD]]="Y",'eAWD Package'!L27,0)+IF(Table44[[#This Row],[Towing]:[Towing]]="Y",'Towing Bat Cost'!L27,0),"N/A")</f>
        <v>N/A</v>
      </c>
      <c r="Q116" s="157" t="str">
        <f>IF(Table44[[#This Row],[Applicable Package?]:[Applicable Package?]]="Y",SUM('Rolled Up Non-Incremental Costs'!M27,'ICE Removal Cost'!M27,'Trans Removal Cost'!M27,'LEV3 Criteria Emissions Cost'!M27,'ZEV Assembly Reductions'!M27,'ACCII Criteria Compliance Cost'!M27,'ACCII GHG Compliance'!M27,'Current GHG Compliance'!M27)+IF(Table44[[#This Row],[Cold]:[Cold]]="Y",'Cold Weather Package'!M27,0)+IF(Table44[[#This Row],[eAWD]:[eAWD]]="Y",'eAWD Package'!M27,0)+IF(Table44[[#This Row],[Towing]:[Towing]]="Y",'Towing Bat Cost'!M27,0),"N/A")</f>
        <v>N/A</v>
      </c>
      <c r="R116" s="157" t="str">
        <f>IF(Table44[[#This Row],[Applicable Package?]:[Applicable Package?]]="Y",SUM('Rolled Up Non-Incremental Costs'!N27,'ICE Removal Cost'!N27,'Trans Removal Cost'!N27,'LEV3 Criteria Emissions Cost'!N27,'ZEV Assembly Reductions'!N27,'ACCII Criteria Compliance Cost'!N27,'ACCII GHG Compliance'!N27,'Current GHG Compliance'!N27)+IF(Table44[[#This Row],[Cold]:[Cold]]="Y",'Cold Weather Package'!N27,0)+IF(Table44[[#This Row],[eAWD]:[eAWD]]="Y",'eAWD Package'!N27,0)+IF(Table44[[#This Row],[Towing]:[Towing]]="Y",'Towing Bat Cost'!N27,0),"N/A")</f>
        <v>N/A</v>
      </c>
      <c r="S116" s="157" t="str">
        <f>IF(Table44[[#This Row],[Applicable Package?]:[Applicable Package?]]="Y",SUM('Rolled Up Non-Incremental Costs'!O27,'ICE Removal Cost'!O27,'Trans Removal Cost'!O27,'LEV3 Criteria Emissions Cost'!O27,'ZEV Assembly Reductions'!O27,'ACCII Criteria Compliance Cost'!O27,'ACCII GHG Compliance'!O27,'Current GHG Compliance'!O27)+IF(Table44[[#This Row],[Cold]:[Cold]]="Y",'Cold Weather Package'!O27,0)+IF(Table44[[#This Row],[eAWD]:[eAWD]]="Y",'eAWD Package'!O27,0)+IF(Table44[[#This Row],[Towing]:[Towing]]="Y",'Towing Bat Cost'!O27,0),"N/A")</f>
        <v>N/A</v>
      </c>
    </row>
    <row r="117" spans="1:19" hidden="1" x14ac:dyDescent="0.3">
      <c r="A117" t="str">
        <f t="shared" si="2"/>
        <v>MedCarPremiumFCEV320</v>
      </c>
      <c r="B117" s="90" t="s">
        <v>82</v>
      </c>
      <c r="C117" s="68" t="s">
        <v>80</v>
      </c>
      <c r="D117" s="68" t="str">
        <f>'Vehicle Attributes - Base Year'!D25</f>
        <v>FCEV320</v>
      </c>
      <c r="E117" s="124" t="s">
        <v>77</v>
      </c>
      <c r="F117" s="124" t="s">
        <v>77</v>
      </c>
      <c r="G117" s="125" t="s">
        <v>76</v>
      </c>
      <c r="H117" s="156" t="s">
        <v>77</v>
      </c>
      <c r="I117" s="157" t="str">
        <f>IF(Table44[[#This Row],[Applicable Package?]:[Applicable Package?]]="Y",SUM('Rolled Up Non-Incremental Costs'!E28,'ICE Removal Cost'!E28,'Trans Removal Cost'!E28,'LEV3 Criteria Emissions Cost'!E28,'ZEV Assembly Reductions'!E28,'ACCII Criteria Compliance Cost'!E28,'ACCII GHG Compliance'!E28,'Current GHG Compliance'!E28)+IF(Table44[[#This Row],[Cold]:[Cold]]="Y",'Cold Weather Package'!E28,0)+IF(Table44[[#This Row],[eAWD]:[eAWD]]="Y",'eAWD Package'!E28,0)+IF(Table44[[#This Row],[Towing]:[Towing]]="Y",'Towing Bat Cost'!E28,0),"N/A")</f>
        <v>N/A</v>
      </c>
      <c r="J117" s="157" t="str">
        <f>IF(Table44[[#This Row],[Applicable Package?]:[Applicable Package?]]="Y",SUM('Rolled Up Non-Incremental Costs'!F28,'ICE Removal Cost'!F28,'Trans Removal Cost'!F28,'LEV3 Criteria Emissions Cost'!F28,'ZEV Assembly Reductions'!F28,'ACCII Criteria Compliance Cost'!F28,'ACCII GHG Compliance'!F28,'Current GHG Compliance'!F28)+IF(Table44[[#This Row],[Cold]:[Cold]]="Y",'Cold Weather Package'!F28,0)+IF(Table44[[#This Row],[eAWD]:[eAWD]]="Y",'eAWD Package'!F28,0)+IF(Table44[[#This Row],[Towing]:[Towing]]="Y",'Towing Bat Cost'!F28,0),"N/A")</f>
        <v>N/A</v>
      </c>
      <c r="K117" s="157" t="str">
        <f>IF(Table44[[#This Row],[Applicable Package?]:[Applicable Package?]]="Y",SUM('Rolled Up Non-Incremental Costs'!G28,'ICE Removal Cost'!G28,'Trans Removal Cost'!G28,'LEV3 Criteria Emissions Cost'!G28,'ZEV Assembly Reductions'!G28,'ACCII Criteria Compliance Cost'!G28,'ACCII GHG Compliance'!G28,'Current GHG Compliance'!G28)+IF(Table44[[#This Row],[Cold]:[Cold]]="Y",'Cold Weather Package'!G28,0)+IF(Table44[[#This Row],[eAWD]:[eAWD]]="Y",'eAWD Package'!G28,0)+IF(Table44[[#This Row],[Towing]:[Towing]]="Y",'Towing Bat Cost'!G28,0),"N/A")</f>
        <v>N/A</v>
      </c>
      <c r="L117" s="157" t="str">
        <f>IF(Table44[[#This Row],[Applicable Package?]:[Applicable Package?]]="Y",SUM('Rolled Up Non-Incremental Costs'!H28,'ICE Removal Cost'!H28,'Trans Removal Cost'!H28,'LEV3 Criteria Emissions Cost'!H28,'ZEV Assembly Reductions'!H28,'ACCII Criteria Compliance Cost'!H28,'ACCII GHG Compliance'!H28,'Current GHG Compliance'!H28)+IF(Table44[[#This Row],[Cold]:[Cold]]="Y",'Cold Weather Package'!H28,0)+IF(Table44[[#This Row],[eAWD]:[eAWD]]="Y",'eAWD Package'!H28,0)+IF(Table44[[#This Row],[Towing]:[Towing]]="Y",'Towing Bat Cost'!H28,0),"N/A")</f>
        <v>N/A</v>
      </c>
      <c r="M117" s="157" t="str">
        <f>IF(Table44[[#This Row],[Applicable Package?]:[Applicable Package?]]="Y",SUM('Rolled Up Non-Incremental Costs'!I28,'ICE Removal Cost'!I28,'Trans Removal Cost'!I28,'LEV3 Criteria Emissions Cost'!I28,'ZEV Assembly Reductions'!I28,'ACCII Criteria Compliance Cost'!I28,'ACCII GHG Compliance'!I28,'Current GHG Compliance'!I28)+IF(Table44[[#This Row],[Cold]:[Cold]]="Y",'Cold Weather Package'!I28,0)+IF(Table44[[#This Row],[eAWD]:[eAWD]]="Y",'eAWD Package'!I28,0)+IF(Table44[[#This Row],[Towing]:[Towing]]="Y",'Towing Bat Cost'!I28,0),"N/A")</f>
        <v>N/A</v>
      </c>
      <c r="N117" s="157" t="str">
        <f>IF(Table44[[#This Row],[Applicable Package?]:[Applicable Package?]]="Y",SUM('Rolled Up Non-Incremental Costs'!J28,'ICE Removal Cost'!J28,'Trans Removal Cost'!J28,'LEV3 Criteria Emissions Cost'!J28,'ZEV Assembly Reductions'!J28,'ACCII Criteria Compliance Cost'!J28,'ACCII GHG Compliance'!J28,'Current GHG Compliance'!J28)+IF(Table44[[#This Row],[Cold]:[Cold]]="Y",'Cold Weather Package'!J28,0)+IF(Table44[[#This Row],[eAWD]:[eAWD]]="Y",'eAWD Package'!J28,0)+IF(Table44[[#This Row],[Towing]:[Towing]]="Y",'Towing Bat Cost'!J28,0),"N/A")</f>
        <v>N/A</v>
      </c>
      <c r="O117" s="157" t="str">
        <f>IF(Table44[[#This Row],[Applicable Package?]:[Applicable Package?]]="Y",SUM('Rolled Up Non-Incremental Costs'!K28,'ICE Removal Cost'!K28,'Trans Removal Cost'!K28,'LEV3 Criteria Emissions Cost'!K28,'ZEV Assembly Reductions'!K28,'ACCII Criteria Compliance Cost'!K28,'ACCII GHG Compliance'!K28,'Current GHG Compliance'!K28)+IF(Table44[[#This Row],[Cold]:[Cold]]="Y",'Cold Weather Package'!K28,0)+IF(Table44[[#This Row],[eAWD]:[eAWD]]="Y",'eAWD Package'!K28,0)+IF(Table44[[#This Row],[Towing]:[Towing]]="Y",'Towing Bat Cost'!K28,0),"N/A")</f>
        <v>N/A</v>
      </c>
      <c r="P117" s="157" t="str">
        <f>IF(Table44[[#This Row],[Applicable Package?]:[Applicable Package?]]="Y",SUM('Rolled Up Non-Incremental Costs'!L28,'ICE Removal Cost'!L28,'Trans Removal Cost'!L28,'LEV3 Criteria Emissions Cost'!L28,'ZEV Assembly Reductions'!L28,'ACCII Criteria Compliance Cost'!L28,'ACCII GHG Compliance'!L28,'Current GHG Compliance'!L28)+IF(Table44[[#This Row],[Cold]:[Cold]]="Y",'Cold Weather Package'!L28,0)+IF(Table44[[#This Row],[eAWD]:[eAWD]]="Y",'eAWD Package'!L28,0)+IF(Table44[[#This Row],[Towing]:[Towing]]="Y",'Towing Bat Cost'!L28,0),"N/A")</f>
        <v>N/A</v>
      </c>
      <c r="Q117" s="157" t="str">
        <f>IF(Table44[[#This Row],[Applicable Package?]:[Applicable Package?]]="Y",SUM('Rolled Up Non-Incremental Costs'!M28,'ICE Removal Cost'!M28,'Trans Removal Cost'!M28,'LEV3 Criteria Emissions Cost'!M28,'ZEV Assembly Reductions'!M28,'ACCII Criteria Compliance Cost'!M28,'ACCII GHG Compliance'!M28,'Current GHG Compliance'!M28)+IF(Table44[[#This Row],[Cold]:[Cold]]="Y",'Cold Weather Package'!M28,0)+IF(Table44[[#This Row],[eAWD]:[eAWD]]="Y",'eAWD Package'!M28,0)+IF(Table44[[#This Row],[Towing]:[Towing]]="Y",'Towing Bat Cost'!M28,0),"N/A")</f>
        <v>N/A</v>
      </c>
      <c r="R117" s="157" t="str">
        <f>IF(Table44[[#This Row],[Applicable Package?]:[Applicable Package?]]="Y",SUM('Rolled Up Non-Incremental Costs'!N28,'ICE Removal Cost'!N28,'Trans Removal Cost'!N28,'LEV3 Criteria Emissions Cost'!N28,'ZEV Assembly Reductions'!N28,'ACCII Criteria Compliance Cost'!N28,'ACCII GHG Compliance'!N28,'Current GHG Compliance'!N28)+IF(Table44[[#This Row],[Cold]:[Cold]]="Y",'Cold Weather Package'!N28,0)+IF(Table44[[#This Row],[eAWD]:[eAWD]]="Y",'eAWD Package'!N28,0)+IF(Table44[[#This Row],[Towing]:[Towing]]="Y",'Towing Bat Cost'!N28,0),"N/A")</f>
        <v>N/A</v>
      </c>
      <c r="S117" s="157" t="str">
        <f>IF(Table44[[#This Row],[Applicable Package?]:[Applicable Package?]]="Y",SUM('Rolled Up Non-Incremental Costs'!O28,'ICE Removal Cost'!O28,'Trans Removal Cost'!O28,'LEV3 Criteria Emissions Cost'!O28,'ZEV Assembly Reductions'!O28,'ACCII Criteria Compliance Cost'!O28,'ACCII GHG Compliance'!O28,'Current GHG Compliance'!O28)+IF(Table44[[#This Row],[Cold]:[Cold]]="Y",'Cold Weather Package'!O28,0)+IF(Table44[[#This Row],[eAWD]:[eAWD]]="Y",'eAWD Package'!O28,0)+IF(Table44[[#This Row],[Towing]:[Towing]]="Y",'Towing Bat Cost'!O28,0),"N/A")</f>
        <v>N/A</v>
      </c>
    </row>
    <row r="118" spans="1:19" hidden="1" x14ac:dyDescent="0.3">
      <c r="A118" s="28" t="str">
        <f t="shared" si="2"/>
        <v>SmallSUVBaseFCEV320</v>
      </c>
      <c r="B118" s="90" t="s">
        <v>83</v>
      </c>
      <c r="C118" s="68" t="s">
        <v>75</v>
      </c>
      <c r="D118" s="68" t="str">
        <f>'Vehicle Attributes - Base Year'!D26</f>
        <v>FCEV320</v>
      </c>
      <c r="E118" s="124" t="s">
        <v>77</v>
      </c>
      <c r="F118" s="124" t="s">
        <v>77</v>
      </c>
      <c r="G118" s="125" t="s">
        <v>76</v>
      </c>
      <c r="H118" s="156" t="s">
        <v>77</v>
      </c>
      <c r="I118" s="157" t="str">
        <f>IF(Table44[[#This Row],[Applicable Package?]:[Applicable Package?]]="Y",SUM('Rolled Up Non-Incremental Costs'!E29,'ICE Removal Cost'!E29,'Trans Removal Cost'!E29,'LEV3 Criteria Emissions Cost'!E29,'ZEV Assembly Reductions'!E29,'ACCII Criteria Compliance Cost'!E29,'ACCII GHG Compliance'!E29,'Current GHG Compliance'!E29)+IF(Table44[[#This Row],[Cold]:[Cold]]="Y",'Cold Weather Package'!E29,0)+IF(Table44[[#This Row],[eAWD]:[eAWD]]="Y",'eAWD Package'!E29,0)+IF(Table44[[#This Row],[Towing]:[Towing]]="Y",'Towing Bat Cost'!E29,0),"N/A")</f>
        <v>N/A</v>
      </c>
      <c r="J118" s="157" t="str">
        <f>IF(Table44[[#This Row],[Applicable Package?]:[Applicable Package?]]="Y",SUM('Rolled Up Non-Incremental Costs'!F29,'ICE Removal Cost'!F29,'Trans Removal Cost'!F29,'LEV3 Criteria Emissions Cost'!F29,'ZEV Assembly Reductions'!F29,'ACCII Criteria Compliance Cost'!F29,'ACCII GHG Compliance'!F29,'Current GHG Compliance'!F29)+IF(Table44[[#This Row],[Cold]:[Cold]]="Y",'Cold Weather Package'!F29,0)+IF(Table44[[#This Row],[eAWD]:[eAWD]]="Y",'eAWD Package'!F29,0)+IF(Table44[[#This Row],[Towing]:[Towing]]="Y",'Towing Bat Cost'!F29,0),"N/A")</f>
        <v>N/A</v>
      </c>
      <c r="K118" s="157" t="str">
        <f>IF(Table44[[#This Row],[Applicable Package?]:[Applicable Package?]]="Y",SUM('Rolled Up Non-Incremental Costs'!G29,'ICE Removal Cost'!G29,'Trans Removal Cost'!G29,'LEV3 Criteria Emissions Cost'!G29,'ZEV Assembly Reductions'!G29,'ACCII Criteria Compliance Cost'!G29,'ACCII GHG Compliance'!G29,'Current GHG Compliance'!G29)+IF(Table44[[#This Row],[Cold]:[Cold]]="Y",'Cold Weather Package'!G29,0)+IF(Table44[[#This Row],[eAWD]:[eAWD]]="Y",'eAWD Package'!G29,0)+IF(Table44[[#This Row],[Towing]:[Towing]]="Y",'Towing Bat Cost'!G29,0),"N/A")</f>
        <v>N/A</v>
      </c>
      <c r="L118" s="157" t="str">
        <f>IF(Table44[[#This Row],[Applicable Package?]:[Applicable Package?]]="Y",SUM('Rolled Up Non-Incremental Costs'!H29,'ICE Removal Cost'!H29,'Trans Removal Cost'!H29,'LEV3 Criteria Emissions Cost'!H29,'ZEV Assembly Reductions'!H29,'ACCII Criteria Compliance Cost'!H29,'ACCII GHG Compliance'!H29,'Current GHG Compliance'!H29)+IF(Table44[[#This Row],[Cold]:[Cold]]="Y",'Cold Weather Package'!H29,0)+IF(Table44[[#This Row],[eAWD]:[eAWD]]="Y",'eAWD Package'!H29,0)+IF(Table44[[#This Row],[Towing]:[Towing]]="Y",'Towing Bat Cost'!H29,0),"N/A")</f>
        <v>N/A</v>
      </c>
      <c r="M118" s="157" t="str">
        <f>IF(Table44[[#This Row],[Applicable Package?]:[Applicable Package?]]="Y",SUM('Rolled Up Non-Incremental Costs'!I29,'ICE Removal Cost'!I29,'Trans Removal Cost'!I29,'LEV3 Criteria Emissions Cost'!I29,'ZEV Assembly Reductions'!I29,'ACCII Criteria Compliance Cost'!I29,'ACCII GHG Compliance'!I29,'Current GHG Compliance'!I29)+IF(Table44[[#This Row],[Cold]:[Cold]]="Y",'Cold Weather Package'!I29,0)+IF(Table44[[#This Row],[eAWD]:[eAWD]]="Y",'eAWD Package'!I29,0)+IF(Table44[[#This Row],[Towing]:[Towing]]="Y",'Towing Bat Cost'!I29,0),"N/A")</f>
        <v>N/A</v>
      </c>
      <c r="N118" s="157" t="str">
        <f>IF(Table44[[#This Row],[Applicable Package?]:[Applicable Package?]]="Y",SUM('Rolled Up Non-Incremental Costs'!J29,'ICE Removal Cost'!J29,'Trans Removal Cost'!J29,'LEV3 Criteria Emissions Cost'!J29,'ZEV Assembly Reductions'!J29,'ACCII Criteria Compliance Cost'!J29,'ACCII GHG Compliance'!J29,'Current GHG Compliance'!J29)+IF(Table44[[#This Row],[Cold]:[Cold]]="Y",'Cold Weather Package'!J29,0)+IF(Table44[[#This Row],[eAWD]:[eAWD]]="Y",'eAWD Package'!J29,0)+IF(Table44[[#This Row],[Towing]:[Towing]]="Y",'Towing Bat Cost'!J29,0),"N/A")</f>
        <v>N/A</v>
      </c>
      <c r="O118" s="157" t="str">
        <f>IF(Table44[[#This Row],[Applicable Package?]:[Applicable Package?]]="Y",SUM('Rolled Up Non-Incremental Costs'!K29,'ICE Removal Cost'!K29,'Trans Removal Cost'!K29,'LEV3 Criteria Emissions Cost'!K29,'ZEV Assembly Reductions'!K29,'ACCII Criteria Compliance Cost'!K29,'ACCII GHG Compliance'!K29,'Current GHG Compliance'!K29)+IF(Table44[[#This Row],[Cold]:[Cold]]="Y",'Cold Weather Package'!K29,0)+IF(Table44[[#This Row],[eAWD]:[eAWD]]="Y",'eAWD Package'!K29,0)+IF(Table44[[#This Row],[Towing]:[Towing]]="Y",'Towing Bat Cost'!K29,0),"N/A")</f>
        <v>N/A</v>
      </c>
      <c r="P118" s="157" t="str">
        <f>IF(Table44[[#This Row],[Applicable Package?]:[Applicable Package?]]="Y",SUM('Rolled Up Non-Incremental Costs'!L29,'ICE Removal Cost'!L29,'Trans Removal Cost'!L29,'LEV3 Criteria Emissions Cost'!L29,'ZEV Assembly Reductions'!L29,'ACCII Criteria Compliance Cost'!L29,'ACCII GHG Compliance'!L29,'Current GHG Compliance'!L29)+IF(Table44[[#This Row],[Cold]:[Cold]]="Y",'Cold Weather Package'!L29,0)+IF(Table44[[#This Row],[eAWD]:[eAWD]]="Y",'eAWD Package'!L29,0)+IF(Table44[[#This Row],[Towing]:[Towing]]="Y",'Towing Bat Cost'!L29,0),"N/A")</f>
        <v>N/A</v>
      </c>
      <c r="Q118" s="157" t="str">
        <f>IF(Table44[[#This Row],[Applicable Package?]:[Applicable Package?]]="Y",SUM('Rolled Up Non-Incremental Costs'!M29,'ICE Removal Cost'!M29,'Trans Removal Cost'!M29,'LEV3 Criteria Emissions Cost'!M29,'ZEV Assembly Reductions'!M29,'ACCII Criteria Compliance Cost'!M29,'ACCII GHG Compliance'!M29,'Current GHG Compliance'!M29)+IF(Table44[[#This Row],[Cold]:[Cold]]="Y",'Cold Weather Package'!M29,0)+IF(Table44[[#This Row],[eAWD]:[eAWD]]="Y",'eAWD Package'!M29,0)+IF(Table44[[#This Row],[Towing]:[Towing]]="Y",'Towing Bat Cost'!M29,0),"N/A")</f>
        <v>N/A</v>
      </c>
      <c r="R118" s="157" t="str">
        <f>IF(Table44[[#This Row],[Applicable Package?]:[Applicable Package?]]="Y",SUM('Rolled Up Non-Incremental Costs'!N29,'ICE Removal Cost'!N29,'Trans Removal Cost'!N29,'LEV3 Criteria Emissions Cost'!N29,'ZEV Assembly Reductions'!N29,'ACCII Criteria Compliance Cost'!N29,'ACCII GHG Compliance'!N29,'Current GHG Compliance'!N29)+IF(Table44[[#This Row],[Cold]:[Cold]]="Y",'Cold Weather Package'!N29,0)+IF(Table44[[#This Row],[eAWD]:[eAWD]]="Y",'eAWD Package'!N29,0)+IF(Table44[[#This Row],[Towing]:[Towing]]="Y",'Towing Bat Cost'!N29,0),"N/A")</f>
        <v>N/A</v>
      </c>
      <c r="S118" s="157" t="str">
        <f>IF(Table44[[#This Row],[Applicable Package?]:[Applicable Package?]]="Y",SUM('Rolled Up Non-Incremental Costs'!O29,'ICE Removal Cost'!O29,'Trans Removal Cost'!O29,'LEV3 Criteria Emissions Cost'!O29,'ZEV Assembly Reductions'!O29,'ACCII Criteria Compliance Cost'!O29,'ACCII GHG Compliance'!O29,'Current GHG Compliance'!O29)+IF(Table44[[#This Row],[Cold]:[Cold]]="Y",'Cold Weather Package'!O29,0)+IF(Table44[[#This Row],[eAWD]:[eAWD]]="Y",'eAWD Package'!O29,0)+IF(Table44[[#This Row],[Towing]:[Towing]]="Y",'Towing Bat Cost'!O29,0),"N/A")</f>
        <v>N/A</v>
      </c>
    </row>
    <row r="119" spans="1:19" hidden="1" x14ac:dyDescent="0.3">
      <c r="A119" t="str">
        <f t="shared" si="2"/>
        <v>SmallSUVPremiumFCEV320</v>
      </c>
      <c r="B119" s="90" t="s">
        <v>83</v>
      </c>
      <c r="C119" s="68" t="s">
        <v>80</v>
      </c>
      <c r="D119" s="68" t="str">
        <f>'Vehicle Attributes - Base Year'!D27</f>
        <v>FCEV320</v>
      </c>
      <c r="E119" s="124" t="s">
        <v>77</v>
      </c>
      <c r="F119" s="124" t="s">
        <v>77</v>
      </c>
      <c r="G119" s="125" t="s">
        <v>76</v>
      </c>
      <c r="H119" s="156" t="s">
        <v>77</v>
      </c>
      <c r="I119" s="157" t="str">
        <f>IF(Table44[[#This Row],[Applicable Package?]:[Applicable Package?]]="Y",SUM('Rolled Up Non-Incremental Costs'!E30,'ICE Removal Cost'!E30,'Trans Removal Cost'!E30,'LEV3 Criteria Emissions Cost'!E30,'ZEV Assembly Reductions'!E30,'ACCII Criteria Compliance Cost'!E30,'ACCII GHG Compliance'!E30,'Current GHG Compliance'!E30)+IF(Table44[[#This Row],[Cold]:[Cold]]="Y",'Cold Weather Package'!E30,0)+IF(Table44[[#This Row],[eAWD]:[eAWD]]="Y",'eAWD Package'!E30,0)+IF(Table44[[#This Row],[Towing]:[Towing]]="Y",'Towing Bat Cost'!E30,0),"N/A")</f>
        <v>N/A</v>
      </c>
      <c r="J119" s="157" t="str">
        <f>IF(Table44[[#This Row],[Applicable Package?]:[Applicable Package?]]="Y",SUM('Rolled Up Non-Incremental Costs'!F30,'ICE Removal Cost'!F30,'Trans Removal Cost'!F30,'LEV3 Criteria Emissions Cost'!F30,'ZEV Assembly Reductions'!F30,'ACCII Criteria Compliance Cost'!F30,'ACCII GHG Compliance'!F30,'Current GHG Compliance'!F30)+IF(Table44[[#This Row],[Cold]:[Cold]]="Y",'Cold Weather Package'!F30,0)+IF(Table44[[#This Row],[eAWD]:[eAWD]]="Y",'eAWD Package'!F30,0)+IF(Table44[[#This Row],[Towing]:[Towing]]="Y",'Towing Bat Cost'!F30,0),"N/A")</f>
        <v>N/A</v>
      </c>
      <c r="K119" s="157" t="str">
        <f>IF(Table44[[#This Row],[Applicable Package?]:[Applicable Package?]]="Y",SUM('Rolled Up Non-Incremental Costs'!G30,'ICE Removal Cost'!G30,'Trans Removal Cost'!G30,'LEV3 Criteria Emissions Cost'!G30,'ZEV Assembly Reductions'!G30,'ACCII Criteria Compliance Cost'!G30,'ACCII GHG Compliance'!G30,'Current GHG Compliance'!G30)+IF(Table44[[#This Row],[Cold]:[Cold]]="Y",'Cold Weather Package'!G30,0)+IF(Table44[[#This Row],[eAWD]:[eAWD]]="Y",'eAWD Package'!G30,0)+IF(Table44[[#This Row],[Towing]:[Towing]]="Y",'Towing Bat Cost'!G30,0),"N/A")</f>
        <v>N/A</v>
      </c>
      <c r="L119" s="157" t="str">
        <f>IF(Table44[[#This Row],[Applicable Package?]:[Applicable Package?]]="Y",SUM('Rolled Up Non-Incremental Costs'!H30,'ICE Removal Cost'!H30,'Trans Removal Cost'!H30,'LEV3 Criteria Emissions Cost'!H30,'ZEV Assembly Reductions'!H30,'ACCII Criteria Compliance Cost'!H30,'ACCII GHG Compliance'!H30,'Current GHG Compliance'!H30)+IF(Table44[[#This Row],[Cold]:[Cold]]="Y",'Cold Weather Package'!H30,0)+IF(Table44[[#This Row],[eAWD]:[eAWD]]="Y",'eAWD Package'!H30,0)+IF(Table44[[#This Row],[Towing]:[Towing]]="Y",'Towing Bat Cost'!H30,0),"N/A")</f>
        <v>N/A</v>
      </c>
      <c r="M119" s="157" t="str">
        <f>IF(Table44[[#This Row],[Applicable Package?]:[Applicable Package?]]="Y",SUM('Rolled Up Non-Incremental Costs'!I30,'ICE Removal Cost'!I30,'Trans Removal Cost'!I30,'LEV3 Criteria Emissions Cost'!I30,'ZEV Assembly Reductions'!I30,'ACCII Criteria Compliance Cost'!I30,'ACCII GHG Compliance'!I30,'Current GHG Compliance'!I30)+IF(Table44[[#This Row],[Cold]:[Cold]]="Y",'Cold Weather Package'!I30,0)+IF(Table44[[#This Row],[eAWD]:[eAWD]]="Y",'eAWD Package'!I30,0)+IF(Table44[[#This Row],[Towing]:[Towing]]="Y",'Towing Bat Cost'!I30,0),"N/A")</f>
        <v>N/A</v>
      </c>
      <c r="N119" s="157" t="str">
        <f>IF(Table44[[#This Row],[Applicable Package?]:[Applicable Package?]]="Y",SUM('Rolled Up Non-Incremental Costs'!J30,'ICE Removal Cost'!J30,'Trans Removal Cost'!J30,'LEV3 Criteria Emissions Cost'!J30,'ZEV Assembly Reductions'!J30,'ACCII Criteria Compliance Cost'!J30,'ACCII GHG Compliance'!J30,'Current GHG Compliance'!J30)+IF(Table44[[#This Row],[Cold]:[Cold]]="Y",'Cold Weather Package'!J30,0)+IF(Table44[[#This Row],[eAWD]:[eAWD]]="Y",'eAWD Package'!J30,0)+IF(Table44[[#This Row],[Towing]:[Towing]]="Y",'Towing Bat Cost'!J30,0),"N/A")</f>
        <v>N/A</v>
      </c>
      <c r="O119" s="157" t="str">
        <f>IF(Table44[[#This Row],[Applicable Package?]:[Applicable Package?]]="Y",SUM('Rolled Up Non-Incremental Costs'!K30,'ICE Removal Cost'!K30,'Trans Removal Cost'!K30,'LEV3 Criteria Emissions Cost'!K30,'ZEV Assembly Reductions'!K30,'ACCII Criteria Compliance Cost'!K30,'ACCII GHG Compliance'!K30,'Current GHG Compliance'!K30)+IF(Table44[[#This Row],[Cold]:[Cold]]="Y",'Cold Weather Package'!K30,0)+IF(Table44[[#This Row],[eAWD]:[eAWD]]="Y",'eAWD Package'!K30,0)+IF(Table44[[#This Row],[Towing]:[Towing]]="Y",'Towing Bat Cost'!K30,0),"N/A")</f>
        <v>N/A</v>
      </c>
      <c r="P119" s="157" t="str">
        <f>IF(Table44[[#This Row],[Applicable Package?]:[Applicable Package?]]="Y",SUM('Rolled Up Non-Incremental Costs'!L30,'ICE Removal Cost'!L30,'Trans Removal Cost'!L30,'LEV3 Criteria Emissions Cost'!L30,'ZEV Assembly Reductions'!L30,'ACCII Criteria Compliance Cost'!L30,'ACCII GHG Compliance'!L30,'Current GHG Compliance'!L30)+IF(Table44[[#This Row],[Cold]:[Cold]]="Y",'Cold Weather Package'!L30,0)+IF(Table44[[#This Row],[eAWD]:[eAWD]]="Y",'eAWD Package'!L30,0)+IF(Table44[[#This Row],[Towing]:[Towing]]="Y",'Towing Bat Cost'!L30,0),"N/A")</f>
        <v>N/A</v>
      </c>
      <c r="Q119" s="157" t="str">
        <f>IF(Table44[[#This Row],[Applicable Package?]:[Applicable Package?]]="Y",SUM('Rolled Up Non-Incremental Costs'!M30,'ICE Removal Cost'!M30,'Trans Removal Cost'!M30,'LEV3 Criteria Emissions Cost'!M30,'ZEV Assembly Reductions'!M30,'ACCII Criteria Compliance Cost'!M30,'ACCII GHG Compliance'!M30,'Current GHG Compliance'!M30)+IF(Table44[[#This Row],[Cold]:[Cold]]="Y",'Cold Weather Package'!M30,0)+IF(Table44[[#This Row],[eAWD]:[eAWD]]="Y",'eAWD Package'!M30,0)+IF(Table44[[#This Row],[Towing]:[Towing]]="Y",'Towing Bat Cost'!M30,0),"N/A")</f>
        <v>N/A</v>
      </c>
      <c r="R119" s="157" t="str">
        <f>IF(Table44[[#This Row],[Applicable Package?]:[Applicable Package?]]="Y",SUM('Rolled Up Non-Incremental Costs'!N30,'ICE Removal Cost'!N30,'Trans Removal Cost'!N30,'LEV3 Criteria Emissions Cost'!N30,'ZEV Assembly Reductions'!N30,'ACCII Criteria Compliance Cost'!N30,'ACCII GHG Compliance'!N30,'Current GHG Compliance'!N30)+IF(Table44[[#This Row],[Cold]:[Cold]]="Y",'Cold Weather Package'!N30,0)+IF(Table44[[#This Row],[eAWD]:[eAWD]]="Y",'eAWD Package'!N30,0)+IF(Table44[[#This Row],[Towing]:[Towing]]="Y",'Towing Bat Cost'!N30,0),"N/A")</f>
        <v>N/A</v>
      </c>
      <c r="S119" s="157" t="str">
        <f>IF(Table44[[#This Row],[Applicable Package?]:[Applicable Package?]]="Y",SUM('Rolled Up Non-Incremental Costs'!O30,'ICE Removal Cost'!O30,'Trans Removal Cost'!O30,'LEV3 Criteria Emissions Cost'!O30,'ZEV Assembly Reductions'!O30,'ACCII Criteria Compliance Cost'!O30,'ACCII GHG Compliance'!O30,'Current GHG Compliance'!O30)+IF(Table44[[#This Row],[Cold]:[Cold]]="Y",'Cold Weather Package'!O30,0)+IF(Table44[[#This Row],[eAWD]:[eAWD]]="Y",'eAWD Package'!O30,0)+IF(Table44[[#This Row],[Towing]:[Towing]]="Y",'Towing Bat Cost'!O30,0),"N/A")</f>
        <v>N/A</v>
      </c>
    </row>
    <row r="120" spans="1:19" hidden="1" x14ac:dyDescent="0.3">
      <c r="A120" s="28" t="str">
        <f t="shared" si="2"/>
        <v>MedSUVBaseFCEV320</v>
      </c>
      <c r="B120" s="90" t="s">
        <v>86</v>
      </c>
      <c r="C120" s="68" t="s">
        <v>75</v>
      </c>
      <c r="D120" s="68" t="str">
        <f>'Vehicle Attributes - Base Year'!D28</f>
        <v>FCEV320</v>
      </c>
      <c r="E120" s="124" t="s">
        <v>77</v>
      </c>
      <c r="F120" s="124" t="s">
        <v>77</v>
      </c>
      <c r="G120" s="125" t="s">
        <v>76</v>
      </c>
      <c r="H120" s="156" t="s">
        <v>76</v>
      </c>
      <c r="I120" s="157">
        <f>IF(Table44[[#This Row],[Applicable Package?]:[Applicable Package?]]="Y",SUM('Rolled Up Non-Incremental Costs'!E31,'ICE Removal Cost'!E31,'Trans Removal Cost'!E31,'LEV3 Criteria Emissions Cost'!E31,'ZEV Assembly Reductions'!E31,'ACCII Criteria Compliance Cost'!E31,'ACCII GHG Compliance'!E31,'Current GHG Compliance'!E31)+IF(Table44[[#This Row],[Cold]:[Cold]]="Y",'Cold Weather Package'!E31,0)+IF(Table44[[#This Row],[eAWD]:[eAWD]]="Y",'eAWD Package'!E31,0)+IF(Table44[[#This Row],[Towing]:[Towing]]="Y",'Towing Bat Cost'!E31,0),"N/A")</f>
        <v>11110.136838309834</v>
      </c>
      <c r="J120" s="157">
        <f>IF(Table44[[#This Row],[Applicable Package?]:[Applicable Package?]]="Y",SUM('Rolled Up Non-Incremental Costs'!F31,'ICE Removal Cost'!F31,'Trans Removal Cost'!F31,'LEV3 Criteria Emissions Cost'!F31,'ZEV Assembly Reductions'!F31,'ACCII Criteria Compliance Cost'!F31,'ACCII GHG Compliance'!F31,'Current GHG Compliance'!F31)+IF(Table44[[#This Row],[Cold]:[Cold]]="Y",'Cold Weather Package'!F31,0)+IF(Table44[[#This Row],[eAWD]:[eAWD]]="Y",'eAWD Package'!F31,0)+IF(Table44[[#This Row],[Towing]:[Towing]]="Y",'Towing Bat Cost'!F31,0),"N/A")</f>
        <v>9848.0290290725607</v>
      </c>
      <c r="K120" s="157">
        <f>IF(Table44[[#This Row],[Applicable Package?]:[Applicable Package?]]="Y",SUM('Rolled Up Non-Incremental Costs'!G31,'ICE Removal Cost'!G31,'Trans Removal Cost'!G31,'LEV3 Criteria Emissions Cost'!G31,'ZEV Assembly Reductions'!G31,'ACCII Criteria Compliance Cost'!G31,'ACCII GHG Compliance'!G31,'Current GHG Compliance'!G31)+IF(Table44[[#This Row],[Cold]:[Cold]]="Y",'Cold Weather Package'!G31,0)+IF(Table44[[#This Row],[eAWD]:[eAWD]]="Y",'eAWD Package'!G31,0)+IF(Table44[[#This Row],[Towing]:[Towing]]="Y",'Towing Bat Cost'!G31,0),"N/A")</f>
        <v>8607.8538837884626</v>
      </c>
      <c r="L120" s="157">
        <f>IF(Table44[[#This Row],[Applicable Package?]:[Applicable Package?]]="Y",SUM('Rolled Up Non-Incremental Costs'!H31,'ICE Removal Cost'!H31,'Trans Removal Cost'!H31,'LEV3 Criteria Emissions Cost'!H31,'ZEV Assembly Reductions'!H31,'ACCII Criteria Compliance Cost'!H31,'ACCII GHG Compliance'!H31,'Current GHG Compliance'!H31)+IF(Table44[[#This Row],[Cold]:[Cold]]="Y",'Cold Weather Package'!H31,0)+IF(Table44[[#This Row],[eAWD]:[eAWD]]="Y",'eAWD Package'!H31,0)+IF(Table44[[#This Row],[Towing]:[Towing]]="Y",'Towing Bat Cost'!H31,0),"N/A")</f>
        <v>7389.5999772970699</v>
      </c>
      <c r="M120" s="157">
        <f>IF(Table44[[#This Row],[Applicable Package?]:[Applicable Package?]]="Y",SUM('Rolled Up Non-Incremental Costs'!I31,'ICE Removal Cost'!I31,'Trans Removal Cost'!I31,'LEV3 Criteria Emissions Cost'!I31,'ZEV Assembly Reductions'!I31,'ACCII Criteria Compliance Cost'!I31,'ACCII GHG Compliance'!I31,'Current GHG Compliance'!I31)+IF(Table44[[#This Row],[Cold]:[Cold]]="Y",'Cold Weather Package'!I31,0)+IF(Table44[[#This Row],[eAWD]:[eAWD]]="Y",'eAWD Package'!I31,0)+IF(Table44[[#This Row],[Towing]:[Towing]]="Y",'Towing Bat Cost'!I31,0),"N/A")</f>
        <v>6193.2560220750202</v>
      </c>
      <c r="N120" s="157">
        <f>IF(Table44[[#This Row],[Applicable Package?]:[Applicable Package?]]="Y",SUM('Rolled Up Non-Incremental Costs'!J31,'ICE Removal Cost'!J31,'Trans Removal Cost'!J31,'LEV3 Criteria Emissions Cost'!J31,'ZEV Assembly Reductions'!J31,'ACCII Criteria Compliance Cost'!J31,'ACCII GHG Compliance'!J31,'Current GHG Compliance'!J31)+IF(Table44[[#This Row],[Cold]:[Cold]]="Y",'Cold Weather Package'!J31,0)+IF(Table44[[#This Row],[eAWD]:[eAWD]]="Y",'eAWD Package'!J31,0)+IF(Table44[[#This Row],[Towing]:[Towing]]="Y",'Towing Bat Cost'!J31,0),"N/A")</f>
        <v>5018.8108666257958</v>
      </c>
      <c r="O120" s="157">
        <f>IF(Table44[[#This Row],[Applicable Package?]:[Applicable Package?]]="Y",SUM('Rolled Up Non-Incremental Costs'!K31,'ICE Removal Cost'!K31,'Trans Removal Cost'!K31,'LEV3 Criteria Emissions Cost'!K31,'ZEV Assembly Reductions'!K31,'ACCII Criteria Compliance Cost'!K31,'ACCII GHG Compliance'!K31,'Current GHG Compliance'!K31)+IF(Table44[[#This Row],[Cold]:[Cold]]="Y",'Cold Weather Package'!K31,0)+IF(Table44[[#This Row],[eAWD]:[eAWD]]="Y",'eAWD Package'!K31,0)+IF(Table44[[#This Row],[Towing]:[Towing]]="Y",'Towing Bat Cost'!K31,0),"N/A")</f>
        <v>4602.6198124325056</v>
      </c>
      <c r="P120" s="157">
        <f>IF(Table44[[#This Row],[Applicable Package?]:[Applicable Package?]]="Y",SUM('Rolled Up Non-Incremental Costs'!L31,'ICE Removal Cost'!L31,'Trans Removal Cost'!L31,'LEV3 Criteria Emissions Cost'!L31,'ZEV Assembly Reductions'!L31,'ACCII Criteria Compliance Cost'!L31,'ACCII GHG Compliance'!L31,'Current GHG Compliance'!L31)+IF(Table44[[#This Row],[Cold]:[Cold]]="Y",'Cold Weather Package'!L31,0)+IF(Table44[[#This Row],[eAWD]:[eAWD]]="Y",'eAWD Package'!L31,0)+IF(Table44[[#This Row],[Towing]:[Towing]]="Y",'Towing Bat Cost'!L31,0),"N/A")</f>
        <v>4191.9714605561076</v>
      </c>
      <c r="Q120" s="157">
        <f>IF(Table44[[#This Row],[Applicable Package?]:[Applicable Package?]]="Y",SUM('Rolled Up Non-Incremental Costs'!M31,'ICE Removal Cost'!M31,'Trans Removal Cost'!M31,'LEV3 Criteria Emissions Cost'!M31,'ZEV Assembly Reductions'!M31,'ACCII Criteria Compliance Cost'!M31,'ACCII GHG Compliance'!M31,'Current GHG Compliance'!M31)+IF(Table44[[#This Row],[Cold]:[Cold]]="Y",'Cold Weather Package'!M31,0)+IF(Table44[[#This Row],[eAWD]:[eAWD]]="Y",'eAWD Package'!M31,0)+IF(Table44[[#This Row],[Towing]:[Towing]]="Y",'Towing Bat Cost'!M31,0),"N/A")</f>
        <v>3786.855058102683</v>
      </c>
      <c r="R120" s="157">
        <f>IF(Table44[[#This Row],[Applicable Package?]:[Applicable Package?]]="Y",SUM('Rolled Up Non-Incremental Costs'!N31,'ICE Removal Cost'!N31,'Trans Removal Cost'!N31,'LEV3 Criteria Emissions Cost'!N31,'ZEV Assembly Reductions'!N31,'ACCII Criteria Compliance Cost'!N31,'ACCII GHG Compliance'!N31,'Current GHG Compliance'!N31)+IF(Table44[[#This Row],[Cold]:[Cold]]="Y",'Cold Weather Package'!N31,0)+IF(Table44[[#This Row],[eAWD]:[eAWD]]="Y",'eAWD Package'!N31,0)+IF(Table44[[#This Row],[Towing]:[Towing]]="Y",'Towing Bat Cost'!N31,0),"N/A")</f>
        <v>3387.2599819466195</v>
      </c>
      <c r="S120" s="157">
        <f>IF(Table44[[#This Row],[Applicable Package?]:[Applicable Package?]]="Y",SUM('Rolled Up Non-Incremental Costs'!O31,'ICE Removal Cost'!O31,'Trans Removal Cost'!O31,'LEV3 Criteria Emissions Cost'!O31,'ZEV Assembly Reductions'!O31,'ACCII Criteria Compliance Cost'!O31,'ACCII GHG Compliance'!O31,'Current GHG Compliance'!O31)+IF(Table44[[#This Row],[Cold]:[Cold]]="Y",'Cold Weather Package'!O31,0)+IF(Table44[[#This Row],[eAWD]:[eAWD]]="Y",'eAWD Package'!O31,0)+IF(Table44[[#This Row],[Towing]:[Towing]]="Y",'Towing Bat Cost'!O31,0),"N/A")</f>
        <v>2993.1757372105203</v>
      </c>
    </row>
    <row r="121" spans="1:19" hidden="1" x14ac:dyDescent="0.3">
      <c r="A121" t="str">
        <f t="shared" si="2"/>
        <v>MedSUVPremiumFCEV320</v>
      </c>
      <c r="B121" s="90" t="s">
        <v>86</v>
      </c>
      <c r="C121" s="68" t="s">
        <v>80</v>
      </c>
      <c r="D121" s="68" t="str">
        <f>'Vehicle Attributes - Base Year'!D29</f>
        <v>FCEV320</v>
      </c>
      <c r="E121" s="124" t="s">
        <v>77</v>
      </c>
      <c r="F121" s="124" t="s">
        <v>77</v>
      </c>
      <c r="G121" s="125" t="s">
        <v>76</v>
      </c>
      <c r="H121" s="156" t="s">
        <v>76</v>
      </c>
      <c r="I121" s="157">
        <f>IF(Table44[[#This Row],[Applicable Package?]:[Applicable Package?]]="Y",SUM('Rolled Up Non-Incremental Costs'!E32,'ICE Removal Cost'!E32,'Trans Removal Cost'!E32,'LEV3 Criteria Emissions Cost'!E32,'ZEV Assembly Reductions'!E32,'ACCII Criteria Compliance Cost'!E32,'ACCII GHG Compliance'!E32,'Current GHG Compliance'!E32)+IF(Table44[[#This Row],[Cold]:[Cold]]="Y",'Cold Weather Package'!E32,0)+IF(Table44[[#This Row],[eAWD]:[eAWD]]="Y",'eAWD Package'!E32,0)+IF(Table44[[#This Row],[Towing]:[Towing]]="Y",'Towing Bat Cost'!E32,0),"N/A")</f>
        <v>10610.136838309834</v>
      </c>
      <c r="J121" s="157">
        <f>IF(Table44[[#This Row],[Applicable Package?]:[Applicable Package?]]="Y",SUM('Rolled Up Non-Incremental Costs'!F32,'ICE Removal Cost'!F32,'Trans Removal Cost'!F32,'LEV3 Criteria Emissions Cost'!F32,'ZEV Assembly Reductions'!F32,'ACCII Criteria Compliance Cost'!F32,'ACCII GHG Compliance'!F32,'Current GHG Compliance'!F32)+IF(Table44[[#This Row],[Cold]:[Cold]]="Y",'Cold Weather Package'!F32,0)+IF(Table44[[#This Row],[eAWD]:[eAWD]]="Y",'eAWD Package'!F32,0)+IF(Table44[[#This Row],[Towing]:[Towing]]="Y",'Towing Bat Cost'!F32,0),"N/A")</f>
        <v>9348.0290290725607</v>
      </c>
      <c r="K121" s="157">
        <f>IF(Table44[[#This Row],[Applicable Package?]:[Applicable Package?]]="Y",SUM('Rolled Up Non-Incremental Costs'!G32,'ICE Removal Cost'!G32,'Trans Removal Cost'!G32,'LEV3 Criteria Emissions Cost'!G32,'ZEV Assembly Reductions'!G32,'ACCII Criteria Compliance Cost'!G32,'ACCII GHG Compliance'!G32,'Current GHG Compliance'!G32)+IF(Table44[[#This Row],[Cold]:[Cold]]="Y",'Cold Weather Package'!G32,0)+IF(Table44[[#This Row],[eAWD]:[eAWD]]="Y",'eAWD Package'!G32,0)+IF(Table44[[#This Row],[Towing]:[Towing]]="Y",'Towing Bat Cost'!G32,0),"N/A")</f>
        <v>8107.8538837884626</v>
      </c>
      <c r="L121" s="157">
        <f>IF(Table44[[#This Row],[Applicable Package?]:[Applicable Package?]]="Y",SUM('Rolled Up Non-Incremental Costs'!H32,'ICE Removal Cost'!H32,'Trans Removal Cost'!H32,'LEV3 Criteria Emissions Cost'!H32,'ZEV Assembly Reductions'!H32,'ACCII Criteria Compliance Cost'!H32,'ACCII GHG Compliance'!H32,'Current GHG Compliance'!H32)+IF(Table44[[#This Row],[Cold]:[Cold]]="Y",'Cold Weather Package'!H32,0)+IF(Table44[[#This Row],[eAWD]:[eAWD]]="Y",'eAWD Package'!H32,0)+IF(Table44[[#This Row],[Towing]:[Towing]]="Y",'Towing Bat Cost'!H32,0),"N/A")</f>
        <v>6889.5999772970699</v>
      </c>
      <c r="M121" s="157">
        <f>IF(Table44[[#This Row],[Applicable Package?]:[Applicable Package?]]="Y",SUM('Rolled Up Non-Incremental Costs'!I32,'ICE Removal Cost'!I32,'Trans Removal Cost'!I32,'LEV3 Criteria Emissions Cost'!I32,'ZEV Assembly Reductions'!I32,'ACCII Criteria Compliance Cost'!I32,'ACCII GHG Compliance'!I32,'Current GHG Compliance'!I32)+IF(Table44[[#This Row],[Cold]:[Cold]]="Y",'Cold Weather Package'!I32,0)+IF(Table44[[#This Row],[eAWD]:[eAWD]]="Y",'eAWD Package'!I32,0)+IF(Table44[[#This Row],[Towing]:[Towing]]="Y",'Towing Bat Cost'!I32,0),"N/A")</f>
        <v>5693.2560220750202</v>
      </c>
      <c r="N121" s="157">
        <f>IF(Table44[[#This Row],[Applicable Package?]:[Applicable Package?]]="Y",SUM('Rolled Up Non-Incremental Costs'!J32,'ICE Removal Cost'!J32,'Trans Removal Cost'!J32,'LEV3 Criteria Emissions Cost'!J32,'ZEV Assembly Reductions'!J32,'ACCII Criteria Compliance Cost'!J32,'ACCII GHG Compliance'!J32,'Current GHG Compliance'!J32)+IF(Table44[[#This Row],[Cold]:[Cold]]="Y",'Cold Weather Package'!J32,0)+IF(Table44[[#This Row],[eAWD]:[eAWD]]="Y",'eAWD Package'!J32,0)+IF(Table44[[#This Row],[Towing]:[Towing]]="Y",'Towing Bat Cost'!J32,0),"N/A")</f>
        <v>4518.8108666257958</v>
      </c>
      <c r="O121" s="157">
        <f>IF(Table44[[#This Row],[Applicable Package?]:[Applicable Package?]]="Y",SUM('Rolled Up Non-Incremental Costs'!K32,'ICE Removal Cost'!K32,'Trans Removal Cost'!K32,'LEV3 Criteria Emissions Cost'!K32,'ZEV Assembly Reductions'!K32,'ACCII Criteria Compliance Cost'!K32,'ACCII GHG Compliance'!K32,'Current GHG Compliance'!K32)+IF(Table44[[#This Row],[Cold]:[Cold]]="Y",'Cold Weather Package'!K32,0)+IF(Table44[[#This Row],[eAWD]:[eAWD]]="Y",'eAWD Package'!K32,0)+IF(Table44[[#This Row],[Towing]:[Towing]]="Y",'Towing Bat Cost'!K32,0),"N/A")</f>
        <v>4102.6198124325056</v>
      </c>
      <c r="P121" s="157">
        <f>IF(Table44[[#This Row],[Applicable Package?]:[Applicable Package?]]="Y",SUM('Rolled Up Non-Incremental Costs'!L32,'ICE Removal Cost'!L32,'Trans Removal Cost'!L32,'LEV3 Criteria Emissions Cost'!L32,'ZEV Assembly Reductions'!L32,'ACCII Criteria Compliance Cost'!L32,'ACCII GHG Compliance'!L32,'Current GHG Compliance'!L32)+IF(Table44[[#This Row],[Cold]:[Cold]]="Y",'Cold Weather Package'!L32,0)+IF(Table44[[#This Row],[eAWD]:[eAWD]]="Y",'eAWD Package'!L32,0)+IF(Table44[[#This Row],[Towing]:[Towing]]="Y",'Towing Bat Cost'!L32,0),"N/A")</f>
        <v>3691.9714605561076</v>
      </c>
      <c r="Q121" s="157">
        <f>IF(Table44[[#This Row],[Applicable Package?]:[Applicable Package?]]="Y",SUM('Rolled Up Non-Incremental Costs'!M32,'ICE Removal Cost'!M32,'Trans Removal Cost'!M32,'LEV3 Criteria Emissions Cost'!M32,'ZEV Assembly Reductions'!M32,'ACCII Criteria Compliance Cost'!M32,'ACCII GHG Compliance'!M32,'Current GHG Compliance'!M32)+IF(Table44[[#This Row],[Cold]:[Cold]]="Y",'Cold Weather Package'!M32,0)+IF(Table44[[#This Row],[eAWD]:[eAWD]]="Y",'eAWD Package'!M32,0)+IF(Table44[[#This Row],[Towing]:[Towing]]="Y",'Towing Bat Cost'!M32,0),"N/A")</f>
        <v>3286.855058102683</v>
      </c>
      <c r="R121" s="157">
        <f>IF(Table44[[#This Row],[Applicable Package?]:[Applicable Package?]]="Y",SUM('Rolled Up Non-Incremental Costs'!N32,'ICE Removal Cost'!N32,'Trans Removal Cost'!N32,'LEV3 Criteria Emissions Cost'!N32,'ZEV Assembly Reductions'!N32,'ACCII Criteria Compliance Cost'!N32,'ACCII GHG Compliance'!N32,'Current GHG Compliance'!N32)+IF(Table44[[#This Row],[Cold]:[Cold]]="Y",'Cold Weather Package'!N32,0)+IF(Table44[[#This Row],[eAWD]:[eAWD]]="Y",'eAWD Package'!N32,0)+IF(Table44[[#This Row],[Towing]:[Towing]]="Y",'Towing Bat Cost'!N32,0),"N/A")</f>
        <v>2887.2599819466195</v>
      </c>
      <c r="S121" s="157">
        <f>IF(Table44[[#This Row],[Applicable Package?]:[Applicable Package?]]="Y",SUM('Rolled Up Non-Incremental Costs'!O32,'ICE Removal Cost'!O32,'Trans Removal Cost'!O32,'LEV3 Criteria Emissions Cost'!O32,'ZEV Assembly Reductions'!O32,'ACCII Criteria Compliance Cost'!O32,'ACCII GHG Compliance'!O32,'Current GHG Compliance'!O32)+IF(Table44[[#This Row],[Cold]:[Cold]]="Y",'Cold Weather Package'!O32,0)+IF(Table44[[#This Row],[eAWD]:[eAWD]]="Y",'eAWD Package'!O32,0)+IF(Table44[[#This Row],[Towing]:[Towing]]="Y",'Towing Bat Cost'!O32,0),"N/A")</f>
        <v>2493.1757372105203</v>
      </c>
    </row>
    <row r="122" spans="1:19" hidden="1" x14ac:dyDescent="0.3">
      <c r="A122" s="28" t="str">
        <f t="shared" si="2"/>
        <v>PickupBaseFCEV320</v>
      </c>
      <c r="B122" s="90" t="s">
        <v>89</v>
      </c>
      <c r="C122" s="68" t="s">
        <v>75</v>
      </c>
      <c r="D122" s="68" t="str">
        <f>'Vehicle Attributes - Base Year'!D30</f>
        <v>FCEV320</v>
      </c>
      <c r="E122" s="124" t="s">
        <v>77</v>
      </c>
      <c r="F122" s="124" t="s">
        <v>77</v>
      </c>
      <c r="G122" s="125" t="s">
        <v>76</v>
      </c>
      <c r="H122" s="156" t="s">
        <v>76</v>
      </c>
      <c r="I122" s="157">
        <f>IF(Table44[[#This Row],[Applicable Package?]:[Applicable Package?]]="Y",SUM('Rolled Up Non-Incremental Costs'!E33,'ICE Removal Cost'!E33,'Trans Removal Cost'!E33,'LEV3 Criteria Emissions Cost'!E33,'ZEV Assembly Reductions'!E33,'ACCII Criteria Compliance Cost'!E33,'ACCII GHG Compliance'!E33,'Current GHG Compliance'!E33)+IF(Table44[[#This Row],[Cold]:[Cold]]="Y",'Cold Weather Package'!E33,0)+IF(Table44[[#This Row],[eAWD]:[eAWD]]="Y",'eAWD Package'!E33,0)+IF(Table44[[#This Row],[Towing]:[Towing]]="Y",'Towing Bat Cost'!E33,0),"N/A")</f>
        <v>15199.517558637141</v>
      </c>
      <c r="J122" s="157">
        <f>IF(Table44[[#This Row],[Applicable Package?]:[Applicable Package?]]="Y",SUM('Rolled Up Non-Incremental Costs'!F33,'ICE Removal Cost'!F33,'Trans Removal Cost'!F33,'LEV3 Criteria Emissions Cost'!F33,'ZEV Assembly Reductions'!F33,'ACCII Criteria Compliance Cost'!F33,'ACCII GHG Compliance'!F33,'Current GHG Compliance'!F33)+IF(Table44[[#This Row],[Cold]:[Cold]]="Y",'Cold Weather Package'!F33,0)+IF(Table44[[#This Row],[eAWD]:[eAWD]]="Y",'eAWD Package'!F33,0)+IF(Table44[[#This Row],[Towing]:[Towing]]="Y",'Towing Bat Cost'!F33,0),"N/A")</f>
        <v>13650.247383730682</v>
      </c>
      <c r="K122" s="157">
        <f>IF(Table44[[#This Row],[Applicable Package?]:[Applicable Package?]]="Y",SUM('Rolled Up Non-Incremental Costs'!G33,'ICE Removal Cost'!G33,'Trans Removal Cost'!G33,'LEV3 Criteria Emissions Cost'!G33,'ZEV Assembly Reductions'!G33,'ACCII Criteria Compliance Cost'!G33,'ACCII GHG Compliance'!G33,'Current GHG Compliance'!G33)+IF(Table44[[#This Row],[Cold]:[Cold]]="Y",'Cold Weather Package'!G33,0)+IF(Table44[[#This Row],[eAWD]:[eAWD]]="Y",'eAWD Package'!G33,0)+IF(Table44[[#This Row],[Towing]:[Towing]]="Y",'Towing Bat Cost'!G33,0),"N/A")</f>
        <v>12131.976125477049</v>
      </c>
      <c r="L122" s="157">
        <f>IF(Table44[[#This Row],[Applicable Package?]:[Applicable Package?]]="Y",SUM('Rolled Up Non-Incremental Costs'!H33,'ICE Removal Cost'!H33,'Trans Removal Cost'!H33,'LEV3 Criteria Emissions Cost'!H33,'ZEV Assembly Reductions'!H33,'ACCII Criteria Compliance Cost'!H33,'ACCII GHG Compliance'!H33,'Current GHG Compliance'!H33)+IF(Table44[[#This Row],[Cold]:[Cold]]="Y",'Cold Weather Package'!H33,0)+IF(Table44[[#This Row],[eAWD]:[eAWD]]="Y",'eAWD Package'!H33,0)+IF(Table44[[#This Row],[Towing]:[Towing]]="Y",'Towing Bat Cost'!H33,0),"N/A")</f>
        <v>10644.684886967054</v>
      </c>
      <c r="M122" s="157">
        <f>IF(Table44[[#This Row],[Applicable Package?]:[Applicable Package?]]="Y",SUM('Rolled Up Non-Incremental Costs'!I33,'ICE Removal Cost'!I33,'Trans Removal Cost'!I33,'LEV3 Criteria Emissions Cost'!I33,'ZEV Assembly Reductions'!I33,'ACCII Criteria Compliance Cost'!I33,'ACCII GHG Compliance'!I33,'Current GHG Compliance'!I33)+IF(Table44[[#This Row],[Cold]:[Cold]]="Y",'Cold Weather Package'!I33,0)+IF(Table44[[#This Row],[eAWD]:[eAWD]]="Y",'eAWD Package'!I33,0)+IF(Table44[[#This Row],[Towing]:[Towing]]="Y",'Towing Bat Cost'!I33,0),"N/A")</f>
        <v>9188.355007031576</v>
      </c>
      <c r="N122" s="157">
        <f>IF(Table44[[#This Row],[Applicable Package?]:[Applicable Package?]]="Y",SUM('Rolled Up Non-Incremental Costs'!J33,'ICE Removal Cost'!J33,'Trans Removal Cost'!J33,'LEV3 Criteria Emissions Cost'!J33,'ZEV Assembly Reductions'!J33,'ACCII Criteria Compliance Cost'!J33,'ACCII GHG Compliance'!J33,'Current GHG Compliance'!J33)+IF(Table44[[#This Row],[Cold]:[Cold]]="Y",'Cold Weather Package'!J33,0)+IF(Table44[[#This Row],[eAWD]:[eAWD]]="Y",'eAWD Package'!J33,0)+IF(Table44[[#This Row],[Towing]:[Towing]]="Y",'Towing Bat Cost'!J33,0),"N/A")</f>
        <v>7762.968057416434</v>
      </c>
      <c r="O122" s="157">
        <f>IF(Table44[[#This Row],[Applicable Package?]:[Applicable Package?]]="Y",SUM('Rolled Up Non-Incremental Costs'!K33,'ICE Removal Cost'!K33,'Trans Removal Cost'!K33,'LEV3 Criteria Emissions Cost'!K33,'ZEV Assembly Reductions'!K33,'ACCII Criteria Compliance Cost'!K33,'ACCII GHG Compliance'!K33,'Current GHG Compliance'!K33)+IF(Table44[[#This Row],[Cold]:[Cold]]="Y",'Cold Weather Package'!K33,0)+IF(Table44[[#This Row],[eAWD]:[eAWD]]="Y",'eAWD Package'!K33,0)+IF(Table44[[#This Row],[Towing]:[Towing]]="Y",'Towing Bat Cost'!K33,0),"N/A")</f>
        <v>7199.0847713151925</v>
      </c>
      <c r="P122" s="157">
        <f>IF(Table44[[#This Row],[Applicable Package?]:[Applicable Package?]]="Y",SUM('Rolled Up Non-Incremental Costs'!L33,'ICE Removal Cost'!L33,'Trans Removal Cost'!L33,'LEV3 Criteria Emissions Cost'!L33,'ZEV Assembly Reductions'!L33,'ACCII Criteria Compliance Cost'!L33,'ACCII GHG Compliance'!L33,'Current GHG Compliance'!L33)+IF(Table44[[#This Row],[Cold]:[Cold]]="Y",'Cold Weather Package'!L33,0)+IF(Table44[[#This Row],[eAWD]:[eAWD]]="Y",'eAWD Package'!L33,0)+IF(Table44[[#This Row],[Towing]:[Towing]]="Y",'Towing Bat Cost'!L33,0),"N/A")</f>
        <v>6643.3476172103947</v>
      </c>
      <c r="Q122" s="157">
        <f>IF(Table44[[#This Row],[Applicable Package?]:[Applicable Package?]]="Y",SUM('Rolled Up Non-Incremental Costs'!M33,'ICE Removal Cost'!M33,'Trans Removal Cost'!M33,'LEV3 Criteria Emissions Cost'!M33,'ZEV Assembly Reductions'!M33,'ACCII Criteria Compliance Cost'!M33,'ACCII GHG Compliance'!M33,'Current GHG Compliance'!M33)+IF(Table44[[#This Row],[Cold]:[Cold]]="Y",'Cold Weather Package'!M33,0)+IF(Table44[[#This Row],[eAWD]:[eAWD]]="Y",'eAWD Package'!M33,0)+IF(Table44[[#This Row],[Towing]:[Towing]]="Y",'Towing Bat Cost'!M33,0),"N/A")</f>
        <v>6095.7521925854362</v>
      </c>
      <c r="R122" s="157">
        <f>IF(Table44[[#This Row],[Applicable Package?]:[Applicable Package?]]="Y",SUM('Rolled Up Non-Incremental Costs'!N33,'ICE Removal Cost'!N33,'Trans Removal Cost'!N33,'LEV3 Criteria Emissions Cost'!N33,'ZEV Assembly Reductions'!N33,'ACCII Criteria Compliance Cost'!N33,'ACCII GHG Compliance'!N33,'Current GHG Compliance'!N33)+IF(Table44[[#This Row],[Cold]:[Cold]]="Y",'Cold Weather Package'!N33,0)+IF(Table44[[#This Row],[eAWD]:[eAWD]]="Y",'eAWD Package'!N33,0)+IF(Table44[[#This Row],[Towing]:[Towing]]="Y",'Towing Bat Cost'!N33,0),"N/A")</f>
        <v>5556.2941389488751</v>
      </c>
      <c r="S122" s="157">
        <f>IF(Table44[[#This Row],[Applicable Package?]:[Applicable Package?]]="Y",SUM('Rolled Up Non-Incremental Costs'!O33,'ICE Removal Cost'!O33,'Trans Removal Cost'!O33,'LEV3 Criteria Emissions Cost'!O33,'ZEV Assembly Reductions'!O33,'ACCII Criteria Compliance Cost'!O33,'ACCII GHG Compliance'!O33,'Current GHG Compliance'!O33)+IF(Table44[[#This Row],[Cold]:[Cold]]="Y",'Cold Weather Package'!O33,0)+IF(Table44[[#This Row],[eAWD]:[eAWD]]="Y",'eAWD Package'!O33,0)+IF(Table44[[#This Row],[Towing]:[Towing]]="Y",'Towing Bat Cost'!O33,0),"N/A")</f>
        <v>5024.9691413941855</v>
      </c>
    </row>
    <row r="123" spans="1:19" hidden="1" x14ac:dyDescent="0.3">
      <c r="A123" t="str">
        <f t="shared" si="2"/>
        <v>PickupHTFCEV320</v>
      </c>
      <c r="B123" s="90" t="s">
        <v>89</v>
      </c>
      <c r="C123" s="68" t="s">
        <v>113</v>
      </c>
      <c r="D123" s="68" t="str">
        <f>'Vehicle Attributes - Base Year'!D31</f>
        <v>FCEV320</v>
      </c>
      <c r="E123" s="124" t="s">
        <v>77</v>
      </c>
      <c r="F123" s="124" t="s">
        <v>77</v>
      </c>
      <c r="G123" s="125" t="s">
        <v>76</v>
      </c>
      <c r="H123" s="156" t="s">
        <v>76</v>
      </c>
      <c r="I123" s="157">
        <f>IF(Table44[[#This Row],[Applicable Package?]:[Applicable Package?]]="Y",SUM('Rolled Up Non-Incremental Costs'!E34,'ICE Removal Cost'!E34,'Trans Removal Cost'!E34,'LEV3 Criteria Emissions Cost'!E34,'ZEV Assembly Reductions'!E34,'ACCII Criteria Compliance Cost'!E34,'ACCII GHG Compliance'!E34,'Current GHG Compliance'!E34)+IF(Table44[[#This Row],[Cold]:[Cold]]="Y",'Cold Weather Package'!E34,0)+IF(Table44[[#This Row],[eAWD]:[eAWD]]="Y",'eAWD Package'!E34,0)+IF(Table44[[#This Row],[Towing]:[Towing]]="Y",'Towing Bat Cost'!E34,0),"N/A")</f>
        <v>15199.517558637141</v>
      </c>
      <c r="J123" s="157">
        <f>IF(Table44[[#This Row],[Applicable Package?]:[Applicable Package?]]="Y",SUM('Rolled Up Non-Incremental Costs'!F34,'ICE Removal Cost'!F34,'Trans Removal Cost'!F34,'LEV3 Criteria Emissions Cost'!F34,'ZEV Assembly Reductions'!F34,'ACCII Criteria Compliance Cost'!F34,'ACCII GHG Compliance'!F34,'Current GHG Compliance'!F34)+IF(Table44[[#This Row],[Cold]:[Cold]]="Y",'Cold Weather Package'!F34,0)+IF(Table44[[#This Row],[eAWD]:[eAWD]]="Y",'eAWD Package'!F34,0)+IF(Table44[[#This Row],[Towing]:[Towing]]="Y",'Towing Bat Cost'!F34,0),"N/A")</f>
        <v>13650.247383730682</v>
      </c>
      <c r="K123" s="157">
        <f>IF(Table44[[#This Row],[Applicable Package?]:[Applicable Package?]]="Y",SUM('Rolled Up Non-Incremental Costs'!G34,'ICE Removal Cost'!G34,'Trans Removal Cost'!G34,'LEV3 Criteria Emissions Cost'!G34,'ZEV Assembly Reductions'!G34,'ACCII Criteria Compliance Cost'!G34,'ACCII GHG Compliance'!G34,'Current GHG Compliance'!G34)+IF(Table44[[#This Row],[Cold]:[Cold]]="Y",'Cold Weather Package'!G34,0)+IF(Table44[[#This Row],[eAWD]:[eAWD]]="Y",'eAWD Package'!G34,0)+IF(Table44[[#This Row],[Towing]:[Towing]]="Y",'Towing Bat Cost'!G34,0),"N/A")</f>
        <v>12131.976125477049</v>
      </c>
      <c r="L123" s="157">
        <f>IF(Table44[[#This Row],[Applicable Package?]:[Applicable Package?]]="Y",SUM('Rolled Up Non-Incremental Costs'!H34,'ICE Removal Cost'!H34,'Trans Removal Cost'!H34,'LEV3 Criteria Emissions Cost'!H34,'ZEV Assembly Reductions'!H34,'ACCII Criteria Compliance Cost'!H34,'ACCII GHG Compliance'!H34,'Current GHG Compliance'!H34)+IF(Table44[[#This Row],[Cold]:[Cold]]="Y",'Cold Weather Package'!H34,0)+IF(Table44[[#This Row],[eAWD]:[eAWD]]="Y",'eAWD Package'!H34,0)+IF(Table44[[#This Row],[Towing]:[Towing]]="Y",'Towing Bat Cost'!H34,0),"N/A")</f>
        <v>10644.684886967054</v>
      </c>
      <c r="M123" s="157">
        <f>IF(Table44[[#This Row],[Applicable Package?]:[Applicable Package?]]="Y",SUM('Rolled Up Non-Incremental Costs'!I34,'ICE Removal Cost'!I34,'Trans Removal Cost'!I34,'LEV3 Criteria Emissions Cost'!I34,'ZEV Assembly Reductions'!I34,'ACCII Criteria Compliance Cost'!I34,'ACCII GHG Compliance'!I34,'Current GHG Compliance'!I34)+IF(Table44[[#This Row],[Cold]:[Cold]]="Y",'Cold Weather Package'!I34,0)+IF(Table44[[#This Row],[eAWD]:[eAWD]]="Y",'eAWD Package'!I34,0)+IF(Table44[[#This Row],[Towing]:[Towing]]="Y",'Towing Bat Cost'!I34,0),"N/A")</f>
        <v>9188.355007031576</v>
      </c>
      <c r="N123" s="157">
        <f>IF(Table44[[#This Row],[Applicable Package?]:[Applicable Package?]]="Y",SUM('Rolled Up Non-Incremental Costs'!J34,'ICE Removal Cost'!J34,'Trans Removal Cost'!J34,'LEV3 Criteria Emissions Cost'!J34,'ZEV Assembly Reductions'!J34,'ACCII Criteria Compliance Cost'!J34,'ACCII GHG Compliance'!J34,'Current GHG Compliance'!J34)+IF(Table44[[#This Row],[Cold]:[Cold]]="Y",'Cold Weather Package'!J34,0)+IF(Table44[[#This Row],[eAWD]:[eAWD]]="Y",'eAWD Package'!J34,0)+IF(Table44[[#This Row],[Towing]:[Towing]]="Y",'Towing Bat Cost'!J34,0),"N/A")</f>
        <v>7762.968057416434</v>
      </c>
      <c r="O123" s="157">
        <f>IF(Table44[[#This Row],[Applicable Package?]:[Applicable Package?]]="Y",SUM('Rolled Up Non-Incremental Costs'!K34,'ICE Removal Cost'!K34,'Trans Removal Cost'!K34,'LEV3 Criteria Emissions Cost'!K34,'ZEV Assembly Reductions'!K34,'ACCII Criteria Compliance Cost'!K34,'ACCII GHG Compliance'!K34,'Current GHG Compliance'!K34)+IF(Table44[[#This Row],[Cold]:[Cold]]="Y",'Cold Weather Package'!K34,0)+IF(Table44[[#This Row],[eAWD]:[eAWD]]="Y",'eAWD Package'!K34,0)+IF(Table44[[#This Row],[Towing]:[Towing]]="Y",'Towing Bat Cost'!K34,0),"N/A")</f>
        <v>7199.0847713151925</v>
      </c>
      <c r="P123" s="157">
        <f>IF(Table44[[#This Row],[Applicable Package?]:[Applicable Package?]]="Y",SUM('Rolled Up Non-Incremental Costs'!L34,'ICE Removal Cost'!L34,'Trans Removal Cost'!L34,'LEV3 Criteria Emissions Cost'!L34,'ZEV Assembly Reductions'!L34,'ACCII Criteria Compliance Cost'!L34,'ACCII GHG Compliance'!L34,'Current GHG Compliance'!L34)+IF(Table44[[#This Row],[Cold]:[Cold]]="Y",'Cold Weather Package'!L34,0)+IF(Table44[[#This Row],[eAWD]:[eAWD]]="Y",'eAWD Package'!L34,0)+IF(Table44[[#This Row],[Towing]:[Towing]]="Y",'Towing Bat Cost'!L34,0),"N/A")</f>
        <v>6643.3476172103947</v>
      </c>
      <c r="Q123" s="157">
        <f>IF(Table44[[#This Row],[Applicable Package?]:[Applicable Package?]]="Y",SUM('Rolled Up Non-Incremental Costs'!M34,'ICE Removal Cost'!M34,'Trans Removal Cost'!M34,'LEV3 Criteria Emissions Cost'!M34,'ZEV Assembly Reductions'!M34,'ACCII Criteria Compliance Cost'!M34,'ACCII GHG Compliance'!M34,'Current GHG Compliance'!M34)+IF(Table44[[#This Row],[Cold]:[Cold]]="Y",'Cold Weather Package'!M34,0)+IF(Table44[[#This Row],[eAWD]:[eAWD]]="Y",'eAWD Package'!M34,0)+IF(Table44[[#This Row],[Towing]:[Towing]]="Y",'Towing Bat Cost'!M34,0),"N/A")</f>
        <v>6095.7521925854362</v>
      </c>
      <c r="R123" s="157">
        <f>IF(Table44[[#This Row],[Applicable Package?]:[Applicable Package?]]="Y",SUM('Rolled Up Non-Incremental Costs'!N34,'ICE Removal Cost'!N34,'Trans Removal Cost'!N34,'LEV3 Criteria Emissions Cost'!N34,'ZEV Assembly Reductions'!N34,'ACCII Criteria Compliance Cost'!N34,'ACCII GHG Compliance'!N34,'Current GHG Compliance'!N34)+IF(Table44[[#This Row],[Cold]:[Cold]]="Y",'Cold Weather Package'!N34,0)+IF(Table44[[#This Row],[eAWD]:[eAWD]]="Y",'eAWD Package'!N34,0)+IF(Table44[[#This Row],[Towing]:[Towing]]="Y",'Towing Bat Cost'!N34,0),"N/A")</f>
        <v>5556.2941389488751</v>
      </c>
      <c r="S123" s="157">
        <f>IF(Table44[[#This Row],[Applicable Package?]:[Applicable Package?]]="Y",SUM('Rolled Up Non-Incremental Costs'!O34,'ICE Removal Cost'!O34,'Trans Removal Cost'!O34,'LEV3 Criteria Emissions Cost'!O34,'ZEV Assembly Reductions'!O34,'ACCII Criteria Compliance Cost'!O34,'ACCII GHG Compliance'!O34,'Current GHG Compliance'!O34)+IF(Table44[[#This Row],[Cold]:[Cold]]="Y",'Cold Weather Package'!O34,0)+IF(Table44[[#This Row],[eAWD]:[eAWD]]="Y",'eAWD Package'!O34,0)+IF(Table44[[#This Row],[Towing]:[Towing]]="Y",'Towing Bat Cost'!O34,0),"N/A")</f>
        <v>5024.9691413941855</v>
      </c>
    </row>
    <row r="124" spans="1:19" x14ac:dyDescent="0.3">
      <c r="A124" s="28" t="str">
        <f t="shared" si="2"/>
        <v>SmallCarBaseBEV300</v>
      </c>
      <c r="B124" s="90" t="s">
        <v>73</v>
      </c>
      <c r="C124" s="68" t="s">
        <v>75</v>
      </c>
      <c r="D124" s="68" t="str">
        <f>'Vehicle Attributes - Base Year'!D2</f>
        <v>BEV300</v>
      </c>
      <c r="E124" s="124" t="s">
        <v>76</v>
      </c>
      <c r="F124" s="124" t="s">
        <v>76</v>
      </c>
      <c r="G124" s="125" t="s">
        <v>77</v>
      </c>
      <c r="H124" s="156" t="s">
        <v>76</v>
      </c>
      <c r="I124" s="157">
        <f>IF(Table44[[#This Row],[Applicable Package?]:[Applicable Package?]]="Y",SUM('Rolled Up Non-Incremental Costs'!E5,'ICE Removal Cost'!E5,'Trans Removal Cost'!E5,'LEV3 Criteria Emissions Cost'!E5,'ZEV Assembly Reductions'!E5,'ACCII Criteria Compliance Cost'!E5,'ACCII GHG Compliance'!E5,'Current GHG Compliance'!E5)+IF(Table44[[#This Row],[Cold]:[Cold]]="Y",'Cold Weather Package'!E5,0)+IF(Table44[[#This Row],[eAWD]:[eAWD]]="Y",'eAWD Package'!E5,0)+IF(Table44[[#This Row],[Towing]:[Towing]]="Y",'Towing Bat Cost'!E5,0),"N/A")</f>
        <v>5241.9868421052633</v>
      </c>
      <c r="J124" s="157">
        <f>IF(Table44[[#This Row],[Applicable Package?]:[Applicable Package?]]="Y",SUM('Rolled Up Non-Incremental Costs'!F5,'ICE Removal Cost'!F5,'Trans Removal Cost'!F5,'LEV3 Criteria Emissions Cost'!F5,'ZEV Assembly Reductions'!F5,'ACCII Criteria Compliance Cost'!F5,'ACCII GHG Compliance'!F5,'Current GHG Compliance'!F5)+IF(Table44[[#This Row],[Cold]:[Cold]]="Y",'Cold Weather Package'!F5,0)+IF(Table44[[#This Row],[eAWD]:[eAWD]]="Y",'eAWD Package'!F5,0)+IF(Table44[[#This Row],[Towing]:[Towing]]="Y",'Towing Bat Cost'!F5,0),"N/A")</f>
        <v>4631.9347368421049</v>
      </c>
      <c r="K124" s="157">
        <f>IF(Table44[[#This Row],[Applicable Package?]:[Applicable Package?]]="Y",SUM('Rolled Up Non-Incremental Costs'!G5,'ICE Removal Cost'!G5,'Trans Removal Cost'!G5,'LEV3 Criteria Emissions Cost'!G5,'ZEV Assembly Reductions'!G5,'ACCII Criteria Compliance Cost'!G5,'ACCII GHG Compliance'!G5,'Current GHG Compliance'!G5)+IF(Table44[[#This Row],[Cold]:[Cold]]="Y",'Cold Weather Package'!G5,0)+IF(Table44[[#This Row],[eAWD]:[eAWD]]="Y",'eAWD Package'!G5,0)+IF(Table44[[#This Row],[Towing]:[Towing]]="Y",'Towing Bat Cost'!G5,0),"N/A")</f>
        <v>4063.9123646118428</v>
      </c>
      <c r="L124" s="157">
        <f>IF(Table44[[#This Row],[Applicable Package?]:[Applicable Package?]]="Y",SUM('Rolled Up Non-Incremental Costs'!H5,'ICE Removal Cost'!H5,'Trans Removal Cost'!H5,'LEV3 Criteria Emissions Cost'!H5,'ZEV Assembly Reductions'!H5,'ACCII Criteria Compliance Cost'!H5,'ACCII GHG Compliance'!H5,'Current GHG Compliance'!H5)+IF(Table44[[#This Row],[Cold]:[Cold]]="Y",'Cold Weather Package'!H5,0)+IF(Table44[[#This Row],[eAWD]:[eAWD]]="Y",'eAWD Package'!H5,0)+IF(Table44[[#This Row],[Towing]:[Towing]]="Y",'Towing Bat Cost'!H5,0),"N/A")</f>
        <v>3534.8173124098184</v>
      </c>
      <c r="M124" s="157">
        <f>IF(Table44[[#This Row],[Applicable Package?]:[Applicable Package?]]="Y",SUM('Rolled Up Non-Incremental Costs'!I5,'ICE Removal Cost'!I5,'Trans Removal Cost'!I5,'LEV3 Criteria Emissions Cost'!I5,'ZEV Assembly Reductions'!I5,'ACCII Criteria Compliance Cost'!I5,'ACCII GHG Compliance'!I5,'Current GHG Compliance'!I5)+IF(Table44[[#This Row],[Cold]:[Cold]]="Y",'Cold Weather Package'!I5,0)+IF(Table44[[#This Row],[eAWD]:[eAWD]]="Y",'eAWD Package'!I5,0)+IF(Table44[[#This Row],[Towing]:[Towing]]="Y",'Towing Bat Cost'!I5,0),"N/A")</f>
        <v>3041.7784112965137</v>
      </c>
      <c r="N124" s="157">
        <f>IF(Table44[[#This Row],[Applicable Package?]:[Applicable Package?]]="Y",SUM('Rolled Up Non-Incremental Costs'!J5,'ICE Removal Cost'!J5,'Trans Removal Cost'!J5,'LEV3 Criteria Emissions Cost'!J5,'ZEV Assembly Reductions'!J5,'ACCII Criteria Compliance Cost'!J5,'ACCII GHG Compliance'!J5,'Current GHG Compliance'!J5)+IF(Table44[[#This Row],[Cold]:[Cold]]="Y",'Cold Weather Package'!J5,0)+IF(Table44[[#This Row],[eAWD]:[eAWD]]="Y",'eAWD Package'!J5,0)+IF(Table44[[#This Row],[Towing]:[Towing]]="Y",'Towing Bat Cost'!J5,0),"N/A")</f>
        <v>2666.5683368822947</v>
      </c>
      <c r="O124" s="157">
        <f>IF(Table44[[#This Row],[Applicable Package?]:[Applicable Package?]]="Y",SUM('Rolled Up Non-Incremental Costs'!K5,'ICE Removal Cost'!K5,'Trans Removal Cost'!K5,'LEV3 Criteria Emissions Cost'!K5,'ZEV Assembly Reductions'!K5,'ACCII Criteria Compliance Cost'!K5,'ACCII GHG Compliance'!K5,'Current GHG Compliance'!K5)+IF(Table44[[#This Row],[Cold]:[Cold]]="Y",'Cold Weather Package'!K5,0)+IF(Table44[[#This Row],[eAWD]:[eAWD]]="Y",'eAWD Package'!K5,0)+IF(Table44[[#This Row],[Towing]:[Towing]]="Y",'Towing Bat Cost'!K5,0),"N/A")</f>
        <v>2333.7610593394988</v>
      </c>
      <c r="P124" s="157">
        <f>IF(Table44[[#This Row],[Applicable Package?]:[Applicable Package?]]="Y",SUM('Rolled Up Non-Incremental Costs'!L5,'ICE Removal Cost'!L5,'Trans Removal Cost'!L5,'LEV3 Criteria Emissions Cost'!L5,'ZEV Assembly Reductions'!L5,'ACCII Criteria Compliance Cost'!L5,'ACCII GHG Compliance'!L5,'Current GHG Compliance'!L5)+IF(Table44[[#This Row],[Cold]:[Cold]]="Y",'Cold Weather Package'!L5,0)+IF(Table44[[#This Row],[eAWD]:[eAWD]]="Y",'eAWD Package'!L5,0)+IF(Table44[[#This Row],[Towing]:[Towing]]="Y",'Towing Bat Cost'!L5,0),"N/A")</f>
        <v>2016.8640393531541</v>
      </c>
      <c r="Q124" s="157">
        <f>IF(Table44[[#This Row],[Applicable Package?]:[Applicable Package?]]="Y",SUM('Rolled Up Non-Incremental Costs'!M5,'ICE Removal Cost'!M5,'Trans Removal Cost'!M5,'LEV3 Criteria Emissions Cost'!M5,'ZEV Assembly Reductions'!M5,'ACCII Criteria Compliance Cost'!M5,'ACCII GHG Compliance'!M5,'Current GHG Compliance'!M5)+IF(Table44[[#This Row],[Cold]:[Cold]]="Y",'Cold Weather Package'!M5,0)+IF(Table44[[#This Row],[eAWD]:[eAWD]]="Y",'eAWD Package'!M5,0)+IF(Table44[[#This Row],[Towing]:[Towing]]="Y",'Towing Bat Cost'!M5,0),"N/A")</f>
        <v>1715.0292997309384</v>
      </c>
      <c r="R124" s="157">
        <f>IF(Table44[[#This Row],[Applicable Package?]:[Applicable Package?]]="Y",SUM('Rolled Up Non-Incremental Costs'!N5,'ICE Removal Cost'!N5,'Trans Removal Cost'!N5,'LEV3 Criteria Emissions Cost'!N5,'ZEV Assembly Reductions'!N5,'ACCII Criteria Compliance Cost'!N5,'ACCII GHG Compliance'!N5,'Current GHG Compliance'!N5)+IF(Table44[[#This Row],[Cold]:[Cold]]="Y",'Cold Weather Package'!N5,0)+IF(Table44[[#This Row],[eAWD]:[eAWD]]="Y",'eAWD Package'!N5,0)+IF(Table44[[#This Row],[Towing]:[Towing]]="Y",'Towing Bat Cost'!N5,0),"N/A")</f>
        <v>1427.4550589377145</v>
      </c>
      <c r="S124" s="157">
        <f>IF(Table44[[#This Row],[Applicable Package?]:[Applicable Package?]]="Y",SUM('Rolled Up Non-Incremental Costs'!O5,'ICE Removal Cost'!O5,'Trans Removal Cost'!O5,'LEV3 Criteria Emissions Cost'!O5,'ZEV Assembly Reductions'!O5,'ACCII Criteria Compliance Cost'!O5,'ACCII GHG Compliance'!O5,'Current GHG Compliance'!O5)+IF(Table44[[#This Row],[Cold]:[Cold]]="Y",'Cold Weather Package'!O5,0)+IF(Table44[[#This Row],[eAWD]:[eAWD]]="Y",'eAWD Package'!O5,0)+IF(Table44[[#This Row],[Towing]:[Towing]]="Y",'Towing Bat Cost'!O5,0),"N/A")</f>
        <v>1153.3832041942494</v>
      </c>
    </row>
    <row r="125" spans="1:19" x14ac:dyDescent="0.3">
      <c r="A125" t="str">
        <f t="shared" si="2"/>
        <v>SmallCarPremiumBEV400</v>
      </c>
      <c r="B125" s="90" t="s">
        <v>73</v>
      </c>
      <c r="C125" s="68" t="s">
        <v>80</v>
      </c>
      <c r="D125" s="68" t="str">
        <f>'Vehicle Attributes - Base Year'!D3</f>
        <v>BEV400</v>
      </c>
      <c r="E125" s="124" t="s">
        <v>76</v>
      </c>
      <c r="F125" s="124" t="s">
        <v>76</v>
      </c>
      <c r="G125" s="125" t="s">
        <v>77</v>
      </c>
      <c r="H125" s="156" t="s">
        <v>76</v>
      </c>
      <c r="I125" s="157">
        <f>IF(Table44[[#This Row],[Applicable Package?]:[Applicable Package?]]="Y",SUM('Rolled Up Non-Incremental Costs'!E6,'ICE Removal Cost'!E6,'Trans Removal Cost'!E6,'LEV3 Criteria Emissions Cost'!E6,'ZEV Assembly Reductions'!E6,'ACCII Criteria Compliance Cost'!E6,'ACCII GHG Compliance'!E6,'Current GHG Compliance'!E6)+IF(Table44[[#This Row],[Cold]:[Cold]]="Y",'Cold Weather Package'!E6,0)+IF(Table44[[#This Row],[eAWD]:[eAWD]]="Y",'eAWD Package'!E6,0)+IF(Table44[[#This Row],[Towing]:[Towing]]="Y",'Towing Bat Cost'!E6,0),"N/A")</f>
        <v>8361.3552631578968</v>
      </c>
      <c r="J125" s="157">
        <f>IF(Table44[[#This Row],[Applicable Package?]:[Applicable Package?]]="Y",SUM('Rolled Up Non-Incremental Costs'!F6,'ICE Removal Cost'!F6,'Trans Removal Cost'!F6,'LEV3 Criteria Emissions Cost'!F6,'ZEV Assembly Reductions'!F6,'ACCII Criteria Compliance Cost'!F6,'ACCII GHG Compliance'!F6,'Current GHG Compliance'!F6)+IF(Table44[[#This Row],[Cold]:[Cold]]="Y",'Cold Weather Package'!F6,0)+IF(Table44[[#This Row],[eAWD]:[eAWD]]="Y",'eAWD Package'!F6,0)+IF(Table44[[#This Row],[Towing]:[Towing]]="Y",'Towing Bat Cost'!F6,0),"N/A")</f>
        <v>7545.724605263159</v>
      </c>
      <c r="K125" s="157">
        <f>IF(Table44[[#This Row],[Applicable Package?]:[Applicable Package?]]="Y",SUM('Rolled Up Non-Incremental Costs'!G6,'ICE Removal Cost'!G6,'Trans Removal Cost'!G6,'LEV3 Criteria Emissions Cost'!G6,'ZEV Assembly Reductions'!G6,'ACCII Criteria Compliance Cost'!G6,'ACCII GHG Compliance'!G6,'Current GHG Compliance'!G6)+IF(Table44[[#This Row],[Cold]:[Cold]]="Y",'Cold Weather Package'!G6,0)+IF(Table44[[#This Row],[eAWD]:[eAWD]]="Y",'eAWD Package'!G6,0)+IF(Table44[[#This Row],[Towing]:[Towing]]="Y",'Towing Bat Cost'!G6,0),"N/A")</f>
        <v>6787.1972963552662</v>
      </c>
      <c r="L125" s="157">
        <f>IF(Table44[[#This Row],[Applicable Package?]:[Applicable Package?]]="Y",SUM('Rolled Up Non-Incremental Costs'!H6,'ICE Removal Cost'!H6,'Trans Removal Cost'!H6,'LEV3 Criteria Emissions Cost'!H6,'ZEV Assembly Reductions'!H6,'ACCII Criteria Compliance Cost'!H6,'ACCII GHG Compliance'!H6,'Current GHG Compliance'!H6)+IF(Table44[[#This Row],[Cold]:[Cold]]="Y",'Cold Weather Package'!H6,0)+IF(Table44[[#This Row],[eAWD]:[eAWD]]="Y",'eAWD Package'!H6,0)+IF(Table44[[#This Row],[Towing]:[Towing]]="Y",'Towing Bat Cost'!H6,0),"N/A")</f>
        <v>6081.5484062285941</v>
      </c>
      <c r="M125" s="157">
        <f>IF(Table44[[#This Row],[Applicable Package?]:[Applicable Package?]]="Y",SUM('Rolled Up Non-Incremental Costs'!I6,'ICE Removal Cost'!I6,'Trans Removal Cost'!I6,'LEV3 Criteria Emissions Cost'!I6,'ZEV Assembly Reductions'!I6,'ACCII Criteria Compliance Cost'!I6,'ACCII GHG Compliance'!I6,'Current GHG Compliance'!I6)+IF(Table44[[#This Row],[Cold]:[Cold]]="Y",'Cold Weather Package'!I6,0)+IF(Table44[[#This Row],[eAWD]:[eAWD]]="Y",'eAWD Package'!I6,0)+IF(Table44[[#This Row],[Towing]:[Towing]]="Y",'Towing Bat Cost'!I6,0),"N/A")</f>
        <v>5424.8680173694138</v>
      </c>
      <c r="N125" s="157">
        <f>IF(Table44[[#This Row],[Applicable Package?]:[Applicable Package?]]="Y",SUM('Rolled Up Non-Incremental Costs'!J6,'ICE Removal Cost'!J6,'Trans Removal Cost'!J6,'LEV3 Criteria Emissions Cost'!J6,'ZEV Assembly Reductions'!J6,'ACCII Criteria Compliance Cost'!J6,'ACCII GHG Compliance'!J6,'Current GHG Compliance'!J6)+IF(Table44[[#This Row],[Cold]:[Cold]]="Y",'Cold Weather Package'!J6,0)+IF(Table44[[#This Row],[eAWD]:[eAWD]]="Y",'eAWD Package'!J6,0)+IF(Table44[[#This Row],[Towing]:[Towing]]="Y",'Towing Bat Cost'!J6,0),"N/A")</f>
        <v>4928.558101133146</v>
      </c>
      <c r="O125" s="157">
        <f>IF(Table44[[#This Row],[Applicable Package?]:[Applicable Package?]]="Y",SUM('Rolled Up Non-Incremental Costs'!K6,'ICE Removal Cost'!K6,'Trans Removal Cost'!K6,'LEV3 Criteria Emissions Cost'!K6,'ZEV Assembly Reductions'!K6,'ACCII Criteria Compliance Cost'!K6,'ACCII GHG Compliance'!K6,'Current GHG Compliance'!K6)+IF(Table44[[#This Row],[Cold]:[Cold]]="Y",'Cold Weather Package'!K6,0)+IF(Table44[[#This Row],[eAWD]:[eAWD]]="Y",'eAWD Package'!K6,0)+IF(Table44[[#This Row],[Towing]:[Towing]]="Y",'Towing Bat Cost'!K6,0),"N/A")</f>
        <v>4489.8658555949532</v>
      </c>
      <c r="P125" s="157">
        <f>IF(Table44[[#This Row],[Applicable Package?]:[Applicable Package?]]="Y",SUM('Rolled Up Non-Incremental Costs'!L6,'ICE Removal Cost'!L6,'Trans Removal Cost'!L6,'LEV3 Criteria Emissions Cost'!L6,'ZEV Assembly Reductions'!L6,'ACCII Criteria Compliance Cost'!L6,'ACCII GHG Compliance'!L6,'Current GHG Compliance'!L6)+IF(Table44[[#This Row],[Cold]:[Cold]]="Y",'Cold Weather Package'!L6,0)+IF(Table44[[#This Row],[eAWD]:[eAWD]]="Y",'eAWD Package'!L6,0)+IF(Table44[[#This Row],[Towing]:[Towing]]="Y",'Towing Bat Cost'!L6,0),"N/A")</f>
        <v>4072.7014798949854</v>
      </c>
      <c r="Q125" s="157">
        <f>IF(Table44[[#This Row],[Applicable Package?]:[Applicable Package?]]="Y",SUM('Rolled Up Non-Incremental Costs'!M6,'ICE Removal Cost'!M6,'Trans Removal Cost'!M6,'LEV3 Criteria Emissions Cost'!M6,'ZEV Assembly Reductions'!M6,'ACCII Criteria Compliance Cost'!M6,'ACCII GHG Compliance'!M6,'Current GHG Compliance'!M6)+IF(Table44[[#This Row],[Cold]:[Cold]]="Y",'Cold Weather Package'!M6,0)+IF(Table44[[#This Row],[eAWD]:[eAWD]]="Y",'eAWD Package'!M6,0)+IF(Table44[[#This Row],[Towing]:[Towing]]="Y",'Towing Bat Cost'!M6,0),"N/A")</f>
        <v>3675.911228465653</v>
      </c>
      <c r="R125" s="157">
        <f>IF(Table44[[#This Row],[Applicable Package?]:[Applicable Package?]]="Y",SUM('Rolled Up Non-Incremental Costs'!N6,'ICE Removal Cost'!N6,'Trans Removal Cost'!N6,'LEV3 Criteria Emissions Cost'!N6,'ZEV Assembly Reductions'!N6,'ACCII Criteria Compliance Cost'!N6,'ACCII GHG Compliance'!N6,'Current GHG Compliance'!N6)+IF(Table44[[#This Row],[Cold]:[Cold]]="Y",'Cold Weather Package'!N6,0)+IF(Table44[[#This Row],[eAWD]:[eAWD]]="Y",'eAWD Package'!N6,0)+IF(Table44[[#This Row],[Towing]:[Towing]]="Y",'Towing Bat Cost'!N6,0),"N/A")</f>
        <v>3298.4042742561287</v>
      </c>
      <c r="S125" s="157">
        <f>IF(Table44[[#This Row],[Applicable Package?]:[Applicable Package?]]="Y",SUM('Rolled Up Non-Incremental Costs'!O6,'ICE Removal Cost'!O6,'Trans Removal Cost'!O6,'LEV3 Criteria Emissions Cost'!O6,'ZEV Assembly Reductions'!O6,'ACCII Criteria Compliance Cost'!O6,'ACCII GHG Compliance'!O6,'Current GHG Compliance'!O6)+IF(Table44[[#This Row],[Cold]:[Cold]]="Y",'Cold Weather Package'!O6,0)+IF(Table44[[#This Row],[eAWD]:[eAWD]]="Y",'eAWD Package'!O6,0)+IF(Table44[[#This Row],[Towing]:[Towing]]="Y",'Towing Bat Cost'!O6,0),"N/A")</f>
        <v>2939.1492664340849</v>
      </c>
    </row>
    <row r="126" spans="1:19" x14ac:dyDescent="0.3">
      <c r="A126" s="28" t="str">
        <f t="shared" si="2"/>
        <v>MedCarBaseBEV300</v>
      </c>
      <c r="B126" s="90" t="s">
        <v>82</v>
      </c>
      <c r="C126" s="68" t="s">
        <v>75</v>
      </c>
      <c r="D126" s="68" t="str">
        <f>'Vehicle Attributes - Base Year'!D4</f>
        <v>BEV300</v>
      </c>
      <c r="E126" s="124" t="s">
        <v>76</v>
      </c>
      <c r="F126" s="124" t="s">
        <v>76</v>
      </c>
      <c r="G126" s="125" t="s">
        <v>77</v>
      </c>
      <c r="H126" s="156" t="s">
        <v>76</v>
      </c>
      <c r="I126" s="157">
        <f>IF(Table44[[#This Row],[Applicable Package?]:[Applicable Package?]]="Y",SUM('Rolled Up Non-Incremental Costs'!E7,'ICE Removal Cost'!E7,'Trans Removal Cost'!E7,'LEV3 Criteria Emissions Cost'!E7,'ZEV Assembly Reductions'!E7,'ACCII Criteria Compliance Cost'!E7,'ACCII GHG Compliance'!E7,'Current GHG Compliance'!E7)+IF(Table44[[#This Row],[Cold]:[Cold]]="Y",'Cold Weather Package'!E7,0)+IF(Table44[[#This Row],[eAWD]:[eAWD]]="Y",'eAWD Package'!E7,0)+IF(Table44[[#This Row],[Towing]:[Towing]]="Y",'Towing Bat Cost'!E7,0),"N/A")</f>
        <v>6062.4210526315801</v>
      </c>
      <c r="J126" s="157">
        <f>IF(Table44[[#This Row],[Applicable Package?]:[Applicable Package?]]="Y",SUM('Rolled Up Non-Incremental Costs'!F7,'ICE Removal Cost'!F7,'Trans Removal Cost'!F7,'LEV3 Criteria Emissions Cost'!F7,'ZEV Assembly Reductions'!F7,'ACCII Criteria Compliance Cost'!F7,'ACCII GHG Compliance'!F7,'Current GHG Compliance'!F7)+IF(Table44[[#This Row],[Cold]:[Cold]]="Y",'Cold Weather Package'!F7,0)+IF(Table44[[#This Row],[eAWD]:[eAWD]]="Y",'eAWD Package'!F7,0)+IF(Table44[[#This Row],[Towing]:[Towing]]="Y",'Towing Bat Cost'!F7,0),"N/A")</f>
        <v>5423.2384210526334</v>
      </c>
      <c r="K126" s="157">
        <f>IF(Table44[[#This Row],[Applicable Package?]:[Applicable Package?]]="Y",SUM('Rolled Up Non-Incremental Costs'!G7,'ICE Removal Cost'!G7,'Trans Removal Cost'!G7,'LEV3 Criteria Emissions Cost'!G7,'ZEV Assembly Reductions'!G7,'ACCII Criteria Compliance Cost'!G7,'ACCII GHG Compliance'!G7,'Current GHG Compliance'!G7)+IF(Table44[[#This Row],[Cold]:[Cold]]="Y",'Cold Weather Package'!G7,0)+IF(Table44[[#This Row],[eAWD]:[eAWD]]="Y",'eAWD Package'!G7,0)+IF(Table44[[#This Row],[Towing]:[Towing]]="Y",'Towing Bat Cost'!G7,0),"N/A")</f>
        <v>4827.9389674210543</v>
      </c>
      <c r="L126" s="157">
        <f>IF(Table44[[#This Row],[Applicable Package?]:[Applicable Package?]]="Y",SUM('Rolled Up Non-Incremental Costs'!H7,'ICE Removal Cost'!H7,'Trans Removal Cost'!H7,'LEV3 Criteria Emissions Cost'!H7,'ZEV Assembly Reductions'!H7,'ACCII Criteria Compliance Cost'!H7,'ACCII GHG Compliance'!H7,'Current GHG Compliance'!H7)+IF(Table44[[#This Row],[Cold]:[Cold]]="Y",'Cold Weather Package'!H7,0)+IF(Table44[[#This Row],[eAWD]:[eAWD]]="Y",'eAWD Package'!H7,0)+IF(Table44[[#This Row],[Towing]:[Towing]]="Y",'Towing Bat Cost'!H7,0),"N/A")</f>
        <v>4273.2851305580716</v>
      </c>
      <c r="M126" s="157">
        <f>IF(Table44[[#This Row],[Applicable Package?]:[Applicable Package?]]="Y",SUM('Rolled Up Non-Incremental Costs'!I7,'ICE Removal Cost'!I7,'Trans Removal Cost'!I7,'LEV3 Criteria Emissions Cost'!I7,'ZEV Assembly Reductions'!I7,'ACCII Criteria Compliance Cost'!I7,'ACCII GHG Compliance'!I7,'Current GHG Compliance'!I7)+IF(Table44[[#This Row],[Cold]:[Cold]]="Y",'Cold Weather Package'!I7,0)+IF(Table44[[#This Row],[eAWD]:[eAWD]]="Y",'eAWD Package'!I7,0)+IF(Table44[[#This Row],[Towing]:[Towing]]="Y",'Towing Bat Cost'!I7,0),"N/A")</f>
        <v>3756.2806500463612</v>
      </c>
      <c r="N126" s="157">
        <f>IF(Table44[[#This Row],[Applicable Package?]:[Applicable Package?]]="Y",SUM('Rolled Up Non-Incremental Costs'!J7,'ICE Removal Cost'!J7,'Trans Removal Cost'!J7,'LEV3 Criteria Emissions Cost'!J7,'ZEV Assembly Reductions'!J7,'ACCII Criteria Compliance Cost'!J7,'ACCII GHG Compliance'!J7,'Current GHG Compliance'!J7)+IF(Table44[[#This Row],[Cold]:[Cold]]="Y",'Cold Weather Package'!J7,0)+IF(Table44[[#This Row],[eAWD]:[eAWD]]="Y",'eAWD Package'!J7,0)+IF(Table44[[#This Row],[Towing]:[Towing]]="Y",'Towing Bat Cost'!J7,0),"N/A")</f>
        <v>3362.2532797532872</v>
      </c>
      <c r="O126" s="157">
        <f>IF(Table44[[#This Row],[Applicable Package?]:[Applicable Package?]]="Y",SUM('Rolled Up Non-Incremental Costs'!K7,'ICE Removal Cost'!K7,'Trans Removal Cost'!K7,'LEV3 Criteria Emissions Cost'!K7,'ZEV Assembly Reductions'!K7,'ACCII Criteria Compliance Cost'!K7,'ACCII GHG Compliance'!K7,'Current GHG Compliance'!K7)+IF(Table44[[#This Row],[Cold]:[Cold]]="Y",'Cold Weather Package'!K7,0)+IF(Table44[[#This Row],[eAWD]:[eAWD]]="Y",'eAWD Package'!K7,0)+IF(Table44[[#This Row],[Towing]:[Towing]]="Y",'Towing Bat Cost'!K7,0),"N/A")</f>
        <v>3012.4973443394347</v>
      </c>
      <c r="P126" s="157">
        <f>IF(Table44[[#This Row],[Applicable Package?]:[Applicable Package?]]="Y",SUM('Rolled Up Non-Incremental Costs'!L7,'ICE Removal Cost'!L7,'Trans Removal Cost'!L7,'LEV3 Criteria Emissions Cost'!L7,'ZEV Assembly Reductions'!L7,'ACCII Criteria Compliance Cost'!L7,'ACCII GHG Compliance'!L7,'Current GHG Compliance'!L7)+IF(Table44[[#This Row],[Cold]:[Cold]]="Y",'Cold Weather Package'!L7,0)+IF(Table44[[#This Row],[eAWD]:[eAWD]]="Y",'eAWD Package'!L7,0)+IF(Table44[[#This Row],[Towing]:[Towing]]="Y",'Towing Bat Cost'!L7,0),"N/A")</f>
        <v>2679.3682045729634</v>
      </c>
      <c r="Q126" s="157">
        <f>IF(Table44[[#This Row],[Applicable Package?]:[Applicable Package?]]="Y",SUM('Rolled Up Non-Incremental Costs'!M7,'ICE Removal Cost'!M7,'Trans Removal Cost'!M7,'LEV3 Criteria Emissions Cost'!M7,'ZEV Assembly Reductions'!M7,'ACCII Criteria Compliance Cost'!M7,'ACCII GHG Compliance'!M7,'Current GHG Compliance'!M7)+IF(Table44[[#This Row],[Cold]:[Cold]]="Y",'Cold Weather Package'!M7,0)+IF(Table44[[#This Row],[eAWD]:[eAWD]]="Y",'eAWD Package'!M7,0)+IF(Table44[[#This Row],[Towing]:[Towing]]="Y",'Towing Bat Cost'!M7,0),"N/A")</f>
        <v>2361.9807668103458</v>
      </c>
      <c r="R126" s="157">
        <f>IF(Table44[[#This Row],[Applicable Package?]:[Applicable Package?]]="Y",SUM('Rolled Up Non-Incremental Costs'!N7,'ICE Removal Cost'!N7,'Trans Removal Cost'!N7,'LEV3 Criteria Emissions Cost'!N7,'ZEV Assembly Reductions'!N7,'ACCII Criteria Compliance Cost'!N7,'ACCII GHG Compliance'!N7,'Current GHG Compliance'!N7)+IF(Table44[[#This Row],[Cold]:[Cold]]="Y",'Cold Weather Package'!N7,0)+IF(Table44[[#This Row],[eAWD]:[eAWD]]="Y",'eAWD Package'!N7,0)+IF(Table44[[#This Row],[Towing]:[Towing]]="Y",'Towing Bat Cost'!N7,0),"N/A")</f>
        <v>2059.4981440508514</v>
      </c>
      <c r="S126" s="157">
        <f>IF(Table44[[#This Row],[Applicable Package?]:[Applicable Package?]]="Y",SUM('Rolled Up Non-Incremental Costs'!O7,'ICE Removal Cost'!O7,'Trans Removal Cost'!O7,'LEV3 Criteria Emissions Cost'!O7,'ZEV Assembly Reductions'!O7,'ACCII Criteria Compliance Cost'!O7,'ACCII GHG Compliance'!O7,'Current GHG Compliance'!O7)+IF(Table44[[#This Row],[Cold]:[Cold]]="Y",'Cold Weather Package'!O7,0)+IF(Table44[[#This Row],[eAWD]:[eAWD]]="Y",'eAWD Package'!O7,0)+IF(Table44[[#This Row],[Towing]:[Towing]]="Y",'Towing Bat Cost'!O7,0),"N/A")</f>
        <v>1771.1290191452083</v>
      </c>
    </row>
    <row r="127" spans="1:19" x14ac:dyDescent="0.3">
      <c r="A127" t="str">
        <f t="shared" si="2"/>
        <v>MedCarPremiumBEV400</v>
      </c>
      <c r="B127" s="90" t="s">
        <v>82</v>
      </c>
      <c r="C127" s="68" t="s">
        <v>80</v>
      </c>
      <c r="D127" s="68" t="str">
        <f>'Vehicle Attributes - Base Year'!D5</f>
        <v>BEV400</v>
      </c>
      <c r="E127" s="124" t="s">
        <v>76</v>
      </c>
      <c r="F127" s="124" t="s">
        <v>76</v>
      </c>
      <c r="G127" s="125" t="s">
        <v>77</v>
      </c>
      <c r="H127" s="156" t="s">
        <v>76</v>
      </c>
      <c r="I127" s="157">
        <f>IF(Table44[[#This Row],[Applicable Package?]:[Applicable Package?]]="Y",SUM('Rolled Up Non-Incremental Costs'!E8,'ICE Removal Cost'!E8,'Trans Removal Cost'!E8,'LEV3 Criteria Emissions Cost'!E8,'ZEV Assembly Reductions'!E8,'ACCII Criteria Compliance Cost'!E8,'ACCII GHG Compliance'!E8,'Current GHG Compliance'!E8)+IF(Table44[[#This Row],[Cold]:[Cold]]="Y",'Cold Weather Package'!E8,0)+IF(Table44[[#This Row],[eAWD]:[eAWD]]="Y",'eAWD Package'!E8,0)+IF(Table44[[#This Row],[Towing]:[Towing]]="Y",'Towing Bat Cost'!E8,0),"N/A")</f>
        <v>9766.4894736842107</v>
      </c>
      <c r="J127" s="157">
        <f>IF(Table44[[#This Row],[Applicable Package?]:[Applicable Package?]]="Y",SUM('Rolled Up Non-Incremental Costs'!F8,'ICE Removal Cost'!F8,'Trans Removal Cost'!F8,'LEV3 Criteria Emissions Cost'!F8,'ZEV Assembly Reductions'!F8,'ACCII Criteria Compliance Cost'!F8,'ACCII GHG Compliance'!F8,'Current GHG Compliance'!F8)+IF(Table44[[#This Row],[Cold]:[Cold]]="Y",'Cold Weather Package'!F8,0)+IF(Table44[[#This Row],[eAWD]:[eAWD]]="Y",'eAWD Package'!F8,0)+IF(Table44[[#This Row],[Towing]:[Towing]]="Y",'Towing Bat Cost'!F8,0),"N/A")</f>
        <v>8889.3747894736862</v>
      </c>
      <c r="K127" s="157">
        <f>IF(Table44[[#This Row],[Applicable Package?]:[Applicable Package?]]="Y",SUM('Rolled Up Non-Incremental Costs'!G8,'ICE Removal Cost'!G8,'Trans Removal Cost'!G8,'LEV3 Criteria Emissions Cost'!G8,'ZEV Assembly Reductions'!G8,'ACCII Criteria Compliance Cost'!G8,'ACCII GHG Compliance'!G8,'Current GHG Compliance'!G8)+IF(Table44[[#This Row],[Cold]:[Cold]]="Y",'Cold Weather Package'!G8,0)+IF(Table44[[#This Row],[eAWD]:[eAWD]]="Y",'eAWD Package'!G8,0)+IF(Table44[[#This Row],[Towing]:[Towing]]="Y",'Towing Bat Cost'!G8,0),"N/A")</f>
        <v>8073.5191443894764</v>
      </c>
      <c r="L127" s="157">
        <f>IF(Table44[[#This Row],[Applicable Package?]:[Applicable Package?]]="Y",SUM('Rolled Up Non-Incremental Costs'!H8,'ICE Removal Cost'!H8,'Trans Removal Cost'!H8,'LEV3 Criteria Emissions Cost'!H8,'ZEV Assembly Reductions'!H8,'ACCII Criteria Compliance Cost'!H8,'ACCII GHG Compliance'!H8,'Current GHG Compliance'!H8)+IF(Table44[[#This Row],[Cold]:[Cold]]="Y",'Cold Weather Package'!H8,0)+IF(Table44[[#This Row],[eAWD]:[eAWD]]="Y",'eAWD Package'!H8,0)+IF(Table44[[#This Row],[Towing]:[Towing]]="Y",'Towing Bat Cost'!H8,0),"N/A")</f>
        <v>7314.3917268812984</v>
      </c>
      <c r="M127" s="157">
        <f>IF(Table44[[#This Row],[Applicable Package?]:[Applicable Package?]]="Y",SUM('Rolled Up Non-Incremental Costs'!I8,'ICE Removal Cost'!I8,'Trans Removal Cost'!I8,'LEV3 Criteria Emissions Cost'!I8,'ZEV Assembly Reductions'!I8,'ACCII Criteria Compliance Cost'!I8,'ACCII GHG Compliance'!I8,'Current GHG Compliance'!I8)+IF(Table44[[#This Row],[Cold]:[Cold]]="Y",'Cold Weather Package'!I8,0)+IF(Table44[[#This Row],[eAWD]:[eAWD]]="Y",'eAWD Package'!I8,0)+IF(Table44[[#This Row],[Towing]:[Towing]]="Y",'Towing Bat Cost'!I8,0),"N/A")</f>
        <v>6607.7995287239046</v>
      </c>
      <c r="N127" s="157">
        <f>IF(Table44[[#This Row],[Applicable Package?]:[Applicable Package?]]="Y",SUM('Rolled Up Non-Incremental Costs'!J8,'ICE Removal Cost'!J8,'Trans Removal Cost'!J8,'LEV3 Criteria Emissions Cost'!J8,'ZEV Assembly Reductions'!J8,'ACCII Criteria Compliance Cost'!J8,'ACCII GHG Compliance'!J8,'Current GHG Compliance'!J8)+IF(Table44[[#This Row],[Cold]:[Cold]]="Y",'Cold Weather Package'!J8,0)+IF(Table44[[#This Row],[eAWD]:[eAWD]]="Y",'eAWD Package'!J8,0)+IF(Table44[[#This Row],[Towing]:[Towing]]="Y",'Towing Bat Cost'!J8,0),"N/A")</f>
        <v>6073.2031441270119</v>
      </c>
      <c r="O127" s="157">
        <f>IF(Table44[[#This Row],[Applicable Package?]:[Applicable Package?]]="Y",SUM('Rolled Up Non-Incremental Costs'!K8,'ICE Removal Cost'!K8,'Trans Removal Cost'!K8,'LEV3 Criteria Emissions Cost'!K8,'ZEV Assembly Reductions'!K8,'ACCII Criteria Compliance Cost'!K8,'ACCII GHG Compliance'!K8,'Current GHG Compliance'!K8)+IF(Table44[[#This Row],[Cold]:[Cold]]="Y",'Cold Weather Package'!K8,0)+IF(Table44[[#This Row],[eAWD]:[eAWD]]="Y",'eAWD Package'!K8,0)+IF(Table44[[#This Row],[Towing]:[Towing]]="Y",'Towing Bat Cost'!K8,0),"N/A")</f>
        <v>5600.416349022893</v>
      </c>
      <c r="P127" s="157">
        <f>IF(Table44[[#This Row],[Applicable Package?]:[Applicable Package?]]="Y",SUM('Rolled Up Non-Incremental Costs'!L8,'ICE Removal Cost'!L8,'Trans Removal Cost'!L8,'LEV3 Criteria Emissions Cost'!L8,'ZEV Assembly Reductions'!L8,'ACCII Criteria Compliance Cost'!L8,'ACCII GHG Compliance'!L8,'Current GHG Compliance'!L8)+IF(Table44[[#This Row],[Cold]:[Cold]]="Y",'Cold Weather Package'!L8,0)+IF(Table44[[#This Row],[eAWD]:[eAWD]]="Y",'eAWD Package'!L8,0)+IF(Table44[[#This Row],[Towing]:[Towing]]="Y",'Towing Bat Cost'!L8,0),"N/A")</f>
        <v>5150.7383526803551</v>
      </c>
      <c r="Q127" s="157">
        <f>IF(Table44[[#This Row],[Applicable Package?]:[Applicable Package?]]="Y",SUM('Rolled Up Non-Incremental Costs'!M8,'ICE Removal Cost'!M8,'Trans Removal Cost'!M8,'LEV3 Criteria Emissions Cost'!M8,'ZEV Assembly Reductions'!M8,'ACCII Criteria Compliance Cost'!M8,'ACCII GHG Compliance'!M8,'Current GHG Compliance'!M8)+IF(Table44[[#This Row],[Cold]:[Cold]]="Y",'Cold Weather Package'!M8,0)+IF(Table44[[#This Row],[eAWD]:[eAWD]]="Y",'eAWD Package'!M8,0)+IF(Table44[[#This Row],[Towing]:[Towing]]="Y",'Towing Bat Cost'!M8,0),"N/A")</f>
        <v>4722.9317111499086</v>
      </c>
      <c r="R127" s="157">
        <f>IF(Table44[[#This Row],[Applicable Package?]:[Applicable Package?]]="Y",SUM('Rolled Up Non-Incremental Costs'!N8,'ICE Removal Cost'!N8,'Trans Removal Cost'!N8,'LEV3 Criteria Emissions Cost'!N8,'ZEV Assembly Reductions'!N8,'ACCII Criteria Compliance Cost'!N8,'ACCII GHG Compliance'!N8,'Current GHG Compliance'!N8)+IF(Table44[[#This Row],[Cold]:[Cold]]="Y",'Cold Weather Package'!N8,0)+IF(Table44[[#This Row],[eAWD]:[eAWD]]="Y",'eAWD Package'!N8,0)+IF(Table44[[#This Row],[Towing]:[Towing]]="Y",'Towing Bat Cost'!N8,0),"N/A")</f>
        <v>4315.8264529104654</v>
      </c>
      <c r="S127" s="157">
        <f>IF(Table44[[#This Row],[Applicable Package?]:[Applicable Package?]]="Y",SUM('Rolled Up Non-Incremental Costs'!O8,'ICE Removal Cost'!O8,'Trans Removal Cost'!O8,'LEV3 Criteria Emissions Cost'!O8,'ZEV Assembly Reductions'!O8,'ACCII Criteria Compliance Cost'!O8,'ACCII GHG Compliance'!O8,'Current GHG Compliance'!O8)+IF(Table44[[#This Row],[Cold]:[Cold]]="Y",'Cold Weather Package'!O8,0)+IF(Table44[[#This Row],[eAWD]:[eAWD]]="Y",'eAWD Package'!O8,0)+IF(Table44[[#This Row],[Towing]:[Towing]]="Y",'Towing Bat Cost'!O8,0),"N/A")</f>
        <v>3928.3163875301716</v>
      </c>
    </row>
    <row r="128" spans="1:19" x14ac:dyDescent="0.3">
      <c r="A128" s="28" t="str">
        <f t="shared" si="2"/>
        <v>SmallSUVBaseBEV300</v>
      </c>
      <c r="B128" s="90" t="s">
        <v>83</v>
      </c>
      <c r="C128" s="68" t="s">
        <v>75</v>
      </c>
      <c r="D128" s="68" t="str">
        <f>'Vehicle Attributes - Base Year'!D6</f>
        <v>BEV300</v>
      </c>
      <c r="E128" s="124" t="s">
        <v>76</v>
      </c>
      <c r="F128" s="124" t="s">
        <v>76</v>
      </c>
      <c r="G128" s="125" t="s">
        <v>77</v>
      </c>
      <c r="H128" s="156" t="s">
        <v>76</v>
      </c>
      <c r="I128" s="157">
        <f>IF(Table44[[#This Row],[Applicable Package?]:[Applicable Package?]]="Y",SUM('Rolled Up Non-Incremental Costs'!E9,'ICE Removal Cost'!E9,'Trans Removal Cost'!E9,'LEV3 Criteria Emissions Cost'!E9,'ZEV Assembly Reductions'!E9,'ACCII Criteria Compliance Cost'!E9,'ACCII GHG Compliance'!E9,'Current GHG Compliance'!E9)+IF(Table44[[#This Row],[Cold]:[Cold]]="Y",'Cold Weather Package'!E9,0)+IF(Table44[[#This Row],[eAWD]:[eAWD]]="Y",'eAWD Package'!E9,0)+IF(Table44[[#This Row],[Towing]:[Towing]]="Y",'Towing Bat Cost'!E9,0),"N/A")</f>
        <v>5955.7631578947385</v>
      </c>
      <c r="J128" s="157">
        <f>IF(Table44[[#This Row],[Applicable Package?]:[Applicable Package?]]="Y",SUM('Rolled Up Non-Incremental Costs'!F9,'ICE Removal Cost'!F9,'Trans Removal Cost'!F9,'LEV3 Criteria Emissions Cost'!F9,'ZEV Assembly Reductions'!F9,'ACCII Criteria Compliance Cost'!F9,'ACCII GHG Compliance'!F9,'Current GHG Compliance'!F9)+IF(Table44[[#This Row],[Cold]:[Cold]]="Y",'Cold Weather Package'!F9,0)+IF(Table44[[#This Row],[eAWD]:[eAWD]]="Y",'eAWD Package'!F9,0)+IF(Table44[[#This Row],[Towing]:[Towing]]="Y",'Towing Bat Cost'!F9,0),"N/A")</f>
        <v>5307.1840131578938</v>
      </c>
      <c r="K128" s="157">
        <f>IF(Table44[[#This Row],[Applicable Package?]:[Applicable Package?]]="Y",SUM('Rolled Up Non-Incremental Costs'!G9,'ICE Removal Cost'!G9,'Trans Removal Cost'!G9,'LEV3 Criteria Emissions Cost'!G9,'ZEV Assembly Reductions'!G9,'ACCII Criteria Compliance Cost'!G9,'ACCII GHG Compliance'!G9,'Current GHG Compliance'!G9)+IF(Table44[[#This Row],[Cold]:[Cold]]="Y",'Cold Weather Package'!G9,0)+IF(Table44[[#This Row],[eAWD]:[eAWD]]="Y",'eAWD Package'!G9,0)+IF(Table44[[#This Row],[Towing]:[Towing]]="Y",'Towing Bat Cost'!G9,0),"N/A")</f>
        <v>4703.3630813256605</v>
      </c>
      <c r="L128" s="157">
        <f>IF(Table44[[#This Row],[Applicable Package?]:[Applicable Package?]]="Y",SUM('Rolled Up Non-Incremental Costs'!H9,'ICE Removal Cost'!H9,'Trans Removal Cost'!H9,'LEV3 Criteria Emissions Cost'!H9,'ZEV Assembly Reductions'!H9,'ACCII Criteria Compliance Cost'!H9,'ACCII GHG Compliance'!H9,'Current GHG Compliance'!H9)+IF(Table44[[#This Row],[Cold]:[Cold]]="Y",'Cold Weather Package'!H9,0)+IF(Table44[[#This Row],[eAWD]:[eAWD]]="Y",'eAWD Package'!H9,0)+IF(Table44[[#This Row],[Towing]:[Towing]]="Y",'Towing Bat Cost'!H9,0),"N/A")</f>
        <v>4140.9957440071976</v>
      </c>
      <c r="M128" s="157">
        <f>IF(Table44[[#This Row],[Applicable Package?]:[Applicable Package?]]="Y",SUM('Rolled Up Non-Incremental Costs'!I9,'ICE Removal Cost'!I9,'Trans Removal Cost'!I9,'LEV3 Criteria Emissions Cost'!I9,'ZEV Assembly Reductions'!I9,'ACCII Criteria Compliance Cost'!I9,'ACCII GHG Compliance'!I9,'Current GHG Compliance'!I9)+IF(Table44[[#This Row],[Cold]:[Cold]]="Y",'Cold Weather Package'!I9,0)+IF(Table44[[#This Row],[eAWD]:[eAWD]]="Y",'eAWD Package'!I9,0)+IF(Table44[[#This Row],[Towing]:[Towing]]="Y",'Towing Bat Cost'!I9,0),"N/A")</f>
        <v>3617.0237067525363</v>
      </c>
      <c r="N128" s="157">
        <f>IF(Table44[[#This Row],[Applicable Package?]:[Applicable Package?]]="Y",SUM('Rolled Up Non-Incremental Costs'!J9,'ICE Removal Cost'!J9,'Trans Removal Cost'!J9,'LEV3 Criteria Emissions Cost'!J9,'ZEV Assembly Reductions'!J9,'ACCII Criteria Compliance Cost'!J9,'ACCII GHG Compliance'!J9,'Current GHG Compliance'!J9)+IF(Table44[[#This Row],[Cold]:[Cold]]="Y",'Cold Weather Package'!J9,0)+IF(Table44[[#This Row],[eAWD]:[eAWD]]="Y",'eAWD Package'!J9,0)+IF(Table44[[#This Row],[Towing]:[Towing]]="Y",'Towing Bat Cost'!J9,0),"N/A")</f>
        <v>3218.5527691467205</v>
      </c>
      <c r="O128" s="157">
        <f>IF(Table44[[#This Row],[Applicable Package?]:[Applicable Package?]]="Y",SUM('Rolled Up Non-Incremental Costs'!K9,'ICE Removal Cost'!K9,'Trans Removal Cost'!K9,'LEV3 Criteria Emissions Cost'!K9,'ZEV Assembly Reductions'!K9,'ACCII Criteria Compliance Cost'!K9,'ACCII GHG Compliance'!K9,'Current GHG Compliance'!K9)+IF(Table44[[#This Row],[Cold]:[Cold]]="Y",'Cold Weather Package'!K9,0)+IF(Table44[[#This Row],[eAWD]:[eAWD]]="Y",'eAWD Package'!K9,0)+IF(Table44[[#This Row],[Towing]:[Towing]]="Y",'Towing Bat Cost'!K9,0),"N/A")</f>
        <v>2865.2379346177595</v>
      </c>
      <c r="P128" s="157">
        <f>IF(Table44[[#This Row],[Applicable Package?]:[Applicable Package?]]="Y",SUM('Rolled Up Non-Incremental Costs'!L9,'ICE Removal Cost'!L9,'Trans Removal Cost'!L9,'LEV3 Criteria Emissions Cost'!L9,'ZEV Assembly Reductions'!L9,'ACCII Criteria Compliance Cost'!L9,'ACCII GHG Compliance'!L9,'Current GHG Compliance'!L9)+IF(Table44[[#This Row],[Cold]:[Cold]]="Y",'Cold Weather Package'!L9,0)+IF(Table44[[#This Row],[eAWD]:[eAWD]]="Y",'eAWD Package'!L9,0)+IF(Table44[[#This Row],[Towing]:[Towing]]="Y",'Towing Bat Cost'!L9,0),"N/A")</f>
        <v>2528.8590104834402</v>
      </c>
      <c r="Q128" s="157">
        <f>IF(Table44[[#This Row],[Applicable Package?]:[Applicable Package?]]="Y",SUM('Rolled Up Non-Incremental Costs'!M9,'ICE Removal Cost'!M9,'Trans Removal Cost'!M9,'LEV3 Criteria Emissions Cost'!M9,'ZEV Assembly Reductions'!M9,'ACCII Criteria Compliance Cost'!M9,'ACCII GHG Compliance'!M9,'Current GHG Compliance'!M9)+IF(Table44[[#This Row],[Cold]:[Cold]]="Y",'Cold Weather Package'!M9,0)+IF(Table44[[#This Row],[eAWD]:[eAWD]]="Y",'eAWD Package'!M9,0)+IF(Table44[[#This Row],[Towing]:[Towing]]="Y",'Towing Bat Cost'!M9,0),"N/A")</f>
        <v>2208.5128364176157</v>
      </c>
      <c r="R128" s="157">
        <f>IF(Table44[[#This Row],[Applicable Package?]:[Applicable Package?]]="Y",SUM('Rolled Up Non-Incremental Costs'!N9,'ICE Removal Cost'!N9,'Trans Removal Cost'!N9,'LEV3 Criteria Emissions Cost'!N9,'ZEV Assembly Reductions'!N9,'ACCII Criteria Compliance Cost'!N9,'ACCII GHG Compliance'!N9,'Current GHG Compliance'!N9)+IF(Table44[[#This Row],[Cold]:[Cold]]="Y",'Cold Weather Package'!N9,0)+IF(Table44[[#This Row],[eAWD]:[eAWD]]="Y",'eAWD Package'!N9,0)+IF(Table44[[#This Row],[Towing]:[Towing]]="Y",'Towing Bat Cost'!N9,0),"N/A")</f>
        <v>1903.3454593143133</v>
      </c>
      <c r="S128" s="157">
        <f>IF(Table44[[#This Row],[Applicable Package?]:[Applicable Package?]]="Y",SUM('Rolled Up Non-Incremental Costs'!O9,'ICE Removal Cost'!O9,'Trans Removal Cost'!O9,'LEV3 Criteria Emissions Cost'!O9,'ZEV Assembly Reductions'!O9,'ACCII Criteria Compliance Cost'!O9,'ACCII GHG Compliance'!O9,'Current GHG Compliance'!O9)+IF(Table44[[#This Row],[Cold]:[Cold]]="Y",'Cold Weather Package'!O9,0)+IF(Table44[[#This Row],[eAWD]:[eAWD]]="Y",'eAWD Package'!O9,0)+IF(Table44[[#This Row],[Towing]:[Towing]]="Y",'Towing Bat Cost'!O9,0),"N/A")</f>
        <v>1612.5494416005108</v>
      </c>
    </row>
    <row r="129" spans="1:19" x14ac:dyDescent="0.3">
      <c r="A129" t="str">
        <f t="shared" si="2"/>
        <v>SmallSUVPremiumBEV400</v>
      </c>
      <c r="B129" s="90" t="s">
        <v>83</v>
      </c>
      <c r="C129" s="68" t="s">
        <v>80</v>
      </c>
      <c r="D129" s="68" t="str">
        <f>'Vehicle Attributes - Base Year'!D7</f>
        <v>BEV400</v>
      </c>
      <c r="E129" s="124" t="s">
        <v>76</v>
      </c>
      <c r="F129" s="124" t="s">
        <v>76</v>
      </c>
      <c r="G129" s="125" t="s">
        <v>77</v>
      </c>
      <c r="H129" s="156" t="s">
        <v>76</v>
      </c>
      <c r="I129" s="157">
        <f>IF(Table44[[#This Row],[Applicable Package?]:[Applicable Package?]]="Y",SUM('Rolled Up Non-Incremental Costs'!E10,'ICE Removal Cost'!E10,'Trans Removal Cost'!E10,'LEV3 Criteria Emissions Cost'!E10,'ZEV Assembly Reductions'!E10,'ACCII Criteria Compliance Cost'!E10,'ACCII GHG Compliance'!E10,'Current GHG Compliance'!E10)+IF(Table44[[#This Row],[Cold]:[Cold]]="Y",'Cold Weather Package'!E10,0)+IF(Table44[[#This Row],[eAWD]:[eAWD]]="Y",'eAWD Package'!E10,0)+IF(Table44[[#This Row],[Towing]:[Towing]]="Y",'Towing Bat Cost'!E10,0),"N/A")</f>
        <v>9624.2789473684206</v>
      </c>
      <c r="J129" s="157">
        <f>IF(Table44[[#This Row],[Applicable Package?]:[Applicable Package?]]="Y",SUM('Rolled Up Non-Incremental Costs'!F10,'ICE Removal Cost'!F10,'Trans Removal Cost'!F10,'LEV3 Criteria Emissions Cost'!F10,'ZEV Assembly Reductions'!F10,'ACCII Criteria Compliance Cost'!F10,'ACCII GHG Compliance'!F10,'Current GHG Compliance'!F10)+IF(Table44[[#This Row],[Cold]:[Cold]]="Y",'Cold Weather Package'!F10,0)+IF(Table44[[#This Row],[eAWD]:[eAWD]]="Y",'eAWD Package'!F10,0)+IF(Table44[[#This Row],[Towing]:[Towing]]="Y",'Towing Bat Cost'!F10,0),"N/A")</f>
        <v>8734.6355789473691</v>
      </c>
      <c r="K129" s="157">
        <f>IF(Table44[[#This Row],[Applicable Package?]:[Applicable Package?]]="Y",SUM('Rolled Up Non-Incremental Costs'!G10,'ICE Removal Cost'!G10,'Trans Removal Cost'!G10,'LEV3 Criteria Emissions Cost'!G10,'ZEV Assembly Reductions'!G10,'ACCII Criteria Compliance Cost'!G10,'ACCII GHG Compliance'!G10,'Current GHG Compliance'!G10)+IF(Table44[[#This Row],[Cold]:[Cold]]="Y",'Cold Weather Package'!G10,0)+IF(Table44[[#This Row],[eAWD]:[eAWD]]="Y",'eAWD Package'!G10,0)+IF(Table44[[#This Row],[Towing]:[Towing]]="Y",'Towing Bat Cost'!G10,0),"N/A")</f>
        <v>7907.4179629289483</v>
      </c>
      <c r="L129" s="157">
        <f>IF(Table44[[#This Row],[Applicable Package?]:[Applicable Package?]]="Y",SUM('Rolled Up Non-Incremental Costs'!H10,'ICE Removal Cost'!H10,'Trans Removal Cost'!H10,'LEV3 Criteria Emissions Cost'!H10,'ZEV Assembly Reductions'!H10,'ACCII Criteria Compliance Cost'!H10,'ACCII GHG Compliance'!H10,'Current GHG Compliance'!H10)+IF(Table44[[#This Row],[Cold]:[Cold]]="Y",'Cold Weather Package'!H10,0)+IF(Table44[[#This Row],[eAWD]:[eAWD]]="Y",'eAWD Package'!H10,0)+IF(Table44[[#This Row],[Towing]:[Towing]]="Y",'Towing Bat Cost'!H10,0),"N/A")</f>
        <v>7138.0058781468015</v>
      </c>
      <c r="M129" s="157">
        <f>IF(Table44[[#This Row],[Applicable Package?]:[Applicable Package?]]="Y",SUM('Rolled Up Non-Incremental Costs'!I10,'ICE Removal Cost'!I10,'Trans Removal Cost'!I10,'LEV3 Criteria Emissions Cost'!I10,'ZEV Assembly Reductions'!I10,'ACCII Criteria Compliance Cost'!I10,'ACCII GHG Compliance'!I10,'Current GHG Compliance'!I10)+IF(Table44[[#This Row],[Cold]:[Cold]]="Y",'Cold Weather Package'!I10,0)+IF(Table44[[#This Row],[eAWD]:[eAWD]]="Y",'eAWD Package'!I10,0)+IF(Table44[[#This Row],[Towing]:[Towing]]="Y",'Towing Bat Cost'!I10,0),"N/A")</f>
        <v>6422.1236043321369</v>
      </c>
      <c r="N129" s="157">
        <f>IF(Table44[[#This Row],[Applicable Package?]:[Applicable Package?]]="Y",SUM('Rolled Up Non-Incremental Costs'!J10,'ICE Removal Cost'!J10,'Trans Removal Cost'!J10,'LEV3 Criteria Emissions Cost'!J10,'ZEV Assembly Reductions'!J10,'ACCII Criteria Compliance Cost'!J10,'ACCII GHG Compliance'!J10,'Current GHG Compliance'!J10)+IF(Table44[[#This Row],[Cold]:[Cold]]="Y",'Cold Weather Package'!J10,0)+IF(Table44[[#This Row],[eAWD]:[eAWD]]="Y",'eAWD Package'!J10,0)+IF(Table44[[#This Row],[Towing]:[Towing]]="Y",'Towing Bat Cost'!J10,0),"N/A")</f>
        <v>5881.6024633182551</v>
      </c>
      <c r="O129" s="157">
        <f>IF(Table44[[#This Row],[Applicable Package?]:[Applicable Package?]]="Y",SUM('Rolled Up Non-Incremental Costs'!K10,'ICE Removal Cost'!K10,'Trans Removal Cost'!K10,'LEV3 Criteria Emissions Cost'!K10,'ZEV Assembly Reductions'!K10,'ACCII Criteria Compliance Cost'!K10,'ACCII GHG Compliance'!K10,'Current GHG Compliance'!K10)+IF(Table44[[#This Row],[Cold]:[Cold]]="Y",'Cold Weather Package'!K10,0)+IF(Table44[[#This Row],[eAWD]:[eAWD]]="Y",'eAWD Package'!K10,0)+IF(Table44[[#This Row],[Towing]:[Towing]]="Y",'Towing Bat Cost'!K10,0),"N/A")</f>
        <v>5404.0704693939915</v>
      </c>
      <c r="P129" s="157">
        <f>IF(Table44[[#This Row],[Applicable Package?]:[Applicable Package?]]="Y",SUM('Rolled Up Non-Incremental Costs'!L10,'ICE Removal Cost'!L10,'Trans Removal Cost'!L10,'LEV3 Criteria Emissions Cost'!L10,'ZEV Assembly Reductions'!L10,'ACCII Criteria Compliance Cost'!L10,'ACCII GHG Compliance'!L10,'Current GHG Compliance'!L10)+IF(Table44[[#This Row],[Cold]:[Cold]]="Y",'Cold Weather Package'!L10,0)+IF(Table44[[#This Row],[eAWD]:[eAWD]]="Y",'eAWD Package'!L10,0)+IF(Table44[[#This Row],[Towing]:[Towing]]="Y",'Towing Bat Cost'!L10,0),"N/A")</f>
        <v>4950.0594272276576</v>
      </c>
      <c r="Q129" s="157">
        <f>IF(Table44[[#This Row],[Applicable Package?]:[Applicable Package?]]="Y",SUM('Rolled Up Non-Incremental Costs'!M10,'ICE Removal Cost'!M10,'Trans Removal Cost'!M10,'LEV3 Criteria Emissions Cost'!M10,'ZEV Assembly Reductions'!M10,'ACCII Criteria Compliance Cost'!M10,'ACCII GHG Compliance'!M10,'Current GHG Compliance'!M10)+IF(Table44[[#This Row],[Cold]:[Cold]]="Y",'Cold Weather Package'!M10,0)+IF(Table44[[#This Row],[eAWD]:[eAWD]]="Y",'eAWD Package'!M10,0)+IF(Table44[[#This Row],[Towing]:[Towing]]="Y",'Towing Bat Cost'!M10,0),"N/A")</f>
        <v>4518.3078039596039</v>
      </c>
      <c r="R129" s="157">
        <f>IF(Table44[[#This Row],[Applicable Package?]:[Applicable Package?]]="Y",SUM('Rolled Up Non-Incremental Costs'!N10,'ICE Removal Cost'!N10,'Trans Removal Cost'!N10,'LEV3 Criteria Emissions Cost'!N10,'ZEV Assembly Reductions'!N10,'ACCII Criteria Compliance Cost'!N10,'ACCII GHG Compliance'!N10,'Current GHG Compliance'!N10)+IF(Table44[[#This Row],[Cold]:[Cold]]="Y",'Cold Weather Package'!N10,0)+IF(Table44[[#This Row],[eAWD]:[eAWD]]="Y",'eAWD Package'!N10,0)+IF(Table44[[#This Row],[Towing]:[Towing]]="Y",'Towing Bat Cost'!N10,0),"N/A")</f>
        <v>4107.6228732617437</v>
      </c>
      <c r="S129" s="157">
        <f>IF(Table44[[#This Row],[Applicable Package?]:[Applicable Package?]]="Y",SUM('Rolled Up Non-Incremental Costs'!O10,'ICE Removal Cost'!O10,'Trans Removal Cost'!O10,'LEV3 Criteria Emissions Cost'!O10,'ZEV Assembly Reductions'!O10,'ACCII Criteria Compliance Cost'!O10,'ACCII GHG Compliance'!O10,'Current GHG Compliance'!O10)+IF(Table44[[#This Row],[Cold]:[Cold]]="Y",'Cold Weather Package'!O10,0)+IF(Table44[[#This Row],[eAWD]:[eAWD]]="Y",'eAWD Package'!O10,0)+IF(Table44[[#This Row],[Towing]:[Towing]]="Y",'Towing Bat Cost'!O10,0),"N/A")</f>
        <v>3716.8769508039068</v>
      </c>
    </row>
    <row r="130" spans="1:19" x14ac:dyDescent="0.3">
      <c r="A130" s="28" t="str">
        <f t="shared" si="2"/>
        <v>MedSUVBaseBEV300</v>
      </c>
      <c r="B130" s="90" t="s">
        <v>86</v>
      </c>
      <c r="C130" s="68" t="s">
        <v>75</v>
      </c>
      <c r="D130" s="68" t="str">
        <f>'Vehicle Attributes - Base Year'!D8</f>
        <v>BEV300</v>
      </c>
      <c r="E130" s="124" t="s">
        <v>76</v>
      </c>
      <c r="F130" s="124" t="s">
        <v>76</v>
      </c>
      <c r="G130" s="125" t="s">
        <v>77</v>
      </c>
      <c r="H130" s="156" t="s">
        <v>76</v>
      </c>
      <c r="I130" s="157">
        <f>IF(Table44[[#This Row],[Applicable Package?]:[Applicable Package?]]="Y",SUM('Rolled Up Non-Incremental Costs'!E11,'ICE Removal Cost'!E11,'Trans Removal Cost'!E11,'LEV3 Criteria Emissions Cost'!E11,'ZEV Assembly Reductions'!E11,'ACCII Criteria Compliance Cost'!E11,'ACCII GHG Compliance'!E11,'Current GHG Compliance'!E11)+IF(Table44[[#This Row],[Cold]:[Cold]]="Y",'Cold Weather Package'!E11,0)+IF(Table44[[#This Row],[eAWD]:[eAWD]]="Y",'eAWD Package'!E11,0)+IF(Table44[[#This Row],[Towing]:[Towing]]="Y",'Towing Bat Cost'!E11,0),"N/A")</f>
        <v>7040.1960526315797</v>
      </c>
      <c r="J130" s="157">
        <f>IF(Table44[[#This Row],[Applicable Package?]:[Applicable Package?]]="Y",SUM('Rolled Up Non-Incremental Costs'!F11,'ICE Removal Cost'!F11,'Trans Removal Cost'!F11,'LEV3 Criteria Emissions Cost'!F11,'ZEV Assembly Reductions'!F11,'ACCII Criteria Compliance Cost'!F11,'ACCII GHG Compliance'!F11,'Current GHG Compliance'!F11)+IF(Table44[[#This Row],[Cold]:[Cold]]="Y",'Cold Weather Package'!F11,0)+IF(Table44[[#This Row],[eAWD]:[eAWD]]="Y",'eAWD Package'!F11,0)+IF(Table44[[#This Row],[Towing]:[Towing]]="Y",'Towing Bat Cost'!F11,0),"N/A")</f>
        <v>6256.1864210526328</v>
      </c>
      <c r="K130" s="157">
        <f>IF(Table44[[#This Row],[Applicable Package?]:[Applicable Package?]]="Y",SUM('Rolled Up Non-Incremental Costs'!G11,'ICE Removal Cost'!G11,'Trans Removal Cost'!G11,'LEV3 Criteria Emissions Cost'!G11,'ZEV Assembly Reductions'!G11,'ACCII Criteria Compliance Cost'!G11,'ACCII GHG Compliance'!G11,'Current GHG Compliance'!G11)+IF(Table44[[#This Row],[Cold]:[Cold]]="Y",'Cold Weather Package'!G11,0)+IF(Table44[[#This Row],[eAWD]:[eAWD]]="Y",'eAWD Package'!G11,0)+IF(Table44[[#This Row],[Towing]:[Towing]]="Y",'Towing Bat Cost'!G11,0),"N/A")</f>
        <v>5526.4124334335529</v>
      </c>
      <c r="L130" s="157">
        <f>IF(Table44[[#This Row],[Applicable Package?]:[Applicable Package?]]="Y",SUM('Rolled Up Non-Incremental Costs'!H11,'ICE Removal Cost'!H11,'Trans Removal Cost'!H11,'LEV3 Criteria Emissions Cost'!H11,'ZEV Assembly Reductions'!H11,'ACCII Criteria Compliance Cost'!H11,'ACCII GHG Compliance'!H11,'Current GHG Compliance'!H11)+IF(Table44[[#This Row],[Cold]:[Cold]]="Y",'Cold Weather Package'!H11,0)+IF(Table44[[#This Row],[eAWD]:[eAWD]]="Y",'eAWD Package'!H11,0)+IF(Table44[[#This Row],[Towing]:[Towing]]="Y",'Towing Bat Cost'!H11,0),"N/A")</f>
        <v>4846.8683057031139</v>
      </c>
      <c r="M130" s="157">
        <f>IF(Table44[[#This Row],[Applicable Package?]:[Applicable Package?]]="Y",SUM('Rolled Up Non-Incremental Costs'!I11,'ICE Removal Cost'!I11,'Trans Removal Cost'!I11,'LEV3 Criteria Emissions Cost'!I11,'ZEV Assembly Reductions'!I11,'ACCII Criteria Compliance Cost'!I11,'ACCII GHG Compliance'!I11,'Current GHG Compliance'!I11)+IF(Table44[[#This Row],[Cold]:[Cold]]="Y",'Cold Weather Package'!I11,0)+IF(Table44[[#This Row],[eAWD]:[eAWD]]="Y",'eAWD Package'!I11,0)+IF(Table44[[#This Row],[Towing]:[Towing]]="Y",'Towing Bat Cost'!I11,0),"N/A")</f>
        <v>4213.8468565034964</v>
      </c>
      <c r="N130" s="157">
        <f>IF(Table44[[#This Row],[Applicable Package?]:[Applicable Package?]]="Y",SUM('Rolled Up Non-Incremental Costs'!J11,'ICE Removal Cost'!J11,'Trans Removal Cost'!J11,'LEV3 Criteria Emissions Cost'!J11,'ZEV Assembly Reductions'!J11,'ACCII Criteria Compliance Cost'!J11,'ACCII GHG Compliance'!J11,'Current GHG Compliance'!J11)+IF(Table44[[#This Row],[Cold]:[Cold]]="Y",'Cold Weather Package'!J11,0)+IF(Table44[[#This Row],[eAWD]:[eAWD]]="Y",'eAWD Package'!J11,0)+IF(Table44[[#This Row],[Towing]:[Towing]]="Y",'Towing Bat Cost'!J11,0),"N/A")</f>
        <v>3732.9418652451041</v>
      </c>
      <c r="O130" s="157">
        <f>IF(Table44[[#This Row],[Applicable Package?]:[Applicable Package?]]="Y",SUM('Rolled Up Non-Incremental Costs'!K11,'ICE Removal Cost'!K11,'Trans Removal Cost'!K11,'LEV3 Criteria Emissions Cost'!K11,'ZEV Assembly Reductions'!K11,'ACCII Criteria Compliance Cost'!K11,'ACCII GHG Compliance'!K11,'Current GHG Compliance'!K11)+IF(Table44[[#This Row],[Cold]:[Cold]]="Y",'Cold Weather Package'!K11,0)+IF(Table44[[#This Row],[eAWD]:[eAWD]]="Y",'eAWD Package'!K11,0)+IF(Table44[[#This Row],[Towing]:[Towing]]="Y",'Towing Bat Cost'!K11,0),"N/A")</f>
        <v>3306.7557358549548</v>
      </c>
      <c r="P130" s="157">
        <f>IF(Table44[[#This Row],[Applicable Package?]:[Applicable Package?]]="Y",SUM('Rolled Up Non-Incremental Costs'!L11,'ICE Removal Cost'!L11,'Trans Removal Cost'!L11,'LEV3 Criteria Emissions Cost'!L11,'ZEV Assembly Reductions'!L11,'ACCII Criteria Compliance Cost'!L11,'ACCII GHG Compliance'!L11,'Current GHG Compliance'!L11)+IF(Table44[[#This Row],[Cold]:[Cold]]="Y",'Cold Weather Package'!L11,0)+IF(Table44[[#This Row],[eAWD]:[eAWD]]="Y",'eAWD Package'!L11,0)+IF(Table44[[#This Row],[Towing]:[Towing]]="Y",'Towing Bat Cost'!L11,0),"N/A")</f>
        <v>2901.0788976715976</v>
      </c>
      <c r="Q130" s="157">
        <f>IF(Table44[[#This Row],[Applicable Package?]:[Applicable Package?]]="Y",SUM('Rolled Up Non-Incremental Costs'!M11,'ICE Removal Cost'!M11,'Trans Removal Cost'!M11,'LEV3 Criteria Emissions Cost'!M11,'ZEV Assembly Reductions'!M11,'ACCII Criteria Compliance Cost'!M11,'ACCII GHG Compliance'!M11,'Current GHG Compliance'!M11)+IF(Table44[[#This Row],[Cold]:[Cold]]="Y",'Cold Weather Package'!M11,0)+IF(Table44[[#This Row],[eAWD]:[eAWD]]="Y",'eAWD Package'!M11,0)+IF(Table44[[#This Row],[Towing]:[Towing]]="Y",'Towing Bat Cost'!M11,0),"N/A")</f>
        <v>2514.8167109952337</v>
      </c>
      <c r="R130" s="157">
        <f>IF(Table44[[#This Row],[Applicable Package?]:[Applicable Package?]]="Y",SUM('Rolled Up Non-Incremental Costs'!N11,'ICE Removal Cost'!N11,'Trans Removal Cost'!N11,'LEV3 Criteria Emissions Cost'!N11,'ZEV Assembly Reductions'!N11,'ACCII Criteria Compliance Cost'!N11,'ACCII GHG Compliance'!N11,'Current GHG Compliance'!N11)+IF(Table44[[#This Row],[Cold]:[Cold]]="Y",'Cold Weather Package'!N11,0)+IF(Table44[[#This Row],[eAWD]:[eAWD]]="Y",'eAWD Package'!N11,0)+IF(Table44[[#This Row],[Towing]:[Towing]]="Y",'Towing Bat Cost'!N11,0),"N/A")</f>
        <v>2146.9341852096886</v>
      </c>
      <c r="S130" s="157">
        <f>IF(Table44[[#This Row],[Applicable Package?]:[Applicable Package?]]="Y",SUM('Rolled Up Non-Incremental Costs'!O11,'ICE Removal Cost'!O11,'Trans Removal Cost'!O11,'LEV3 Criteria Emissions Cost'!O11,'ZEV Assembly Reductions'!O11,'ACCII Criteria Compliance Cost'!O11,'ACCII GHG Compliance'!O11,'Current GHG Compliance'!O11)+IF(Table44[[#This Row],[Cold]:[Cold]]="Y",'Cold Weather Package'!O11,0)+IF(Table44[[#This Row],[eAWD]:[eAWD]]="Y",'eAWD Package'!O11,0)+IF(Table44[[#This Row],[Towing]:[Towing]]="Y",'Towing Bat Cost'!O11,0),"N/A")</f>
        <v>1796.4527158194846</v>
      </c>
    </row>
    <row r="131" spans="1:19" x14ac:dyDescent="0.3">
      <c r="A131" t="str">
        <f t="shared" si="2"/>
        <v>MedSUVPremiumBEV400</v>
      </c>
      <c r="B131" s="90" t="s">
        <v>86</v>
      </c>
      <c r="C131" s="68" t="s">
        <v>80</v>
      </c>
      <c r="D131" s="68" t="str">
        <f>'Vehicle Attributes - Base Year'!D9</f>
        <v>BEV400</v>
      </c>
      <c r="E131" s="124" t="s">
        <v>76</v>
      </c>
      <c r="F131" s="124" t="s">
        <v>76</v>
      </c>
      <c r="G131" s="125" t="s">
        <v>77</v>
      </c>
      <c r="H131" s="156" t="s">
        <v>76</v>
      </c>
      <c r="I131" s="157">
        <f>IF(Table44[[#This Row],[Applicable Package?]:[Applicable Package?]]="Y",SUM('Rolled Up Non-Incremental Costs'!E12,'ICE Removal Cost'!E12,'Trans Removal Cost'!E12,'LEV3 Criteria Emissions Cost'!E12,'ZEV Assembly Reductions'!E12,'ACCII Criteria Compliance Cost'!E12,'ACCII GHG Compliance'!E12,'Current GHG Compliance'!E12)+IF(Table44[[#This Row],[Cold]:[Cold]]="Y",'Cold Weather Package'!E12,0)+IF(Table44[[#This Row],[eAWD]:[eAWD]]="Y",'eAWD Package'!E12,0)+IF(Table44[[#This Row],[Towing]:[Towing]]="Y",'Towing Bat Cost'!E12,0),"N/A")</f>
        <v>11031.838157894737</v>
      </c>
      <c r="J131" s="157">
        <f>IF(Table44[[#This Row],[Applicable Package?]:[Applicable Package?]]="Y",SUM('Rolled Up Non-Incremental Costs'!F12,'ICE Removal Cost'!F12,'Trans Removal Cost'!F12,'LEV3 Criteria Emissions Cost'!F12,'ZEV Assembly Reductions'!F12,'ACCII Criteria Compliance Cost'!F12,'ACCII GHG Compliance'!F12,'Current GHG Compliance'!F12)+IF(Table44[[#This Row],[Cold]:[Cold]]="Y",'Cold Weather Package'!F12,0)+IF(Table44[[#This Row],[eAWD]:[eAWD]]="Y",'eAWD Package'!F12,0)+IF(Table44[[#This Row],[Towing]:[Towing]]="Y",'Towing Bat Cost'!F12,0),"N/A")</f>
        <v>9953.890513157894</v>
      </c>
      <c r="K131" s="157">
        <f>IF(Table44[[#This Row],[Applicable Package?]:[Applicable Package?]]="Y",SUM('Rolled Up Non-Incremental Costs'!G12,'ICE Removal Cost'!G12,'Trans Removal Cost'!G12,'LEV3 Criteria Emissions Cost'!G12,'ZEV Assembly Reductions'!G12,'ACCII Criteria Compliance Cost'!G12,'ACCII GHG Compliance'!G12,'Current GHG Compliance'!G12)+IF(Table44[[#This Row],[Cold]:[Cold]]="Y",'Cold Weather Package'!G12,0)+IF(Table44[[#This Row],[eAWD]:[eAWD]]="Y",'eAWD Package'!G12,0)+IF(Table44[[#This Row],[Towing]:[Towing]]="Y",'Towing Bat Cost'!G12,0),"N/A")</f>
        <v>8951.7073543631559</v>
      </c>
      <c r="L131" s="157">
        <f>IF(Table44[[#This Row],[Applicable Package?]:[Applicable Package?]]="Y",SUM('Rolled Up Non-Incremental Costs'!H12,'ICE Removal Cost'!H12,'Trans Removal Cost'!H12,'LEV3 Criteria Emissions Cost'!H12,'ZEV Assembly Reductions'!H12,'ACCII Criteria Compliance Cost'!H12,'ACCII GHG Compliance'!H12,'Current GHG Compliance'!H12)+IF(Table44[[#This Row],[Cold]:[Cold]]="Y",'Cold Weather Package'!H12,0)+IF(Table44[[#This Row],[eAWD]:[eAWD]]="Y",'eAWD Package'!H12,0)+IF(Table44[[#This Row],[Towing]:[Towing]]="Y",'Towing Bat Cost'!H12,0),"N/A")</f>
        <v>8019.6799056923237</v>
      </c>
      <c r="M131" s="157">
        <f>IF(Table44[[#This Row],[Applicable Package?]:[Applicable Package?]]="Y",SUM('Rolled Up Non-Incremental Costs'!I12,'ICE Removal Cost'!I12,'Trans Removal Cost'!I12,'LEV3 Criteria Emissions Cost'!I12,'ZEV Assembly Reductions'!I12,'ACCII Criteria Compliance Cost'!I12,'ACCII GHG Compliance'!I12,'Current GHG Compliance'!I12)+IF(Table44[[#This Row],[Cold]:[Cold]]="Y",'Cold Weather Package'!I12,0)+IF(Table44[[#This Row],[eAWD]:[eAWD]]="Y",'eAWD Package'!I12,0)+IF(Table44[[#This Row],[Towing]:[Towing]]="Y",'Towing Bat Cost'!I12,0),"N/A")</f>
        <v>7152.6176160114392</v>
      </c>
      <c r="N131" s="157">
        <f>IF(Table44[[#This Row],[Applicable Package?]:[Applicable Package?]]="Y",SUM('Rolled Up Non-Incremental Costs'!J12,'ICE Removal Cost'!J12,'Trans Removal Cost'!J12,'LEV3 Criteria Emissions Cost'!J12,'ZEV Assembly Reductions'!J12,'ACCII Criteria Compliance Cost'!J12,'ACCII GHG Compliance'!J12,'Current GHG Compliance'!J12)+IF(Table44[[#This Row],[Cold]:[Cold]]="Y",'Cold Weather Package'!J12,0)+IF(Table44[[#This Row],[eAWD]:[eAWD]]="Y",'eAWD Package'!J12,0)+IF(Table44[[#This Row],[Towing]:[Towing]]="Y",'Towing Bat Cost'!J12,0),"N/A")</f>
        <v>6498.4248626108019</v>
      </c>
      <c r="O131" s="157">
        <f>IF(Table44[[#This Row],[Applicable Package?]:[Applicable Package?]]="Y",SUM('Rolled Up Non-Incremental Costs'!K12,'ICE Removal Cost'!K12,'Trans Removal Cost'!K12,'LEV3 Criteria Emissions Cost'!K12,'ZEV Assembly Reductions'!K12,'ACCII Criteria Compliance Cost'!K12,'ACCII GHG Compliance'!K12,'Current GHG Compliance'!K12)+IF(Table44[[#This Row],[Cold]:[Cold]]="Y",'Cold Weather Package'!K12,0)+IF(Table44[[#This Row],[eAWD]:[eAWD]]="Y",'eAWD Package'!K12,0)+IF(Table44[[#This Row],[Towing]:[Towing]]="Y",'Towing Bat Cost'!K12,0),"N/A")</f>
        <v>5920.681382783072</v>
      </c>
      <c r="P131" s="157">
        <f>IF(Table44[[#This Row],[Applicable Package?]:[Applicable Package?]]="Y",SUM('Rolled Up Non-Incremental Costs'!L12,'ICE Removal Cost'!L12,'Trans Removal Cost'!L12,'LEV3 Criteria Emissions Cost'!L12,'ZEV Assembly Reductions'!L12,'ACCII Criteria Compliance Cost'!L12,'ACCII GHG Compliance'!L12,'Current GHG Compliance'!L12)+IF(Table44[[#This Row],[Cold]:[Cold]]="Y",'Cold Weather Package'!L12,0)+IF(Table44[[#This Row],[eAWD]:[eAWD]]="Y",'eAWD Package'!L12,0)+IF(Table44[[#This Row],[Towing]:[Towing]]="Y",'Towing Bat Cost'!L12,0),"N/A")</f>
        <v>5371.4726806619065</v>
      </c>
      <c r="Q131" s="157">
        <f>IF(Table44[[#This Row],[Applicable Package?]:[Applicable Package?]]="Y",SUM('Rolled Up Non-Incremental Costs'!M12,'ICE Removal Cost'!M12,'Trans Removal Cost'!M12,'LEV3 Criteria Emissions Cost'!M12,'ZEV Assembly Reductions'!M12,'ACCII Criteria Compliance Cost'!M12,'ACCII GHG Compliance'!M12,'Current GHG Compliance'!M12)+IF(Table44[[#This Row],[Cold]:[Cold]]="Y",'Cold Weather Package'!M12,0)+IF(Table44[[#This Row],[eAWD]:[eAWD]]="Y",'eAWD Package'!M12,0)+IF(Table44[[#This Row],[Towing]:[Towing]]="Y",'Towing Bat Cost'!M12,0),"N/A")</f>
        <v>4849.2674439460125</v>
      </c>
      <c r="R131" s="157">
        <f>IF(Table44[[#This Row],[Applicable Package?]:[Applicable Package?]]="Y",SUM('Rolled Up Non-Incremental Costs'!N12,'ICE Removal Cost'!N12,'Trans Removal Cost'!N12,'LEV3 Criteria Emissions Cost'!N12,'ZEV Assembly Reductions'!N12,'ACCII Criteria Compliance Cost'!N12,'ACCII GHG Compliance'!N12,'Current GHG Compliance'!N12)+IF(Table44[[#This Row],[Cold]:[Cold]]="Y",'Cold Weather Package'!N12,0)+IF(Table44[[#This Row],[eAWD]:[eAWD]]="Y",'eAWD Package'!N12,0)+IF(Table44[[#This Row],[Towing]:[Towing]]="Y",'Towing Bat Cost'!N12,0),"N/A")</f>
        <v>4352.6178900148134</v>
      </c>
      <c r="S131" s="157">
        <f>IF(Table44[[#This Row],[Applicable Package?]:[Applicable Package?]]="Y",SUM('Rolled Up Non-Incremental Costs'!O12,'ICE Removal Cost'!O12,'Trans Removal Cost'!O12,'LEV3 Criteria Emissions Cost'!O12,'ZEV Assembly Reductions'!O12,'ACCII Criteria Compliance Cost'!O12,'ACCII GHG Compliance'!O12,'Current GHG Compliance'!O12)+IF(Table44[[#This Row],[Cold]:[Cold]]="Y",'Cold Weather Package'!O12,0)+IF(Table44[[#This Row],[eAWD]:[eAWD]]="Y",'eAWD Package'!O12,0)+IF(Table44[[#This Row],[Towing]:[Towing]]="Y",'Towing Bat Cost'!O12,0),"N/A")</f>
        <v>3880.1551957750971</v>
      </c>
    </row>
    <row r="132" spans="1:19" x14ac:dyDescent="0.3">
      <c r="A132" s="28" t="str">
        <f t="shared" si="2"/>
        <v>PickupBaseBEV300</v>
      </c>
      <c r="B132" s="90" t="s">
        <v>89</v>
      </c>
      <c r="C132" s="68" t="s">
        <v>75</v>
      </c>
      <c r="D132" s="68" t="str">
        <f>'Vehicle Attributes - Base Year'!D10</f>
        <v>BEV300</v>
      </c>
      <c r="E132" s="124" t="s">
        <v>76</v>
      </c>
      <c r="F132" s="124" t="s">
        <v>76</v>
      </c>
      <c r="G132" s="125" t="s">
        <v>77</v>
      </c>
      <c r="H132" s="156" t="s">
        <v>76</v>
      </c>
      <c r="I132" s="157">
        <f>IF(Table44[[#This Row],[Applicable Package?]:[Applicable Package?]]="Y",SUM('Rolled Up Non-Incremental Costs'!E13,'ICE Removal Cost'!E13,'Trans Removal Cost'!E13,'LEV3 Criteria Emissions Cost'!E13,'ZEV Assembly Reductions'!E13,'ACCII Criteria Compliance Cost'!E13,'ACCII GHG Compliance'!E13,'Current GHG Compliance'!E13)+IF(Table44[[#This Row],[Cold]:[Cold]]="Y",'Cold Weather Package'!E13,0)+IF(Table44[[#This Row],[eAWD]:[eAWD]]="Y",'eAWD Package'!E13,0)+IF(Table44[[#This Row],[Towing]:[Towing]]="Y",'Towing Bat Cost'!E13,0),"N/A")</f>
        <v>8904.6981725146197</v>
      </c>
      <c r="J132" s="157">
        <f>IF(Table44[[#This Row],[Applicable Package?]:[Applicable Package?]]="Y",SUM('Rolled Up Non-Incremental Costs'!F13,'ICE Removal Cost'!F13,'Trans Removal Cost'!F13,'LEV3 Criteria Emissions Cost'!F13,'ZEV Assembly Reductions'!F13,'ACCII Criteria Compliance Cost'!F13,'ACCII GHG Compliance'!F13,'Current GHG Compliance'!F13)+IF(Table44[[#This Row],[Cold]:[Cold]]="Y",'Cold Weather Package'!F13,0)+IF(Table44[[#This Row],[eAWD]:[eAWD]]="Y",'eAWD Package'!F13,0)+IF(Table44[[#This Row],[Towing]:[Towing]]="Y",'Towing Bat Cost'!F13,0),"N/A")</f>
        <v>7973.579032894736</v>
      </c>
      <c r="K132" s="157">
        <f>IF(Table44[[#This Row],[Applicable Package?]:[Applicable Package?]]="Y",SUM('Rolled Up Non-Incremental Costs'!G13,'ICE Removal Cost'!G13,'Trans Removal Cost'!G13,'LEV3 Criteria Emissions Cost'!G13,'ZEV Assembly Reductions'!G13,'ACCII Criteria Compliance Cost'!G13,'ACCII GHG Compliance'!G13,'Current GHG Compliance'!G13)+IF(Table44[[#This Row],[Cold]:[Cold]]="Y",'Cold Weather Package'!G13,0)+IF(Table44[[#This Row],[eAWD]:[eAWD]]="Y",'eAWD Package'!G13,0)+IF(Table44[[#This Row],[Towing]:[Towing]]="Y",'Towing Bat Cost'!G13,0),"N/A")</f>
        <v>7107.3832562578973</v>
      </c>
      <c r="L132" s="157">
        <f>IF(Table44[[#This Row],[Applicable Package?]:[Applicable Package?]]="Y",SUM('Rolled Up Non-Incremental Costs'!H13,'ICE Removal Cost'!H13,'Trans Removal Cost'!H13,'LEV3 Criteria Emissions Cost'!H13,'ZEV Assembly Reductions'!H13,'ACCII Criteria Compliance Cost'!H13,'ACCII GHG Compliance'!H13,'Current GHG Compliance'!H13)+IF(Table44[[#This Row],[Cold]:[Cold]]="Y",'Cold Weather Package'!H13,0)+IF(Table44[[#This Row],[eAWD]:[eAWD]]="Y",'eAWD Package'!H13,0)+IF(Table44[[#This Row],[Towing]:[Towing]]="Y",'Towing Bat Cost'!H13,0),"N/A")</f>
        <v>6301.3101603653076</v>
      </c>
      <c r="M132" s="157">
        <f>IF(Table44[[#This Row],[Applicable Package?]:[Applicable Package?]]="Y",SUM('Rolled Up Non-Incremental Costs'!I13,'ICE Removal Cost'!I13,'Trans Removal Cost'!I13,'LEV3 Criteria Emissions Cost'!I13,'ZEV Assembly Reductions'!I13,'ACCII Criteria Compliance Cost'!I13,'ACCII GHG Compliance'!I13,'Current GHG Compliance'!I13)+IF(Table44[[#This Row],[Cold]:[Cold]]="Y",'Cold Weather Package'!I13,0)+IF(Table44[[#This Row],[eAWD]:[eAWD]]="Y",'eAWD Package'!I13,0)+IF(Table44[[#This Row],[Towing]:[Towing]]="Y",'Towing Bat Cost'!I13,0),"N/A")</f>
        <v>5550.9169754392287</v>
      </c>
      <c r="N132" s="157">
        <f>IF(Table44[[#This Row],[Applicable Package?]:[Applicable Package?]]="Y",SUM('Rolled Up Non-Incremental Costs'!J13,'ICE Removal Cost'!J13,'Trans Removal Cost'!J13,'LEV3 Criteria Emissions Cost'!J13,'ZEV Assembly Reductions'!J13,'ACCII Criteria Compliance Cost'!J13,'ACCII GHG Compliance'!J13,'Current GHG Compliance'!J13)+IF(Table44[[#This Row],[Cold]:[Cold]]="Y",'Cold Weather Package'!J13,0)+IF(Table44[[#This Row],[eAWD]:[eAWD]]="Y",'eAWD Package'!J13,0)+IF(Table44[[#This Row],[Towing]:[Towing]]="Y",'Towing Bat Cost'!J13,0),"N/A")</f>
        <v>4982.7748693924659</v>
      </c>
      <c r="O132" s="157">
        <f>IF(Table44[[#This Row],[Applicable Package?]:[Applicable Package?]]="Y",SUM('Rolled Up Non-Incremental Costs'!K13,'ICE Removal Cost'!K13,'Trans Removal Cost'!K13,'LEV3 Criteria Emissions Cost'!K13,'ZEV Assembly Reductions'!K13,'ACCII Criteria Compliance Cost'!K13,'ACCII GHG Compliance'!K13,'Current GHG Compliance'!K13)+IF(Table44[[#This Row],[Cold]:[Cold]]="Y",'Cold Weather Package'!K13,0)+IF(Table44[[#This Row],[eAWD]:[eAWD]]="Y",'eAWD Package'!K13,0)+IF(Table44[[#This Row],[Towing]:[Towing]]="Y",'Towing Bat Cost'!K13,0),"N/A")</f>
        <v>4480.1387401509983</v>
      </c>
      <c r="P132" s="157">
        <f>IF(Table44[[#This Row],[Applicable Package?]:[Applicable Package?]]="Y",SUM('Rolled Up Non-Incremental Costs'!L13,'ICE Removal Cost'!L13,'Trans Removal Cost'!L13,'LEV3 Criteria Emissions Cost'!L13,'ZEV Assembly Reductions'!L13,'ACCII Criteria Compliance Cost'!L13,'ACCII GHG Compliance'!L13,'Current GHG Compliance'!L13)+IF(Table44[[#This Row],[Cold]:[Cold]]="Y",'Cold Weather Package'!L13,0)+IF(Table44[[#This Row],[eAWD]:[eAWD]]="Y",'eAWD Package'!L13,0)+IF(Table44[[#This Row],[Towing]:[Towing]]="Y",'Towing Bat Cost'!L13,0),"N/A")</f>
        <v>4002.0040060369229</v>
      </c>
      <c r="Q132" s="157">
        <f>IF(Table44[[#This Row],[Applicable Package?]:[Applicable Package?]]="Y",SUM('Rolled Up Non-Incremental Costs'!M13,'ICE Removal Cost'!M13,'Trans Removal Cost'!M13,'LEV3 Criteria Emissions Cost'!M13,'ZEV Assembly Reductions'!M13,'ACCII Criteria Compliance Cost'!M13,'ACCII GHG Compliance'!M13,'Current GHG Compliance'!M13)+IF(Table44[[#This Row],[Cold]:[Cold]]="Y",'Cold Weather Package'!M13,0)+IF(Table44[[#This Row],[eAWD]:[eAWD]]="Y",'eAWD Package'!M13,0)+IF(Table44[[#This Row],[Towing]:[Towing]]="Y",'Towing Bat Cost'!M13,0),"N/A")</f>
        <v>3547.0593949965041</v>
      </c>
      <c r="R132" s="157">
        <f>IF(Table44[[#This Row],[Applicable Package?]:[Applicable Package?]]="Y",SUM('Rolled Up Non-Incremental Costs'!N13,'ICE Removal Cost'!N13,'Trans Removal Cost'!N13,'LEV3 Criteria Emissions Cost'!N13,'ZEV Assembly Reductions'!N13,'ACCII Criteria Compliance Cost'!N13,'ACCII GHG Compliance'!N13,'Current GHG Compliance'!N13)+IF(Table44[[#This Row],[Cold]:[Cold]]="Y",'Cold Weather Package'!N13,0)+IF(Table44[[#This Row],[eAWD]:[eAWD]]="Y",'eAWD Package'!N13,0)+IF(Table44[[#This Row],[Towing]:[Towing]]="Y",'Towing Bat Cost'!N13,0),"N/A")</f>
        <v>3114.0651253276437</v>
      </c>
      <c r="S132" s="157">
        <f>IF(Table44[[#This Row],[Applicable Package?]:[Applicable Package?]]="Y",SUM('Rolled Up Non-Incremental Costs'!O13,'ICE Removal Cost'!O13,'Trans Removal Cost'!O13,'LEV3 Criteria Emissions Cost'!O13,'ZEV Assembly Reductions'!O13,'ACCII Criteria Compliance Cost'!O13,'ACCII GHG Compliance'!O13,'Current GHG Compliance'!O13)+IF(Table44[[#This Row],[Cold]:[Cold]]="Y",'Cold Weather Package'!O13,0)+IF(Table44[[#This Row],[eAWD]:[eAWD]]="Y",'eAWD Package'!O13,0)+IF(Table44[[#This Row],[Towing]:[Towing]]="Y",'Towing Bat Cost'!O13,0),"N/A")</f>
        <v>2701.8489946010845</v>
      </c>
    </row>
    <row r="133" spans="1:19" x14ac:dyDescent="0.3">
      <c r="A133" t="str">
        <f t="shared" ref="A133:A153" si="3">CONCATENATE(B133,C133,D133)</f>
        <v>PickupHTBEV400</v>
      </c>
      <c r="B133" s="90" t="s">
        <v>89</v>
      </c>
      <c r="C133" s="68" t="s">
        <v>113</v>
      </c>
      <c r="D133" s="68" t="str">
        <f>'Vehicle Attributes - Base Year'!D11</f>
        <v>BEV400</v>
      </c>
      <c r="E133" s="124" t="s">
        <v>76</v>
      </c>
      <c r="F133" s="124" t="s">
        <v>76</v>
      </c>
      <c r="G133" s="125" t="s">
        <v>77</v>
      </c>
      <c r="H133" s="156" t="s">
        <v>76</v>
      </c>
      <c r="I133" s="157">
        <f>IF(Table44[[#This Row],[Applicable Package?]:[Applicable Package?]]="Y",SUM('Rolled Up Non-Incremental Costs'!E14,'ICE Removal Cost'!E14,'Trans Removal Cost'!E14,'LEV3 Criteria Emissions Cost'!E14,'ZEV Assembly Reductions'!E14,'ACCII Criteria Compliance Cost'!E14,'ACCII GHG Compliance'!E14,'Current GHG Compliance'!E14)+IF(Table44[[#This Row],[Cold]:[Cold]]="Y",'Cold Weather Package'!E14,0)+IF(Table44[[#This Row],[eAWD]:[eAWD]]="Y",'eAWD Package'!E14,0)+IF(Table44[[#This Row],[Towing]:[Towing]]="Y",'Towing Bat Cost'!E14,0),"N/A")</f>
        <v>14065.827631578948</v>
      </c>
      <c r="J133" s="157">
        <f>IF(Table44[[#This Row],[Applicable Package?]:[Applicable Package?]]="Y",SUM('Rolled Up Non-Incremental Costs'!F14,'ICE Removal Cost'!F14,'Trans Removal Cost'!F14,'LEV3 Criteria Emissions Cost'!F14,'ZEV Assembly Reductions'!F14,'ACCII Criteria Compliance Cost'!F14,'ACCII GHG Compliance'!F14,'Current GHG Compliance'!F14)+IF(Table44[[#This Row],[Cold]:[Cold]]="Y",'Cold Weather Package'!F14,0)+IF(Table44[[#This Row],[eAWD]:[eAWD]]="Y",'eAWD Package'!F14,0)+IF(Table44[[#This Row],[Towing]:[Towing]]="Y",'Towing Bat Cost'!F14,0),"N/A")</f>
        <v>12784.550302631582</v>
      </c>
      <c r="K133" s="157">
        <f>IF(Table44[[#This Row],[Applicable Package?]:[Applicable Package?]]="Y",SUM('Rolled Up Non-Incremental Costs'!G14,'ICE Removal Cost'!G14,'Trans Removal Cost'!G14,'LEV3 Criteria Emissions Cost'!G14,'ZEV Assembly Reductions'!G14,'ACCII Criteria Compliance Cost'!G14,'ACCII GHG Compliance'!G14,'Current GHG Compliance'!G14)+IF(Table44[[#This Row],[Cold]:[Cold]]="Y",'Cold Weather Package'!G14,0)+IF(Table44[[#This Row],[eAWD]:[eAWD]]="Y",'eAWD Package'!G14,0)+IF(Table44[[#This Row],[Towing]:[Towing]]="Y",'Towing Bat Cost'!G14,0),"N/A")</f>
        <v>11593.984444252634</v>
      </c>
      <c r="L133" s="157">
        <f>IF(Table44[[#This Row],[Applicable Package?]:[Applicable Package?]]="Y",SUM('Rolled Up Non-Incremental Costs'!H14,'ICE Removal Cost'!H14,'Trans Removal Cost'!H14,'LEV3 Criteria Emissions Cost'!H14,'ZEV Assembly Reductions'!H14,'ACCII Criteria Compliance Cost'!H14,'ACCII GHG Compliance'!H14,'Current GHG Compliance'!H14)+IF(Table44[[#This Row],[Cold]:[Cold]]="Y",'Cold Weather Package'!H14,0)+IF(Table44[[#This Row],[eAWD]:[eAWD]]="Y",'eAWD Package'!H14,0)+IF(Table44[[#This Row],[Towing]:[Towing]]="Y",'Towing Bat Cost'!H14,0),"N/A")</f>
        <v>10487.407803984546</v>
      </c>
      <c r="M133" s="157">
        <f>IF(Table44[[#This Row],[Applicable Package?]:[Applicable Package?]]="Y",SUM('Rolled Up Non-Incremental Costs'!I14,'ICE Removal Cost'!I14,'Trans Removal Cost'!I14,'LEV3 Criteria Emissions Cost'!I14,'ZEV Assembly Reductions'!I14,'ACCII Criteria Compliance Cost'!I14,'ACCII GHG Compliance'!I14,'Current GHG Compliance'!I14)+IF(Table44[[#This Row],[Cold]:[Cold]]="Y",'Cold Weather Package'!I14,0)+IF(Table44[[#This Row],[eAWD]:[eAWD]]="Y",'eAWD Package'!I14,0)+IF(Table44[[#This Row],[Towing]:[Towing]]="Y",'Towing Bat Cost'!I14,0),"N/A")</f>
        <v>9458.5994519275209</v>
      </c>
      <c r="N133" s="157">
        <f>IF(Table44[[#This Row],[Applicable Package?]:[Applicable Package?]]="Y",SUM('Rolled Up Non-Incremental Costs'!J14,'ICE Removal Cost'!J14,'Trans Removal Cost'!J14,'LEV3 Criteria Emissions Cost'!J14,'ZEV Assembly Reductions'!J14,'ACCII Criteria Compliance Cost'!J14,'ACCII GHG Compliance'!J14,'Current GHG Compliance'!J14)+IF(Table44[[#This Row],[Cold]:[Cold]]="Y",'Cold Weather Package'!J14,0)+IF(Table44[[#This Row],[eAWD]:[eAWD]]="Y",'eAWD Package'!J14,0)+IF(Table44[[#This Row],[Towing]:[Towing]]="Y",'Towing Bat Cost'!J14,0),"N/A")</f>
        <v>8684.8560859724912</v>
      </c>
      <c r="O133" s="157">
        <f>IF(Table44[[#This Row],[Applicable Package?]:[Applicable Package?]]="Y",SUM('Rolled Up Non-Incremental Costs'!K14,'ICE Removal Cost'!K14,'Trans Removal Cost'!K14,'LEV3 Criteria Emissions Cost'!K14,'ZEV Assembly Reductions'!K14,'ACCII Criteria Compliance Cost'!K14,'ACCII GHG Compliance'!K14,'Current GHG Compliance'!K14)+IF(Table44[[#This Row],[Cold]:[Cold]]="Y",'Cold Weather Package'!K14,0)+IF(Table44[[#This Row],[eAWD]:[eAWD]]="Y",'eAWD Package'!K14,0)+IF(Table44[[#This Row],[Towing]:[Towing]]="Y",'Towing Bat Cost'!K14,0),"N/A")</f>
        <v>8002.649344121075</v>
      </c>
      <c r="P133" s="157">
        <f>IF(Table44[[#This Row],[Applicable Package?]:[Applicable Package?]]="Y",SUM('Rolled Up Non-Incremental Costs'!L14,'ICE Removal Cost'!L14,'Trans Removal Cost'!L14,'LEV3 Criteria Emissions Cost'!L14,'ZEV Assembly Reductions'!L14,'ACCII Criteria Compliance Cost'!L14,'ACCII GHG Compliance'!L14,'Current GHG Compliance'!L14)+IF(Table44[[#This Row],[Cold]:[Cold]]="Y",'Cold Weather Package'!L14,0)+IF(Table44[[#This Row],[eAWD]:[eAWD]]="Y",'eAWD Package'!L14,0)+IF(Table44[[#This Row],[Towing]:[Towing]]="Y",'Towing Bat Cost'!L14,0),"N/A")</f>
        <v>7354.54430509747</v>
      </c>
      <c r="Q133" s="157">
        <f>IF(Table44[[#This Row],[Applicable Package?]:[Applicable Package?]]="Y",SUM('Rolled Up Non-Incremental Costs'!M14,'ICE Removal Cost'!M14,'Trans Removal Cost'!M14,'LEV3 Criteria Emissions Cost'!M14,'ZEV Assembly Reductions'!M14,'ACCII Criteria Compliance Cost'!M14,'ACCII GHG Compliance'!M14,'Current GHG Compliance'!M14)+IF(Table44[[#This Row],[Cold]:[Cold]]="Y",'Cold Weather Package'!M14,0)+IF(Table44[[#This Row],[eAWD]:[eAWD]]="Y",'eAWD Package'!M14,0)+IF(Table44[[#This Row],[Towing]:[Towing]]="Y",'Towing Bat Cost'!M14,0),"N/A")</f>
        <v>6738.7063918347376</v>
      </c>
      <c r="R133" s="157">
        <f>IF(Table44[[#This Row],[Applicable Package?]:[Applicable Package?]]="Y",SUM('Rolled Up Non-Incremental Costs'!N14,'ICE Removal Cost'!N14,'Trans Removal Cost'!N14,'LEV3 Criteria Emissions Cost'!N14,'ZEV Assembly Reductions'!N14,'ACCII Criteria Compliance Cost'!N14,'ACCII GHG Compliance'!N14,'Current GHG Compliance'!N14)+IF(Table44[[#This Row],[Cold]:[Cold]]="Y",'Cold Weather Package'!N14,0)+IF(Table44[[#This Row],[eAWD]:[eAWD]]="Y",'eAWD Package'!N14,0)+IF(Table44[[#This Row],[Towing]:[Towing]]="Y",'Towing Bat Cost'!N14,0),"N/A")</f>
        <v>6153.4011454487272</v>
      </c>
      <c r="S133" s="157">
        <f>IF(Table44[[#This Row],[Applicable Package?]:[Applicable Package?]]="Y",SUM('Rolled Up Non-Incremental Costs'!O14,'ICE Removal Cost'!O14,'Trans Removal Cost'!O14,'LEV3 Criteria Emissions Cost'!O14,'ZEV Assembly Reductions'!O14,'ACCII Criteria Compliance Cost'!O14,'ACCII GHG Compliance'!O14,'Current GHG Compliance'!O14)+IF(Table44[[#This Row],[Cold]:[Cold]]="Y",'Cold Weather Package'!O14,0)+IF(Table44[[#This Row],[eAWD]:[eAWD]]="Y",'eAWD Package'!O14,0)+IF(Table44[[#This Row],[Towing]:[Towing]]="Y",'Towing Bat Cost'!O14,0),"N/A")</f>
        <v>5596.9887470166796</v>
      </c>
    </row>
    <row r="134" spans="1:19" x14ac:dyDescent="0.3">
      <c r="A134" s="28" t="str">
        <f t="shared" si="3"/>
        <v>SmallCarBasePHEV50</v>
      </c>
      <c r="B134" s="90" t="s">
        <v>73</v>
      </c>
      <c r="C134" s="68" t="s">
        <v>75</v>
      </c>
      <c r="D134" s="68" t="str">
        <f>'Vehicle Attributes - Base Year'!D12</f>
        <v>PHEV50</v>
      </c>
      <c r="E134" s="124" t="s">
        <v>76</v>
      </c>
      <c r="F134" s="124" t="s">
        <v>76</v>
      </c>
      <c r="G134" s="125" t="s">
        <v>77</v>
      </c>
      <c r="H134" s="156" t="s">
        <v>76</v>
      </c>
      <c r="I134" s="157">
        <f>IF(Table44[[#This Row],[Applicable Package?]:[Applicable Package?]]="Y",SUM('Rolled Up Non-Incremental Costs'!E15,'ICE Removal Cost'!E15,'Trans Removal Cost'!E15,'LEV3 Criteria Emissions Cost'!E15,'ZEV Assembly Reductions'!E15,'ACCII Criteria Compliance Cost'!E15,'ACCII GHG Compliance'!E15,'Current GHG Compliance'!E15)+IF(Table44[[#This Row],[Cold]:[Cold]]="Y",'Cold Weather Package'!E15,0)+IF(Table44[[#This Row],[eAWD]:[eAWD]]="Y",'eAWD Package'!E15,0)+IF(Table44[[#This Row],[Towing]:[Towing]]="Y",'Towing Bat Cost'!E15,0),"N/A")</f>
        <v>4821.7848529411767</v>
      </c>
      <c r="J134" s="157">
        <f>IF(Table44[[#This Row],[Applicable Package?]:[Applicable Package?]]="Y",SUM('Rolled Up Non-Incremental Costs'!F15,'ICE Removal Cost'!F15,'Trans Removal Cost'!F15,'LEV3 Criteria Emissions Cost'!F15,'ZEV Assembly Reductions'!F15,'ACCII Criteria Compliance Cost'!F15,'ACCII GHG Compliance'!F15,'Current GHG Compliance'!F15)+IF(Table44[[#This Row],[Cold]:[Cold]]="Y",'Cold Weather Package'!F15,0)+IF(Table44[[#This Row],[eAWD]:[eAWD]]="Y",'eAWD Package'!F15,0)+IF(Table44[[#This Row],[Towing]:[Towing]]="Y",'Towing Bat Cost'!F15,0),"N/A")</f>
        <v>4605.1118852941172</v>
      </c>
      <c r="K134" s="157">
        <f>IF(Table44[[#This Row],[Applicable Package?]:[Applicable Package?]]="Y",SUM('Rolled Up Non-Incremental Costs'!G15,'ICE Removal Cost'!G15,'Trans Removal Cost'!G15,'LEV3 Criteria Emissions Cost'!G15,'ZEV Assembly Reductions'!G15,'ACCII Criteria Compliance Cost'!G15,'ACCII GHG Compliance'!G15,'Current GHG Compliance'!G15)+IF(Table44[[#This Row],[Cold]:[Cold]]="Y",'Cold Weather Package'!G15,0)+IF(Table44[[#This Row],[eAWD]:[eAWD]]="Y",'eAWD Package'!G15,0)+IF(Table44[[#This Row],[Towing]:[Towing]]="Y",'Towing Bat Cost'!G15,0),"N/A")</f>
        <v>4402.4604494656624</v>
      </c>
      <c r="L134" s="157">
        <f>IF(Table44[[#This Row],[Applicable Package?]:[Applicable Package?]]="Y",SUM('Rolled Up Non-Incremental Costs'!H15,'ICE Removal Cost'!H15,'Trans Removal Cost'!H15,'LEV3 Criteria Emissions Cost'!H15,'ZEV Assembly Reductions'!H15,'ACCII Criteria Compliance Cost'!H15,'ACCII GHG Compliance'!H15,'Current GHG Compliance'!H15)+IF(Table44[[#This Row],[Cold]:[Cold]]="Y",'Cold Weather Package'!H15,0)+IF(Table44[[#This Row],[eAWD]:[eAWD]]="Y",'eAWD Package'!H15,0)+IF(Table44[[#This Row],[Towing]:[Towing]]="Y",'Towing Bat Cost'!H15,0),"N/A")</f>
        <v>4212.8053691577134</v>
      </c>
      <c r="M134" s="157">
        <f>IF(Table44[[#This Row],[Applicable Package?]:[Applicable Package?]]="Y",SUM('Rolled Up Non-Incremental Costs'!I15,'ICE Removal Cost'!I15,'Trans Removal Cost'!I15,'LEV3 Criteria Emissions Cost'!I15,'ZEV Assembly Reductions'!I15,'ACCII Criteria Compliance Cost'!I15,'ACCII GHG Compliance'!I15,'Current GHG Compliance'!I15)+IF(Table44[[#This Row],[Cold]:[Cold]]="Y",'Cold Weather Package'!I15,0)+IF(Table44[[#This Row],[eAWD]:[eAWD]]="Y",'eAWD Package'!I15,0)+IF(Table44[[#This Row],[Towing]:[Towing]]="Y",'Towing Bat Cost'!I15,0),"N/A")</f>
        <v>4035.1977821723058</v>
      </c>
      <c r="N134" s="157">
        <f>IF(Table44[[#This Row],[Applicable Package?]:[Applicable Package?]]="Y",SUM('Rolled Up Non-Incremental Costs'!J15,'ICE Removal Cost'!J15,'Trans Removal Cost'!J15,'LEV3 Criteria Emissions Cost'!J15,'ZEV Assembly Reductions'!J15,'ACCII Criteria Compliance Cost'!J15,'ACCII GHG Compliance'!J15,'Current GHG Compliance'!J15)+IF(Table44[[#This Row],[Cold]:[Cold]]="Y",'Cold Weather Package'!J15,0)+IF(Table44[[#This Row],[eAWD]:[eAWD]]="Y",'eAWD Package'!J15,0)+IF(Table44[[#This Row],[Towing]:[Towing]]="Y",'Towing Bat Cost'!J15,0),"N/A")</f>
        <v>3896.6169806376292</v>
      </c>
      <c r="O134" s="157">
        <f>IF(Table44[[#This Row],[Applicable Package?]:[Applicable Package?]]="Y",SUM('Rolled Up Non-Incremental Costs'!K15,'ICE Removal Cost'!K15,'Trans Removal Cost'!K15,'LEV3 Criteria Emissions Cost'!K15,'ZEV Assembly Reductions'!K15,'ACCII Criteria Compliance Cost'!K15,'ACCII GHG Compliance'!K15,'Current GHG Compliance'!K15)+IF(Table44[[#This Row],[Cold]:[Cold]]="Y",'Cold Weather Package'!K15,0)+IF(Table44[[#This Row],[eAWD]:[eAWD]]="Y",'eAWD Package'!K15,0)+IF(Table44[[#This Row],[Towing]:[Towing]]="Y",'Towing Bat Cost'!K15,0),"N/A")</f>
        <v>3772.1747398225975</v>
      </c>
      <c r="P134" s="157">
        <f>IF(Table44[[#This Row],[Applicable Package?]:[Applicable Package?]]="Y",SUM('Rolled Up Non-Incremental Costs'!L15,'ICE Removal Cost'!L15,'Trans Removal Cost'!L15,'LEV3 Criteria Emissions Cost'!L15,'ZEV Assembly Reductions'!L15,'ACCII Criteria Compliance Cost'!L15,'ACCII GHG Compliance'!L15,'Current GHG Compliance'!L15)+IF(Table44[[#This Row],[Cold]:[Cold]]="Y",'Cold Weather Package'!L15,0)+IF(Table44[[#This Row],[eAWD]:[eAWD]]="Y",'eAWD Package'!L15,0)+IF(Table44[[#This Row],[Towing]:[Towing]]="Y",'Towing Bat Cost'!L15,0),"N/A")</f>
        <v>3653.1283988034397</v>
      </c>
      <c r="Q134" s="157">
        <f>IF(Table44[[#This Row],[Applicable Package?]:[Applicable Package?]]="Y",SUM('Rolled Up Non-Incremental Costs'!M15,'ICE Removal Cost'!M15,'Trans Removal Cost'!M15,'LEV3 Criteria Emissions Cost'!M15,'ZEV Assembly Reductions'!M15,'ACCII Criteria Compliance Cost'!M15,'ACCII GHG Compliance'!M15,'Current GHG Compliance'!M15)+IF(Table44[[#This Row],[Cold]:[Cold]]="Y",'Cold Weather Package'!M15,0)+IF(Table44[[#This Row],[eAWD]:[eAWD]]="Y",'eAWD Package'!M15,0)+IF(Table44[[#This Row],[Towing]:[Towing]]="Y",'Towing Bat Cost'!M15,0),"N/A")</f>
        <v>3539.1967051952197</v>
      </c>
      <c r="R134" s="157">
        <f>IF(Table44[[#This Row],[Applicable Package?]:[Applicable Package?]]="Y",SUM('Rolled Up Non-Incremental Costs'!N15,'ICE Removal Cost'!N15,'Trans Removal Cost'!N15,'LEV3 Criteria Emissions Cost'!N15,'ZEV Assembly Reductions'!N15,'ACCII Criteria Compliance Cost'!N15,'ACCII GHG Compliance'!N15,'Current GHG Compliance'!N15)+IF(Table44[[#This Row],[Cold]:[Cold]]="Y",'Cold Weather Package'!N15,0)+IF(Table44[[#This Row],[eAWD]:[eAWD]]="Y",'eAWD Package'!N15,0)+IF(Table44[[#This Row],[Towing]:[Towing]]="Y",'Towing Bat Cost'!N15,0),"N/A")</f>
        <v>3430.1136634497866</v>
      </c>
      <c r="S134" s="157">
        <f>IF(Table44[[#This Row],[Applicable Package?]:[Applicable Package?]]="Y",SUM('Rolled Up Non-Incremental Costs'!O15,'ICE Removal Cost'!O15,'Trans Removal Cost'!O15,'LEV3 Criteria Emissions Cost'!O15,'ZEV Assembly Reductions'!O15,'ACCII Criteria Compliance Cost'!O15,'ACCII GHG Compliance'!O15,'Current GHG Compliance'!O15)+IF(Table44[[#This Row],[Cold]:[Cold]]="Y",'Cold Weather Package'!O15,0)+IF(Table44[[#This Row],[eAWD]:[eAWD]]="Y",'eAWD Package'!O15,0)+IF(Table44[[#This Row],[Towing]:[Towing]]="Y",'Towing Bat Cost'!O15,0),"N/A")</f>
        <v>3325.6277009612759</v>
      </c>
    </row>
    <row r="135" spans="1:19" x14ac:dyDescent="0.3">
      <c r="A135" t="str">
        <f t="shared" si="3"/>
        <v>SmallCarPremiumPHEV50</v>
      </c>
      <c r="B135" s="90" t="s">
        <v>73</v>
      </c>
      <c r="C135" s="68" t="s">
        <v>80</v>
      </c>
      <c r="D135" s="68" t="str">
        <f>'Vehicle Attributes - Base Year'!D13</f>
        <v>PHEV50</v>
      </c>
      <c r="E135" s="124" t="s">
        <v>76</v>
      </c>
      <c r="F135" s="124" t="s">
        <v>76</v>
      </c>
      <c r="G135" s="125" t="s">
        <v>77</v>
      </c>
      <c r="H135" s="156" t="s">
        <v>76</v>
      </c>
      <c r="I135" s="157">
        <f>IF(Table44[[#This Row],[Applicable Package?]:[Applicable Package?]]="Y",SUM('Rolled Up Non-Incremental Costs'!E16,'ICE Removal Cost'!E16,'Trans Removal Cost'!E16,'LEV3 Criteria Emissions Cost'!E16,'ZEV Assembly Reductions'!E16,'ACCII Criteria Compliance Cost'!E16,'ACCII GHG Compliance'!E16,'Current GHG Compliance'!E16)+IF(Table44[[#This Row],[Cold]:[Cold]]="Y",'Cold Weather Package'!E16,0)+IF(Table44[[#This Row],[eAWD]:[eAWD]]="Y",'eAWD Package'!E16,0)+IF(Table44[[#This Row],[Towing]:[Towing]]="Y",'Towing Bat Cost'!E16,0),"N/A")</f>
        <v>4821.7848529411767</v>
      </c>
      <c r="J135" s="157">
        <f>IF(Table44[[#This Row],[Applicable Package?]:[Applicable Package?]]="Y",SUM('Rolled Up Non-Incremental Costs'!F16,'ICE Removal Cost'!F16,'Trans Removal Cost'!F16,'LEV3 Criteria Emissions Cost'!F16,'ZEV Assembly Reductions'!F16,'ACCII Criteria Compliance Cost'!F16,'ACCII GHG Compliance'!F16,'Current GHG Compliance'!F16)+IF(Table44[[#This Row],[Cold]:[Cold]]="Y",'Cold Weather Package'!F16,0)+IF(Table44[[#This Row],[eAWD]:[eAWD]]="Y",'eAWD Package'!F16,0)+IF(Table44[[#This Row],[Towing]:[Towing]]="Y",'Towing Bat Cost'!F16,0),"N/A")</f>
        <v>4605.1118852941172</v>
      </c>
      <c r="K135" s="157">
        <f>IF(Table44[[#This Row],[Applicable Package?]:[Applicable Package?]]="Y",SUM('Rolled Up Non-Incremental Costs'!G16,'ICE Removal Cost'!G16,'Trans Removal Cost'!G16,'LEV3 Criteria Emissions Cost'!G16,'ZEV Assembly Reductions'!G16,'ACCII Criteria Compliance Cost'!G16,'ACCII GHG Compliance'!G16,'Current GHG Compliance'!G16)+IF(Table44[[#This Row],[Cold]:[Cold]]="Y",'Cold Weather Package'!G16,0)+IF(Table44[[#This Row],[eAWD]:[eAWD]]="Y",'eAWD Package'!G16,0)+IF(Table44[[#This Row],[Towing]:[Towing]]="Y",'Towing Bat Cost'!G16,0),"N/A")</f>
        <v>4402.4604494656624</v>
      </c>
      <c r="L135" s="157">
        <f>IF(Table44[[#This Row],[Applicable Package?]:[Applicable Package?]]="Y",SUM('Rolled Up Non-Incremental Costs'!H16,'ICE Removal Cost'!H16,'Trans Removal Cost'!H16,'LEV3 Criteria Emissions Cost'!H16,'ZEV Assembly Reductions'!H16,'ACCII Criteria Compliance Cost'!H16,'ACCII GHG Compliance'!H16,'Current GHG Compliance'!H16)+IF(Table44[[#This Row],[Cold]:[Cold]]="Y",'Cold Weather Package'!H16,0)+IF(Table44[[#This Row],[eAWD]:[eAWD]]="Y",'eAWD Package'!H16,0)+IF(Table44[[#This Row],[Towing]:[Towing]]="Y",'Towing Bat Cost'!H16,0),"N/A")</f>
        <v>4212.8053691577134</v>
      </c>
      <c r="M135" s="157">
        <f>IF(Table44[[#This Row],[Applicable Package?]:[Applicable Package?]]="Y",SUM('Rolled Up Non-Incremental Costs'!I16,'ICE Removal Cost'!I16,'Trans Removal Cost'!I16,'LEV3 Criteria Emissions Cost'!I16,'ZEV Assembly Reductions'!I16,'ACCII Criteria Compliance Cost'!I16,'ACCII GHG Compliance'!I16,'Current GHG Compliance'!I16)+IF(Table44[[#This Row],[Cold]:[Cold]]="Y",'Cold Weather Package'!I16,0)+IF(Table44[[#This Row],[eAWD]:[eAWD]]="Y",'eAWD Package'!I16,0)+IF(Table44[[#This Row],[Towing]:[Towing]]="Y",'Towing Bat Cost'!I16,0),"N/A")</f>
        <v>4035.1977821723058</v>
      </c>
      <c r="N135" s="157">
        <f>IF(Table44[[#This Row],[Applicable Package?]:[Applicable Package?]]="Y",SUM('Rolled Up Non-Incremental Costs'!J16,'ICE Removal Cost'!J16,'Trans Removal Cost'!J16,'LEV3 Criteria Emissions Cost'!J16,'ZEV Assembly Reductions'!J16,'ACCII Criteria Compliance Cost'!J16,'ACCII GHG Compliance'!J16,'Current GHG Compliance'!J16)+IF(Table44[[#This Row],[Cold]:[Cold]]="Y",'Cold Weather Package'!J16,0)+IF(Table44[[#This Row],[eAWD]:[eAWD]]="Y",'eAWD Package'!J16,0)+IF(Table44[[#This Row],[Towing]:[Towing]]="Y",'Towing Bat Cost'!J16,0),"N/A")</f>
        <v>3896.6169806376292</v>
      </c>
      <c r="O135" s="157">
        <f>IF(Table44[[#This Row],[Applicable Package?]:[Applicable Package?]]="Y",SUM('Rolled Up Non-Incremental Costs'!K16,'ICE Removal Cost'!K16,'Trans Removal Cost'!K16,'LEV3 Criteria Emissions Cost'!K16,'ZEV Assembly Reductions'!K16,'ACCII Criteria Compliance Cost'!K16,'ACCII GHG Compliance'!K16,'Current GHG Compliance'!K16)+IF(Table44[[#This Row],[Cold]:[Cold]]="Y",'Cold Weather Package'!K16,0)+IF(Table44[[#This Row],[eAWD]:[eAWD]]="Y",'eAWD Package'!K16,0)+IF(Table44[[#This Row],[Towing]:[Towing]]="Y",'Towing Bat Cost'!K16,0),"N/A")</f>
        <v>3772.1747398225975</v>
      </c>
      <c r="P135" s="157">
        <f>IF(Table44[[#This Row],[Applicable Package?]:[Applicable Package?]]="Y",SUM('Rolled Up Non-Incremental Costs'!L16,'ICE Removal Cost'!L16,'Trans Removal Cost'!L16,'LEV3 Criteria Emissions Cost'!L16,'ZEV Assembly Reductions'!L16,'ACCII Criteria Compliance Cost'!L16,'ACCII GHG Compliance'!L16,'Current GHG Compliance'!L16)+IF(Table44[[#This Row],[Cold]:[Cold]]="Y",'Cold Weather Package'!L16,0)+IF(Table44[[#This Row],[eAWD]:[eAWD]]="Y",'eAWD Package'!L16,0)+IF(Table44[[#This Row],[Towing]:[Towing]]="Y",'Towing Bat Cost'!L16,0),"N/A")</f>
        <v>3653.1283988034397</v>
      </c>
      <c r="Q135" s="157">
        <f>IF(Table44[[#This Row],[Applicable Package?]:[Applicable Package?]]="Y",SUM('Rolled Up Non-Incremental Costs'!M16,'ICE Removal Cost'!M16,'Trans Removal Cost'!M16,'LEV3 Criteria Emissions Cost'!M16,'ZEV Assembly Reductions'!M16,'ACCII Criteria Compliance Cost'!M16,'ACCII GHG Compliance'!M16,'Current GHG Compliance'!M16)+IF(Table44[[#This Row],[Cold]:[Cold]]="Y",'Cold Weather Package'!M16,0)+IF(Table44[[#This Row],[eAWD]:[eAWD]]="Y",'eAWD Package'!M16,0)+IF(Table44[[#This Row],[Towing]:[Towing]]="Y",'Towing Bat Cost'!M16,0),"N/A")</f>
        <v>3539.1967051952197</v>
      </c>
      <c r="R135" s="157">
        <f>IF(Table44[[#This Row],[Applicable Package?]:[Applicable Package?]]="Y",SUM('Rolled Up Non-Incremental Costs'!N16,'ICE Removal Cost'!N16,'Trans Removal Cost'!N16,'LEV3 Criteria Emissions Cost'!N16,'ZEV Assembly Reductions'!N16,'ACCII Criteria Compliance Cost'!N16,'ACCII GHG Compliance'!N16,'Current GHG Compliance'!N16)+IF(Table44[[#This Row],[Cold]:[Cold]]="Y",'Cold Weather Package'!N16,0)+IF(Table44[[#This Row],[eAWD]:[eAWD]]="Y",'eAWD Package'!N16,0)+IF(Table44[[#This Row],[Towing]:[Towing]]="Y",'Towing Bat Cost'!N16,0),"N/A")</f>
        <v>3430.1136634497866</v>
      </c>
      <c r="S135" s="157">
        <f>IF(Table44[[#This Row],[Applicable Package?]:[Applicable Package?]]="Y",SUM('Rolled Up Non-Incremental Costs'!O16,'ICE Removal Cost'!O16,'Trans Removal Cost'!O16,'LEV3 Criteria Emissions Cost'!O16,'ZEV Assembly Reductions'!O16,'ACCII Criteria Compliance Cost'!O16,'ACCII GHG Compliance'!O16,'Current GHG Compliance'!O16)+IF(Table44[[#This Row],[Cold]:[Cold]]="Y",'Cold Weather Package'!O16,0)+IF(Table44[[#This Row],[eAWD]:[eAWD]]="Y",'eAWD Package'!O16,0)+IF(Table44[[#This Row],[Towing]:[Towing]]="Y",'Towing Bat Cost'!O16,0),"N/A")</f>
        <v>3325.6277009612759</v>
      </c>
    </row>
    <row r="136" spans="1:19" x14ac:dyDescent="0.3">
      <c r="A136" s="28" t="str">
        <f t="shared" si="3"/>
        <v>MedCarBasePHEV50</v>
      </c>
      <c r="B136" s="90" t="s">
        <v>82</v>
      </c>
      <c r="C136" s="68" t="s">
        <v>75</v>
      </c>
      <c r="D136" s="68" t="str">
        <f>'Vehicle Attributes - Base Year'!D14</f>
        <v>PHEV50</v>
      </c>
      <c r="E136" s="124" t="s">
        <v>76</v>
      </c>
      <c r="F136" s="124" t="s">
        <v>76</v>
      </c>
      <c r="G136" s="125" t="s">
        <v>77</v>
      </c>
      <c r="H136" s="156" t="s">
        <v>76</v>
      </c>
      <c r="I136" s="157">
        <f>IF(Table44[[#This Row],[Applicable Package?]:[Applicable Package?]]="Y",SUM('Rolled Up Non-Incremental Costs'!E17,'ICE Removal Cost'!E17,'Trans Removal Cost'!E17,'LEV3 Criteria Emissions Cost'!E17,'ZEV Assembly Reductions'!E17,'ACCII Criteria Compliance Cost'!E17,'ACCII GHG Compliance'!E17,'Current GHG Compliance'!E17)+IF(Table44[[#This Row],[Cold]:[Cold]]="Y",'Cold Weather Package'!E17,0)+IF(Table44[[#This Row],[eAWD]:[eAWD]]="Y",'eAWD Package'!E17,0)+IF(Table44[[#This Row],[Towing]:[Towing]]="Y",'Towing Bat Cost'!E17,0),"N/A")</f>
        <v>5244.6200678823525</v>
      </c>
      <c r="J136" s="157">
        <f>IF(Table44[[#This Row],[Applicable Package?]:[Applicable Package?]]="Y",SUM('Rolled Up Non-Incremental Costs'!F17,'ICE Removal Cost'!F17,'Trans Removal Cost'!F17,'LEV3 Criteria Emissions Cost'!F17,'ZEV Assembly Reductions'!F17,'ACCII Criteria Compliance Cost'!F17,'ACCII GHG Compliance'!F17,'Current GHG Compliance'!F17)+IF(Table44[[#This Row],[Cold]:[Cold]]="Y",'Cold Weather Package'!F17,0)+IF(Table44[[#This Row],[eAWD]:[eAWD]]="Y",'eAWD Package'!F17,0)+IF(Table44[[#This Row],[Towing]:[Towing]]="Y",'Towing Bat Cost'!F17,0),"N/A")</f>
        <v>5012.2585848505887</v>
      </c>
      <c r="K136" s="157">
        <f>IF(Table44[[#This Row],[Applicable Package?]:[Applicable Package?]]="Y",SUM('Rolled Up Non-Incremental Costs'!G17,'ICE Removal Cost'!G17,'Trans Removal Cost'!G17,'LEV3 Criteria Emissions Cost'!G17,'ZEV Assembly Reductions'!G17,'ACCII Criteria Compliance Cost'!G17,'ACCII GHG Compliance'!G17,'Current GHG Compliance'!G17)+IF(Table44[[#This Row],[Cold]:[Cold]]="Y",'Cold Weather Package'!G17,0)+IF(Table44[[#This Row],[eAWD]:[eAWD]]="Y",'eAWD Package'!G17,0)+IF(Table44[[#This Row],[Towing]:[Towing]]="Y",'Towing Bat Cost'!G17,0),"N/A")</f>
        <v>4794.9310199767888</v>
      </c>
      <c r="L136" s="157">
        <f>IF(Table44[[#This Row],[Applicable Package?]:[Applicable Package?]]="Y",SUM('Rolled Up Non-Incremental Costs'!H17,'ICE Removal Cost'!H17,'Trans Removal Cost'!H17,'LEV3 Criteria Emissions Cost'!H17,'ZEV Assembly Reductions'!H17,'ACCII Criteria Compliance Cost'!H17,'ACCII GHG Compliance'!H17,'Current GHG Compliance'!H17)+IF(Table44[[#This Row],[Cold]:[Cold]]="Y",'Cold Weather Package'!H17,0)+IF(Table44[[#This Row],[eAWD]:[eAWD]]="Y",'eAWD Package'!H17,0)+IF(Table44[[#This Row],[Towing]:[Towing]]="Y",'Towing Bat Cost'!H17,0),"N/A")</f>
        <v>4591.5382099359649</v>
      </c>
      <c r="M136" s="157">
        <f>IF(Table44[[#This Row],[Applicable Package?]:[Applicable Package?]]="Y",SUM('Rolled Up Non-Incremental Costs'!I17,'ICE Removal Cost'!I17,'Trans Removal Cost'!I17,'LEV3 Criteria Emissions Cost'!I17,'ZEV Assembly Reductions'!I17,'ACCII Criteria Compliance Cost'!I17,'ACCII GHG Compliance'!I17,'Current GHG Compliance'!I17)+IF(Table44[[#This Row],[Cold]:[Cold]]="Y",'Cold Weather Package'!I17,0)+IF(Table44[[#This Row],[eAWD]:[eAWD]]="Y",'eAWD Package'!I17,0)+IF(Table44[[#This Row],[Towing]:[Towing]]="Y",'Towing Bat Cost'!I17,0),"N/A")</f>
        <v>4401.0628127586833</v>
      </c>
      <c r="N136" s="157">
        <f>IF(Table44[[#This Row],[Applicable Package?]:[Applicable Package?]]="Y",SUM('Rolled Up Non-Incremental Costs'!J17,'ICE Removal Cost'!J17,'Trans Removal Cost'!J17,'LEV3 Criteria Emissions Cost'!J17,'ZEV Assembly Reductions'!J17,'ACCII Criteria Compliance Cost'!J17,'ACCII GHG Compliance'!J17,'Current GHG Compliance'!J17)+IF(Table44[[#This Row],[Cold]:[Cold]]="Y",'Cold Weather Package'!J17,0)+IF(Table44[[#This Row],[eAWD]:[eAWD]]="Y",'eAWD Package'!J17,0)+IF(Table44[[#This Row],[Towing]:[Towing]]="Y",'Towing Bat Cost'!J17,0),"N/A")</f>
        <v>4252.4310746708179</v>
      </c>
      <c r="O136" s="157">
        <f>IF(Table44[[#This Row],[Applicable Package?]:[Applicable Package?]]="Y",SUM('Rolled Up Non-Incremental Costs'!K17,'ICE Removal Cost'!K17,'Trans Removal Cost'!K17,'LEV3 Criteria Emissions Cost'!K17,'ZEV Assembly Reductions'!K17,'ACCII Criteria Compliance Cost'!K17,'ACCII GHG Compliance'!K17,'Current GHG Compliance'!K17)+IF(Table44[[#This Row],[Cold]:[Cold]]="Y",'Cold Weather Package'!K17,0)+IF(Table44[[#This Row],[eAWD]:[eAWD]]="Y",'eAWD Package'!K17,0)+IF(Table44[[#This Row],[Towing]:[Towing]]="Y",'Towing Bat Cost'!K17,0),"N/A")</f>
        <v>4118.9587084096747</v>
      </c>
      <c r="P136" s="157">
        <f>IF(Table44[[#This Row],[Applicable Package?]:[Applicable Package?]]="Y",SUM('Rolled Up Non-Incremental Costs'!L17,'ICE Removal Cost'!L17,'Trans Removal Cost'!L17,'LEV3 Criteria Emissions Cost'!L17,'ZEV Assembly Reductions'!L17,'ACCII Criteria Compliance Cost'!L17,'ACCII GHG Compliance'!L17,'Current GHG Compliance'!L17)+IF(Table44[[#This Row],[Cold]:[Cold]]="Y",'Cold Weather Package'!L17,0)+IF(Table44[[#This Row],[eAWD]:[eAWD]]="Y",'eAWD Package'!L17,0)+IF(Table44[[#This Row],[Towing]:[Towing]]="Y",'Towing Bat Cost'!L17,0),"N/A")</f>
        <v>3991.2721343505577</v>
      </c>
      <c r="Q136" s="157">
        <f>IF(Table44[[#This Row],[Applicable Package?]:[Applicable Package?]]="Y",SUM('Rolled Up Non-Incremental Costs'!M17,'ICE Removal Cost'!M17,'Trans Removal Cost'!M17,'LEV3 Criteria Emissions Cost'!M17,'ZEV Assembly Reductions'!M17,'ACCII Criteria Compliance Cost'!M17,'ACCII GHG Compliance'!M17,'Current GHG Compliance'!M17)+IF(Table44[[#This Row],[Cold]:[Cold]]="Y",'Cold Weather Package'!M17,0)+IF(Table44[[#This Row],[eAWD]:[eAWD]]="Y",'eAWD Package'!M17,0)+IF(Table44[[#This Row],[Towing]:[Towing]]="Y",'Towing Bat Cost'!M17,0),"N/A")</f>
        <v>3869.0697985689153</v>
      </c>
      <c r="R136" s="157">
        <f>IF(Table44[[#This Row],[Applicable Package?]:[Applicable Package?]]="Y",SUM('Rolled Up Non-Incremental Costs'!N17,'ICE Removal Cost'!N17,'Trans Removal Cost'!N17,'LEV3 Criteria Emissions Cost'!N17,'ZEV Assembly Reductions'!N17,'ACCII Criteria Compliance Cost'!N17,'ACCII GHG Compliance'!N17,'Current GHG Compliance'!N17)+IF(Table44[[#This Row],[Cold]:[Cold]]="Y",'Cold Weather Package'!N17,0)+IF(Table44[[#This Row],[eAWD]:[eAWD]]="Y",'eAWD Package'!N17,0)+IF(Table44[[#This Row],[Towing]:[Towing]]="Y",'Towing Bat Cost'!N17,0),"N/A")</f>
        <v>3752.0665050355769</v>
      </c>
      <c r="S136" s="157">
        <f>IF(Table44[[#This Row],[Applicable Package?]:[Applicable Package?]]="Y",SUM('Rolled Up Non-Incremental Costs'!O17,'ICE Removal Cost'!O17,'Trans Removal Cost'!O17,'LEV3 Criteria Emissions Cost'!O17,'ZEV Assembly Reductions'!O17,'ACCII Criteria Compliance Cost'!O17,'ACCII GHG Compliance'!O17,'Current GHG Compliance'!O17)+IF(Table44[[#This Row],[Cold]:[Cold]]="Y",'Cold Weather Package'!O17,0)+IF(Table44[[#This Row],[eAWD]:[eAWD]]="Y",'eAWD Package'!O17,0)+IF(Table44[[#This Row],[Towing]:[Towing]]="Y",'Towing Bat Cost'!O17,0),"N/A")</f>
        <v>3639.9925215438052</v>
      </c>
    </row>
    <row r="137" spans="1:19" x14ac:dyDescent="0.3">
      <c r="A137" t="str">
        <f t="shared" si="3"/>
        <v>MedCarPremiumPHEV50</v>
      </c>
      <c r="B137" s="90" t="s">
        <v>82</v>
      </c>
      <c r="C137" s="68" t="s">
        <v>80</v>
      </c>
      <c r="D137" s="68" t="str">
        <f>'Vehicle Attributes - Base Year'!D15</f>
        <v>PHEV50</v>
      </c>
      <c r="E137" s="124" t="s">
        <v>76</v>
      </c>
      <c r="F137" s="124" t="s">
        <v>76</v>
      </c>
      <c r="G137" s="125" t="s">
        <v>77</v>
      </c>
      <c r="H137" s="156" t="s">
        <v>76</v>
      </c>
      <c r="I137" s="157">
        <f>IF(Table44[[#This Row],[Applicable Package?]:[Applicable Package?]]="Y",SUM('Rolled Up Non-Incremental Costs'!E18,'ICE Removal Cost'!E18,'Trans Removal Cost'!E18,'LEV3 Criteria Emissions Cost'!E18,'ZEV Assembly Reductions'!E18,'ACCII Criteria Compliance Cost'!E18,'ACCII GHG Compliance'!E18,'Current GHG Compliance'!E18)+IF(Table44[[#This Row],[Cold]:[Cold]]="Y",'Cold Weather Package'!E18,0)+IF(Table44[[#This Row],[eAWD]:[eAWD]]="Y",'eAWD Package'!E18,0)+IF(Table44[[#This Row],[Towing]:[Towing]]="Y",'Towing Bat Cost'!E18,0),"N/A")</f>
        <v>5244.6200678823525</v>
      </c>
      <c r="J137" s="157">
        <f>IF(Table44[[#This Row],[Applicable Package?]:[Applicable Package?]]="Y",SUM('Rolled Up Non-Incremental Costs'!F18,'ICE Removal Cost'!F18,'Trans Removal Cost'!F18,'LEV3 Criteria Emissions Cost'!F18,'ZEV Assembly Reductions'!F18,'ACCII Criteria Compliance Cost'!F18,'ACCII GHG Compliance'!F18,'Current GHG Compliance'!F18)+IF(Table44[[#This Row],[Cold]:[Cold]]="Y",'Cold Weather Package'!F18,0)+IF(Table44[[#This Row],[eAWD]:[eAWD]]="Y",'eAWD Package'!F18,0)+IF(Table44[[#This Row],[Towing]:[Towing]]="Y",'Towing Bat Cost'!F18,0),"N/A")</f>
        <v>5012.2585848505887</v>
      </c>
      <c r="K137" s="157">
        <f>IF(Table44[[#This Row],[Applicable Package?]:[Applicable Package?]]="Y",SUM('Rolled Up Non-Incremental Costs'!G18,'ICE Removal Cost'!G18,'Trans Removal Cost'!G18,'LEV3 Criteria Emissions Cost'!G18,'ZEV Assembly Reductions'!G18,'ACCII Criteria Compliance Cost'!G18,'ACCII GHG Compliance'!G18,'Current GHG Compliance'!G18)+IF(Table44[[#This Row],[Cold]:[Cold]]="Y",'Cold Weather Package'!G18,0)+IF(Table44[[#This Row],[eAWD]:[eAWD]]="Y",'eAWD Package'!G18,0)+IF(Table44[[#This Row],[Towing]:[Towing]]="Y",'Towing Bat Cost'!G18,0),"N/A")</f>
        <v>4794.9310199767888</v>
      </c>
      <c r="L137" s="157">
        <f>IF(Table44[[#This Row],[Applicable Package?]:[Applicable Package?]]="Y",SUM('Rolled Up Non-Incremental Costs'!H18,'ICE Removal Cost'!H18,'Trans Removal Cost'!H18,'LEV3 Criteria Emissions Cost'!H18,'ZEV Assembly Reductions'!H18,'ACCII Criteria Compliance Cost'!H18,'ACCII GHG Compliance'!H18,'Current GHG Compliance'!H18)+IF(Table44[[#This Row],[Cold]:[Cold]]="Y",'Cold Weather Package'!H18,0)+IF(Table44[[#This Row],[eAWD]:[eAWD]]="Y",'eAWD Package'!H18,0)+IF(Table44[[#This Row],[Towing]:[Towing]]="Y",'Towing Bat Cost'!H18,0),"N/A")</f>
        <v>4591.5382099359649</v>
      </c>
      <c r="M137" s="157">
        <f>IF(Table44[[#This Row],[Applicable Package?]:[Applicable Package?]]="Y",SUM('Rolled Up Non-Incremental Costs'!I18,'ICE Removal Cost'!I18,'Trans Removal Cost'!I18,'LEV3 Criteria Emissions Cost'!I18,'ZEV Assembly Reductions'!I18,'ACCII Criteria Compliance Cost'!I18,'ACCII GHG Compliance'!I18,'Current GHG Compliance'!I18)+IF(Table44[[#This Row],[Cold]:[Cold]]="Y",'Cold Weather Package'!I18,0)+IF(Table44[[#This Row],[eAWD]:[eAWD]]="Y",'eAWD Package'!I18,0)+IF(Table44[[#This Row],[Towing]:[Towing]]="Y",'Towing Bat Cost'!I18,0),"N/A")</f>
        <v>4401.0628127586833</v>
      </c>
      <c r="N137" s="157">
        <f>IF(Table44[[#This Row],[Applicable Package?]:[Applicable Package?]]="Y",SUM('Rolled Up Non-Incremental Costs'!J18,'ICE Removal Cost'!J18,'Trans Removal Cost'!J18,'LEV3 Criteria Emissions Cost'!J18,'ZEV Assembly Reductions'!J18,'ACCII Criteria Compliance Cost'!J18,'ACCII GHG Compliance'!J18,'Current GHG Compliance'!J18)+IF(Table44[[#This Row],[Cold]:[Cold]]="Y",'Cold Weather Package'!J18,0)+IF(Table44[[#This Row],[eAWD]:[eAWD]]="Y",'eAWD Package'!J18,0)+IF(Table44[[#This Row],[Towing]:[Towing]]="Y",'Towing Bat Cost'!J18,0),"N/A")</f>
        <v>4252.4310746708179</v>
      </c>
      <c r="O137" s="157">
        <f>IF(Table44[[#This Row],[Applicable Package?]:[Applicable Package?]]="Y",SUM('Rolled Up Non-Incremental Costs'!K18,'ICE Removal Cost'!K18,'Trans Removal Cost'!K18,'LEV3 Criteria Emissions Cost'!K18,'ZEV Assembly Reductions'!K18,'ACCII Criteria Compliance Cost'!K18,'ACCII GHG Compliance'!K18,'Current GHG Compliance'!K18)+IF(Table44[[#This Row],[Cold]:[Cold]]="Y",'Cold Weather Package'!K18,0)+IF(Table44[[#This Row],[eAWD]:[eAWD]]="Y",'eAWD Package'!K18,0)+IF(Table44[[#This Row],[Towing]:[Towing]]="Y",'Towing Bat Cost'!K18,0),"N/A")</f>
        <v>4118.9587084096747</v>
      </c>
      <c r="P137" s="157">
        <f>IF(Table44[[#This Row],[Applicable Package?]:[Applicable Package?]]="Y",SUM('Rolled Up Non-Incremental Costs'!L18,'ICE Removal Cost'!L18,'Trans Removal Cost'!L18,'LEV3 Criteria Emissions Cost'!L18,'ZEV Assembly Reductions'!L18,'ACCII Criteria Compliance Cost'!L18,'ACCII GHG Compliance'!L18,'Current GHG Compliance'!L18)+IF(Table44[[#This Row],[Cold]:[Cold]]="Y",'Cold Weather Package'!L18,0)+IF(Table44[[#This Row],[eAWD]:[eAWD]]="Y",'eAWD Package'!L18,0)+IF(Table44[[#This Row],[Towing]:[Towing]]="Y",'Towing Bat Cost'!L18,0),"N/A")</f>
        <v>3991.2721343505577</v>
      </c>
      <c r="Q137" s="157">
        <f>IF(Table44[[#This Row],[Applicable Package?]:[Applicable Package?]]="Y",SUM('Rolled Up Non-Incremental Costs'!M18,'ICE Removal Cost'!M18,'Trans Removal Cost'!M18,'LEV3 Criteria Emissions Cost'!M18,'ZEV Assembly Reductions'!M18,'ACCII Criteria Compliance Cost'!M18,'ACCII GHG Compliance'!M18,'Current GHG Compliance'!M18)+IF(Table44[[#This Row],[Cold]:[Cold]]="Y",'Cold Weather Package'!M18,0)+IF(Table44[[#This Row],[eAWD]:[eAWD]]="Y",'eAWD Package'!M18,0)+IF(Table44[[#This Row],[Towing]:[Towing]]="Y",'Towing Bat Cost'!M18,0),"N/A")</f>
        <v>3869.0697985689153</v>
      </c>
      <c r="R137" s="157">
        <f>IF(Table44[[#This Row],[Applicable Package?]:[Applicable Package?]]="Y",SUM('Rolled Up Non-Incremental Costs'!N18,'ICE Removal Cost'!N18,'Trans Removal Cost'!N18,'LEV3 Criteria Emissions Cost'!N18,'ZEV Assembly Reductions'!N18,'ACCII Criteria Compliance Cost'!N18,'ACCII GHG Compliance'!N18,'Current GHG Compliance'!N18)+IF(Table44[[#This Row],[Cold]:[Cold]]="Y",'Cold Weather Package'!N18,0)+IF(Table44[[#This Row],[eAWD]:[eAWD]]="Y",'eAWD Package'!N18,0)+IF(Table44[[#This Row],[Towing]:[Towing]]="Y",'Towing Bat Cost'!N18,0),"N/A")</f>
        <v>3752.0665050355769</v>
      </c>
      <c r="S137" s="157">
        <f>IF(Table44[[#This Row],[Applicable Package?]:[Applicable Package?]]="Y",SUM('Rolled Up Non-Incremental Costs'!O18,'ICE Removal Cost'!O18,'Trans Removal Cost'!O18,'LEV3 Criteria Emissions Cost'!O18,'ZEV Assembly Reductions'!O18,'ACCII Criteria Compliance Cost'!O18,'ACCII GHG Compliance'!O18,'Current GHG Compliance'!O18)+IF(Table44[[#This Row],[Cold]:[Cold]]="Y",'Cold Weather Package'!O18,0)+IF(Table44[[#This Row],[eAWD]:[eAWD]]="Y",'eAWD Package'!O18,0)+IF(Table44[[#This Row],[Towing]:[Towing]]="Y",'Towing Bat Cost'!O18,0),"N/A")</f>
        <v>3639.9925215438052</v>
      </c>
    </row>
    <row r="138" spans="1:19" x14ac:dyDescent="0.3">
      <c r="A138" s="28" t="str">
        <f t="shared" si="3"/>
        <v>SmallSUVBasePHEV50</v>
      </c>
      <c r="B138" s="90" t="s">
        <v>83</v>
      </c>
      <c r="C138" s="68" t="s">
        <v>75</v>
      </c>
      <c r="D138" s="68" t="str">
        <f>'Vehicle Attributes - Base Year'!D16</f>
        <v>PHEV50</v>
      </c>
      <c r="E138" s="124" t="s">
        <v>76</v>
      </c>
      <c r="F138" s="124" t="s">
        <v>76</v>
      </c>
      <c r="G138" s="125" t="s">
        <v>77</v>
      </c>
      <c r="H138" s="156" t="s">
        <v>76</v>
      </c>
      <c r="I138" s="157">
        <f>IF(Table44[[#This Row],[Applicable Package?]:[Applicable Package?]]="Y",SUM('Rolled Up Non-Incremental Costs'!E19,'ICE Removal Cost'!E19,'Trans Removal Cost'!E19,'LEV3 Criteria Emissions Cost'!E19,'ZEV Assembly Reductions'!E19,'ACCII Criteria Compliance Cost'!E19,'ACCII GHG Compliance'!E19,'Current GHG Compliance'!E19)+IF(Table44[[#This Row],[Cold]:[Cold]]="Y",'Cold Weather Package'!E19,0)+IF(Table44[[#This Row],[eAWD]:[eAWD]]="Y",'eAWD Package'!E19,0)+IF(Table44[[#This Row],[Towing]:[Towing]]="Y",'Towing Bat Cost'!E19,0),"N/A")</f>
        <v>5679.0569112913436</v>
      </c>
      <c r="J138" s="157">
        <f>IF(Table44[[#This Row],[Applicable Package?]:[Applicable Package?]]="Y",SUM('Rolled Up Non-Incremental Costs'!F19,'ICE Removal Cost'!F19,'Trans Removal Cost'!F19,'LEV3 Criteria Emissions Cost'!F19,'ZEV Assembly Reductions'!F19,'ACCII Criteria Compliance Cost'!F19,'ACCII GHG Compliance'!F19,'Current GHG Compliance'!F19)+IF(Table44[[#This Row],[Cold]:[Cold]]="Y",'Cold Weather Package'!F19,0)+IF(Table44[[#This Row],[eAWD]:[eAWD]]="Y",'eAWD Package'!F19,0)+IF(Table44[[#This Row],[Towing]:[Towing]]="Y",'Towing Bat Cost'!F19,0),"N/A")</f>
        <v>5417.2478451196057</v>
      </c>
      <c r="K138" s="157">
        <f>IF(Table44[[#This Row],[Applicable Package?]:[Applicable Package?]]="Y",SUM('Rolled Up Non-Incremental Costs'!G19,'ICE Removal Cost'!G19,'Trans Removal Cost'!G19,'LEV3 Criteria Emissions Cost'!G19,'ZEV Assembly Reductions'!G19,'ACCII Criteria Compliance Cost'!G19,'ACCII GHG Compliance'!G19,'Current GHG Compliance'!G19)+IF(Table44[[#This Row],[Cold]:[Cold]]="Y",'Cold Weather Package'!G19,0)+IF(Table44[[#This Row],[eAWD]:[eAWD]]="Y",'eAWD Package'!G19,0)+IF(Table44[[#This Row],[Towing]:[Towing]]="Y",'Towing Bat Cost'!G19,0),"N/A")</f>
        <v>5172.6411279150279</v>
      </c>
      <c r="L138" s="157">
        <f>IF(Table44[[#This Row],[Applicable Package?]:[Applicable Package?]]="Y",SUM('Rolled Up Non-Incremental Costs'!H19,'ICE Removal Cost'!H19,'Trans Removal Cost'!H19,'LEV3 Criteria Emissions Cost'!H19,'ZEV Assembly Reductions'!H19,'ACCII Criteria Compliance Cost'!H19,'ACCII GHG Compliance'!H19,'Current GHG Compliance'!H19)+IF(Table44[[#This Row],[Cold]:[Cold]]="Y",'Cold Weather Package'!H19,0)+IF(Table44[[#This Row],[eAWD]:[eAWD]]="Y",'eAWD Package'!H19,0)+IF(Table44[[#This Row],[Towing]:[Towing]]="Y",'Towing Bat Cost'!H19,0),"N/A")</f>
        <v>4943.9760213054342</v>
      </c>
      <c r="M138" s="157">
        <f>IF(Table44[[#This Row],[Applicable Package?]:[Applicable Package?]]="Y",SUM('Rolled Up Non-Incremental Costs'!I19,'ICE Removal Cost'!I19,'Trans Removal Cost'!I19,'LEV3 Criteria Emissions Cost'!I19,'ZEV Assembly Reductions'!I19,'ACCII Criteria Compliance Cost'!I19,'ACCII GHG Compliance'!I19,'Current GHG Compliance'!I19)+IF(Table44[[#This Row],[Cold]:[Cold]]="Y",'Cold Weather Package'!I19,0)+IF(Table44[[#This Row],[eAWD]:[eAWD]]="Y",'eAWD Package'!I19,0)+IF(Table44[[#This Row],[Towing]:[Towing]]="Y",'Towing Bat Cost'!I19,0),"N/A")</f>
        <v>4730.0856668683555</v>
      </c>
      <c r="N138" s="157">
        <f>IF(Table44[[#This Row],[Applicable Package?]:[Applicable Package?]]="Y",SUM('Rolled Up Non-Incremental Costs'!J19,'ICE Removal Cost'!J19,'Trans Removal Cost'!J19,'LEV3 Criteria Emissions Cost'!J19,'ZEV Assembly Reductions'!J19,'ACCII Criteria Compliance Cost'!J19,'ACCII GHG Compliance'!J19,'Current GHG Compliance'!J19)+IF(Table44[[#This Row],[Cold]:[Cold]]="Y",'Cold Weather Package'!J19,0)+IF(Table44[[#This Row],[eAWD]:[eAWD]]="Y",'eAWD Package'!J19,0)+IF(Table44[[#This Row],[Towing]:[Towing]]="Y",'Towing Bat Cost'!J19,0),"N/A")</f>
        <v>4564.1615494119151</v>
      </c>
      <c r="O138" s="157">
        <f>IF(Table44[[#This Row],[Applicable Package?]:[Applicable Package?]]="Y",SUM('Rolled Up Non-Incremental Costs'!K19,'ICE Removal Cost'!K19,'Trans Removal Cost'!K19,'LEV3 Criteria Emissions Cost'!K19,'ZEV Assembly Reductions'!K19,'ACCII Criteria Compliance Cost'!K19,'ACCII GHG Compliance'!K19,'Current GHG Compliance'!K19)+IF(Table44[[#This Row],[Cold]:[Cold]]="Y",'Cold Weather Package'!K19,0)+IF(Table44[[#This Row],[eAWD]:[eAWD]]="Y",'eAWD Package'!K19,0)+IF(Table44[[#This Row],[Towing]:[Towing]]="Y",'Towing Bat Cost'!K19,0),"N/A")</f>
        <v>4415.5856266287965</v>
      </c>
      <c r="P138" s="157">
        <f>IF(Table44[[#This Row],[Applicable Package?]:[Applicable Package?]]="Y",SUM('Rolled Up Non-Incremental Costs'!L19,'ICE Removal Cost'!L19,'Trans Removal Cost'!L19,'LEV3 Criteria Emissions Cost'!L19,'ZEV Assembly Reductions'!L19,'ACCII Criteria Compliance Cost'!L19,'ACCII GHG Compliance'!L19,'Current GHG Compliance'!L19)+IF(Table44[[#This Row],[Cold]:[Cold]]="Y",'Cold Weather Package'!L19,0)+IF(Table44[[#This Row],[eAWD]:[eAWD]]="Y",'eAWD Package'!L19,0)+IF(Table44[[#This Row],[Towing]:[Towing]]="Y",'Towing Bat Cost'!L19,0),"N/A")</f>
        <v>4273.6027788975834</v>
      </c>
      <c r="Q138" s="157">
        <f>IF(Table44[[#This Row],[Applicable Package?]:[Applicable Package?]]="Y",SUM('Rolled Up Non-Incremental Costs'!M19,'ICE Removal Cost'!M19,'Trans Removal Cost'!M19,'LEV3 Criteria Emissions Cost'!M19,'ZEV Assembly Reductions'!M19,'ACCII Criteria Compliance Cost'!M19,'ACCII GHG Compliance'!M19,'Current GHG Compliance'!M19)+IF(Table44[[#This Row],[Cold]:[Cold]]="Y",'Cold Weather Package'!M19,0)+IF(Table44[[#This Row],[eAWD]:[eAWD]]="Y",'eAWD Package'!M19,0)+IF(Table44[[#This Row],[Towing]:[Towing]]="Y",'Towing Bat Cost'!M19,0),"N/A")</f>
        <v>4137.8674499263852</v>
      </c>
      <c r="R138" s="157">
        <f>IF(Table44[[#This Row],[Applicable Package?]:[Applicable Package?]]="Y",SUM('Rolled Up Non-Incremental Costs'!N19,'ICE Removal Cost'!N19,'Trans Removal Cost'!N19,'LEV3 Criteria Emissions Cost'!N19,'ZEV Assembly Reductions'!N19,'ACCII Criteria Compliance Cost'!N19,'ACCII GHG Compliance'!N19,'Current GHG Compliance'!N19)+IF(Table44[[#This Row],[Cold]:[Cold]]="Y",'Cold Weather Package'!N19,0)+IF(Table44[[#This Row],[eAWD]:[eAWD]]="Y",'eAWD Package'!N19,0)+IF(Table44[[#This Row],[Towing]:[Towing]]="Y",'Towing Bat Cost'!N19,0),"N/A")</f>
        <v>4008.0528484846263</v>
      </c>
      <c r="S138" s="157">
        <f>IF(Table44[[#This Row],[Applicable Package?]:[Applicable Package?]]="Y",SUM('Rolled Up Non-Incremental Costs'!O19,'ICE Removal Cost'!O19,'Trans Removal Cost'!O19,'LEV3 Criteria Emissions Cost'!O19,'ZEV Assembly Reductions'!O19,'ACCII Criteria Compliance Cost'!O19,'ACCII GHG Compliance'!O19,'Current GHG Compliance'!O19)+IF(Table44[[#This Row],[Cold]:[Cold]]="Y",'Cold Weather Package'!O19,0)+IF(Table44[[#This Row],[eAWD]:[eAWD]]="Y",'eAWD Package'!O19,0)+IF(Table44[[#This Row],[Towing]:[Towing]]="Y",'Towing Bat Cost'!O19,0),"N/A")</f>
        <v>3883.8499225573869</v>
      </c>
    </row>
    <row r="139" spans="1:19" x14ac:dyDescent="0.3">
      <c r="A139" t="str">
        <f t="shared" si="3"/>
        <v>SmallSUVPremiumPHEV50</v>
      </c>
      <c r="B139" s="90" t="s">
        <v>83</v>
      </c>
      <c r="C139" s="68" t="s">
        <v>80</v>
      </c>
      <c r="D139" s="68" t="str">
        <f>'Vehicle Attributes - Base Year'!D17</f>
        <v>PHEV50</v>
      </c>
      <c r="E139" s="124" t="s">
        <v>76</v>
      </c>
      <c r="F139" s="124" t="s">
        <v>76</v>
      </c>
      <c r="G139" s="125" t="s">
        <v>77</v>
      </c>
      <c r="H139" s="156" t="s">
        <v>76</v>
      </c>
      <c r="I139" s="157">
        <f>IF(Table44[[#This Row],[Applicable Package?]:[Applicable Package?]]="Y",SUM('Rolled Up Non-Incremental Costs'!E20,'ICE Removal Cost'!E20,'Trans Removal Cost'!E20,'LEV3 Criteria Emissions Cost'!E20,'ZEV Assembly Reductions'!E20,'ACCII Criteria Compliance Cost'!E20,'ACCII GHG Compliance'!E20,'Current GHG Compliance'!E20)+IF(Table44[[#This Row],[Cold]:[Cold]]="Y",'Cold Weather Package'!E20,0)+IF(Table44[[#This Row],[eAWD]:[eAWD]]="Y",'eAWD Package'!E20,0)+IF(Table44[[#This Row],[Towing]:[Towing]]="Y",'Towing Bat Cost'!E20,0),"N/A")</f>
        <v>5679.0569112913436</v>
      </c>
      <c r="J139" s="157">
        <f>IF(Table44[[#This Row],[Applicable Package?]:[Applicable Package?]]="Y",SUM('Rolled Up Non-Incremental Costs'!F20,'ICE Removal Cost'!F20,'Trans Removal Cost'!F20,'LEV3 Criteria Emissions Cost'!F20,'ZEV Assembly Reductions'!F20,'ACCII Criteria Compliance Cost'!F20,'ACCII GHG Compliance'!F20,'Current GHG Compliance'!F20)+IF(Table44[[#This Row],[Cold]:[Cold]]="Y",'Cold Weather Package'!F20,0)+IF(Table44[[#This Row],[eAWD]:[eAWD]]="Y",'eAWD Package'!F20,0)+IF(Table44[[#This Row],[Towing]:[Towing]]="Y",'Towing Bat Cost'!F20,0),"N/A")</f>
        <v>5417.2478451196057</v>
      </c>
      <c r="K139" s="157">
        <f>IF(Table44[[#This Row],[Applicable Package?]:[Applicable Package?]]="Y",SUM('Rolled Up Non-Incremental Costs'!G20,'ICE Removal Cost'!G20,'Trans Removal Cost'!G20,'LEV3 Criteria Emissions Cost'!G20,'ZEV Assembly Reductions'!G20,'ACCII Criteria Compliance Cost'!G20,'ACCII GHG Compliance'!G20,'Current GHG Compliance'!G20)+IF(Table44[[#This Row],[Cold]:[Cold]]="Y",'Cold Weather Package'!G20,0)+IF(Table44[[#This Row],[eAWD]:[eAWD]]="Y",'eAWD Package'!G20,0)+IF(Table44[[#This Row],[Towing]:[Towing]]="Y",'Towing Bat Cost'!G20,0),"N/A")</f>
        <v>5172.6411279150279</v>
      </c>
      <c r="L139" s="157">
        <f>IF(Table44[[#This Row],[Applicable Package?]:[Applicable Package?]]="Y",SUM('Rolled Up Non-Incremental Costs'!H20,'ICE Removal Cost'!H20,'Trans Removal Cost'!H20,'LEV3 Criteria Emissions Cost'!H20,'ZEV Assembly Reductions'!H20,'ACCII Criteria Compliance Cost'!H20,'ACCII GHG Compliance'!H20,'Current GHG Compliance'!H20)+IF(Table44[[#This Row],[Cold]:[Cold]]="Y",'Cold Weather Package'!H20,0)+IF(Table44[[#This Row],[eAWD]:[eAWD]]="Y",'eAWD Package'!H20,0)+IF(Table44[[#This Row],[Towing]:[Towing]]="Y",'Towing Bat Cost'!H20,0),"N/A")</f>
        <v>4943.9760213054342</v>
      </c>
      <c r="M139" s="157">
        <f>IF(Table44[[#This Row],[Applicable Package?]:[Applicable Package?]]="Y",SUM('Rolled Up Non-Incremental Costs'!I20,'ICE Removal Cost'!I20,'Trans Removal Cost'!I20,'LEV3 Criteria Emissions Cost'!I20,'ZEV Assembly Reductions'!I20,'ACCII Criteria Compliance Cost'!I20,'ACCII GHG Compliance'!I20,'Current GHG Compliance'!I20)+IF(Table44[[#This Row],[Cold]:[Cold]]="Y",'Cold Weather Package'!I20,0)+IF(Table44[[#This Row],[eAWD]:[eAWD]]="Y",'eAWD Package'!I20,0)+IF(Table44[[#This Row],[Towing]:[Towing]]="Y",'Towing Bat Cost'!I20,0),"N/A")</f>
        <v>4730.0856668683555</v>
      </c>
      <c r="N139" s="157">
        <f>IF(Table44[[#This Row],[Applicable Package?]:[Applicable Package?]]="Y",SUM('Rolled Up Non-Incremental Costs'!J20,'ICE Removal Cost'!J20,'Trans Removal Cost'!J20,'LEV3 Criteria Emissions Cost'!J20,'ZEV Assembly Reductions'!J20,'ACCII Criteria Compliance Cost'!J20,'ACCII GHG Compliance'!J20,'Current GHG Compliance'!J20)+IF(Table44[[#This Row],[Cold]:[Cold]]="Y",'Cold Weather Package'!J20,0)+IF(Table44[[#This Row],[eAWD]:[eAWD]]="Y",'eAWD Package'!J20,0)+IF(Table44[[#This Row],[Towing]:[Towing]]="Y",'Towing Bat Cost'!J20,0),"N/A")</f>
        <v>4564.1615494119151</v>
      </c>
      <c r="O139" s="157">
        <f>IF(Table44[[#This Row],[Applicable Package?]:[Applicable Package?]]="Y",SUM('Rolled Up Non-Incremental Costs'!K20,'ICE Removal Cost'!K20,'Trans Removal Cost'!K20,'LEV3 Criteria Emissions Cost'!K20,'ZEV Assembly Reductions'!K20,'ACCII Criteria Compliance Cost'!K20,'ACCII GHG Compliance'!K20,'Current GHG Compliance'!K20)+IF(Table44[[#This Row],[Cold]:[Cold]]="Y",'Cold Weather Package'!K20,0)+IF(Table44[[#This Row],[eAWD]:[eAWD]]="Y",'eAWD Package'!K20,0)+IF(Table44[[#This Row],[Towing]:[Towing]]="Y",'Towing Bat Cost'!K20,0),"N/A")</f>
        <v>4415.5856266287965</v>
      </c>
      <c r="P139" s="157">
        <f>IF(Table44[[#This Row],[Applicable Package?]:[Applicable Package?]]="Y",SUM('Rolled Up Non-Incremental Costs'!L20,'ICE Removal Cost'!L20,'Trans Removal Cost'!L20,'LEV3 Criteria Emissions Cost'!L20,'ZEV Assembly Reductions'!L20,'ACCII Criteria Compliance Cost'!L20,'ACCII GHG Compliance'!L20,'Current GHG Compliance'!L20)+IF(Table44[[#This Row],[Cold]:[Cold]]="Y",'Cold Weather Package'!L20,0)+IF(Table44[[#This Row],[eAWD]:[eAWD]]="Y",'eAWD Package'!L20,0)+IF(Table44[[#This Row],[Towing]:[Towing]]="Y",'Towing Bat Cost'!L20,0),"N/A")</f>
        <v>4273.6027788975834</v>
      </c>
      <c r="Q139" s="157">
        <f>IF(Table44[[#This Row],[Applicable Package?]:[Applicable Package?]]="Y",SUM('Rolled Up Non-Incremental Costs'!M20,'ICE Removal Cost'!M20,'Trans Removal Cost'!M20,'LEV3 Criteria Emissions Cost'!M20,'ZEV Assembly Reductions'!M20,'ACCII Criteria Compliance Cost'!M20,'ACCII GHG Compliance'!M20,'Current GHG Compliance'!M20)+IF(Table44[[#This Row],[Cold]:[Cold]]="Y",'Cold Weather Package'!M20,0)+IF(Table44[[#This Row],[eAWD]:[eAWD]]="Y",'eAWD Package'!M20,0)+IF(Table44[[#This Row],[Towing]:[Towing]]="Y",'Towing Bat Cost'!M20,0),"N/A")</f>
        <v>4137.8674499263852</v>
      </c>
      <c r="R139" s="157">
        <f>IF(Table44[[#This Row],[Applicable Package?]:[Applicable Package?]]="Y",SUM('Rolled Up Non-Incremental Costs'!N20,'ICE Removal Cost'!N20,'Trans Removal Cost'!N20,'LEV3 Criteria Emissions Cost'!N20,'ZEV Assembly Reductions'!N20,'ACCII Criteria Compliance Cost'!N20,'ACCII GHG Compliance'!N20,'Current GHG Compliance'!N20)+IF(Table44[[#This Row],[Cold]:[Cold]]="Y",'Cold Weather Package'!N20,0)+IF(Table44[[#This Row],[eAWD]:[eAWD]]="Y",'eAWD Package'!N20,0)+IF(Table44[[#This Row],[Towing]:[Towing]]="Y",'Towing Bat Cost'!N20,0),"N/A")</f>
        <v>4008.0528484846263</v>
      </c>
      <c r="S139" s="157">
        <f>IF(Table44[[#This Row],[Applicable Package?]:[Applicable Package?]]="Y",SUM('Rolled Up Non-Incremental Costs'!O20,'ICE Removal Cost'!O20,'Trans Removal Cost'!O20,'LEV3 Criteria Emissions Cost'!O20,'ZEV Assembly Reductions'!O20,'ACCII Criteria Compliance Cost'!O20,'ACCII GHG Compliance'!O20,'Current GHG Compliance'!O20)+IF(Table44[[#This Row],[Cold]:[Cold]]="Y",'Cold Weather Package'!O20,0)+IF(Table44[[#This Row],[eAWD]:[eAWD]]="Y",'eAWD Package'!O20,0)+IF(Table44[[#This Row],[Towing]:[Towing]]="Y",'Towing Bat Cost'!O20,0),"N/A")</f>
        <v>3883.8499225573869</v>
      </c>
    </row>
    <row r="140" spans="1:19" x14ac:dyDescent="0.3">
      <c r="A140" s="28" t="str">
        <f t="shared" si="3"/>
        <v>MedSUVBasePHEV50</v>
      </c>
      <c r="B140" s="90" t="s">
        <v>86</v>
      </c>
      <c r="C140" s="68" t="s">
        <v>75</v>
      </c>
      <c r="D140" s="68" t="str">
        <f>'Vehicle Attributes - Base Year'!D18</f>
        <v>PHEV50</v>
      </c>
      <c r="E140" s="124" t="s">
        <v>76</v>
      </c>
      <c r="F140" s="124" t="s">
        <v>76</v>
      </c>
      <c r="G140" s="125" t="s">
        <v>77</v>
      </c>
      <c r="H140" s="156" t="s">
        <v>76</v>
      </c>
      <c r="I140" s="157">
        <f>IF(Table44[[#This Row],[Applicable Package?]:[Applicable Package?]]="Y",SUM('Rolled Up Non-Incremental Costs'!E21,'ICE Removal Cost'!E21,'Trans Removal Cost'!E21,'LEV3 Criteria Emissions Cost'!E21,'ZEV Assembly Reductions'!E21,'ACCII Criteria Compliance Cost'!E21,'ACCII GHG Compliance'!E21,'Current GHG Compliance'!E21)+IF(Table44[[#This Row],[Cold]:[Cold]]="Y",'Cold Weather Package'!E21,0)+IF(Table44[[#This Row],[eAWD]:[eAWD]]="Y",'eAWD Package'!E21,0)+IF(Table44[[#This Row],[Towing]:[Towing]]="Y",'Towing Bat Cost'!E21,0),"N/A")</f>
        <v>6117.9277144924545</v>
      </c>
      <c r="J140" s="157">
        <f>IF(Table44[[#This Row],[Applicable Package?]:[Applicable Package?]]="Y",SUM('Rolled Up Non-Incremental Costs'!F21,'ICE Removal Cost'!F21,'Trans Removal Cost'!F21,'LEV3 Criteria Emissions Cost'!F21,'ZEV Assembly Reductions'!F21,'ACCII Criteria Compliance Cost'!F21,'ACCII GHG Compliance'!F21,'Current GHG Compliance'!F21)+IF(Table44[[#This Row],[Cold]:[Cold]]="Y",'Cold Weather Package'!F21,0)+IF(Table44[[#This Row],[eAWD]:[eAWD]]="Y",'eAWD Package'!F21,0)+IF(Table44[[#This Row],[Towing]:[Towing]]="Y",'Towing Bat Cost'!F21,0),"N/A")</f>
        <v>5836.449722641647</v>
      </c>
      <c r="K140" s="157">
        <f>IF(Table44[[#This Row],[Applicable Package?]:[Applicable Package?]]="Y",SUM('Rolled Up Non-Incremental Costs'!G21,'ICE Removal Cost'!G21,'Trans Removal Cost'!G21,'LEV3 Criteria Emissions Cost'!G21,'ZEV Assembly Reductions'!G21,'ACCII Criteria Compliance Cost'!G21,'ACCII GHG Compliance'!G21,'Current GHG Compliance'!G21)+IF(Table44[[#This Row],[Cold]:[Cold]]="Y",'Cold Weather Package'!G21,0)+IF(Table44[[#This Row],[eAWD]:[eAWD]]="Y",'eAWD Package'!G21,0)+IF(Table44[[#This Row],[Towing]:[Towing]]="Y",'Towing Bat Cost'!G21,0),"N/A")</f>
        <v>5573.5114372621429</v>
      </c>
      <c r="L140" s="157">
        <f>IF(Table44[[#This Row],[Applicable Package?]:[Applicable Package?]]="Y",SUM('Rolled Up Non-Incremental Costs'!H21,'ICE Removal Cost'!H21,'Trans Removal Cost'!H21,'LEV3 Criteria Emissions Cost'!H21,'ZEV Assembly Reductions'!H21,'ACCII Criteria Compliance Cost'!H21,'ACCII GHG Compliance'!H21,'Current GHG Compliance'!H21)+IF(Table44[[#This Row],[Cold]:[Cold]]="Y",'Cold Weather Package'!H21,0)+IF(Table44[[#This Row],[eAWD]:[eAWD]]="Y",'eAWD Package'!H21,0)+IF(Table44[[#This Row],[Towing]:[Towing]]="Y",'Towing Bat Cost'!H21,0),"N/A")</f>
        <v>5327.753595522061</v>
      </c>
      <c r="M140" s="157">
        <f>IF(Table44[[#This Row],[Applicable Package?]:[Applicable Package?]]="Y",SUM('Rolled Up Non-Incremental Costs'!I21,'ICE Removal Cost'!I21,'Trans Removal Cost'!I21,'LEV3 Criteria Emissions Cost'!I21,'ZEV Assembly Reductions'!I21,'ACCII Criteria Compliance Cost'!I21,'ACCII GHG Compliance'!I21,'Current GHG Compliance'!I21)+IF(Table44[[#This Row],[Cold]:[Cold]]="Y",'Cold Weather Package'!I21,0)+IF(Table44[[#This Row],[eAWD]:[eAWD]]="Y",'eAWD Package'!I21,0)+IF(Table44[[#This Row],[Towing]:[Towing]]="Y",'Towing Bat Cost'!I21,0),"N/A")</f>
        <v>5097.9181562973599</v>
      </c>
      <c r="N140" s="157">
        <f>IF(Table44[[#This Row],[Applicable Package?]:[Applicable Package?]]="Y",SUM('Rolled Up Non-Incremental Costs'!J21,'ICE Removal Cost'!J21,'Trans Removal Cost'!J21,'LEV3 Criteria Emissions Cost'!J21,'ZEV Assembly Reductions'!J21,'ACCII Criteria Compliance Cost'!J21,'ACCII GHG Compliance'!J21,'Current GHG Compliance'!J21)+IF(Table44[[#This Row],[Cold]:[Cold]]="Y",'Cold Weather Package'!J21,0)+IF(Table44[[#This Row],[eAWD]:[eAWD]]="Y",'eAWD Package'!J21,0)+IF(Table44[[#This Row],[Towing]:[Towing]]="Y",'Towing Bat Cost'!J21,0),"N/A")</f>
        <v>4919.7926656168629</v>
      </c>
      <c r="O140" s="157">
        <f>IF(Table44[[#This Row],[Applicable Package?]:[Applicable Package?]]="Y",SUM('Rolled Up Non-Incremental Costs'!K21,'ICE Removal Cost'!K21,'Trans Removal Cost'!K21,'LEV3 Criteria Emissions Cost'!K21,'ZEV Assembly Reductions'!K21,'ACCII Criteria Compliance Cost'!K21,'ACCII GHG Compliance'!K21,'Current GHG Compliance'!K21)+IF(Table44[[#This Row],[Cold]:[Cold]]="Y",'Cold Weather Package'!K21,0)+IF(Table44[[#This Row],[eAWD]:[eAWD]]="Y",'eAWD Package'!K21,0)+IF(Table44[[#This Row],[Towing]:[Towing]]="Y",'Towing Bat Cost'!K21,0),"N/A")</f>
        <v>4760.3644523306557</v>
      </c>
      <c r="P140" s="157">
        <f>IF(Table44[[#This Row],[Applicable Package?]:[Applicable Package?]]="Y",SUM('Rolled Up Non-Incremental Costs'!L21,'ICE Removal Cost'!L21,'Trans Removal Cost'!L21,'LEV3 Criteria Emissions Cost'!L21,'ZEV Assembly Reductions'!L21,'ACCII Criteria Compliance Cost'!L21,'ACCII GHG Compliance'!L21,'Current GHG Compliance'!L21)+IF(Table44[[#This Row],[Cold]:[Cold]]="Y",'Cold Weather Package'!L21,0)+IF(Table44[[#This Row],[eAWD]:[eAWD]]="Y",'eAWD Package'!L21,0)+IF(Table44[[#This Row],[Towing]:[Towing]]="Y",'Towing Bat Cost'!L21,0),"N/A")</f>
        <v>4608.037291870306</v>
      </c>
      <c r="Q140" s="157">
        <f>IF(Table44[[#This Row],[Applicable Package?]:[Applicable Package?]]="Y",SUM('Rolled Up Non-Incremental Costs'!M21,'ICE Removal Cost'!M21,'Trans Removal Cost'!M21,'LEV3 Criteria Emissions Cost'!M21,'ZEV Assembly Reductions'!M21,'ACCII Criteria Compliance Cost'!M21,'ACCII GHG Compliance'!M21,'Current GHG Compliance'!M21)+IF(Table44[[#This Row],[Cold]:[Cold]]="Y",'Cold Weather Package'!M21,0)+IF(Table44[[#This Row],[eAWD]:[eAWD]]="Y",'eAWD Package'!M21,0)+IF(Table44[[#This Row],[Towing]:[Towing]]="Y",'Towing Bat Cost'!M21,0),"N/A")</f>
        <v>4462.4386780121113</v>
      </c>
      <c r="R140" s="157">
        <f>IF(Table44[[#This Row],[Applicable Package?]:[Applicable Package?]]="Y",SUM('Rolled Up Non-Incremental Costs'!N21,'ICE Removal Cost'!N21,'Trans Removal Cost'!N21,'LEV3 Criteria Emissions Cost'!N21,'ZEV Assembly Reductions'!N21,'ACCII Criteria Compliance Cost'!N21,'ACCII GHG Compliance'!N21,'Current GHG Compliance'!N21)+IF(Table44[[#This Row],[Cold]:[Cold]]="Y",'Cold Weather Package'!N21,0)+IF(Table44[[#This Row],[eAWD]:[eAWD]]="Y",'eAWD Package'!N21,0)+IF(Table44[[#This Row],[Towing]:[Towing]]="Y",'Towing Bat Cost'!N21,0),"N/A")</f>
        <v>4323.2163364839371</v>
      </c>
      <c r="S140" s="157">
        <f>IF(Table44[[#This Row],[Applicable Package?]:[Applicable Package?]]="Y",SUM('Rolled Up Non-Incremental Costs'!O21,'ICE Removal Cost'!O21,'Trans Removal Cost'!O21,'LEV3 Criteria Emissions Cost'!O21,'ZEV Assembly Reductions'!O21,'ACCII Criteria Compliance Cost'!O21,'ACCII GHG Compliance'!O21,'Current GHG Compliance'!O21)+IF(Table44[[#This Row],[Cold]:[Cold]]="Y",'Cold Weather Package'!O21,0)+IF(Table44[[#This Row],[eAWD]:[eAWD]]="Y",'eAWD Package'!O21,0)+IF(Table44[[#This Row],[Towing]:[Towing]]="Y",'Towing Bat Cost'!O21,0),"N/A")</f>
        <v>4190.0371188934996</v>
      </c>
    </row>
    <row r="141" spans="1:19" x14ac:dyDescent="0.3">
      <c r="A141" t="str">
        <f t="shared" si="3"/>
        <v>MedSUVPremiumPHEV50</v>
      </c>
      <c r="B141" s="90" t="s">
        <v>86</v>
      </c>
      <c r="C141" s="68" t="s">
        <v>80</v>
      </c>
      <c r="D141" s="68" t="str">
        <f>'Vehicle Attributes - Base Year'!D19</f>
        <v>PHEV50</v>
      </c>
      <c r="E141" s="124" t="s">
        <v>76</v>
      </c>
      <c r="F141" s="124" t="s">
        <v>76</v>
      </c>
      <c r="G141" s="125" t="s">
        <v>77</v>
      </c>
      <c r="H141" s="156" t="s">
        <v>76</v>
      </c>
      <c r="I141" s="157">
        <f>IF(Table44[[#This Row],[Applicable Package?]:[Applicable Package?]]="Y",SUM('Rolled Up Non-Incremental Costs'!E22,'ICE Removal Cost'!E22,'Trans Removal Cost'!E22,'LEV3 Criteria Emissions Cost'!E22,'ZEV Assembly Reductions'!E22,'ACCII Criteria Compliance Cost'!E22,'ACCII GHG Compliance'!E22,'Current GHG Compliance'!E22)+IF(Table44[[#This Row],[Cold]:[Cold]]="Y",'Cold Weather Package'!E22,0)+IF(Table44[[#This Row],[eAWD]:[eAWD]]="Y",'eAWD Package'!E22,0)+IF(Table44[[#This Row],[Towing]:[Towing]]="Y",'Towing Bat Cost'!E22,0),"N/A")</f>
        <v>4976.1012098839019</v>
      </c>
      <c r="J141" s="157">
        <f>IF(Table44[[#This Row],[Applicable Package?]:[Applicable Package?]]="Y",SUM('Rolled Up Non-Incremental Costs'!F22,'ICE Removal Cost'!F22,'Trans Removal Cost'!F22,'LEV3 Criteria Emissions Cost'!F22,'ZEV Assembly Reductions'!F22,'ACCII Criteria Compliance Cost'!F22,'ACCII GHG Compliance'!F22,'Current GHG Compliance'!F22)+IF(Table44[[#This Row],[Cold]:[Cold]]="Y",'Cold Weather Package'!F22,0)+IF(Table44[[#This Row],[eAWD]:[eAWD]]="Y",'eAWD Package'!F22,0)+IF(Table44[[#This Row],[Towing]:[Towing]]="Y",'Towing Bat Cost'!F22,0),"N/A")</f>
        <v>4706.0414830791797</v>
      </c>
      <c r="K141" s="157">
        <f>IF(Table44[[#This Row],[Applicable Package?]:[Applicable Package?]]="Y",SUM('Rolled Up Non-Incremental Costs'!G22,'ICE Removal Cost'!G22,'Trans Removal Cost'!G22,'LEV3 Criteria Emissions Cost'!G22,'ZEV Assembly Reductions'!G22,'ACCII Criteria Compliance Cost'!G22,'ACCII GHG Compliance'!G22,'Current GHG Compliance'!G22)+IF(Table44[[#This Row],[Cold]:[Cold]]="Y",'Cold Weather Package'!G22,0)+IF(Table44[[#This Row],[eAWD]:[eAWD]]="Y",'eAWD Package'!G22,0)+IF(Table44[[#This Row],[Towing]:[Towing]]="Y",'Towing Bat Cost'!G22,0),"N/A")</f>
        <v>4454.4072800952999</v>
      </c>
      <c r="L141" s="157">
        <f>IF(Table44[[#This Row],[Applicable Package?]:[Applicable Package?]]="Y",SUM('Rolled Up Non-Incremental Costs'!H22,'ICE Removal Cost'!H22,'Trans Removal Cost'!H22,'LEV3 Criteria Emissions Cost'!H22,'ZEV Assembly Reductions'!H22,'ACCII Criteria Compliance Cost'!H22,'ACCII GHG Compliance'!H22,'Current GHG Compliance'!H22)+IF(Table44[[#This Row],[Cold]:[Cold]]="Y",'Cold Weather Package'!H22,0)+IF(Table44[[#This Row],[eAWD]:[eAWD]]="Y",'eAWD Package'!H22,0)+IF(Table44[[#This Row],[Towing]:[Towing]]="Y",'Towing Bat Cost'!H22,0),"N/A")</f>
        <v>4219.8404799268865</v>
      </c>
      <c r="M141" s="157">
        <f>IF(Table44[[#This Row],[Applicable Package?]:[Applicable Package?]]="Y",SUM('Rolled Up Non-Incremental Costs'!I22,'ICE Removal Cost'!I22,'Trans Removal Cost'!I22,'LEV3 Criteria Emissions Cost'!I22,'ZEV Assembly Reductions'!I22,'ACCII Criteria Compliance Cost'!I22,'ACCII GHG Compliance'!I22,'Current GHG Compliance'!I22)+IF(Table44[[#This Row],[Cold]:[Cold]]="Y",'Cold Weather Package'!I22,0)+IF(Table44[[#This Row],[eAWD]:[eAWD]]="Y",'eAWD Package'!I22,0)+IF(Table44[[#This Row],[Towing]:[Towing]]="Y",'Towing Bat Cost'!I22,0),"N/A")</f>
        <v>4001.0841718581378</v>
      </c>
      <c r="N141" s="157">
        <f>IF(Table44[[#This Row],[Applicable Package?]:[Applicable Package?]]="Y",SUM('Rolled Up Non-Incremental Costs'!J22,'ICE Removal Cost'!J22,'Trans Removal Cost'!J22,'LEV3 Criteria Emissions Cost'!J22,'ZEV Assembly Reductions'!J22,'ACCII Criteria Compliance Cost'!J22,'ACCII GHG Compliance'!J22,'Current GHG Compliance'!J22)+IF(Table44[[#This Row],[Cold]:[Cold]]="Y",'Cold Weather Package'!J22,0)+IF(Table44[[#This Row],[eAWD]:[eAWD]]="Y",'eAWD Package'!J22,0)+IF(Table44[[#This Row],[Towing]:[Towing]]="Y",'Towing Bat Cost'!J22,0),"N/A")</f>
        <v>3833.9270210220329</v>
      </c>
      <c r="O141" s="157">
        <f>IF(Table44[[#This Row],[Applicable Package?]:[Applicable Package?]]="Y",SUM('Rolled Up Non-Incremental Costs'!K22,'ICE Removal Cost'!K22,'Trans Removal Cost'!K22,'LEV3 Criteria Emissions Cost'!K22,'ZEV Assembly Reductions'!K22,'ACCII Criteria Compliance Cost'!K22,'ACCII GHG Compliance'!K22,'Current GHG Compliance'!K22)+IF(Table44[[#This Row],[Cold]:[Cold]]="Y",'Cold Weather Package'!K22,0)+IF(Table44[[#This Row],[eAWD]:[eAWD]]="Y",'eAWD Package'!K22,0)+IF(Table44[[#This Row],[Towing]:[Towing]]="Y",'Towing Bat Cost'!K22,0),"N/A")</f>
        <v>3685.357464181774</v>
      </c>
      <c r="P141" s="157">
        <f>IF(Table44[[#This Row],[Applicable Package?]:[Applicable Package?]]="Y",SUM('Rolled Up Non-Incremental Costs'!L22,'ICE Removal Cost'!L22,'Trans Removal Cost'!L22,'LEV3 Criteria Emissions Cost'!L22,'ZEV Assembly Reductions'!L22,'ACCII Criteria Compliance Cost'!L22,'ACCII GHG Compliance'!L22,'Current GHG Compliance'!L22)+IF(Table44[[#This Row],[Cold]:[Cold]]="Y",'Cold Weather Package'!L22,0)+IF(Table44[[#This Row],[eAWD]:[eAWD]]="Y",'eAWD Package'!L22,0)+IF(Table44[[#This Row],[Towing]:[Towing]]="Y",'Towing Bat Cost'!L22,0),"N/A")</f>
        <v>3543.7803736029127</v>
      </c>
      <c r="Q141" s="157">
        <f>IF(Table44[[#This Row],[Applicable Package?]:[Applicable Package?]]="Y",SUM('Rolled Up Non-Incremental Costs'!M22,'ICE Removal Cost'!M22,'Trans Removal Cost'!M22,'LEV3 Criteria Emissions Cost'!M22,'ZEV Assembly Reductions'!M22,'ACCII Criteria Compliance Cost'!M22,'ACCII GHG Compliance'!M22,'Current GHG Compliance'!M22)+IF(Table44[[#This Row],[Cold]:[Cold]]="Y",'Cold Weather Package'!M22,0)+IF(Table44[[#This Row],[eAWD]:[eAWD]]="Y",'eAWD Package'!M22,0)+IF(Table44[[#This Row],[Towing]:[Towing]]="Y",'Towing Bat Cost'!M22,0),"N/A")</f>
        <v>3408.8243289273923</v>
      </c>
      <c r="R141" s="157">
        <f>IF(Table44[[#This Row],[Applicable Package?]:[Applicable Package?]]="Y",SUM('Rolled Up Non-Incremental Costs'!N22,'ICE Removal Cost'!N22,'Trans Removal Cost'!N22,'LEV3 Criteria Emissions Cost'!N22,'ZEV Assembly Reductions'!N22,'ACCII Criteria Compliance Cost'!N22,'ACCII GHG Compliance'!N22,'Current GHG Compliance'!N22)+IF(Table44[[#This Row],[Cold]:[Cold]]="Y",'Cold Weather Package'!N22,0)+IF(Table44[[#This Row],[eAWD]:[eAWD]]="Y",'eAWD Package'!N22,0)+IF(Table44[[#This Row],[Towing]:[Towing]]="Y",'Towing Bat Cost'!N22,0),"N/A")</f>
        <v>3280.1381308900654</v>
      </c>
      <c r="S141" s="157">
        <f>IF(Table44[[#This Row],[Applicable Package?]:[Applicable Package?]]="Y",SUM('Rolled Up Non-Incremental Costs'!O22,'ICE Removal Cost'!O22,'Trans Removal Cost'!O22,'LEV3 Criteria Emissions Cost'!O22,'ZEV Assembly Reductions'!O22,'ACCII Criteria Compliance Cost'!O22,'ACCII GHG Compliance'!O22,'Current GHG Compliance'!O22)+IF(Table44[[#This Row],[Cold]:[Cold]]="Y",'Cold Weather Package'!O22,0)+IF(Table44[[#This Row],[eAWD]:[eAWD]]="Y",'eAWD Package'!O22,0)+IF(Table44[[#This Row],[Towing]:[Towing]]="Y",'Towing Bat Cost'!O22,0),"N/A")</f>
        <v>3157.3896953555668</v>
      </c>
    </row>
    <row r="142" spans="1:19" x14ac:dyDescent="0.3">
      <c r="A142" s="28" t="str">
        <f t="shared" si="3"/>
        <v>PickupBasePHEV50</v>
      </c>
      <c r="B142" s="90" t="s">
        <v>89</v>
      </c>
      <c r="C142" s="68" t="s">
        <v>75</v>
      </c>
      <c r="D142" s="68" t="str">
        <f>'Vehicle Attributes - Base Year'!D20</f>
        <v>PHEV50</v>
      </c>
      <c r="E142" s="124" t="s">
        <v>76</v>
      </c>
      <c r="F142" s="124" t="s">
        <v>76</v>
      </c>
      <c r="G142" s="125" t="s">
        <v>77</v>
      </c>
      <c r="H142" s="156" t="s">
        <v>76</v>
      </c>
      <c r="I142" s="157">
        <f>IF(Table44[[#This Row],[Applicable Package?]:[Applicable Package?]]="Y",SUM('Rolled Up Non-Incremental Costs'!E23,'ICE Removal Cost'!E23,'Trans Removal Cost'!E23,'LEV3 Criteria Emissions Cost'!E23,'ZEV Assembly Reductions'!E23,'ACCII Criteria Compliance Cost'!E23,'ACCII GHG Compliance'!E23,'Current GHG Compliance'!E23)+IF(Table44[[#This Row],[Cold]:[Cold]]="Y",'Cold Weather Package'!E23,0)+IF(Table44[[#This Row],[eAWD]:[eAWD]]="Y",'eAWD Package'!E23,0)+IF(Table44[[#This Row],[Towing]:[Towing]]="Y",'Towing Bat Cost'!E23,0),"N/A")</f>
        <v>5876.5135809680669</v>
      </c>
      <c r="J142" s="157">
        <f>IF(Table44[[#This Row],[Applicable Package?]:[Applicable Package?]]="Y",SUM('Rolled Up Non-Incremental Costs'!F23,'ICE Removal Cost'!F23,'Trans Removal Cost'!F23,'LEV3 Criteria Emissions Cost'!F23,'ZEV Assembly Reductions'!F23,'ACCII Criteria Compliance Cost'!F23,'ACCII GHG Compliance'!F23,'Current GHG Compliance'!F23)+IF(Table44[[#This Row],[Cold]:[Cold]]="Y",'Cold Weather Package'!F23,0)+IF(Table44[[#This Row],[eAWD]:[eAWD]]="Y",'eAWD Package'!F23,0)+IF(Table44[[#This Row],[Towing]:[Towing]]="Y",'Towing Bat Cost'!F23,0),"N/A")</f>
        <v>5555.4291319230924</v>
      </c>
      <c r="K142" s="157">
        <f>IF(Table44[[#This Row],[Applicable Package?]:[Applicable Package?]]="Y",SUM('Rolled Up Non-Incremental Costs'!G23,'ICE Removal Cost'!G23,'Trans Removal Cost'!G23,'LEV3 Criteria Emissions Cost'!G23,'ZEV Assembly Reductions'!G23,'ACCII Criteria Compliance Cost'!G23,'ACCII GHG Compliance'!G23,'Current GHG Compliance'!G23)+IF(Table44[[#This Row],[Cold]:[Cold]]="Y",'Cold Weather Package'!G23,0)+IF(Table44[[#This Row],[eAWD]:[eAWD]]="Y",'eAWD Package'!G23,0)+IF(Table44[[#This Row],[Towing]:[Towing]]="Y",'Towing Bat Cost'!G23,0),"N/A")</f>
        <v>5256.4172916015823</v>
      </c>
      <c r="L142" s="157">
        <f>IF(Table44[[#This Row],[Applicable Package?]:[Applicable Package?]]="Y",SUM('Rolled Up Non-Incremental Costs'!H23,'ICE Removal Cost'!H23,'Trans Removal Cost'!H23,'LEV3 Criteria Emissions Cost'!H23,'ZEV Assembly Reductions'!H23,'ACCII Criteria Compliance Cost'!H23,'ACCII GHG Compliance'!H23,'Current GHG Compliance'!H23)+IF(Table44[[#This Row],[Cold]:[Cold]]="Y",'Cold Weather Package'!H23,0)+IF(Table44[[#This Row],[eAWD]:[eAWD]]="Y",'eAWD Package'!H23,0)+IF(Table44[[#This Row],[Towing]:[Towing]]="Y",'Towing Bat Cost'!H23,0),"N/A")</f>
        <v>4977.8493032163069</v>
      </c>
      <c r="M142" s="157">
        <f>IF(Table44[[#This Row],[Applicable Package?]:[Applicable Package?]]="Y",SUM('Rolled Up Non-Incremental Costs'!I23,'ICE Removal Cost'!I23,'Trans Removal Cost'!I23,'LEV3 Criteria Emissions Cost'!I23,'ZEV Assembly Reductions'!I23,'ACCII Criteria Compliance Cost'!I23,'ACCII GHG Compliance'!I23,'Current GHG Compliance'!I23)+IF(Table44[[#This Row],[Cold]:[Cold]]="Y",'Cold Weather Package'!I23,0)+IF(Table44[[#This Row],[eAWD]:[eAWD]]="Y",'eAWD Package'!I23,0)+IF(Table44[[#This Row],[Towing]:[Towing]]="Y",'Towing Bat Cost'!I23,0),"N/A")</f>
        <v>4718.2178070396649</v>
      </c>
      <c r="N142" s="157">
        <f>IF(Table44[[#This Row],[Applicable Package?]:[Applicable Package?]]="Y",SUM('Rolled Up Non-Incremental Costs'!J23,'ICE Removal Cost'!J23,'Trans Removal Cost'!J23,'LEV3 Criteria Emissions Cost'!J23,'ZEV Assembly Reductions'!J23,'ACCII Criteria Compliance Cost'!J23,'ACCII GHG Compliance'!J23,'Current GHG Compliance'!J23)+IF(Table44[[#This Row],[Cold]:[Cold]]="Y",'Cold Weather Package'!J23,0)+IF(Table44[[#This Row],[eAWD]:[eAWD]]="Y",'eAWD Package'!J23,0)+IF(Table44[[#This Row],[Towing]:[Towing]]="Y",'Towing Bat Cost'!J23,0),"N/A")</f>
        <v>4520.4509369448788</v>
      </c>
      <c r="O142" s="157">
        <f>IF(Table44[[#This Row],[Applicable Package?]:[Applicable Package?]]="Y",SUM('Rolled Up Non-Incremental Costs'!K23,'ICE Removal Cost'!K23,'Trans Removal Cost'!K23,'LEV3 Criteria Emissions Cost'!K23,'ZEV Assembly Reductions'!K23,'ACCII Criteria Compliance Cost'!K23,'ACCII GHG Compliance'!K23,'Current GHG Compliance'!K23)+IF(Table44[[#This Row],[Cold]:[Cold]]="Y",'Cold Weather Package'!K23,0)+IF(Table44[[#This Row],[eAWD]:[eAWD]]="Y",'eAWD Package'!K23,0)+IF(Table44[[#This Row],[Towing]:[Towing]]="Y",'Towing Bat Cost'!K23,0),"N/A")</f>
        <v>4344.952197757535</v>
      </c>
      <c r="P142" s="157">
        <f>IF(Table44[[#This Row],[Applicable Package?]:[Applicable Package?]]="Y",SUM('Rolled Up Non-Incremental Costs'!L23,'ICE Removal Cost'!L23,'Trans Removal Cost'!L23,'LEV3 Criteria Emissions Cost'!L23,'ZEV Assembly Reductions'!L23,'ACCII Criteria Compliance Cost'!L23,'ACCII GHG Compliance'!L23,'Current GHG Compliance'!L23)+IF(Table44[[#This Row],[Cold]:[Cold]]="Y",'Cold Weather Package'!L23,0)+IF(Table44[[#This Row],[eAWD]:[eAWD]]="Y",'eAWD Package'!L23,0)+IF(Table44[[#This Row],[Towing]:[Towing]]="Y",'Towing Bat Cost'!L23,0),"N/A")</f>
        <v>4177.8137175445936</v>
      </c>
      <c r="Q142" s="157">
        <f>IF(Table44[[#This Row],[Applicable Package?]:[Applicable Package?]]="Y",SUM('Rolled Up Non-Incremental Costs'!M23,'ICE Removal Cost'!M23,'Trans Removal Cost'!M23,'LEV3 Criteria Emissions Cost'!M23,'ZEV Assembly Reductions'!M23,'ACCII Criteria Compliance Cost'!M23,'ACCII GHG Compliance'!M23,'Current GHG Compliance'!M23)+IF(Table44[[#This Row],[Cold]:[Cold]]="Y",'Cold Weather Package'!M23,0)+IF(Table44[[#This Row],[eAWD]:[eAWD]]="Y",'eAWD Package'!M23,0)+IF(Table44[[#This Row],[Towing]:[Towing]]="Y",'Towing Bat Cost'!M23,0),"N/A")</f>
        <v>4018.5902550971678</v>
      </c>
      <c r="R142" s="157">
        <f>IF(Table44[[#This Row],[Applicable Package?]:[Applicable Package?]]="Y",SUM('Rolled Up Non-Incremental Costs'!N23,'ICE Removal Cost'!N23,'Trans Removal Cost'!N23,'LEV3 Criteria Emissions Cost'!N23,'ZEV Assembly Reductions'!N23,'ACCII Criteria Compliance Cost'!N23,'ACCII GHG Compliance'!N23,'Current GHG Compliance'!N23)+IF(Table44[[#This Row],[Cold]:[Cold]]="Y",'Cold Weather Package'!N23,0)+IF(Table44[[#This Row],[eAWD]:[eAWD]]="Y",'eAWD Package'!N23,0)+IF(Table44[[#This Row],[Towing]:[Towing]]="Y",'Towing Bat Cost'!N23,0),"N/A")</f>
        <v>3866.8608213328571</v>
      </c>
      <c r="S142" s="157">
        <f>IF(Table44[[#This Row],[Applicable Package?]:[Applicable Package?]]="Y",SUM('Rolled Up Non-Incremental Costs'!O23,'ICE Removal Cost'!O23,'Trans Removal Cost'!O23,'LEV3 Criteria Emissions Cost'!O23,'ZEV Assembly Reductions'!O23,'ACCII Criteria Compliance Cost'!O23,'ACCII GHG Compliance'!O23,'Current GHG Compliance'!O23)+IF(Table44[[#This Row],[Cold]:[Cold]]="Y",'Cold Weather Package'!O23,0)+IF(Table44[[#This Row],[eAWD]:[eAWD]]="Y",'eAWD Package'!O23,0)+IF(Table44[[#This Row],[Towing]:[Towing]]="Y",'Towing Bat Cost'!O23,0),"N/A")</f>
        <v>3722.2273527401212</v>
      </c>
    </row>
    <row r="143" spans="1:19" x14ac:dyDescent="0.3">
      <c r="A143" t="str">
        <f t="shared" si="3"/>
        <v>PickupHTPHEV50</v>
      </c>
      <c r="B143" s="90" t="s">
        <v>89</v>
      </c>
      <c r="C143" s="68" t="s">
        <v>113</v>
      </c>
      <c r="D143" s="68" t="str">
        <f>'Vehicle Attributes - Base Year'!D21</f>
        <v>PHEV50</v>
      </c>
      <c r="E143" s="124" t="s">
        <v>76</v>
      </c>
      <c r="F143" s="124" t="s">
        <v>76</v>
      </c>
      <c r="G143" s="125" t="s">
        <v>77</v>
      </c>
      <c r="H143" s="156" t="s">
        <v>76</v>
      </c>
      <c r="I143" s="157">
        <f>IF(Table44[[#This Row],[Applicable Package?]:[Applicable Package?]]="Y",SUM('Rolled Up Non-Incremental Costs'!E24,'ICE Removal Cost'!E24,'Trans Removal Cost'!E24,'LEV3 Criteria Emissions Cost'!E24,'ZEV Assembly Reductions'!E24,'ACCII Criteria Compliance Cost'!E24,'ACCII GHG Compliance'!E24,'Current GHG Compliance'!E24)+IF(Table44[[#This Row],[Cold]:[Cold]]="Y",'Cold Weather Package'!E24,0)+IF(Table44[[#This Row],[eAWD]:[eAWD]]="Y",'eAWD Package'!E24,0)+IF(Table44[[#This Row],[Towing]:[Towing]]="Y",'Towing Bat Cost'!E24,0),"N/A")</f>
        <v>5876.5135809680669</v>
      </c>
      <c r="J143" s="157">
        <f>IF(Table44[[#This Row],[Applicable Package?]:[Applicable Package?]]="Y",SUM('Rolled Up Non-Incremental Costs'!F24,'ICE Removal Cost'!F24,'Trans Removal Cost'!F24,'LEV3 Criteria Emissions Cost'!F24,'ZEV Assembly Reductions'!F24,'ACCII Criteria Compliance Cost'!F24,'ACCII GHG Compliance'!F24,'Current GHG Compliance'!F24)+IF(Table44[[#This Row],[Cold]:[Cold]]="Y",'Cold Weather Package'!F24,0)+IF(Table44[[#This Row],[eAWD]:[eAWD]]="Y",'eAWD Package'!F24,0)+IF(Table44[[#This Row],[Towing]:[Towing]]="Y",'Towing Bat Cost'!F24,0),"N/A")</f>
        <v>5555.4291319230924</v>
      </c>
      <c r="K143" s="157">
        <f>IF(Table44[[#This Row],[Applicable Package?]:[Applicable Package?]]="Y",SUM('Rolled Up Non-Incremental Costs'!G24,'ICE Removal Cost'!G24,'Trans Removal Cost'!G24,'LEV3 Criteria Emissions Cost'!G24,'ZEV Assembly Reductions'!G24,'ACCII Criteria Compliance Cost'!G24,'ACCII GHG Compliance'!G24,'Current GHG Compliance'!G24)+IF(Table44[[#This Row],[Cold]:[Cold]]="Y",'Cold Weather Package'!G24,0)+IF(Table44[[#This Row],[eAWD]:[eAWD]]="Y",'eAWD Package'!G24,0)+IF(Table44[[#This Row],[Towing]:[Towing]]="Y",'Towing Bat Cost'!G24,0),"N/A")</f>
        <v>5256.4172916015823</v>
      </c>
      <c r="L143" s="157">
        <f>IF(Table44[[#This Row],[Applicable Package?]:[Applicable Package?]]="Y",SUM('Rolled Up Non-Incremental Costs'!H24,'ICE Removal Cost'!H24,'Trans Removal Cost'!H24,'LEV3 Criteria Emissions Cost'!H24,'ZEV Assembly Reductions'!H24,'ACCII Criteria Compliance Cost'!H24,'ACCII GHG Compliance'!H24,'Current GHG Compliance'!H24)+IF(Table44[[#This Row],[Cold]:[Cold]]="Y",'Cold Weather Package'!H24,0)+IF(Table44[[#This Row],[eAWD]:[eAWD]]="Y",'eAWD Package'!H24,0)+IF(Table44[[#This Row],[Towing]:[Towing]]="Y",'Towing Bat Cost'!H24,0),"N/A")</f>
        <v>4977.8493032163069</v>
      </c>
      <c r="M143" s="157">
        <f>IF(Table44[[#This Row],[Applicable Package?]:[Applicable Package?]]="Y",SUM('Rolled Up Non-Incremental Costs'!I24,'ICE Removal Cost'!I24,'Trans Removal Cost'!I24,'LEV3 Criteria Emissions Cost'!I24,'ZEV Assembly Reductions'!I24,'ACCII Criteria Compliance Cost'!I24,'ACCII GHG Compliance'!I24,'Current GHG Compliance'!I24)+IF(Table44[[#This Row],[Cold]:[Cold]]="Y",'Cold Weather Package'!I24,0)+IF(Table44[[#This Row],[eAWD]:[eAWD]]="Y",'eAWD Package'!I24,0)+IF(Table44[[#This Row],[Towing]:[Towing]]="Y",'Towing Bat Cost'!I24,0),"N/A")</f>
        <v>4718.2178070396649</v>
      </c>
      <c r="N143" s="157">
        <f>IF(Table44[[#This Row],[Applicable Package?]:[Applicable Package?]]="Y",SUM('Rolled Up Non-Incremental Costs'!J24,'ICE Removal Cost'!J24,'Trans Removal Cost'!J24,'LEV3 Criteria Emissions Cost'!J24,'ZEV Assembly Reductions'!J24,'ACCII Criteria Compliance Cost'!J24,'ACCII GHG Compliance'!J24,'Current GHG Compliance'!J24)+IF(Table44[[#This Row],[Cold]:[Cold]]="Y",'Cold Weather Package'!J24,0)+IF(Table44[[#This Row],[eAWD]:[eAWD]]="Y",'eAWD Package'!J24,0)+IF(Table44[[#This Row],[Towing]:[Towing]]="Y",'Towing Bat Cost'!J24,0),"N/A")</f>
        <v>4520.4509369448788</v>
      </c>
      <c r="O143" s="157">
        <f>IF(Table44[[#This Row],[Applicable Package?]:[Applicable Package?]]="Y",SUM('Rolled Up Non-Incremental Costs'!K24,'ICE Removal Cost'!K24,'Trans Removal Cost'!K24,'LEV3 Criteria Emissions Cost'!K24,'ZEV Assembly Reductions'!K24,'ACCII Criteria Compliance Cost'!K24,'ACCII GHG Compliance'!K24,'Current GHG Compliance'!K24)+IF(Table44[[#This Row],[Cold]:[Cold]]="Y",'Cold Weather Package'!K24,0)+IF(Table44[[#This Row],[eAWD]:[eAWD]]="Y",'eAWD Package'!K24,0)+IF(Table44[[#This Row],[Towing]:[Towing]]="Y",'Towing Bat Cost'!K24,0),"N/A")</f>
        <v>4344.952197757535</v>
      </c>
      <c r="P143" s="157">
        <f>IF(Table44[[#This Row],[Applicable Package?]:[Applicable Package?]]="Y",SUM('Rolled Up Non-Incremental Costs'!L24,'ICE Removal Cost'!L24,'Trans Removal Cost'!L24,'LEV3 Criteria Emissions Cost'!L24,'ZEV Assembly Reductions'!L24,'ACCII Criteria Compliance Cost'!L24,'ACCII GHG Compliance'!L24,'Current GHG Compliance'!L24)+IF(Table44[[#This Row],[Cold]:[Cold]]="Y",'Cold Weather Package'!L24,0)+IF(Table44[[#This Row],[eAWD]:[eAWD]]="Y",'eAWD Package'!L24,0)+IF(Table44[[#This Row],[Towing]:[Towing]]="Y",'Towing Bat Cost'!L24,0),"N/A")</f>
        <v>4177.8137175445936</v>
      </c>
      <c r="Q143" s="157">
        <f>IF(Table44[[#This Row],[Applicable Package?]:[Applicable Package?]]="Y",SUM('Rolled Up Non-Incremental Costs'!M24,'ICE Removal Cost'!M24,'Trans Removal Cost'!M24,'LEV3 Criteria Emissions Cost'!M24,'ZEV Assembly Reductions'!M24,'ACCII Criteria Compliance Cost'!M24,'ACCII GHG Compliance'!M24,'Current GHG Compliance'!M24)+IF(Table44[[#This Row],[Cold]:[Cold]]="Y",'Cold Weather Package'!M24,0)+IF(Table44[[#This Row],[eAWD]:[eAWD]]="Y",'eAWD Package'!M24,0)+IF(Table44[[#This Row],[Towing]:[Towing]]="Y",'Towing Bat Cost'!M24,0),"N/A")</f>
        <v>4018.5902550971678</v>
      </c>
      <c r="R143" s="157">
        <f>IF(Table44[[#This Row],[Applicable Package?]:[Applicable Package?]]="Y",SUM('Rolled Up Non-Incremental Costs'!N24,'ICE Removal Cost'!N24,'Trans Removal Cost'!N24,'LEV3 Criteria Emissions Cost'!N24,'ZEV Assembly Reductions'!N24,'ACCII Criteria Compliance Cost'!N24,'ACCII GHG Compliance'!N24,'Current GHG Compliance'!N24)+IF(Table44[[#This Row],[Cold]:[Cold]]="Y",'Cold Weather Package'!N24,0)+IF(Table44[[#This Row],[eAWD]:[eAWD]]="Y",'eAWD Package'!N24,0)+IF(Table44[[#This Row],[Towing]:[Towing]]="Y",'Towing Bat Cost'!N24,0),"N/A")</f>
        <v>3866.8608213328571</v>
      </c>
      <c r="S143" s="157">
        <f>IF(Table44[[#This Row],[Applicable Package?]:[Applicable Package?]]="Y",SUM('Rolled Up Non-Incremental Costs'!O24,'ICE Removal Cost'!O24,'Trans Removal Cost'!O24,'LEV3 Criteria Emissions Cost'!O24,'ZEV Assembly Reductions'!O24,'ACCII Criteria Compliance Cost'!O24,'ACCII GHG Compliance'!O24,'Current GHG Compliance'!O24)+IF(Table44[[#This Row],[Cold]:[Cold]]="Y",'Cold Weather Package'!O24,0)+IF(Table44[[#This Row],[eAWD]:[eAWD]]="Y",'eAWD Package'!O24,0)+IF(Table44[[#This Row],[Towing]:[Towing]]="Y",'Towing Bat Cost'!O24,0),"N/A")</f>
        <v>3722.2273527401212</v>
      </c>
    </row>
    <row r="144" spans="1:19" x14ac:dyDescent="0.3">
      <c r="A144" s="28" t="str">
        <f t="shared" si="3"/>
        <v>SmallCarBaseFCEV320</v>
      </c>
      <c r="B144" s="90" t="s">
        <v>73</v>
      </c>
      <c r="C144" s="68" t="s">
        <v>75</v>
      </c>
      <c r="D144" s="68" t="str">
        <f>'Vehicle Attributes - Base Year'!D22</f>
        <v>FCEV320</v>
      </c>
      <c r="E144" s="124" t="s">
        <v>76</v>
      </c>
      <c r="F144" s="124" t="s">
        <v>76</v>
      </c>
      <c r="G144" s="125" t="s">
        <v>77</v>
      </c>
      <c r="H144" s="156" t="s">
        <v>76</v>
      </c>
      <c r="I144" s="157">
        <f>IF(Table44[[#This Row],[Applicable Package?]:[Applicable Package?]]="Y",SUM('Rolled Up Non-Incremental Costs'!E25,'ICE Removal Cost'!E25,'Trans Removal Cost'!E25,'LEV3 Criteria Emissions Cost'!E25,'ZEV Assembly Reductions'!E25,'ACCII Criteria Compliance Cost'!E25,'ACCII GHG Compliance'!E25,'Current GHG Compliance'!E25)+IF(Table44[[#This Row],[Cold]:[Cold]]="Y",'Cold Weather Package'!E25,0)+IF(Table44[[#This Row],[eAWD]:[eAWD]]="Y",'eAWD Package'!E25,0)+IF(Table44[[#This Row],[Towing]:[Towing]]="Y",'Towing Bat Cost'!E25,0),"N/A")</f>
        <v>8058.2669049268252</v>
      </c>
      <c r="J144" s="157">
        <f>IF(Table44[[#This Row],[Applicable Package?]:[Applicable Package?]]="Y",SUM('Rolled Up Non-Incremental Costs'!F25,'ICE Removal Cost'!F25,'Trans Removal Cost'!F25,'LEV3 Criteria Emissions Cost'!F25,'ZEV Assembly Reductions'!F25,'ACCII Criteria Compliance Cost'!F25,'ACCII GHG Compliance'!F25,'Current GHG Compliance'!F25)+IF(Table44[[#This Row],[Cold]:[Cold]]="Y",'Cold Weather Package'!F25,0)+IF(Table44[[#This Row],[eAWD]:[eAWD]]="Y",'eAWD Package'!F25,0)+IF(Table44[[#This Row],[Towing]:[Towing]]="Y",'Towing Bat Cost'!F25,0),"N/A")</f>
        <v>7222.879283133424</v>
      </c>
      <c r="K144" s="157">
        <f>IF(Table44[[#This Row],[Applicable Package?]:[Applicable Package?]]="Y",SUM('Rolled Up Non-Incremental Costs'!G25,'ICE Removal Cost'!G25,'Trans Removal Cost'!G25,'LEV3 Criteria Emissions Cost'!G25,'ZEV Assembly Reductions'!G25,'ACCII Criteria Compliance Cost'!G25,'ACCII GHG Compliance'!G25,'Current GHG Compliance'!G25)+IF(Table44[[#This Row],[Cold]:[Cold]]="Y",'Cold Weather Package'!G25,0)+IF(Table44[[#This Row],[eAWD]:[eAWD]]="Y",'eAWD Package'!G25,0)+IF(Table44[[#This Row],[Towing]:[Towing]]="Y",'Towing Bat Cost'!G25,0),"N/A")</f>
        <v>6399.4471229237861</v>
      </c>
      <c r="L144" s="157">
        <f>IF(Table44[[#This Row],[Applicable Package?]:[Applicable Package?]]="Y",SUM('Rolled Up Non-Incremental Costs'!H25,'ICE Removal Cost'!H25,'Trans Removal Cost'!H25,'LEV3 Criteria Emissions Cost'!H25,'ZEV Assembly Reductions'!H25,'ACCII Criteria Compliance Cost'!H25,'ACCII GHG Compliance'!H25,'Current GHG Compliance'!H25)+IF(Table44[[#This Row],[Cold]:[Cold]]="Y",'Cold Weather Package'!H25,0)+IF(Table44[[#This Row],[eAWD]:[eAWD]]="Y",'eAWD Package'!H25,0)+IF(Table44[[#This Row],[Towing]:[Towing]]="Y",'Towing Bat Cost'!H25,0),"N/A")</f>
        <v>5587.9659841108714</v>
      </c>
      <c r="M144" s="157">
        <f>IF(Table44[[#This Row],[Applicable Package?]:[Applicable Package?]]="Y",SUM('Rolled Up Non-Incremental Costs'!I25,'ICE Removal Cost'!I25,'Trans Removal Cost'!I25,'LEV3 Criteria Emissions Cost'!I25,'ZEV Assembly Reductions'!I25,'ACCII Criteria Compliance Cost'!I25,'ACCII GHG Compliance'!I25,'Current GHG Compliance'!I25)+IF(Table44[[#This Row],[Cold]:[Cold]]="Y",'Cold Weather Package'!I25,0)+IF(Table44[[#This Row],[eAWD]:[eAWD]]="Y",'eAWD Package'!I25,0)+IF(Table44[[#This Row],[Towing]:[Towing]]="Y",'Towing Bat Cost'!I25,0),"N/A")</f>
        <v>4788.4314709095188</v>
      </c>
      <c r="N144" s="157">
        <f>IF(Table44[[#This Row],[Applicable Package?]:[Applicable Package?]]="Y",SUM('Rolled Up Non-Incremental Costs'!J25,'ICE Removal Cost'!J25,'Trans Removal Cost'!J25,'LEV3 Criteria Emissions Cost'!J25,'ZEV Assembly Reductions'!J25,'ACCII Criteria Compliance Cost'!J25,'ACCII GHG Compliance'!J25,'Current GHG Compliance'!J25)+IF(Table44[[#This Row],[Cold]:[Cold]]="Y",'Cold Weather Package'!J25,0)+IF(Table44[[#This Row],[eAWD]:[eAWD]]="Y",'eAWD Package'!J25,0)+IF(Table44[[#This Row],[Towing]:[Towing]]="Y",'Towing Bat Cost'!J25,0),"N/A")</f>
        <v>4000.8392314924058</v>
      </c>
      <c r="O144" s="157">
        <f>IF(Table44[[#This Row],[Applicable Package?]:[Applicable Package?]]="Y",SUM('Rolled Up Non-Incremental Costs'!K25,'ICE Removal Cost'!K25,'Trans Removal Cost'!K25,'LEV3 Criteria Emissions Cost'!K25,'ZEV Assembly Reductions'!K25,'ACCII Criteria Compliance Cost'!K25,'ACCII GHG Compliance'!K25,'Current GHG Compliance'!K25)+IF(Table44[[#This Row],[Cold]:[Cold]]="Y",'Cold Weather Package'!K25,0)+IF(Table44[[#This Row],[eAWD]:[eAWD]]="Y",'eAWD Package'!K25,0)+IF(Table44[[#This Row],[Towing]:[Towing]]="Y",'Towing Bat Cost'!K25,0),"N/A")</f>
        <v>3695.6675513576374</v>
      </c>
      <c r="P144" s="157">
        <f>IF(Table44[[#This Row],[Applicable Package?]:[Applicable Package?]]="Y",SUM('Rolled Up Non-Incremental Costs'!L25,'ICE Removal Cost'!L25,'Trans Removal Cost'!L25,'LEV3 Criteria Emissions Cost'!L25,'ZEV Assembly Reductions'!L25,'ACCII Criteria Compliance Cost'!L25,'ACCII GHG Compliance'!L25,'Current GHG Compliance'!L25)+IF(Table44[[#This Row],[Cold]:[Cold]]="Y",'Cold Weather Package'!L25,0)+IF(Table44[[#This Row],[eAWD]:[eAWD]]="Y",'eAWD Package'!L25,0)+IF(Table44[[#This Row],[Towing]:[Towing]]="Y",'Towing Bat Cost'!L25,0),"N/A")</f>
        <v>3393.7445947847273</v>
      </c>
      <c r="Q144" s="157">
        <f>IF(Table44[[#This Row],[Applicable Package?]:[Applicable Package?]]="Y",SUM('Rolled Up Non-Incremental Costs'!M25,'ICE Removal Cost'!M25,'Trans Removal Cost'!M25,'LEV3 Criteria Emissions Cost'!M25,'ZEV Assembly Reductions'!M25,'ACCII Criteria Compliance Cost'!M25,'ACCII GHG Compliance'!M25,'Current GHG Compliance'!M25)+IF(Table44[[#This Row],[Cold]:[Cold]]="Y",'Cold Weather Package'!M25,0)+IF(Table44[[#This Row],[eAWD]:[eAWD]]="Y",'eAWD Package'!M25,0)+IF(Table44[[#This Row],[Towing]:[Towing]]="Y",'Towing Bat Cost'!M25,0),"N/A")</f>
        <v>3095.059467391985</v>
      </c>
      <c r="R144" s="157">
        <f>IF(Table44[[#This Row],[Applicable Package?]:[Applicable Package?]]="Y",SUM('Rolled Up Non-Incremental Costs'!N25,'ICE Removal Cost'!N25,'Trans Removal Cost'!N25,'LEV3 Criteria Emissions Cost'!N25,'ZEV Assembly Reductions'!N25,'ACCII Criteria Compliance Cost'!N25,'ACCII GHG Compliance'!N25,'Current GHG Compliance'!N25)+IF(Table44[[#This Row],[Cold]:[Cold]]="Y",'Cold Weather Package'!N25,0)+IF(Table44[[#This Row],[eAWD]:[eAWD]]="Y",'eAWD Package'!N25,0)+IF(Table44[[#This Row],[Towing]:[Towing]]="Y",'Towing Bat Cost'!N25,0),"N/A")</f>
        <v>2799.601405980894</v>
      </c>
      <c r="S144" s="157">
        <f>IF(Table44[[#This Row],[Applicable Package?]:[Applicable Package?]]="Y",SUM('Rolled Up Non-Incremental Costs'!O25,'ICE Removal Cost'!O25,'Trans Removal Cost'!O25,'LEV3 Criteria Emissions Cost'!O25,'ZEV Assembly Reductions'!O25,'ACCII Criteria Compliance Cost'!O25,'ACCII GHG Compliance'!O25,'Current GHG Compliance'!O25)+IF(Table44[[#This Row],[Cold]:[Cold]]="Y",'Cold Weather Package'!O25,0)+IF(Table44[[#This Row],[eAWD]:[eAWD]]="Y",'eAWD Package'!O25,0)+IF(Table44[[#This Row],[Towing]:[Towing]]="Y",'Towing Bat Cost'!O25,0),"N/A")</f>
        <v>2507.359777001885</v>
      </c>
    </row>
    <row r="145" spans="1:19" x14ac:dyDescent="0.3">
      <c r="A145" t="str">
        <f t="shared" si="3"/>
        <v>SmallCarPremiumFCEV320</v>
      </c>
      <c r="B145" s="90" t="s">
        <v>73</v>
      </c>
      <c r="C145" s="68" t="s">
        <v>80</v>
      </c>
      <c r="D145" s="68" t="str">
        <f>'Vehicle Attributes - Base Year'!D23</f>
        <v>FCEV320</v>
      </c>
      <c r="E145" s="124" t="s">
        <v>76</v>
      </c>
      <c r="F145" s="124" t="s">
        <v>76</v>
      </c>
      <c r="G145" s="125" t="s">
        <v>77</v>
      </c>
      <c r="H145" s="156" t="s">
        <v>76</v>
      </c>
      <c r="I145" s="157">
        <f>IF(Table44[[#This Row],[Applicable Package?]:[Applicable Package?]]="Y",SUM('Rolled Up Non-Incremental Costs'!E26,'ICE Removal Cost'!E26,'Trans Removal Cost'!E26,'LEV3 Criteria Emissions Cost'!E26,'ZEV Assembly Reductions'!E26,'ACCII Criteria Compliance Cost'!E26,'ACCII GHG Compliance'!E26,'Current GHG Compliance'!E26)+IF(Table44[[#This Row],[Cold]:[Cold]]="Y",'Cold Weather Package'!E26,0)+IF(Table44[[#This Row],[eAWD]:[eAWD]]="Y",'eAWD Package'!E26,0)+IF(Table44[[#This Row],[Towing]:[Towing]]="Y",'Towing Bat Cost'!E26,0),"N/A")</f>
        <v>8058.2669049268252</v>
      </c>
      <c r="J145" s="157">
        <f>IF(Table44[[#This Row],[Applicable Package?]:[Applicable Package?]]="Y",SUM('Rolled Up Non-Incremental Costs'!F26,'ICE Removal Cost'!F26,'Trans Removal Cost'!F26,'LEV3 Criteria Emissions Cost'!F26,'ZEV Assembly Reductions'!F26,'ACCII Criteria Compliance Cost'!F26,'ACCII GHG Compliance'!F26,'Current GHG Compliance'!F26)+IF(Table44[[#This Row],[Cold]:[Cold]]="Y",'Cold Weather Package'!F26,0)+IF(Table44[[#This Row],[eAWD]:[eAWD]]="Y",'eAWD Package'!F26,0)+IF(Table44[[#This Row],[Towing]:[Towing]]="Y",'Towing Bat Cost'!F26,0),"N/A")</f>
        <v>7222.879283133424</v>
      </c>
      <c r="K145" s="157">
        <f>IF(Table44[[#This Row],[Applicable Package?]:[Applicable Package?]]="Y",SUM('Rolled Up Non-Incremental Costs'!G26,'ICE Removal Cost'!G26,'Trans Removal Cost'!G26,'LEV3 Criteria Emissions Cost'!G26,'ZEV Assembly Reductions'!G26,'ACCII Criteria Compliance Cost'!G26,'ACCII GHG Compliance'!G26,'Current GHG Compliance'!G26)+IF(Table44[[#This Row],[Cold]:[Cold]]="Y",'Cold Weather Package'!G26,0)+IF(Table44[[#This Row],[eAWD]:[eAWD]]="Y",'eAWD Package'!G26,0)+IF(Table44[[#This Row],[Towing]:[Towing]]="Y",'Towing Bat Cost'!G26,0),"N/A")</f>
        <v>6399.4471229237861</v>
      </c>
      <c r="L145" s="157">
        <f>IF(Table44[[#This Row],[Applicable Package?]:[Applicable Package?]]="Y",SUM('Rolled Up Non-Incremental Costs'!H26,'ICE Removal Cost'!H26,'Trans Removal Cost'!H26,'LEV3 Criteria Emissions Cost'!H26,'ZEV Assembly Reductions'!H26,'ACCII Criteria Compliance Cost'!H26,'ACCII GHG Compliance'!H26,'Current GHG Compliance'!H26)+IF(Table44[[#This Row],[Cold]:[Cold]]="Y",'Cold Weather Package'!H26,0)+IF(Table44[[#This Row],[eAWD]:[eAWD]]="Y",'eAWD Package'!H26,0)+IF(Table44[[#This Row],[Towing]:[Towing]]="Y",'Towing Bat Cost'!H26,0),"N/A")</f>
        <v>5587.9659841108714</v>
      </c>
      <c r="M145" s="157">
        <f>IF(Table44[[#This Row],[Applicable Package?]:[Applicable Package?]]="Y",SUM('Rolled Up Non-Incremental Costs'!I26,'ICE Removal Cost'!I26,'Trans Removal Cost'!I26,'LEV3 Criteria Emissions Cost'!I26,'ZEV Assembly Reductions'!I26,'ACCII Criteria Compliance Cost'!I26,'ACCII GHG Compliance'!I26,'Current GHG Compliance'!I26)+IF(Table44[[#This Row],[Cold]:[Cold]]="Y",'Cold Weather Package'!I26,0)+IF(Table44[[#This Row],[eAWD]:[eAWD]]="Y",'eAWD Package'!I26,0)+IF(Table44[[#This Row],[Towing]:[Towing]]="Y",'Towing Bat Cost'!I26,0),"N/A")</f>
        <v>4788.4314709095188</v>
      </c>
      <c r="N145" s="157">
        <f>IF(Table44[[#This Row],[Applicable Package?]:[Applicable Package?]]="Y",SUM('Rolled Up Non-Incremental Costs'!J26,'ICE Removal Cost'!J26,'Trans Removal Cost'!J26,'LEV3 Criteria Emissions Cost'!J26,'ZEV Assembly Reductions'!J26,'ACCII Criteria Compliance Cost'!J26,'ACCII GHG Compliance'!J26,'Current GHG Compliance'!J26)+IF(Table44[[#This Row],[Cold]:[Cold]]="Y",'Cold Weather Package'!J26,0)+IF(Table44[[#This Row],[eAWD]:[eAWD]]="Y",'eAWD Package'!J26,0)+IF(Table44[[#This Row],[Towing]:[Towing]]="Y",'Towing Bat Cost'!J26,0),"N/A")</f>
        <v>4000.8392314924058</v>
      </c>
      <c r="O145" s="157">
        <f>IF(Table44[[#This Row],[Applicable Package?]:[Applicable Package?]]="Y",SUM('Rolled Up Non-Incremental Costs'!K26,'ICE Removal Cost'!K26,'Trans Removal Cost'!K26,'LEV3 Criteria Emissions Cost'!K26,'ZEV Assembly Reductions'!K26,'ACCII Criteria Compliance Cost'!K26,'ACCII GHG Compliance'!K26,'Current GHG Compliance'!K26)+IF(Table44[[#This Row],[Cold]:[Cold]]="Y",'Cold Weather Package'!K26,0)+IF(Table44[[#This Row],[eAWD]:[eAWD]]="Y",'eAWD Package'!K26,0)+IF(Table44[[#This Row],[Towing]:[Towing]]="Y",'Towing Bat Cost'!K26,0),"N/A")</f>
        <v>3695.6675513576374</v>
      </c>
      <c r="P145" s="157">
        <f>IF(Table44[[#This Row],[Applicable Package?]:[Applicable Package?]]="Y",SUM('Rolled Up Non-Incremental Costs'!L26,'ICE Removal Cost'!L26,'Trans Removal Cost'!L26,'LEV3 Criteria Emissions Cost'!L26,'ZEV Assembly Reductions'!L26,'ACCII Criteria Compliance Cost'!L26,'ACCII GHG Compliance'!L26,'Current GHG Compliance'!L26)+IF(Table44[[#This Row],[Cold]:[Cold]]="Y",'Cold Weather Package'!L26,0)+IF(Table44[[#This Row],[eAWD]:[eAWD]]="Y",'eAWD Package'!L26,0)+IF(Table44[[#This Row],[Towing]:[Towing]]="Y",'Towing Bat Cost'!L26,0),"N/A")</f>
        <v>3393.7445947847273</v>
      </c>
      <c r="Q145" s="157">
        <f>IF(Table44[[#This Row],[Applicable Package?]:[Applicable Package?]]="Y",SUM('Rolled Up Non-Incremental Costs'!M26,'ICE Removal Cost'!M26,'Trans Removal Cost'!M26,'LEV3 Criteria Emissions Cost'!M26,'ZEV Assembly Reductions'!M26,'ACCII Criteria Compliance Cost'!M26,'ACCII GHG Compliance'!M26,'Current GHG Compliance'!M26)+IF(Table44[[#This Row],[Cold]:[Cold]]="Y",'Cold Weather Package'!M26,0)+IF(Table44[[#This Row],[eAWD]:[eAWD]]="Y",'eAWD Package'!M26,0)+IF(Table44[[#This Row],[Towing]:[Towing]]="Y",'Towing Bat Cost'!M26,0),"N/A")</f>
        <v>3095.059467391985</v>
      </c>
      <c r="R145" s="157">
        <f>IF(Table44[[#This Row],[Applicable Package?]:[Applicable Package?]]="Y",SUM('Rolled Up Non-Incremental Costs'!N26,'ICE Removal Cost'!N26,'Trans Removal Cost'!N26,'LEV3 Criteria Emissions Cost'!N26,'ZEV Assembly Reductions'!N26,'ACCII Criteria Compliance Cost'!N26,'ACCII GHG Compliance'!N26,'Current GHG Compliance'!N26)+IF(Table44[[#This Row],[Cold]:[Cold]]="Y",'Cold Weather Package'!N26,0)+IF(Table44[[#This Row],[eAWD]:[eAWD]]="Y",'eAWD Package'!N26,0)+IF(Table44[[#This Row],[Towing]:[Towing]]="Y",'Towing Bat Cost'!N26,0),"N/A")</f>
        <v>2799.601405980894</v>
      </c>
      <c r="S145" s="157">
        <f>IF(Table44[[#This Row],[Applicable Package?]:[Applicable Package?]]="Y",SUM('Rolled Up Non-Incremental Costs'!O26,'ICE Removal Cost'!O26,'Trans Removal Cost'!O26,'LEV3 Criteria Emissions Cost'!O26,'ZEV Assembly Reductions'!O26,'ACCII Criteria Compliance Cost'!O26,'ACCII GHG Compliance'!O26,'Current GHG Compliance'!O26)+IF(Table44[[#This Row],[Cold]:[Cold]]="Y",'Cold Weather Package'!O26,0)+IF(Table44[[#This Row],[eAWD]:[eAWD]]="Y",'eAWD Package'!O26,0)+IF(Table44[[#This Row],[Towing]:[Towing]]="Y",'Towing Bat Cost'!O26,0),"N/A")</f>
        <v>2507.359777001885</v>
      </c>
    </row>
    <row r="146" spans="1:19" x14ac:dyDescent="0.3">
      <c r="A146" s="28" t="str">
        <f t="shared" si="3"/>
        <v>MedCarBaseFCEV320</v>
      </c>
      <c r="B146" s="90" t="s">
        <v>82</v>
      </c>
      <c r="C146" s="68" t="s">
        <v>75</v>
      </c>
      <c r="D146" s="68" t="str">
        <f>'Vehicle Attributes - Base Year'!D24</f>
        <v>FCEV320</v>
      </c>
      <c r="E146" s="124" t="s">
        <v>76</v>
      </c>
      <c r="F146" s="124" t="s">
        <v>76</v>
      </c>
      <c r="G146" s="125" t="s">
        <v>77</v>
      </c>
      <c r="H146" s="156" t="s">
        <v>76</v>
      </c>
      <c r="I146" s="157">
        <f>IF(Table44[[#This Row],[Applicable Package?]:[Applicable Package?]]="Y",SUM('Rolled Up Non-Incremental Costs'!E27,'ICE Removal Cost'!E27,'Trans Removal Cost'!E27,'LEV3 Criteria Emissions Cost'!E27,'ZEV Assembly Reductions'!E27,'ACCII Criteria Compliance Cost'!E27,'ACCII GHG Compliance'!E27,'Current GHG Compliance'!E27)+IF(Table44[[#This Row],[Cold]:[Cold]]="Y",'Cold Weather Package'!E27,0)+IF(Table44[[#This Row],[eAWD]:[eAWD]]="Y",'eAWD Package'!E27,0)+IF(Table44[[#This Row],[Towing]:[Towing]]="Y",'Towing Bat Cost'!E27,0),"N/A")</f>
        <v>12043.634602515749</v>
      </c>
      <c r="J146" s="157">
        <f>IF(Table44[[#This Row],[Applicable Package?]:[Applicable Package?]]="Y",SUM('Rolled Up Non-Incremental Costs'!F27,'ICE Removal Cost'!F27,'Trans Removal Cost'!F27,'LEV3 Criteria Emissions Cost'!F27,'ZEV Assembly Reductions'!F27,'ACCII Criteria Compliance Cost'!F27,'ACCII GHG Compliance'!F27,'Current GHG Compliance'!F27)+IF(Table44[[#This Row],[Cold]:[Cold]]="Y",'Cold Weather Package'!F27,0)+IF(Table44[[#This Row],[eAWD]:[eAWD]]="Y",'eAWD Package'!F27,0)+IF(Table44[[#This Row],[Towing]:[Towing]]="Y",'Towing Bat Cost'!F27,0),"N/A")</f>
        <v>10827.491454691944</v>
      </c>
      <c r="K146" s="157">
        <f>IF(Table44[[#This Row],[Applicable Package?]:[Applicable Package?]]="Y",SUM('Rolled Up Non-Incremental Costs'!G27,'ICE Removal Cost'!G27,'Trans Removal Cost'!G27,'LEV3 Criteria Emissions Cost'!G27,'ZEV Assembly Reductions'!G27,'ACCII Criteria Compliance Cost'!G27,'ACCII GHG Compliance'!G27,'Current GHG Compliance'!G27)+IF(Table44[[#This Row],[Cold]:[Cold]]="Y",'Cold Weather Package'!G27,0)+IF(Table44[[#This Row],[eAWD]:[eAWD]]="Y",'eAWD Package'!G27,0)+IF(Table44[[#This Row],[Towing]:[Towing]]="Y",'Towing Bat Cost'!G27,0),"N/A")</f>
        <v>9638.2682181905584</v>
      </c>
      <c r="L146" s="157">
        <f>IF(Table44[[#This Row],[Applicable Package?]:[Applicable Package?]]="Y",SUM('Rolled Up Non-Incremental Costs'!H27,'ICE Removal Cost'!H27,'Trans Removal Cost'!H27,'LEV3 Criteria Emissions Cost'!H27,'ZEV Assembly Reductions'!H27,'ACCII Criteria Compliance Cost'!H27,'ACCII GHG Compliance'!H27,'Current GHG Compliance'!H27)+IF(Table44[[#This Row],[Cold]:[Cold]]="Y",'Cold Weather Package'!H27,0)+IF(Table44[[#This Row],[eAWD]:[eAWD]]="Y",'eAWD Package'!H27,0)+IF(Table44[[#This Row],[Towing]:[Towing]]="Y",'Towing Bat Cost'!H27,0),"N/A")</f>
        <v>8475.9526997054327</v>
      </c>
      <c r="M146" s="157">
        <f>IF(Table44[[#This Row],[Applicable Package?]:[Applicable Package?]]="Y",SUM('Rolled Up Non-Incremental Costs'!I27,'ICE Removal Cost'!I27,'Trans Removal Cost'!I27,'LEV3 Criteria Emissions Cost'!I27,'ZEV Assembly Reductions'!I27,'ACCII Criteria Compliance Cost'!I27,'ACCII GHG Compliance'!I27,'Current GHG Compliance'!I27)+IF(Table44[[#This Row],[Cold]:[Cold]]="Y",'Cold Weather Package'!I27,0)+IF(Table44[[#This Row],[eAWD]:[eAWD]]="Y",'eAWD Package'!I27,0)+IF(Table44[[#This Row],[Towing]:[Towing]]="Y",'Towing Bat Cost'!I27,0),"N/A")</f>
        <v>7340.5328512489705</v>
      </c>
      <c r="N146" s="157">
        <f>IF(Table44[[#This Row],[Applicable Package?]:[Applicable Package?]]="Y",SUM('Rolled Up Non-Incremental Costs'!J27,'ICE Removal Cost'!J27,'Trans Removal Cost'!J27,'LEV3 Criteria Emissions Cost'!J27,'ZEV Assembly Reductions'!J27,'ACCII Criteria Compliance Cost'!J27,'ACCII GHG Compliance'!J27,'Current GHG Compliance'!J27)+IF(Table44[[#This Row],[Cold]:[Cold]]="Y",'Cold Weather Package'!J27,0)+IF(Table44[[#This Row],[eAWD]:[eAWD]]="Y",'eAWD Package'!J27,0)+IF(Table44[[#This Row],[Towing]:[Towing]]="Y",'Towing Bat Cost'!J27,0),"N/A")</f>
        <v>6231.996768465061</v>
      </c>
      <c r="O146" s="157">
        <f>IF(Table44[[#This Row],[Applicable Package?]:[Applicable Package?]]="Y",SUM('Rolled Up Non-Incremental Costs'!K27,'ICE Removal Cost'!K27,'Trans Removal Cost'!K27,'LEV3 Criteria Emissions Cost'!K27,'ZEV Assembly Reductions'!K27,'ACCII Criteria Compliance Cost'!K27,'ACCII GHG Compliance'!K27,'Current GHG Compliance'!K27)+IF(Table44[[#This Row],[Cold]:[Cold]]="Y",'Cold Weather Package'!K27,0)+IF(Table44[[#This Row],[eAWD]:[eAWD]]="Y",'eAWD Package'!K27,0)+IF(Table44[[#This Row],[Towing]:[Towing]]="Y",'Towing Bat Cost'!K27,0),"N/A")</f>
        <v>5848.1408998660809</v>
      </c>
      <c r="P146" s="157">
        <f>IF(Table44[[#This Row],[Applicable Package?]:[Applicable Package?]]="Y",SUM('Rolled Up Non-Incremental Costs'!L27,'ICE Removal Cost'!L27,'Trans Removal Cost'!L27,'LEV3 Criteria Emissions Cost'!L27,'ZEV Assembly Reductions'!L27,'ACCII Criteria Compliance Cost'!L27,'ACCII GHG Compliance'!L27,'Current GHG Compliance'!L27)+IF(Table44[[#This Row],[Cold]:[Cold]]="Y",'Cold Weather Package'!L27,0)+IF(Table44[[#This Row],[eAWD]:[eAWD]]="Y",'eAWD Package'!L27,0)+IF(Table44[[#This Row],[Towing]:[Towing]]="Y",'Towing Bat Cost'!L27,0),"N/A")</f>
        <v>5469.6519722767553</v>
      </c>
      <c r="Q146" s="157">
        <f>IF(Table44[[#This Row],[Applicable Package?]:[Applicable Package?]]="Y",SUM('Rolled Up Non-Incremental Costs'!M27,'ICE Removal Cost'!M27,'Trans Removal Cost'!M27,'LEV3 Criteria Emissions Cost'!M27,'ZEV Assembly Reductions'!M27,'ACCII Criteria Compliance Cost'!M27,'ACCII GHG Compliance'!M27,'Current GHG Compliance'!M27)+IF(Table44[[#This Row],[Cold]:[Cold]]="Y",'Cold Weather Package'!M27,0)+IF(Table44[[#This Row],[eAWD]:[eAWD]]="Y",'eAWD Package'!M27,0)+IF(Table44[[#This Row],[Towing]:[Towing]]="Y",'Towing Bat Cost'!M27,0),"N/A")</f>
        <v>5096.5185023042486</v>
      </c>
      <c r="R146" s="157">
        <f>IF(Table44[[#This Row],[Applicable Package?]:[Applicable Package?]]="Y",SUM('Rolled Up Non-Incremental Costs'!N27,'ICE Removal Cost'!N27,'Trans Removal Cost'!N27,'LEV3 Criteria Emissions Cost'!N27,'ZEV Assembly Reductions'!N27,'ACCII Criteria Compliance Cost'!N27,'ACCII GHG Compliance'!N27,'Current GHG Compliance'!N27)+IF(Table44[[#This Row],[Cold]:[Cold]]="Y",'Cold Weather Package'!N27,0)+IF(Table44[[#This Row],[eAWD]:[eAWD]]="Y",'eAWD Package'!N27,0)+IF(Table44[[#This Row],[Towing]:[Towing]]="Y",'Towing Bat Cost'!N27,0),"N/A")</f>
        <v>4728.7291436290297</v>
      </c>
      <c r="S146" s="157">
        <f>IF(Table44[[#This Row],[Applicable Package?]:[Applicable Package?]]="Y",SUM('Rolled Up Non-Incremental Costs'!O27,'ICE Removal Cost'!O27,'Trans Removal Cost'!O27,'LEV3 Criteria Emissions Cost'!O27,'ZEV Assembly Reductions'!O27,'ACCII Criteria Compliance Cost'!O27,'ACCII GHG Compliance'!O27,'Current GHG Compliance'!O27)+IF(Table44[[#This Row],[Cold]:[Cold]]="Y",'Cold Weather Package'!O27,0)+IF(Table44[[#This Row],[eAWD]:[eAWD]]="Y",'eAWD Package'!O27,0)+IF(Table44[[#This Row],[Towing]:[Towing]]="Y",'Towing Bat Cost'!O27,0),"N/A")</f>
        <v>4366.2726854117227</v>
      </c>
    </row>
    <row r="147" spans="1:19" x14ac:dyDescent="0.3">
      <c r="A147" t="str">
        <f t="shared" si="3"/>
        <v>MedCarPremiumFCEV320</v>
      </c>
      <c r="B147" s="90" t="s">
        <v>82</v>
      </c>
      <c r="C147" s="68" t="s">
        <v>80</v>
      </c>
      <c r="D147" s="68" t="str">
        <f>'Vehicle Attributes - Base Year'!D25</f>
        <v>FCEV320</v>
      </c>
      <c r="E147" s="124" t="s">
        <v>76</v>
      </c>
      <c r="F147" s="124" t="s">
        <v>76</v>
      </c>
      <c r="G147" s="125" t="s">
        <v>77</v>
      </c>
      <c r="H147" s="156" t="s">
        <v>76</v>
      </c>
      <c r="I147" s="157">
        <f>IF(Table44[[#This Row],[Applicable Package?]:[Applicable Package?]]="Y",SUM('Rolled Up Non-Incremental Costs'!E28,'ICE Removal Cost'!E28,'Trans Removal Cost'!E28,'LEV3 Criteria Emissions Cost'!E28,'ZEV Assembly Reductions'!E28,'ACCII Criteria Compliance Cost'!E28,'ACCII GHG Compliance'!E28,'Current GHG Compliance'!E28)+IF(Table44[[#This Row],[Cold]:[Cold]]="Y",'Cold Weather Package'!E28,0)+IF(Table44[[#This Row],[eAWD]:[eAWD]]="Y",'eAWD Package'!E28,0)+IF(Table44[[#This Row],[Towing]:[Towing]]="Y",'Towing Bat Cost'!E28,0),"N/A")</f>
        <v>12043.634602515749</v>
      </c>
      <c r="J147" s="157">
        <f>IF(Table44[[#This Row],[Applicable Package?]:[Applicable Package?]]="Y",SUM('Rolled Up Non-Incremental Costs'!F28,'ICE Removal Cost'!F28,'Trans Removal Cost'!F28,'LEV3 Criteria Emissions Cost'!F28,'ZEV Assembly Reductions'!F28,'ACCII Criteria Compliance Cost'!F28,'ACCII GHG Compliance'!F28,'Current GHG Compliance'!F28)+IF(Table44[[#This Row],[Cold]:[Cold]]="Y",'Cold Weather Package'!F28,0)+IF(Table44[[#This Row],[eAWD]:[eAWD]]="Y",'eAWD Package'!F28,0)+IF(Table44[[#This Row],[Towing]:[Towing]]="Y",'Towing Bat Cost'!F28,0),"N/A")</f>
        <v>10827.491454691944</v>
      </c>
      <c r="K147" s="157">
        <f>IF(Table44[[#This Row],[Applicable Package?]:[Applicable Package?]]="Y",SUM('Rolled Up Non-Incremental Costs'!G28,'ICE Removal Cost'!G28,'Trans Removal Cost'!G28,'LEV3 Criteria Emissions Cost'!G28,'ZEV Assembly Reductions'!G28,'ACCII Criteria Compliance Cost'!G28,'ACCII GHG Compliance'!G28,'Current GHG Compliance'!G28)+IF(Table44[[#This Row],[Cold]:[Cold]]="Y",'Cold Weather Package'!G28,0)+IF(Table44[[#This Row],[eAWD]:[eAWD]]="Y",'eAWD Package'!G28,0)+IF(Table44[[#This Row],[Towing]:[Towing]]="Y",'Towing Bat Cost'!G28,0),"N/A")</f>
        <v>9638.2682181905584</v>
      </c>
      <c r="L147" s="157">
        <f>IF(Table44[[#This Row],[Applicable Package?]:[Applicable Package?]]="Y",SUM('Rolled Up Non-Incremental Costs'!H28,'ICE Removal Cost'!H28,'Trans Removal Cost'!H28,'LEV3 Criteria Emissions Cost'!H28,'ZEV Assembly Reductions'!H28,'ACCII Criteria Compliance Cost'!H28,'ACCII GHG Compliance'!H28,'Current GHG Compliance'!H28)+IF(Table44[[#This Row],[Cold]:[Cold]]="Y",'Cold Weather Package'!H28,0)+IF(Table44[[#This Row],[eAWD]:[eAWD]]="Y",'eAWD Package'!H28,0)+IF(Table44[[#This Row],[Towing]:[Towing]]="Y",'Towing Bat Cost'!H28,0),"N/A")</f>
        <v>8475.9526997054327</v>
      </c>
      <c r="M147" s="157">
        <f>IF(Table44[[#This Row],[Applicable Package?]:[Applicable Package?]]="Y",SUM('Rolled Up Non-Incremental Costs'!I28,'ICE Removal Cost'!I28,'Trans Removal Cost'!I28,'LEV3 Criteria Emissions Cost'!I28,'ZEV Assembly Reductions'!I28,'ACCII Criteria Compliance Cost'!I28,'ACCII GHG Compliance'!I28,'Current GHG Compliance'!I28)+IF(Table44[[#This Row],[Cold]:[Cold]]="Y",'Cold Weather Package'!I28,0)+IF(Table44[[#This Row],[eAWD]:[eAWD]]="Y",'eAWD Package'!I28,0)+IF(Table44[[#This Row],[Towing]:[Towing]]="Y",'Towing Bat Cost'!I28,0),"N/A")</f>
        <v>7340.5328512489705</v>
      </c>
      <c r="N147" s="157">
        <f>IF(Table44[[#This Row],[Applicable Package?]:[Applicable Package?]]="Y",SUM('Rolled Up Non-Incremental Costs'!J28,'ICE Removal Cost'!J28,'Trans Removal Cost'!J28,'LEV3 Criteria Emissions Cost'!J28,'ZEV Assembly Reductions'!J28,'ACCII Criteria Compliance Cost'!J28,'ACCII GHG Compliance'!J28,'Current GHG Compliance'!J28)+IF(Table44[[#This Row],[Cold]:[Cold]]="Y",'Cold Weather Package'!J28,0)+IF(Table44[[#This Row],[eAWD]:[eAWD]]="Y",'eAWD Package'!J28,0)+IF(Table44[[#This Row],[Towing]:[Towing]]="Y",'Towing Bat Cost'!J28,0),"N/A")</f>
        <v>6231.996768465061</v>
      </c>
      <c r="O147" s="157">
        <f>IF(Table44[[#This Row],[Applicable Package?]:[Applicable Package?]]="Y",SUM('Rolled Up Non-Incremental Costs'!K28,'ICE Removal Cost'!K28,'Trans Removal Cost'!K28,'LEV3 Criteria Emissions Cost'!K28,'ZEV Assembly Reductions'!K28,'ACCII Criteria Compliance Cost'!K28,'ACCII GHG Compliance'!K28,'Current GHG Compliance'!K28)+IF(Table44[[#This Row],[Cold]:[Cold]]="Y",'Cold Weather Package'!K28,0)+IF(Table44[[#This Row],[eAWD]:[eAWD]]="Y",'eAWD Package'!K28,0)+IF(Table44[[#This Row],[Towing]:[Towing]]="Y",'Towing Bat Cost'!K28,0),"N/A")</f>
        <v>5848.1408998660809</v>
      </c>
      <c r="P147" s="157">
        <f>IF(Table44[[#This Row],[Applicable Package?]:[Applicable Package?]]="Y",SUM('Rolled Up Non-Incremental Costs'!L28,'ICE Removal Cost'!L28,'Trans Removal Cost'!L28,'LEV3 Criteria Emissions Cost'!L28,'ZEV Assembly Reductions'!L28,'ACCII Criteria Compliance Cost'!L28,'ACCII GHG Compliance'!L28,'Current GHG Compliance'!L28)+IF(Table44[[#This Row],[Cold]:[Cold]]="Y",'Cold Weather Package'!L28,0)+IF(Table44[[#This Row],[eAWD]:[eAWD]]="Y",'eAWD Package'!L28,0)+IF(Table44[[#This Row],[Towing]:[Towing]]="Y",'Towing Bat Cost'!L28,0),"N/A")</f>
        <v>5469.6519722767553</v>
      </c>
      <c r="Q147" s="157">
        <f>IF(Table44[[#This Row],[Applicable Package?]:[Applicable Package?]]="Y",SUM('Rolled Up Non-Incremental Costs'!M28,'ICE Removal Cost'!M28,'Trans Removal Cost'!M28,'LEV3 Criteria Emissions Cost'!M28,'ZEV Assembly Reductions'!M28,'ACCII Criteria Compliance Cost'!M28,'ACCII GHG Compliance'!M28,'Current GHG Compliance'!M28)+IF(Table44[[#This Row],[Cold]:[Cold]]="Y",'Cold Weather Package'!M28,0)+IF(Table44[[#This Row],[eAWD]:[eAWD]]="Y",'eAWD Package'!M28,0)+IF(Table44[[#This Row],[Towing]:[Towing]]="Y",'Towing Bat Cost'!M28,0),"N/A")</f>
        <v>5096.5185023042486</v>
      </c>
      <c r="R147" s="157">
        <f>IF(Table44[[#This Row],[Applicable Package?]:[Applicable Package?]]="Y",SUM('Rolled Up Non-Incremental Costs'!N28,'ICE Removal Cost'!N28,'Trans Removal Cost'!N28,'LEV3 Criteria Emissions Cost'!N28,'ZEV Assembly Reductions'!N28,'ACCII Criteria Compliance Cost'!N28,'ACCII GHG Compliance'!N28,'Current GHG Compliance'!N28)+IF(Table44[[#This Row],[Cold]:[Cold]]="Y",'Cold Weather Package'!N28,0)+IF(Table44[[#This Row],[eAWD]:[eAWD]]="Y",'eAWD Package'!N28,0)+IF(Table44[[#This Row],[Towing]:[Towing]]="Y",'Towing Bat Cost'!N28,0),"N/A")</f>
        <v>4728.7291436290297</v>
      </c>
      <c r="S147" s="157">
        <f>IF(Table44[[#This Row],[Applicable Package?]:[Applicable Package?]]="Y",SUM('Rolled Up Non-Incremental Costs'!O28,'ICE Removal Cost'!O28,'Trans Removal Cost'!O28,'LEV3 Criteria Emissions Cost'!O28,'ZEV Assembly Reductions'!O28,'ACCII Criteria Compliance Cost'!O28,'ACCII GHG Compliance'!O28,'Current GHG Compliance'!O28)+IF(Table44[[#This Row],[Cold]:[Cold]]="Y",'Cold Weather Package'!O28,0)+IF(Table44[[#This Row],[eAWD]:[eAWD]]="Y",'eAWD Package'!O28,0)+IF(Table44[[#This Row],[Towing]:[Towing]]="Y",'Towing Bat Cost'!O28,0),"N/A")</f>
        <v>4366.2726854117227</v>
      </c>
    </row>
    <row r="148" spans="1:19" x14ac:dyDescent="0.3">
      <c r="A148" s="28" t="str">
        <f t="shared" si="3"/>
        <v>SmallSUVBaseFCEV320</v>
      </c>
      <c r="B148" s="90" t="s">
        <v>83</v>
      </c>
      <c r="C148" s="68" t="s">
        <v>75</v>
      </c>
      <c r="D148" s="68" t="str">
        <f>'Vehicle Attributes - Base Year'!D26</f>
        <v>FCEV320</v>
      </c>
      <c r="E148" s="124" t="s">
        <v>76</v>
      </c>
      <c r="F148" s="124" t="s">
        <v>76</v>
      </c>
      <c r="G148" s="125" t="s">
        <v>77</v>
      </c>
      <c r="H148" s="156" t="s">
        <v>76</v>
      </c>
      <c r="I148" s="157">
        <f>IF(Table44[[#This Row],[Applicable Package?]:[Applicable Package?]]="Y",SUM('Rolled Up Non-Incremental Costs'!E29,'ICE Removal Cost'!E29,'Trans Removal Cost'!E29,'LEV3 Criteria Emissions Cost'!E29,'ZEV Assembly Reductions'!E29,'ACCII Criteria Compliance Cost'!E29,'ACCII GHG Compliance'!E29,'Current GHG Compliance'!E29)+IF(Table44[[#This Row],[Cold]:[Cold]]="Y",'Cold Weather Package'!E29,0)+IF(Table44[[#This Row],[eAWD]:[eAWD]]="Y",'eAWD Package'!E29,0)+IF(Table44[[#This Row],[Towing]:[Towing]]="Y",'Towing Bat Cost'!E29,0),"N/A")</f>
        <v>11338.34997989088</v>
      </c>
      <c r="J148" s="157">
        <f>IF(Table44[[#This Row],[Applicable Package?]:[Applicable Package?]]="Y",SUM('Rolled Up Non-Incremental Costs'!F29,'ICE Removal Cost'!F29,'Trans Removal Cost'!F29,'LEV3 Criteria Emissions Cost'!F29,'ZEV Assembly Reductions'!F29,'ACCII Criteria Compliance Cost'!F29,'ACCII GHG Compliance'!F29,'Current GHG Compliance'!F29)+IF(Table44[[#This Row],[Cold]:[Cold]]="Y",'Cold Weather Package'!F29,0)+IF(Table44[[#This Row],[eAWD]:[eAWD]]="Y",'eAWD Package'!F29,0)+IF(Table44[[#This Row],[Towing]:[Towing]]="Y",'Towing Bat Cost'!F29,0),"N/A")</f>
        <v>10225.58544853497</v>
      </c>
      <c r="K148" s="157">
        <f>IF(Table44[[#This Row],[Applicable Package?]:[Applicable Package?]]="Y",SUM('Rolled Up Non-Incremental Costs'!G29,'ICE Removal Cost'!G29,'Trans Removal Cost'!G29,'LEV3 Criteria Emissions Cost'!G29,'ZEV Assembly Reductions'!G29,'ACCII Criteria Compliance Cost'!G29,'ACCII GHG Compliance'!G29,'Current GHG Compliance'!G29)+IF(Table44[[#This Row],[Cold]:[Cold]]="Y",'Cold Weather Package'!G29,0)+IF(Table44[[#This Row],[eAWD]:[eAWD]]="Y",'eAWD Package'!G29,0)+IF(Table44[[#This Row],[Towing]:[Towing]]="Y",'Towing Bat Cost'!G29,0),"N/A")</f>
        <v>9129.7857409339795</v>
      </c>
      <c r="L148" s="157">
        <f>IF(Table44[[#This Row],[Applicable Package?]:[Applicable Package?]]="Y",SUM('Rolled Up Non-Incremental Costs'!H29,'ICE Removal Cost'!H29,'Trans Removal Cost'!H29,'LEV3 Criteria Emissions Cost'!H29,'ZEV Assembly Reductions'!H29,'ACCII Criteria Compliance Cost'!H29,'ACCII GHG Compliance'!H29,'Current GHG Compliance'!H29)+IF(Table44[[#This Row],[Cold]:[Cold]]="Y",'Cold Weather Package'!H29,0)+IF(Table44[[#This Row],[eAWD]:[eAWD]]="Y",'eAWD Package'!H29,0)+IF(Table44[[#This Row],[Towing]:[Towing]]="Y",'Towing Bat Cost'!H29,0),"N/A")</f>
        <v>8050.9387196926282</v>
      </c>
      <c r="M148" s="157">
        <f>IF(Table44[[#This Row],[Applicable Package?]:[Applicable Package?]]="Y",SUM('Rolled Up Non-Incremental Costs'!I29,'ICE Removal Cost'!I29,'Trans Removal Cost'!I29,'LEV3 Criteria Emissions Cost'!I29,'ZEV Assembly Reductions'!I29,'ACCII Criteria Compliance Cost'!I29,'ACCII GHG Compliance'!I29,'Current GHG Compliance'!I29)+IF(Table44[[#This Row],[Cold]:[Cold]]="Y",'Cold Weather Package'!I29,0)+IF(Table44[[#This Row],[eAWD]:[eAWD]]="Y",'eAWD Package'!I29,0)+IF(Table44[[#This Row],[Towing]:[Towing]]="Y",'Towing Bat Cost'!I29,0),"N/A")</f>
        <v>6989.032392175076</v>
      </c>
      <c r="N148" s="157">
        <f>IF(Table44[[#This Row],[Applicable Package?]:[Applicable Package?]]="Y",SUM('Rolled Up Non-Incremental Costs'!J29,'ICE Removal Cost'!J29,'Trans Removal Cost'!J29,'LEV3 Criteria Emissions Cost'!J29,'ZEV Assembly Reductions'!J29,'ACCII Criteria Compliance Cost'!J29,'ACCII GHG Compliance'!J29,'Current GHG Compliance'!J29)+IF(Table44[[#This Row],[Cold]:[Cold]]="Y",'Cold Weather Package'!J29,0)+IF(Table44[[#This Row],[eAWD]:[eAWD]]="Y",'eAWD Package'!J29,0)+IF(Table44[[#This Row],[Towing]:[Towing]]="Y",'Towing Bat Cost'!J29,0),"N/A")</f>
        <v>5944.0549088234675</v>
      </c>
      <c r="O148" s="157">
        <f>IF(Table44[[#This Row],[Applicable Package?]:[Applicable Package?]]="Y",SUM('Rolled Up Non-Incremental Costs'!K29,'ICE Removal Cost'!K29,'Trans Removal Cost'!K29,'LEV3 Criteria Emissions Cost'!K29,'ZEV Assembly Reductions'!K29,'ACCII Criteria Compliance Cost'!K29,'ACCII GHG Compliance'!K29,'Current GHG Compliance'!K29)+IF(Table44[[#This Row],[Cold]:[Cold]]="Y",'Cold Weather Package'!K29,0)+IF(Table44[[#This Row],[eAWD]:[eAWD]]="Y",'eAWD Package'!K29,0)+IF(Table44[[#This Row],[Towing]:[Towing]]="Y",'Towing Bat Cost'!K29,0),"N/A")</f>
        <v>5609.8367890172576</v>
      </c>
      <c r="P148" s="157">
        <f>IF(Table44[[#This Row],[Applicable Package?]:[Applicable Package?]]="Y",SUM('Rolled Up Non-Incremental Costs'!L29,'ICE Removal Cost'!L29,'Trans Removal Cost'!L29,'LEV3 Criteria Emissions Cost'!L29,'ZEV Assembly Reductions'!L29,'ACCII Criteria Compliance Cost'!L29,'ACCII GHG Compliance'!L29,'Current GHG Compliance'!L29)+IF(Table44[[#This Row],[Cold]:[Cold]]="Y",'Cold Weather Package'!L29,0)+IF(Table44[[#This Row],[eAWD]:[eAWD]]="Y",'eAWD Package'!L29,0)+IF(Table44[[#This Row],[Towing]:[Towing]]="Y",'Towing Bat Cost'!L29,0),"N/A")</f>
        <v>5279.5578317592981</v>
      </c>
      <c r="Q148" s="157">
        <f>IF(Table44[[#This Row],[Applicable Package?]:[Applicable Package?]]="Y",SUM('Rolled Up Non-Incremental Costs'!M29,'ICE Removal Cost'!M29,'Trans Removal Cost'!M29,'LEV3 Criteria Emissions Cost'!M29,'ZEV Assembly Reductions'!M29,'ACCII Criteria Compliance Cost'!M29,'ACCII GHG Compliance'!M29,'Current GHG Compliance'!M29)+IF(Table44[[#This Row],[Cold]:[Cold]]="Y",'Cold Weather Package'!M29,0)+IF(Table44[[#This Row],[eAWD]:[eAWD]]="Y",'eAWD Package'!M29,0)+IF(Table44[[#This Row],[Towing]:[Towing]]="Y",'Towing Bat Cost'!M29,0),"N/A")</f>
        <v>4953.2132786354532</v>
      </c>
      <c r="R148" s="157">
        <f>IF(Table44[[#This Row],[Applicable Package?]:[Applicable Package?]]="Y",SUM('Rolled Up Non-Incremental Costs'!N29,'ICE Removal Cost'!N29,'Trans Removal Cost'!N29,'LEV3 Criteria Emissions Cost'!N29,'ZEV Assembly Reductions'!N29,'ACCII Criteria Compliance Cost'!N29,'ACCII GHG Compliance'!N29,'Current GHG Compliance'!N29)+IF(Table44[[#This Row],[Cold]:[Cold]]="Y",'Cold Weather Package'!N29,0)+IF(Table44[[#This Row],[eAWD]:[eAWD]]="Y",'eAWD Package'!N29,0)+IF(Table44[[#This Row],[Towing]:[Towing]]="Y",'Towing Bat Cost'!N29,0),"N/A")</f>
        <v>4630.7984188157243</v>
      </c>
      <c r="S148" s="157">
        <f>IF(Table44[[#This Row],[Applicable Package?]:[Applicable Package?]]="Y",SUM('Rolled Up Non-Incremental Costs'!O29,'ICE Removal Cost'!O29,'Trans Removal Cost'!O29,'LEV3 Criteria Emissions Cost'!O29,'ZEV Assembly Reductions'!O29,'ACCII Criteria Compliance Cost'!O29,'ACCII GHG Compliance'!O29,'Current GHG Compliance'!O29)+IF(Table44[[#This Row],[Cold]:[Cold]]="Y",'Cold Weather Package'!O29,0)+IF(Table44[[#This Row],[eAWD]:[eAWD]]="Y",'eAWD Package'!O29,0)+IF(Table44[[#This Row],[Towing]:[Towing]]="Y",'Towing Bat Cost'!O29,0),"N/A")</f>
        <v>4312.3085885784103</v>
      </c>
    </row>
    <row r="149" spans="1:19" x14ac:dyDescent="0.3">
      <c r="A149" t="str">
        <f t="shared" si="3"/>
        <v>SmallSUVPremiumFCEV320</v>
      </c>
      <c r="B149" s="90" t="s">
        <v>83</v>
      </c>
      <c r="C149" s="68" t="s">
        <v>80</v>
      </c>
      <c r="D149" s="68" t="str">
        <f>'Vehicle Attributes - Base Year'!D27</f>
        <v>FCEV320</v>
      </c>
      <c r="E149" s="124" t="s">
        <v>76</v>
      </c>
      <c r="F149" s="124" t="s">
        <v>76</v>
      </c>
      <c r="G149" s="125" t="s">
        <v>77</v>
      </c>
      <c r="H149" s="156" t="s">
        <v>76</v>
      </c>
      <c r="I149" s="157">
        <f>IF(Table44[[#This Row],[Applicable Package?]:[Applicable Package?]]="Y",SUM('Rolled Up Non-Incremental Costs'!E30,'ICE Removal Cost'!E30,'Trans Removal Cost'!E30,'LEV3 Criteria Emissions Cost'!E30,'ZEV Assembly Reductions'!E30,'ACCII Criteria Compliance Cost'!E30,'ACCII GHG Compliance'!E30,'Current GHG Compliance'!E30)+IF(Table44[[#This Row],[Cold]:[Cold]]="Y",'Cold Weather Package'!E30,0)+IF(Table44[[#This Row],[eAWD]:[eAWD]]="Y",'eAWD Package'!E30,0)+IF(Table44[[#This Row],[Towing]:[Towing]]="Y",'Towing Bat Cost'!E30,0),"N/A")</f>
        <v>11338.34997989088</v>
      </c>
      <c r="J149" s="157">
        <f>IF(Table44[[#This Row],[Applicable Package?]:[Applicable Package?]]="Y",SUM('Rolled Up Non-Incremental Costs'!F30,'ICE Removal Cost'!F30,'Trans Removal Cost'!F30,'LEV3 Criteria Emissions Cost'!F30,'ZEV Assembly Reductions'!F30,'ACCII Criteria Compliance Cost'!F30,'ACCII GHG Compliance'!F30,'Current GHG Compliance'!F30)+IF(Table44[[#This Row],[Cold]:[Cold]]="Y",'Cold Weather Package'!F30,0)+IF(Table44[[#This Row],[eAWD]:[eAWD]]="Y",'eAWD Package'!F30,0)+IF(Table44[[#This Row],[Towing]:[Towing]]="Y",'Towing Bat Cost'!F30,0),"N/A")</f>
        <v>10225.58544853497</v>
      </c>
      <c r="K149" s="157">
        <f>IF(Table44[[#This Row],[Applicable Package?]:[Applicable Package?]]="Y",SUM('Rolled Up Non-Incremental Costs'!G30,'ICE Removal Cost'!G30,'Trans Removal Cost'!G30,'LEV3 Criteria Emissions Cost'!G30,'ZEV Assembly Reductions'!G30,'ACCII Criteria Compliance Cost'!G30,'ACCII GHG Compliance'!G30,'Current GHG Compliance'!G30)+IF(Table44[[#This Row],[Cold]:[Cold]]="Y",'Cold Weather Package'!G30,0)+IF(Table44[[#This Row],[eAWD]:[eAWD]]="Y",'eAWD Package'!G30,0)+IF(Table44[[#This Row],[Towing]:[Towing]]="Y",'Towing Bat Cost'!G30,0),"N/A")</f>
        <v>9129.7857409339795</v>
      </c>
      <c r="L149" s="157">
        <f>IF(Table44[[#This Row],[Applicable Package?]:[Applicable Package?]]="Y",SUM('Rolled Up Non-Incremental Costs'!H30,'ICE Removal Cost'!H30,'Trans Removal Cost'!H30,'LEV3 Criteria Emissions Cost'!H30,'ZEV Assembly Reductions'!H30,'ACCII Criteria Compliance Cost'!H30,'ACCII GHG Compliance'!H30,'Current GHG Compliance'!H30)+IF(Table44[[#This Row],[Cold]:[Cold]]="Y",'Cold Weather Package'!H30,0)+IF(Table44[[#This Row],[eAWD]:[eAWD]]="Y",'eAWD Package'!H30,0)+IF(Table44[[#This Row],[Towing]:[Towing]]="Y",'Towing Bat Cost'!H30,0),"N/A")</f>
        <v>8050.9387196926282</v>
      </c>
      <c r="M149" s="157">
        <f>IF(Table44[[#This Row],[Applicable Package?]:[Applicable Package?]]="Y",SUM('Rolled Up Non-Incremental Costs'!I30,'ICE Removal Cost'!I30,'Trans Removal Cost'!I30,'LEV3 Criteria Emissions Cost'!I30,'ZEV Assembly Reductions'!I30,'ACCII Criteria Compliance Cost'!I30,'ACCII GHG Compliance'!I30,'Current GHG Compliance'!I30)+IF(Table44[[#This Row],[Cold]:[Cold]]="Y",'Cold Weather Package'!I30,0)+IF(Table44[[#This Row],[eAWD]:[eAWD]]="Y",'eAWD Package'!I30,0)+IF(Table44[[#This Row],[Towing]:[Towing]]="Y",'Towing Bat Cost'!I30,0),"N/A")</f>
        <v>6989.032392175076</v>
      </c>
      <c r="N149" s="157">
        <f>IF(Table44[[#This Row],[Applicable Package?]:[Applicable Package?]]="Y",SUM('Rolled Up Non-Incremental Costs'!J30,'ICE Removal Cost'!J30,'Trans Removal Cost'!J30,'LEV3 Criteria Emissions Cost'!J30,'ZEV Assembly Reductions'!J30,'ACCII Criteria Compliance Cost'!J30,'ACCII GHG Compliance'!J30,'Current GHG Compliance'!J30)+IF(Table44[[#This Row],[Cold]:[Cold]]="Y",'Cold Weather Package'!J30,0)+IF(Table44[[#This Row],[eAWD]:[eAWD]]="Y",'eAWD Package'!J30,0)+IF(Table44[[#This Row],[Towing]:[Towing]]="Y",'Towing Bat Cost'!J30,0),"N/A")</f>
        <v>5944.0549088234675</v>
      </c>
      <c r="O149" s="157">
        <f>IF(Table44[[#This Row],[Applicable Package?]:[Applicable Package?]]="Y",SUM('Rolled Up Non-Incremental Costs'!K30,'ICE Removal Cost'!K30,'Trans Removal Cost'!K30,'LEV3 Criteria Emissions Cost'!K30,'ZEV Assembly Reductions'!K30,'ACCII Criteria Compliance Cost'!K30,'ACCII GHG Compliance'!K30,'Current GHG Compliance'!K30)+IF(Table44[[#This Row],[Cold]:[Cold]]="Y",'Cold Weather Package'!K30,0)+IF(Table44[[#This Row],[eAWD]:[eAWD]]="Y",'eAWD Package'!K30,0)+IF(Table44[[#This Row],[Towing]:[Towing]]="Y",'Towing Bat Cost'!K30,0),"N/A")</f>
        <v>5609.8367890172576</v>
      </c>
      <c r="P149" s="157">
        <f>IF(Table44[[#This Row],[Applicable Package?]:[Applicable Package?]]="Y",SUM('Rolled Up Non-Incremental Costs'!L30,'ICE Removal Cost'!L30,'Trans Removal Cost'!L30,'LEV3 Criteria Emissions Cost'!L30,'ZEV Assembly Reductions'!L30,'ACCII Criteria Compliance Cost'!L30,'ACCII GHG Compliance'!L30,'Current GHG Compliance'!L30)+IF(Table44[[#This Row],[Cold]:[Cold]]="Y",'Cold Weather Package'!L30,0)+IF(Table44[[#This Row],[eAWD]:[eAWD]]="Y",'eAWD Package'!L30,0)+IF(Table44[[#This Row],[Towing]:[Towing]]="Y",'Towing Bat Cost'!L30,0),"N/A")</f>
        <v>5279.5578317592981</v>
      </c>
      <c r="Q149" s="157">
        <f>IF(Table44[[#This Row],[Applicable Package?]:[Applicable Package?]]="Y",SUM('Rolled Up Non-Incremental Costs'!M30,'ICE Removal Cost'!M30,'Trans Removal Cost'!M30,'LEV3 Criteria Emissions Cost'!M30,'ZEV Assembly Reductions'!M30,'ACCII Criteria Compliance Cost'!M30,'ACCII GHG Compliance'!M30,'Current GHG Compliance'!M30)+IF(Table44[[#This Row],[Cold]:[Cold]]="Y",'Cold Weather Package'!M30,0)+IF(Table44[[#This Row],[eAWD]:[eAWD]]="Y",'eAWD Package'!M30,0)+IF(Table44[[#This Row],[Towing]:[Towing]]="Y",'Towing Bat Cost'!M30,0),"N/A")</f>
        <v>4953.2132786354532</v>
      </c>
      <c r="R149" s="157">
        <f>IF(Table44[[#This Row],[Applicable Package?]:[Applicable Package?]]="Y",SUM('Rolled Up Non-Incremental Costs'!N30,'ICE Removal Cost'!N30,'Trans Removal Cost'!N30,'LEV3 Criteria Emissions Cost'!N30,'ZEV Assembly Reductions'!N30,'ACCII Criteria Compliance Cost'!N30,'ACCII GHG Compliance'!N30,'Current GHG Compliance'!N30)+IF(Table44[[#This Row],[Cold]:[Cold]]="Y",'Cold Weather Package'!N30,0)+IF(Table44[[#This Row],[eAWD]:[eAWD]]="Y",'eAWD Package'!N30,0)+IF(Table44[[#This Row],[Towing]:[Towing]]="Y",'Towing Bat Cost'!N30,0),"N/A")</f>
        <v>4630.7984188157243</v>
      </c>
      <c r="S149" s="157">
        <f>IF(Table44[[#This Row],[Applicable Package?]:[Applicable Package?]]="Y",SUM('Rolled Up Non-Incremental Costs'!O30,'ICE Removal Cost'!O30,'Trans Removal Cost'!O30,'LEV3 Criteria Emissions Cost'!O30,'ZEV Assembly Reductions'!O30,'ACCII Criteria Compliance Cost'!O30,'ACCII GHG Compliance'!O30,'Current GHG Compliance'!O30)+IF(Table44[[#This Row],[Cold]:[Cold]]="Y",'Cold Weather Package'!O30,0)+IF(Table44[[#This Row],[eAWD]:[eAWD]]="Y",'eAWD Package'!O30,0)+IF(Table44[[#This Row],[Towing]:[Towing]]="Y",'Towing Bat Cost'!O30,0),"N/A")</f>
        <v>4312.3085885784103</v>
      </c>
    </row>
    <row r="150" spans="1:19" x14ac:dyDescent="0.3">
      <c r="A150" s="28" t="str">
        <f t="shared" si="3"/>
        <v>MedSUVBaseFCEV320</v>
      </c>
      <c r="B150" s="90" t="s">
        <v>86</v>
      </c>
      <c r="C150" s="68" t="s">
        <v>75</v>
      </c>
      <c r="D150" s="68" t="str">
        <f>'Vehicle Attributes - Base Year'!D28</f>
        <v>FCEV320</v>
      </c>
      <c r="E150" s="124" t="s">
        <v>76</v>
      </c>
      <c r="F150" s="124" t="s">
        <v>76</v>
      </c>
      <c r="G150" s="125" t="s">
        <v>77</v>
      </c>
      <c r="H150" s="156" t="s">
        <v>76</v>
      </c>
      <c r="I150" s="157">
        <f>IF(Table44[[#This Row],[Applicable Package?]:[Applicable Package?]]="Y",SUM('Rolled Up Non-Incremental Costs'!E31,'ICE Removal Cost'!E31,'Trans Removal Cost'!E31,'LEV3 Criteria Emissions Cost'!E31,'ZEV Assembly Reductions'!E31,'ACCII Criteria Compliance Cost'!E31,'ACCII GHG Compliance'!E31,'Current GHG Compliance'!E31)+IF(Table44[[#This Row],[Cold]:[Cold]]="Y",'Cold Weather Package'!E31,0)+IF(Table44[[#This Row],[eAWD]:[eAWD]]="Y",'eAWD Package'!E31,0)+IF(Table44[[#This Row],[Towing]:[Towing]]="Y",'Towing Bat Cost'!E31,0),"N/A")</f>
        <v>12246.594013309834</v>
      </c>
      <c r="J150" s="157">
        <f>IF(Table44[[#This Row],[Applicable Package?]:[Applicable Package?]]="Y",SUM('Rolled Up Non-Incremental Costs'!F31,'ICE Removal Cost'!F31,'Trans Removal Cost'!F31,'LEV3 Criteria Emissions Cost'!F31,'ZEV Assembly Reductions'!F31,'ACCII Criteria Compliance Cost'!F31,'ACCII GHG Compliance'!F31,'Current GHG Compliance'!F31)+IF(Table44[[#This Row],[Cold]:[Cold]]="Y",'Cold Weather Package'!F31,0)+IF(Table44[[#This Row],[eAWD]:[eAWD]]="Y",'eAWD Package'!F31,0)+IF(Table44[[#This Row],[Towing]:[Towing]]="Y",'Towing Bat Cost'!F31,0),"N/A")</f>
        <v>10973.12163232256</v>
      </c>
      <c r="K150" s="157">
        <f>IF(Table44[[#This Row],[Applicable Package?]:[Applicable Package?]]="Y",SUM('Rolled Up Non-Incremental Costs'!G31,'ICE Removal Cost'!G31,'Trans Removal Cost'!G31,'LEV3 Criteria Emissions Cost'!G31,'ZEV Assembly Reductions'!G31,'ACCII Criteria Compliance Cost'!G31,'ACCII GHG Compliance'!G31,'Current GHG Compliance'!G31)+IF(Table44[[#This Row],[Cold]:[Cold]]="Y",'Cold Weather Package'!G31,0)+IF(Table44[[#This Row],[eAWD]:[eAWD]]="Y",'eAWD Package'!G31,0)+IF(Table44[[#This Row],[Towing]:[Towing]]="Y",'Towing Bat Cost'!G31,0),"N/A")</f>
        <v>9721.6955610059631</v>
      </c>
      <c r="L150" s="157">
        <f>IF(Table44[[#This Row],[Applicable Package?]:[Applicable Package?]]="Y",SUM('Rolled Up Non-Incremental Costs'!H31,'ICE Removal Cost'!H31,'Trans Removal Cost'!H31,'LEV3 Criteria Emissions Cost'!H31,'ZEV Assembly Reductions'!H31,'ACCII Criteria Compliance Cost'!H31,'ACCII GHG Compliance'!H31,'Current GHG Compliance'!H31)+IF(Table44[[#This Row],[Cold]:[Cold]]="Y",'Cold Weather Package'!H31,0)+IF(Table44[[#This Row],[eAWD]:[eAWD]]="Y",'eAWD Package'!H31,0)+IF(Table44[[#This Row],[Towing]:[Towing]]="Y",'Towing Bat Cost'!H31,0),"N/A")</f>
        <v>8492.3032377423951</v>
      </c>
      <c r="M150" s="157">
        <f>IF(Table44[[#This Row],[Applicable Package?]:[Applicable Package?]]="Y",SUM('Rolled Up Non-Incremental Costs'!I31,'ICE Removal Cost'!I31,'Trans Removal Cost'!I31,'LEV3 Criteria Emissions Cost'!I31,'ZEV Assembly Reductions'!I31,'ACCII Criteria Compliance Cost'!I31,'ACCII GHG Compliance'!I31,'Current GHG Compliance'!I31)+IF(Table44[[#This Row],[Cold]:[Cold]]="Y",'Cold Weather Package'!I31,0)+IF(Table44[[#This Row],[eAWD]:[eAWD]]="Y",'eAWD Package'!I31,0)+IF(Table44[[#This Row],[Towing]:[Towing]]="Y",'Towing Bat Cost'!I31,0),"N/A")</f>
        <v>7284.9322499158916</v>
      </c>
      <c r="N150" s="157">
        <f>IF(Table44[[#This Row],[Applicable Package?]:[Applicable Package?]]="Y",SUM('Rolled Up Non-Incremental Costs'!J31,'ICE Removal Cost'!J31,'Trans Removal Cost'!J31,'LEV3 Criteria Emissions Cost'!J31,'ZEV Assembly Reductions'!J31,'ACCII Criteria Compliance Cost'!J31,'ACCII GHG Compliance'!J31,'Current GHG Compliance'!J31)+IF(Table44[[#This Row],[Cold]:[Cold]]="Y",'Cold Weather Package'!J31,0)+IF(Table44[[#This Row],[eAWD]:[eAWD]]="Y",'eAWD Package'!J31,0)+IF(Table44[[#This Row],[Towing]:[Towing]]="Y",'Towing Bat Cost'!J31,0),"N/A")</f>
        <v>6099.5703321882584</v>
      </c>
      <c r="O150" s="157">
        <f>IF(Table44[[#This Row],[Applicable Package?]:[Applicable Package?]]="Y",SUM('Rolled Up Non-Incremental Costs'!K31,'ICE Removal Cost'!K31,'Trans Removal Cost'!K31,'LEV3 Criteria Emissions Cost'!K31,'ZEV Assembly Reductions'!K31,'ACCII Criteria Compliance Cost'!K31,'ACCII GHG Compliance'!K31,'Current GHG Compliance'!K31)+IF(Table44[[#This Row],[Cold]:[Cold]]="Y",'Cold Weather Package'!K31,0)+IF(Table44[[#This Row],[eAWD]:[eAWD]]="Y",'eAWD Package'!K31,0)+IF(Table44[[#This Row],[Towing]:[Towing]]="Y",'Towing Bat Cost'!K31,0),"N/A")</f>
        <v>5672.5716833393435</v>
      </c>
      <c r="P150" s="157">
        <f>IF(Table44[[#This Row],[Applicable Package?]:[Applicable Package?]]="Y",SUM('Rolled Up Non-Incremental Costs'!L31,'ICE Removal Cost'!L31,'Trans Removal Cost'!L31,'LEV3 Criteria Emissions Cost'!L31,'ZEV Assembly Reductions'!L31,'ACCII Criteria Compliance Cost'!L31,'ACCII GHG Compliance'!L31,'Current GHG Compliance'!L31)+IF(Table44[[#This Row],[Cold]:[Cold]]="Y",'Cold Weather Package'!L31,0)+IF(Table44[[#This Row],[eAWD]:[eAWD]]="Y",'eAWD Package'!L31,0)+IF(Table44[[#This Row],[Towing]:[Towing]]="Y",'Towing Bat Cost'!L31,0),"N/A")</f>
        <v>5251.2238127538776</v>
      </c>
      <c r="Q150" s="157">
        <f>IF(Table44[[#This Row],[Applicable Package?]:[Applicable Package?]]="Y",SUM('Rolled Up Non-Incremental Costs'!M31,'ICE Removal Cost'!M31,'Trans Removal Cost'!M31,'LEV3 Criteria Emissions Cost'!M31,'ZEV Assembly Reductions'!M31,'ACCII Criteria Compliance Cost'!M31,'ACCII GHG Compliance'!M31,'Current GHG Compliance'!M31)+IF(Table44[[#This Row],[Cold]:[Cold]]="Y",'Cold Weather Package'!M31,0)+IF(Table44[[#This Row],[eAWD]:[eAWD]]="Y",'eAWD Package'!M31,0)+IF(Table44[[#This Row],[Towing]:[Towing]]="Y",'Towing Bat Cost'!M31,0),"N/A")</f>
        <v>4835.5148867784756</v>
      </c>
      <c r="R150" s="157">
        <f>IF(Table44[[#This Row],[Applicable Package?]:[Applicable Package?]]="Y",SUM('Rolled Up Non-Incremental Costs'!N31,'ICE Removal Cost'!N31,'Trans Removal Cost'!N31,'LEV3 Criteria Emissions Cost'!N31,'ZEV Assembly Reductions'!N31,'ACCII Criteria Compliance Cost'!N31,'ACCII GHG Compliance'!N31,'Current GHG Compliance'!N31)+IF(Table44[[#This Row],[Cold]:[Cold]]="Y",'Cold Weather Package'!N31,0)+IF(Table44[[#This Row],[eAWD]:[eAWD]]="Y",'eAWD Package'!N31,0)+IF(Table44[[#This Row],[Towing]:[Towing]]="Y",'Towing Bat Cost'!N31,0),"N/A")</f>
        <v>4425.4332123356535</v>
      </c>
      <c r="S150" s="157">
        <f>IF(Table44[[#This Row],[Applicable Package?]:[Applicable Package?]]="Y",SUM('Rolled Up Non-Incremental Costs'!O31,'ICE Removal Cost'!O31,'Trans Removal Cost'!O31,'LEV3 Criteria Emissions Cost'!O31,'ZEV Assembly Reductions'!O31,'ACCII Criteria Compliance Cost'!O31,'ACCII GHG Compliance'!O31,'Current GHG Compliance'!O31)+IF(Table44[[#This Row],[Cold]:[Cold]]="Y",'Cold Weather Package'!O31,0)+IF(Table44[[#This Row],[eAWD]:[eAWD]]="Y",'eAWD Package'!O31,0)+IF(Table44[[#This Row],[Towing]:[Towing]]="Y",'Towing Bat Cost'!O31,0),"N/A")</f>
        <v>4020.9672352956641</v>
      </c>
    </row>
    <row r="151" spans="1:19" x14ac:dyDescent="0.3">
      <c r="A151" t="str">
        <f t="shared" si="3"/>
        <v>MedSUVPremiumFCEV320</v>
      </c>
      <c r="B151" s="90" t="s">
        <v>86</v>
      </c>
      <c r="C151" s="68" t="s">
        <v>80</v>
      </c>
      <c r="D151" s="68" t="str">
        <f>'Vehicle Attributes - Base Year'!D29</f>
        <v>FCEV320</v>
      </c>
      <c r="E151" s="124" t="s">
        <v>76</v>
      </c>
      <c r="F151" s="124" t="s">
        <v>76</v>
      </c>
      <c r="G151" s="125" t="s">
        <v>77</v>
      </c>
      <c r="H151" s="156" t="s">
        <v>76</v>
      </c>
      <c r="I151" s="157">
        <f>IF(Table44[[#This Row],[Applicable Package?]:[Applicable Package?]]="Y",SUM('Rolled Up Non-Incremental Costs'!E32,'ICE Removal Cost'!E32,'Trans Removal Cost'!E32,'LEV3 Criteria Emissions Cost'!E32,'ZEV Assembly Reductions'!E32,'ACCII Criteria Compliance Cost'!E32,'ACCII GHG Compliance'!E32,'Current GHG Compliance'!E32)+IF(Table44[[#This Row],[Cold]:[Cold]]="Y",'Cold Weather Package'!E32,0)+IF(Table44[[#This Row],[eAWD]:[eAWD]]="Y",'eAWD Package'!E32,0)+IF(Table44[[#This Row],[Towing]:[Towing]]="Y",'Towing Bat Cost'!E32,0),"N/A")</f>
        <v>11746.594013309834</v>
      </c>
      <c r="J151" s="157">
        <f>IF(Table44[[#This Row],[Applicable Package?]:[Applicable Package?]]="Y",SUM('Rolled Up Non-Incremental Costs'!F32,'ICE Removal Cost'!F32,'Trans Removal Cost'!F32,'LEV3 Criteria Emissions Cost'!F32,'ZEV Assembly Reductions'!F32,'ACCII Criteria Compliance Cost'!F32,'ACCII GHG Compliance'!F32,'Current GHG Compliance'!F32)+IF(Table44[[#This Row],[Cold]:[Cold]]="Y",'Cold Weather Package'!F32,0)+IF(Table44[[#This Row],[eAWD]:[eAWD]]="Y",'eAWD Package'!F32,0)+IF(Table44[[#This Row],[Towing]:[Towing]]="Y",'Towing Bat Cost'!F32,0),"N/A")</f>
        <v>10473.12163232256</v>
      </c>
      <c r="K151" s="157">
        <f>IF(Table44[[#This Row],[Applicable Package?]:[Applicable Package?]]="Y",SUM('Rolled Up Non-Incremental Costs'!G32,'ICE Removal Cost'!G32,'Trans Removal Cost'!G32,'LEV3 Criteria Emissions Cost'!G32,'ZEV Assembly Reductions'!G32,'ACCII Criteria Compliance Cost'!G32,'ACCII GHG Compliance'!G32,'Current GHG Compliance'!G32)+IF(Table44[[#This Row],[Cold]:[Cold]]="Y",'Cold Weather Package'!G32,0)+IF(Table44[[#This Row],[eAWD]:[eAWD]]="Y",'eAWD Package'!G32,0)+IF(Table44[[#This Row],[Towing]:[Towing]]="Y",'Towing Bat Cost'!G32,0),"N/A")</f>
        <v>9221.6955610059631</v>
      </c>
      <c r="L151" s="157">
        <f>IF(Table44[[#This Row],[Applicable Package?]:[Applicable Package?]]="Y",SUM('Rolled Up Non-Incremental Costs'!H32,'ICE Removal Cost'!H32,'Trans Removal Cost'!H32,'LEV3 Criteria Emissions Cost'!H32,'ZEV Assembly Reductions'!H32,'ACCII Criteria Compliance Cost'!H32,'ACCII GHG Compliance'!H32,'Current GHG Compliance'!H32)+IF(Table44[[#This Row],[Cold]:[Cold]]="Y",'Cold Weather Package'!H32,0)+IF(Table44[[#This Row],[eAWD]:[eAWD]]="Y",'eAWD Package'!H32,0)+IF(Table44[[#This Row],[Towing]:[Towing]]="Y",'Towing Bat Cost'!H32,0),"N/A")</f>
        <v>7992.3032377423951</v>
      </c>
      <c r="M151" s="157">
        <f>IF(Table44[[#This Row],[Applicable Package?]:[Applicable Package?]]="Y",SUM('Rolled Up Non-Incremental Costs'!I32,'ICE Removal Cost'!I32,'Trans Removal Cost'!I32,'LEV3 Criteria Emissions Cost'!I32,'ZEV Assembly Reductions'!I32,'ACCII Criteria Compliance Cost'!I32,'ACCII GHG Compliance'!I32,'Current GHG Compliance'!I32)+IF(Table44[[#This Row],[Cold]:[Cold]]="Y",'Cold Weather Package'!I32,0)+IF(Table44[[#This Row],[eAWD]:[eAWD]]="Y",'eAWD Package'!I32,0)+IF(Table44[[#This Row],[Towing]:[Towing]]="Y",'Towing Bat Cost'!I32,0),"N/A")</f>
        <v>6784.9322499158916</v>
      </c>
      <c r="N151" s="157">
        <f>IF(Table44[[#This Row],[Applicable Package?]:[Applicable Package?]]="Y",SUM('Rolled Up Non-Incremental Costs'!J32,'ICE Removal Cost'!J32,'Trans Removal Cost'!J32,'LEV3 Criteria Emissions Cost'!J32,'ZEV Assembly Reductions'!J32,'ACCII Criteria Compliance Cost'!J32,'ACCII GHG Compliance'!J32,'Current GHG Compliance'!J32)+IF(Table44[[#This Row],[Cold]:[Cold]]="Y",'Cold Weather Package'!J32,0)+IF(Table44[[#This Row],[eAWD]:[eAWD]]="Y",'eAWD Package'!J32,0)+IF(Table44[[#This Row],[Towing]:[Towing]]="Y",'Towing Bat Cost'!J32,0),"N/A")</f>
        <v>5599.5703321882584</v>
      </c>
      <c r="O151" s="157">
        <f>IF(Table44[[#This Row],[Applicable Package?]:[Applicable Package?]]="Y",SUM('Rolled Up Non-Incremental Costs'!K32,'ICE Removal Cost'!K32,'Trans Removal Cost'!K32,'LEV3 Criteria Emissions Cost'!K32,'ZEV Assembly Reductions'!K32,'ACCII Criteria Compliance Cost'!K32,'ACCII GHG Compliance'!K32,'Current GHG Compliance'!K32)+IF(Table44[[#This Row],[Cold]:[Cold]]="Y",'Cold Weather Package'!K32,0)+IF(Table44[[#This Row],[eAWD]:[eAWD]]="Y",'eAWD Package'!K32,0)+IF(Table44[[#This Row],[Towing]:[Towing]]="Y",'Towing Bat Cost'!K32,0),"N/A")</f>
        <v>5172.5716833393435</v>
      </c>
      <c r="P151" s="157">
        <f>IF(Table44[[#This Row],[Applicable Package?]:[Applicable Package?]]="Y",SUM('Rolled Up Non-Incremental Costs'!L32,'ICE Removal Cost'!L32,'Trans Removal Cost'!L32,'LEV3 Criteria Emissions Cost'!L32,'ZEV Assembly Reductions'!L32,'ACCII Criteria Compliance Cost'!L32,'ACCII GHG Compliance'!L32,'Current GHG Compliance'!L32)+IF(Table44[[#This Row],[Cold]:[Cold]]="Y",'Cold Weather Package'!L32,0)+IF(Table44[[#This Row],[eAWD]:[eAWD]]="Y",'eAWD Package'!L32,0)+IF(Table44[[#This Row],[Towing]:[Towing]]="Y",'Towing Bat Cost'!L32,0),"N/A")</f>
        <v>4751.2238127538776</v>
      </c>
      <c r="Q151" s="157">
        <f>IF(Table44[[#This Row],[Applicable Package?]:[Applicable Package?]]="Y",SUM('Rolled Up Non-Incremental Costs'!M32,'ICE Removal Cost'!M32,'Trans Removal Cost'!M32,'LEV3 Criteria Emissions Cost'!M32,'ZEV Assembly Reductions'!M32,'ACCII Criteria Compliance Cost'!M32,'ACCII GHG Compliance'!M32,'Current GHG Compliance'!M32)+IF(Table44[[#This Row],[Cold]:[Cold]]="Y",'Cold Weather Package'!M32,0)+IF(Table44[[#This Row],[eAWD]:[eAWD]]="Y",'eAWD Package'!M32,0)+IF(Table44[[#This Row],[Towing]:[Towing]]="Y",'Towing Bat Cost'!M32,0),"N/A")</f>
        <v>4335.5148867784756</v>
      </c>
      <c r="R151" s="157">
        <f>IF(Table44[[#This Row],[Applicable Package?]:[Applicable Package?]]="Y",SUM('Rolled Up Non-Incremental Costs'!N32,'ICE Removal Cost'!N32,'Trans Removal Cost'!N32,'LEV3 Criteria Emissions Cost'!N32,'ZEV Assembly Reductions'!N32,'ACCII Criteria Compliance Cost'!N32,'ACCII GHG Compliance'!N32,'Current GHG Compliance'!N32)+IF(Table44[[#This Row],[Cold]:[Cold]]="Y",'Cold Weather Package'!N32,0)+IF(Table44[[#This Row],[eAWD]:[eAWD]]="Y",'eAWD Package'!N32,0)+IF(Table44[[#This Row],[Towing]:[Towing]]="Y",'Towing Bat Cost'!N32,0),"N/A")</f>
        <v>3925.4332123356535</v>
      </c>
      <c r="S151" s="157">
        <f>IF(Table44[[#This Row],[Applicable Package?]:[Applicable Package?]]="Y",SUM('Rolled Up Non-Incremental Costs'!O32,'ICE Removal Cost'!O32,'Trans Removal Cost'!O32,'LEV3 Criteria Emissions Cost'!O32,'ZEV Assembly Reductions'!O32,'ACCII Criteria Compliance Cost'!O32,'ACCII GHG Compliance'!O32,'Current GHG Compliance'!O32)+IF(Table44[[#This Row],[Cold]:[Cold]]="Y",'Cold Weather Package'!O32,0)+IF(Table44[[#This Row],[eAWD]:[eAWD]]="Y",'eAWD Package'!O32,0)+IF(Table44[[#This Row],[Towing]:[Towing]]="Y",'Towing Bat Cost'!O32,0),"N/A")</f>
        <v>3520.9672352956641</v>
      </c>
    </row>
    <row r="152" spans="1:19" x14ac:dyDescent="0.3">
      <c r="A152" s="28" t="str">
        <f t="shared" si="3"/>
        <v>PickupBaseFCEV320</v>
      </c>
      <c r="B152" s="90" t="s">
        <v>89</v>
      </c>
      <c r="C152" s="68" t="s">
        <v>75</v>
      </c>
      <c r="D152" s="68" t="str">
        <f>'Vehicle Attributes - Base Year'!D30</f>
        <v>FCEV320</v>
      </c>
      <c r="E152" s="124" t="s">
        <v>76</v>
      </c>
      <c r="F152" s="124" t="s">
        <v>76</v>
      </c>
      <c r="G152" s="125" t="s">
        <v>77</v>
      </c>
      <c r="H152" s="156" t="s">
        <v>76</v>
      </c>
      <c r="I152" s="157">
        <f>IF(Table44[[#This Row],[Applicable Package?]:[Applicable Package?]]="Y",SUM('Rolled Up Non-Incremental Costs'!E33,'ICE Removal Cost'!E33,'Trans Removal Cost'!E33,'LEV3 Criteria Emissions Cost'!E33,'ZEV Assembly Reductions'!E33,'ACCII Criteria Compliance Cost'!E33,'ACCII GHG Compliance'!E33,'Current GHG Compliance'!E33)+IF(Table44[[#This Row],[Cold]:[Cold]]="Y",'Cold Weather Package'!E33,0)+IF(Table44[[#This Row],[eAWD]:[eAWD]]="Y",'eAWD Package'!E33,0)+IF(Table44[[#This Row],[Towing]:[Towing]]="Y",'Towing Bat Cost'!E33,0),"N/A")</f>
        <v>16410.07337363714</v>
      </c>
      <c r="J152" s="157">
        <f>IF(Table44[[#This Row],[Applicable Package?]:[Applicable Package?]]="Y",SUM('Rolled Up Non-Incremental Costs'!F33,'ICE Removal Cost'!F33,'Trans Removal Cost'!F33,'LEV3 Criteria Emissions Cost'!F33,'ZEV Assembly Reductions'!F33,'ACCII Criteria Compliance Cost'!F33,'ACCII GHG Compliance'!F33,'Current GHG Compliance'!F33)+IF(Table44[[#This Row],[Cold]:[Cold]]="Y",'Cold Weather Package'!F33,0)+IF(Table44[[#This Row],[eAWD]:[eAWD]]="Y",'eAWD Package'!F33,0)+IF(Table44[[#This Row],[Towing]:[Towing]]="Y",'Towing Bat Cost'!F33,0),"N/A")</f>
        <v>14848.697640580682</v>
      </c>
      <c r="K152" s="157">
        <f>IF(Table44[[#This Row],[Applicable Package?]:[Applicable Package?]]="Y",SUM('Rolled Up Non-Incremental Costs'!G33,'ICE Removal Cost'!G33,'Trans Removal Cost'!G33,'LEV3 Criteria Emissions Cost'!G33,'ZEV Assembly Reductions'!G33,'ACCII Criteria Compliance Cost'!G33,'ACCII GHG Compliance'!G33,'Current GHG Compliance'!G33)+IF(Table44[[#This Row],[Cold]:[Cold]]="Y",'Cold Weather Package'!G33,0)+IF(Table44[[#This Row],[eAWD]:[eAWD]]="Y",'eAWD Package'!G33,0)+IF(Table44[[#This Row],[Towing]:[Towing]]="Y",'Towing Bat Cost'!G33,0),"N/A")</f>
        <v>13318.441879758549</v>
      </c>
      <c r="L152" s="157">
        <f>IF(Table44[[#This Row],[Applicable Package?]:[Applicable Package?]]="Y",SUM('Rolled Up Non-Incremental Costs'!H33,'ICE Removal Cost'!H33,'Trans Removal Cost'!H33,'LEV3 Criteria Emissions Cost'!H33,'ZEV Assembly Reductions'!H33,'ACCII Criteria Compliance Cost'!H33,'ACCII GHG Compliance'!H33,'Current GHG Compliance'!H33)+IF(Table44[[#This Row],[Cold]:[Cold]]="Y",'Cold Weather Package'!H33,0)+IF(Table44[[#This Row],[eAWD]:[eAWD]]="Y",'eAWD Package'!H33,0)+IF(Table44[[#This Row],[Towing]:[Towing]]="Y",'Towing Bat Cost'!H33,0),"N/A")</f>
        <v>11819.285983705739</v>
      </c>
      <c r="M152" s="157">
        <f>IF(Table44[[#This Row],[Applicable Package?]:[Applicable Package?]]="Y",SUM('Rolled Up Non-Incremental Costs'!I33,'ICE Removal Cost'!I33,'Trans Removal Cost'!I33,'LEV3 Criteria Emissions Cost'!I33,'ZEV Assembly Reductions'!I33,'ACCII Criteria Compliance Cost'!I33,'ACCII GHG Compliance'!I33,'Current GHG Compliance'!I33)+IF(Table44[[#This Row],[Cold]:[Cold]]="Y",'Cold Weather Package'!I33,0)+IF(Table44[[#This Row],[eAWD]:[eAWD]]="Y",'eAWD Package'!I33,0)+IF(Table44[[#This Row],[Towing]:[Towing]]="Y",'Towing Bat Cost'!I33,0),"N/A")</f>
        <v>10351.210092802874</v>
      </c>
      <c r="N152" s="157">
        <f>IF(Table44[[#This Row],[Applicable Package?]:[Applicable Package?]]="Y",SUM('Rolled Up Non-Incremental Costs'!J33,'ICE Removal Cost'!J33,'Trans Removal Cost'!J33,'LEV3 Criteria Emissions Cost'!J33,'ZEV Assembly Reductions'!J33,'ACCII Criteria Compliance Cost'!J33,'ACCII GHG Compliance'!J33,'Current GHG Compliance'!J33)+IF(Table44[[#This Row],[Cold]:[Cold]]="Y",'Cold Weather Package'!J33,0)+IF(Table44[[#This Row],[eAWD]:[eAWD]]="Y",'eAWD Package'!J33,0)+IF(Table44[[#This Row],[Towing]:[Towing]]="Y",'Towing Bat Cost'!J33,0),"N/A")</f>
        <v>8914.1945923300191</v>
      </c>
      <c r="O152" s="157">
        <f>IF(Table44[[#This Row],[Applicable Package?]:[Applicable Package?]]="Y",SUM('Rolled Up Non-Incremental Costs'!K33,'ICE Removal Cost'!K33,'Trans Removal Cost'!K33,'LEV3 Criteria Emissions Cost'!K33,'ZEV Assembly Reductions'!K33,'ACCII Criteria Compliance Cost'!K33,'ACCII GHG Compliance'!K33,'Current GHG Compliance'!K33)+IF(Table44[[#This Row],[Cold]:[Cold]]="Y",'Cold Weather Package'!K33,0)+IF(Table44[[#This Row],[eAWD]:[eAWD]]="Y",'eAWD Package'!K33,0)+IF(Table44[[#This Row],[Towing]:[Towing]]="Y",'Towing Bat Cost'!K33,0),"N/A")</f>
        <v>8338.7990408796431</v>
      </c>
      <c r="P152" s="157">
        <f>IF(Table44[[#This Row],[Applicable Package?]:[Applicable Package?]]="Y",SUM('Rolled Up Non-Incremental Costs'!L33,'ICE Removal Cost'!L33,'Trans Removal Cost'!L33,'LEV3 Criteria Emissions Cost'!L33,'ZEV Assembly Reductions'!L33,'ACCII Criteria Compliance Cost'!L33,'ACCII GHG Compliance'!L33,'Current GHG Compliance'!L33)+IF(Table44[[#This Row],[Cold]:[Cold]]="Y",'Cold Weather Package'!L33,0)+IF(Table44[[#This Row],[eAWD]:[eAWD]]="Y",'eAWD Package'!L33,0)+IF(Table44[[#This Row],[Towing]:[Towing]]="Y",'Towing Bat Cost'!L33,0),"N/A")</f>
        <v>7771.6647440792003</v>
      </c>
      <c r="Q152" s="157">
        <f>IF(Table44[[#This Row],[Applicable Package?]:[Applicable Package?]]="Y",SUM('Rolled Up Non-Incremental Costs'!M33,'ICE Removal Cost'!M33,'Trans Removal Cost'!M33,'LEV3 Criteria Emissions Cost'!M33,'ZEV Assembly Reductions'!M33,'ACCII Criteria Compliance Cost'!M33,'ACCII GHG Compliance'!M33,'Current GHG Compliance'!M33)+IF(Table44[[#This Row],[Cold]:[Cold]]="Y",'Cold Weather Package'!M33,0)+IF(Table44[[#This Row],[eAWD]:[eAWD]]="Y",'eAWD Package'!M33,0)+IF(Table44[[#This Row],[Towing]:[Towing]]="Y",'Towing Bat Cost'!M33,0),"N/A")</f>
        <v>7212.7861481855534</v>
      </c>
      <c r="R152" s="157">
        <f>IF(Table44[[#This Row],[Applicable Package?]:[Applicable Package?]]="Y",SUM('Rolled Up Non-Incremental Costs'!N33,'ICE Removal Cost'!N33,'Trans Removal Cost'!N33,'LEV3 Criteria Emissions Cost'!N33,'ZEV Assembly Reductions'!N33,'ACCII Criteria Compliance Cost'!N33,'ACCII GHG Compliance'!N33,'Current GHG Compliance'!N33)+IF(Table44[[#This Row],[Cold]:[Cold]]="Y",'Cold Weather Package'!N33,0)+IF(Table44[[#This Row],[eAWD]:[eAWD]]="Y",'eAWD Package'!N33,0)+IF(Table44[[#This Row],[Towing]:[Towing]]="Y",'Towing Bat Cost'!N33,0),"N/A")</f>
        <v>6662.1577549929916</v>
      </c>
      <c r="S152" s="157">
        <f>IF(Table44[[#This Row],[Applicable Package?]:[Applicable Package?]]="Y",SUM('Rolled Up Non-Incremental Costs'!O33,'ICE Removal Cost'!O33,'Trans Removal Cost'!O33,'LEV3 Criteria Emissions Cost'!O33,'ZEV Assembly Reductions'!O33,'ACCII Criteria Compliance Cost'!O33,'ACCII GHG Compliance'!O33,'Current GHG Compliance'!O33)+IF(Table44[[#This Row],[Cold]:[Cold]]="Y",'Cold Weather Package'!O33,0)+IF(Table44[[#This Row],[eAWD]:[eAWD]]="Y",'eAWD Package'!O33,0)+IF(Table44[[#This Row],[Towing]:[Towing]]="Y",'Towing Bat Cost'!O33,0),"N/A")</f>
        <v>6119.7741212778601</v>
      </c>
    </row>
    <row r="153" spans="1:19" x14ac:dyDescent="0.3">
      <c r="A153" t="str">
        <f t="shared" si="3"/>
        <v>PickupHTFCEV320</v>
      </c>
      <c r="B153" s="90" t="s">
        <v>89</v>
      </c>
      <c r="C153" s="68" t="s">
        <v>113</v>
      </c>
      <c r="D153" s="68" t="str">
        <f>'Vehicle Attributes - Base Year'!D31</f>
        <v>FCEV320</v>
      </c>
      <c r="E153" s="124" t="s">
        <v>76</v>
      </c>
      <c r="F153" s="124" t="s">
        <v>76</v>
      </c>
      <c r="G153" s="125" t="s">
        <v>77</v>
      </c>
      <c r="H153" s="156" t="s">
        <v>76</v>
      </c>
      <c r="I153" s="157">
        <f>IF(Table44[[#This Row],[Applicable Package?]:[Applicable Package?]]="Y",SUM('Rolled Up Non-Incremental Costs'!E34,'ICE Removal Cost'!E34,'Trans Removal Cost'!E34,'LEV3 Criteria Emissions Cost'!E34,'ZEV Assembly Reductions'!E34,'ACCII Criteria Compliance Cost'!E34,'ACCII GHG Compliance'!E34,'Current GHG Compliance'!E34)+IF(Table44[[#This Row],[Cold]:[Cold]]="Y",'Cold Weather Package'!E34,0)+IF(Table44[[#This Row],[eAWD]:[eAWD]]="Y",'eAWD Package'!E34,0)+IF(Table44[[#This Row],[Towing]:[Towing]]="Y",'Towing Bat Cost'!E34,0),"N/A")</f>
        <v>16410.07337363714</v>
      </c>
      <c r="J153" s="157">
        <f>IF(Table44[[#This Row],[Applicable Package?]:[Applicable Package?]]="Y",SUM('Rolled Up Non-Incremental Costs'!F34,'ICE Removal Cost'!F34,'Trans Removal Cost'!F34,'LEV3 Criteria Emissions Cost'!F34,'ZEV Assembly Reductions'!F34,'ACCII Criteria Compliance Cost'!F34,'ACCII GHG Compliance'!F34,'Current GHG Compliance'!F34)+IF(Table44[[#This Row],[Cold]:[Cold]]="Y",'Cold Weather Package'!F34,0)+IF(Table44[[#This Row],[eAWD]:[eAWD]]="Y",'eAWD Package'!F34,0)+IF(Table44[[#This Row],[Towing]:[Towing]]="Y",'Towing Bat Cost'!F34,0),"N/A")</f>
        <v>14848.697640580682</v>
      </c>
      <c r="K153" s="157">
        <f>IF(Table44[[#This Row],[Applicable Package?]:[Applicable Package?]]="Y",SUM('Rolled Up Non-Incremental Costs'!G34,'ICE Removal Cost'!G34,'Trans Removal Cost'!G34,'LEV3 Criteria Emissions Cost'!G34,'ZEV Assembly Reductions'!G34,'ACCII Criteria Compliance Cost'!G34,'ACCII GHG Compliance'!G34,'Current GHG Compliance'!G34)+IF(Table44[[#This Row],[Cold]:[Cold]]="Y",'Cold Weather Package'!G34,0)+IF(Table44[[#This Row],[eAWD]:[eAWD]]="Y",'eAWD Package'!G34,0)+IF(Table44[[#This Row],[Towing]:[Towing]]="Y",'Towing Bat Cost'!G34,0),"N/A")</f>
        <v>13318.441879758549</v>
      </c>
      <c r="L153" s="157">
        <f>IF(Table44[[#This Row],[Applicable Package?]:[Applicable Package?]]="Y",SUM('Rolled Up Non-Incremental Costs'!H34,'ICE Removal Cost'!H34,'Trans Removal Cost'!H34,'LEV3 Criteria Emissions Cost'!H34,'ZEV Assembly Reductions'!H34,'ACCII Criteria Compliance Cost'!H34,'ACCII GHG Compliance'!H34,'Current GHG Compliance'!H34)+IF(Table44[[#This Row],[Cold]:[Cold]]="Y",'Cold Weather Package'!H34,0)+IF(Table44[[#This Row],[eAWD]:[eAWD]]="Y",'eAWD Package'!H34,0)+IF(Table44[[#This Row],[Towing]:[Towing]]="Y",'Towing Bat Cost'!H34,0),"N/A")</f>
        <v>11819.285983705739</v>
      </c>
      <c r="M153" s="157">
        <f>IF(Table44[[#This Row],[Applicable Package?]:[Applicable Package?]]="Y",SUM('Rolled Up Non-Incremental Costs'!I34,'ICE Removal Cost'!I34,'Trans Removal Cost'!I34,'LEV3 Criteria Emissions Cost'!I34,'ZEV Assembly Reductions'!I34,'ACCII Criteria Compliance Cost'!I34,'ACCII GHG Compliance'!I34,'Current GHG Compliance'!I34)+IF(Table44[[#This Row],[Cold]:[Cold]]="Y",'Cold Weather Package'!I34,0)+IF(Table44[[#This Row],[eAWD]:[eAWD]]="Y",'eAWD Package'!I34,0)+IF(Table44[[#This Row],[Towing]:[Towing]]="Y",'Towing Bat Cost'!I34,0),"N/A")</f>
        <v>10351.210092802874</v>
      </c>
      <c r="N153" s="157">
        <f>IF(Table44[[#This Row],[Applicable Package?]:[Applicable Package?]]="Y",SUM('Rolled Up Non-Incremental Costs'!J34,'ICE Removal Cost'!J34,'Trans Removal Cost'!J34,'LEV3 Criteria Emissions Cost'!J34,'ZEV Assembly Reductions'!J34,'ACCII Criteria Compliance Cost'!J34,'ACCII GHG Compliance'!J34,'Current GHG Compliance'!J34)+IF(Table44[[#This Row],[Cold]:[Cold]]="Y",'Cold Weather Package'!J34,0)+IF(Table44[[#This Row],[eAWD]:[eAWD]]="Y",'eAWD Package'!J34,0)+IF(Table44[[#This Row],[Towing]:[Towing]]="Y",'Towing Bat Cost'!J34,0),"N/A")</f>
        <v>8914.1945923300191</v>
      </c>
      <c r="O153" s="157">
        <f>IF(Table44[[#This Row],[Applicable Package?]:[Applicable Package?]]="Y",SUM('Rolled Up Non-Incremental Costs'!K34,'ICE Removal Cost'!K34,'Trans Removal Cost'!K34,'LEV3 Criteria Emissions Cost'!K34,'ZEV Assembly Reductions'!K34,'ACCII Criteria Compliance Cost'!K34,'ACCII GHG Compliance'!K34,'Current GHG Compliance'!K34)+IF(Table44[[#This Row],[Cold]:[Cold]]="Y",'Cold Weather Package'!K34,0)+IF(Table44[[#This Row],[eAWD]:[eAWD]]="Y",'eAWD Package'!K34,0)+IF(Table44[[#This Row],[Towing]:[Towing]]="Y",'Towing Bat Cost'!K34,0),"N/A")</f>
        <v>8338.7990408796431</v>
      </c>
      <c r="P153" s="157">
        <f>IF(Table44[[#This Row],[Applicable Package?]:[Applicable Package?]]="Y",SUM('Rolled Up Non-Incremental Costs'!L34,'ICE Removal Cost'!L34,'Trans Removal Cost'!L34,'LEV3 Criteria Emissions Cost'!L34,'ZEV Assembly Reductions'!L34,'ACCII Criteria Compliance Cost'!L34,'ACCII GHG Compliance'!L34,'Current GHG Compliance'!L34)+IF(Table44[[#This Row],[Cold]:[Cold]]="Y",'Cold Weather Package'!L34,0)+IF(Table44[[#This Row],[eAWD]:[eAWD]]="Y",'eAWD Package'!L34,0)+IF(Table44[[#This Row],[Towing]:[Towing]]="Y",'Towing Bat Cost'!L34,0),"N/A")</f>
        <v>7771.6647440792003</v>
      </c>
      <c r="Q153" s="157">
        <f>IF(Table44[[#This Row],[Applicable Package?]:[Applicable Package?]]="Y",SUM('Rolled Up Non-Incremental Costs'!M34,'ICE Removal Cost'!M34,'Trans Removal Cost'!M34,'LEV3 Criteria Emissions Cost'!M34,'ZEV Assembly Reductions'!M34,'ACCII Criteria Compliance Cost'!M34,'ACCII GHG Compliance'!M34,'Current GHG Compliance'!M34)+IF(Table44[[#This Row],[Cold]:[Cold]]="Y",'Cold Weather Package'!M34,0)+IF(Table44[[#This Row],[eAWD]:[eAWD]]="Y",'eAWD Package'!M34,0)+IF(Table44[[#This Row],[Towing]:[Towing]]="Y",'Towing Bat Cost'!M34,0),"N/A")</f>
        <v>7212.7861481855534</v>
      </c>
      <c r="R153" s="157">
        <f>IF(Table44[[#This Row],[Applicable Package?]:[Applicable Package?]]="Y",SUM('Rolled Up Non-Incremental Costs'!N34,'ICE Removal Cost'!N34,'Trans Removal Cost'!N34,'LEV3 Criteria Emissions Cost'!N34,'ZEV Assembly Reductions'!N34,'ACCII Criteria Compliance Cost'!N34,'ACCII GHG Compliance'!N34,'Current GHG Compliance'!N34)+IF(Table44[[#This Row],[Cold]:[Cold]]="Y",'Cold Weather Package'!N34,0)+IF(Table44[[#This Row],[eAWD]:[eAWD]]="Y",'eAWD Package'!N34,0)+IF(Table44[[#This Row],[Towing]:[Towing]]="Y",'Towing Bat Cost'!N34,0),"N/A")</f>
        <v>6662.1577549929916</v>
      </c>
      <c r="S153" s="157">
        <f>IF(Table44[[#This Row],[Applicable Package?]:[Applicable Package?]]="Y",SUM('Rolled Up Non-Incremental Costs'!O34,'ICE Removal Cost'!O34,'Trans Removal Cost'!O34,'LEV3 Criteria Emissions Cost'!O34,'ZEV Assembly Reductions'!O34,'ACCII Criteria Compliance Cost'!O34,'ACCII GHG Compliance'!O34,'Current GHG Compliance'!O34)+IF(Table44[[#This Row],[Cold]:[Cold]]="Y",'Cold Weather Package'!O34,0)+IF(Table44[[#This Row],[eAWD]:[eAWD]]="Y",'eAWD Package'!O34,0)+IF(Table44[[#This Row],[Towing]:[Towing]]="Y",'Towing Bat Cost'!O34,0),"N/A")</f>
        <v>6119.7741212778601</v>
      </c>
    </row>
    <row r="154" spans="1:19" hidden="1" x14ac:dyDescent="0.3">
      <c r="B154" s="90" t="s">
        <v>73</v>
      </c>
      <c r="C154" s="68" t="s">
        <v>75</v>
      </c>
      <c r="D154" s="68" t="str">
        <f>'Vehicle Attributes - Base Year'!D2</f>
        <v>BEV300</v>
      </c>
      <c r="E154" s="124" t="s">
        <v>76</v>
      </c>
      <c r="F154" s="124" t="s">
        <v>77</v>
      </c>
      <c r="G154" s="125" t="s">
        <v>76</v>
      </c>
      <c r="H154" s="125" t="s">
        <v>77</v>
      </c>
      <c r="I154" s="23" t="str">
        <f>IF(Table44[[#This Row],[Applicable Package?]:[Applicable Package?]]="Y",SUM('Rolled Up Non-Incremental Costs'!E5,'ICE Removal Cost'!E5,'Trans Removal Cost'!E5,'LEV3 Criteria Emissions Cost'!E5,'ZEV Assembly Reductions'!E5,'ACCII Criteria Compliance Cost'!E5,'ACCII GHG Compliance'!E5,'Current GHG Compliance'!E5)+IF(Table44[[#This Row],[Cold]:[Cold]]="Y",'Cold Weather Package'!E5,0)+IF(Table44[[#This Row],[eAWD]:[eAWD]]="Y",'eAWD Package'!E5,0)+IF(Table44[[#This Row],[Towing]:[Towing]]="Y",'Towing Bat Cost'!E5,0),"N/A")</f>
        <v>N/A</v>
      </c>
      <c r="J154" s="23" t="str">
        <f>IF(Table44[[#This Row],[Applicable Package?]:[Applicable Package?]]="Y",SUM('Rolled Up Non-Incremental Costs'!F5,'ICE Removal Cost'!F5,'Trans Removal Cost'!F5,'LEV3 Criteria Emissions Cost'!F5,'ZEV Assembly Reductions'!F5,'ACCII Criteria Compliance Cost'!F5,'ACCII GHG Compliance'!F5,'Current GHG Compliance'!F5)+IF(Table44[[#This Row],[Cold]:[Cold]]="Y",'Cold Weather Package'!F5,0)+IF(Table44[[#This Row],[eAWD]:[eAWD]]="Y",'eAWD Package'!F5,0)+IF(Table44[[#This Row],[Towing]:[Towing]]="Y",'Towing Bat Cost'!F5,0),"N/A")</f>
        <v>N/A</v>
      </c>
      <c r="K154" s="23" t="str">
        <f>IF(Table44[[#This Row],[Applicable Package?]:[Applicable Package?]]="Y",SUM('Rolled Up Non-Incremental Costs'!G5,'ICE Removal Cost'!G5,'Trans Removal Cost'!G5,'LEV3 Criteria Emissions Cost'!G5,'ZEV Assembly Reductions'!G5,'ACCII Criteria Compliance Cost'!G5,'ACCII GHG Compliance'!G5,'Current GHG Compliance'!G5)+IF(Table44[[#This Row],[Cold]:[Cold]]="Y",'Cold Weather Package'!G5,0)+IF(Table44[[#This Row],[eAWD]:[eAWD]]="Y",'eAWD Package'!G5,0)+IF(Table44[[#This Row],[Towing]:[Towing]]="Y",'Towing Bat Cost'!G5,0),"N/A")</f>
        <v>N/A</v>
      </c>
      <c r="L154" s="23" t="str">
        <f>IF(Table44[[#This Row],[Applicable Package?]:[Applicable Package?]]="Y",SUM('Rolled Up Non-Incremental Costs'!H5,'ICE Removal Cost'!H5,'Trans Removal Cost'!H5,'LEV3 Criteria Emissions Cost'!H5,'ZEV Assembly Reductions'!H5,'ACCII Criteria Compliance Cost'!H5,'ACCII GHG Compliance'!H5,'Current GHG Compliance'!H5)+IF(Table44[[#This Row],[Cold]:[Cold]]="Y",'Cold Weather Package'!H5,0)+IF(Table44[[#This Row],[eAWD]:[eAWD]]="Y",'eAWD Package'!H5,0)+IF(Table44[[#This Row],[Towing]:[Towing]]="Y",'Towing Bat Cost'!H5,0),"N/A")</f>
        <v>N/A</v>
      </c>
      <c r="M154" s="23" t="str">
        <f>IF(Table44[[#This Row],[Applicable Package?]:[Applicable Package?]]="Y",SUM('Rolled Up Non-Incremental Costs'!I5,'ICE Removal Cost'!I5,'Trans Removal Cost'!I5,'LEV3 Criteria Emissions Cost'!I5,'ZEV Assembly Reductions'!I5,'ACCII Criteria Compliance Cost'!I5,'ACCII GHG Compliance'!I5,'Current GHG Compliance'!I5)+IF(Table44[[#This Row],[Cold]:[Cold]]="Y",'Cold Weather Package'!I5,0)+IF(Table44[[#This Row],[eAWD]:[eAWD]]="Y",'eAWD Package'!I5,0)+IF(Table44[[#This Row],[Towing]:[Towing]]="Y",'Towing Bat Cost'!I5,0),"N/A")</f>
        <v>N/A</v>
      </c>
      <c r="N154" s="23" t="str">
        <f>IF(Table44[[#This Row],[Applicable Package?]:[Applicable Package?]]="Y",SUM('Rolled Up Non-Incremental Costs'!J5,'ICE Removal Cost'!J5,'Trans Removal Cost'!J5,'LEV3 Criteria Emissions Cost'!J5,'ZEV Assembly Reductions'!J5,'ACCII Criteria Compliance Cost'!J5,'ACCII GHG Compliance'!J5,'Current GHG Compliance'!J5)+IF(Table44[[#This Row],[Cold]:[Cold]]="Y",'Cold Weather Package'!J5,0)+IF(Table44[[#This Row],[eAWD]:[eAWD]]="Y",'eAWD Package'!J5,0)+IF(Table44[[#This Row],[Towing]:[Towing]]="Y",'Towing Bat Cost'!J5,0),"N/A")</f>
        <v>N/A</v>
      </c>
      <c r="O154" s="23" t="str">
        <f>IF(Table44[[#This Row],[Applicable Package?]:[Applicable Package?]]="Y",SUM('Rolled Up Non-Incremental Costs'!K5,'ICE Removal Cost'!K5,'Trans Removal Cost'!K5,'LEV3 Criteria Emissions Cost'!K5,'ZEV Assembly Reductions'!K5,'ACCII Criteria Compliance Cost'!K5,'ACCII GHG Compliance'!K5,'Current GHG Compliance'!K5)+IF(Table44[[#This Row],[Cold]:[Cold]]="Y",'Cold Weather Package'!K5,0)+IF(Table44[[#This Row],[eAWD]:[eAWD]]="Y",'eAWD Package'!K5,0)+IF(Table44[[#This Row],[Towing]:[Towing]]="Y",'Towing Bat Cost'!K5,0),"N/A")</f>
        <v>N/A</v>
      </c>
      <c r="P154" s="23" t="str">
        <f>IF(Table44[[#This Row],[Applicable Package?]:[Applicable Package?]]="Y",SUM('Rolled Up Non-Incremental Costs'!L5,'ICE Removal Cost'!L5,'Trans Removal Cost'!L5,'LEV3 Criteria Emissions Cost'!L5,'ZEV Assembly Reductions'!L5,'ACCII Criteria Compliance Cost'!L5,'ACCII GHG Compliance'!L5,'Current GHG Compliance'!L5)+IF(Table44[[#This Row],[Cold]:[Cold]]="Y",'Cold Weather Package'!L5,0)+IF(Table44[[#This Row],[eAWD]:[eAWD]]="Y",'eAWD Package'!L5,0)+IF(Table44[[#This Row],[Towing]:[Towing]]="Y",'Towing Bat Cost'!L5,0),"N/A")</f>
        <v>N/A</v>
      </c>
      <c r="Q154" s="23" t="str">
        <f>IF(Table44[[#This Row],[Applicable Package?]:[Applicable Package?]]="Y",SUM('Rolled Up Non-Incremental Costs'!M5,'ICE Removal Cost'!M5,'Trans Removal Cost'!M5,'LEV3 Criteria Emissions Cost'!M5,'ZEV Assembly Reductions'!M5,'ACCII Criteria Compliance Cost'!M5,'ACCII GHG Compliance'!M5,'Current GHG Compliance'!M5)+IF(Table44[[#This Row],[Cold]:[Cold]]="Y",'Cold Weather Package'!M5,0)+IF(Table44[[#This Row],[eAWD]:[eAWD]]="Y",'eAWD Package'!M5,0)+IF(Table44[[#This Row],[Towing]:[Towing]]="Y",'Towing Bat Cost'!M5,0),"N/A")</f>
        <v>N/A</v>
      </c>
      <c r="R154" s="23" t="str">
        <f>IF(Table44[[#This Row],[Applicable Package?]:[Applicable Package?]]="Y",SUM('Rolled Up Non-Incremental Costs'!N5,'ICE Removal Cost'!N5,'Trans Removal Cost'!N5,'LEV3 Criteria Emissions Cost'!N5,'ZEV Assembly Reductions'!N5,'ACCII Criteria Compliance Cost'!N5,'ACCII GHG Compliance'!N5,'Current GHG Compliance'!N5)+IF(Table44[[#This Row],[Cold]:[Cold]]="Y",'Cold Weather Package'!N5,0)+IF(Table44[[#This Row],[eAWD]:[eAWD]]="Y",'eAWD Package'!N5,0)+IF(Table44[[#This Row],[Towing]:[Towing]]="Y",'Towing Bat Cost'!N5,0),"N/A")</f>
        <v>N/A</v>
      </c>
      <c r="S154" s="23" t="str">
        <f>IF(Table44[[#This Row],[Applicable Package?]:[Applicable Package?]]="Y",SUM('Rolled Up Non-Incremental Costs'!O5,'ICE Removal Cost'!O5,'Trans Removal Cost'!O5,'LEV3 Criteria Emissions Cost'!O5,'ZEV Assembly Reductions'!O5,'ACCII Criteria Compliance Cost'!O5,'ACCII GHG Compliance'!O5,'Current GHG Compliance'!O5)+IF(Table44[[#This Row],[Cold]:[Cold]]="Y",'Cold Weather Package'!O5,0)+IF(Table44[[#This Row],[eAWD]:[eAWD]]="Y",'eAWD Package'!O5,0)+IF(Table44[[#This Row],[Towing]:[Towing]]="Y",'Towing Bat Cost'!O5,0),"N/A")</f>
        <v>N/A</v>
      </c>
    </row>
    <row r="155" spans="1:19" hidden="1" x14ac:dyDescent="0.3">
      <c r="A155" s="28" t="str">
        <f t="shared" ref="A155:A184" si="4">CONCATENATE(B184,C184,D184)</f>
        <v>SmallCarBaseBEV300</v>
      </c>
      <c r="B155" s="90" t="s">
        <v>73</v>
      </c>
      <c r="C155" s="68" t="s">
        <v>80</v>
      </c>
      <c r="D155" s="68" t="str">
        <f>'Vehicle Attributes - Base Year'!D3</f>
        <v>BEV400</v>
      </c>
      <c r="E155" s="124" t="s">
        <v>76</v>
      </c>
      <c r="F155" s="124" t="s">
        <v>77</v>
      </c>
      <c r="G155" s="125" t="s">
        <v>76</v>
      </c>
      <c r="H155" s="125" t="s">
        <v>77</v>
      </c>
      <c r="I155" s="23" t="str">
        <f>IF(Table44[[#This Row],[Applicable Package?]:[Applicable Package?]]="Y",SUM('Rolled Up Non-Incremental Costs'!E6,'ICE Removal Cost'!E6,'Trans Removal Cost'!E6,'LEV3 Criteria Emissions Cost'!E6,'ZEV Assembly Reductions'!E6,'ACCII Criteria Compliance Cost'!E6,'ACCII GHG Compliance'!E6,'Current GHG Compliance'!E6)+IF(Table44[[#This Row],[Cold]:[Cold]]="Y",'Cold Weather Package'!E6,0)+IF(Table44[[#This Row],[eAWD]:[eAWD]]="Y",'eAWD Package'!E6,0)+IF(Table44[[#This Row],[Towing]:[Towing]]="Y",'Towing Bat Cost'!E6,0),"N/A")</f>
        <v>N/A</v>
      </c>
      <c r="J155" s="23" t="str">
        <f>IF(Table44[[#This Row],[Applicable Package?]:[Applicable Package?]]="Y",SUM('Rolled Up Non-Incremental Costs'!F6,'ICE Removal Cost'!F6,'Trans Removal Cost'!F6,'LEV3 Criteria Emissions Cost'!F6,'ZEV Assembly Reductions'!F6,'ACCII Criteria Compliance Cost'!F6,'ACCII GHG Compliance'!F6,'Current GHG Compliance'!F6)+IF(Table44[[#This Row],[Cold]:[Cold]]="Y",'Cold Weather Package'!F6,0)+IF(Table44[[#This Row],[eAWD]:[eAWD]]="Y",'eAWD Package'!F6,0)+IF(Table44[[#This Row],[Towing]:[Towing]]="Y",'Towing Bat Cost'!F6,0),"N/A")</f>
        <v>N/A</v>
      </c>
      <c r="K155" s="23" t="str">
        <f>IF(Table44[[#This Row],[Applicable Package?]:[Applicable Package?]]="Y",SUM('Rolled Up Non-Incremental Costs'!G6,'ICE Removal Cost'!G6,'Trans Removal Cost'!G6,'LEV3 Criteria Emissions Cost'!G6,'ZEV Assembly Reductions'!G6,'ACCII Criteria Compliance Cost'!G6,'ACCII GHG Compliance'!G6,'Current GHG Compliance'!G6)+IF(Table44[[#This Row],[Cold]:[Cold]]="Y",'Cold Weather Package'!G6,0)+IF(Table44[[#This Row],[eAWD]:[eAWD]]="Y",'eAWD Package'!G6,0)+IF(Table44[[#This Row],[Towing]:[Towing]]="Y",'Towing Bat Cost'!G6,0),"N/A")</f>
        <v>N/A</v>
      </c>
      <c r="L155" s="23" t="str">
        <f>IF(Table44[[#This Row],[Applicable Package?]:[Applicable Package?]]="Y",SUM('Rolled Up Non-Incremental Costs'!H6,'ICE Removal Cost'!H6,'Trans Removal Cost'!H6,'LEV3 Criteria Emissions Cost'!H6,'ZEV Assembly Reductions'!H6,'ACCII Criteria Compliance Cost'!H6,'ACCII GHG Compliance'!H6,'Current GHG Compliance'!H6)+IF(Table44[[#This Row],[Cold]:[Cold]]="Y",'Cold Weather Package'!H6,0)+IF(Table44[[#This Row],[eAWD]:[eAWD]]="Y",'eAWD Package'!H6,0)+IF(Table44[[#This Row],[Towing]:[Towing]]="Y",'Towing Bat Cost'!H6,0),"N/A")</f>
        <v>N/A</v>
      </c>
      <c r="M155" s="23" t="str">
        <f>IF(Table44[[#This Row],[Applicable Package?]:[Applicable Package?]]="Y",SUM('Rolled Up Non-Incremental Costs'!I6,'ICE Removal Cost'!I6,'Trans Removal Cost'!I6,'LEV3 Criteria Emissions Cost'!I6,'ZEV Assembly Reductions'!I6,'ACCII Criteria Compliance Cost'!I6,'ACCII GHG Compliance'!I6,'Current GHG Compliance'!I6)+IF(Table44[[#This Row],[Cold]:[Cold]]="Y",'Cold Weather Package'!I6,0)+IF(Table44[[#This Row],[eAWD]:[eAWD]]="Y",'eAWD Package'!I6,0)+IF(Table44[[#This Row],[Towing]:[Towing]]="Y",'Towing Bat Cost'!I6,0),"N/A")</f>
        <v>N/A</v>
      </c>
      <c r="N155" s="23" t="str">
        <f>IF(Table44[[#This Row],[Applicable Package?]:[Applicable Package?]]="Y",SUM('Rolled Up Non-Incremental Costs'!J6,'ICE Removal Cost'!J6,'Trans Removal Cost'!J6,'LEV3 Criteria Emissions Cost'!J6,'ZEV Assembly Reductions'!J6,'ACCII Criteria Compliance Cost'!J6,'ACCII GHG Compliance'!J6,'Current GHG Compliance'!J6)+IF(Table44[[#This Row],[Cold]:[Cold]]="Y",'Cold Weather Package'!J6,0)+IF(Table44[[#This Row],[eAWD]:[eAWD]]="Y",'eAWD Package'!J6,0)+IF(Table44[[#This Row],[Towing]:[Towing]]="Y",'Towing Bat Cost'!J6,0),"N/A")</f>
        <v>N/A</v>
      </c>
      <c r="O155" s="23" t="str">
        <f>IF(Table44[[#This Row],[Applicable Package?]:[Applicable Package?]]="Y",SUM('Rolled Up Non-Incremental Costs'!K6,'ICE Removal Cost'!K6,'Trans Removal Cost'!K6,'LEV3 Criteria Emissions Cost'!K6,'ZEV Assembly Reductions'!K6,'ACCII Criteria Compliance Cost'!K6,'ACCII GHG Compliance'!K6,'Current GHG Compliance'!K6)+IF(Table44[[#This Row],[Cold]:[Cold]]="Y",'Cold Weather Package'!K6,0)+IF(Table44[[#This Row],[eAWD]:[eAWD]]="Y",'eAWD Package'!K6,0)+IF(Table44[[#This Row],[Towing]:[Towing]]="Y",'Towing Bat Cost'!K6,0),"N/A")</f>
        <v>N/A</v>
      </c>
      <c r="P155" s="23" t="str">
        <f>IF(Table44[[#This Row],[Applicable Package?]:[Applicable Package?]]="Y",SUM('Rolled Up Non-Incremental Costs'!L6,'ICE Removal Cost'!L6,'Trans Removal Cost'!L6,'LEV3 Criteria Emissions Cost'!L6,'ZEV Assembly Reductions'!L6,'ACCII Criteria Compliance Cost'!L6,'ACCII GHG Compliance'!L6,'Current GHG Compliance'!L6)+IF(Table44[[#This Row],[Cold]:[Cold]]="Y",'Cold Weather Package'!L6,0)+IF(Table44[[#This Row],[eAWD]:[eAWD]]="Y",'eAWD Package'!L6,0)+IF(Table44[[#This Row],[Towing]:[Towing]]="Y",'Towing Bat Cost'!L6,0),"N/A")</f>
        <v>N/A</v>
      </c>
      <c r="Q155" s="23" t="str">
        <f>IF(Table44[[#This Row],[Applicable Package?]:[Applicable Package?]]="Y",SUM('Rolled Up Non-Incremental Costs'!M6,'ICE Removal Cost'!M6,'Trans Removal Cost'!M6,'LEV3 Criteria Emissions Cost'!M6,'ZEV Assembly Reductions'!M6,'ACCII Criteria Compliance Cost'!M6,'ACCII GHG Compliance'!M6,'Current GHG Compliance'!M6)+IF(Table44[[#This Row],[Cold]:[Cold]]="Y",'Cold Weather Package'!M6,0)+IF(Table44[[#This Row],[eAWD]:[eAWD]]="Y",'eAWD Package'!M6,0)+IF(Table44[[#This Row],[Towing]:[Towing]]="Y",'Towing Bat Cost'!M6,0),"N/A")</f>
        <v>N/A</v>
      </c>
      <c r="R155" s="23" t="str">
        <f>IF(Table44[[#This Row],[Applicable Package?]:[Applicable Package?]]="Y",SUM('Rolled Up Non-Incremental Costs'!N6,'ICE Removal Cost'!N6,'Trans Removal Cost'!N6,'LEV3 Criteria Emissions Cost'!N6,'ZEV Assembly Reductions'!N6,'ACCII Criteria Compliance Cost'!N6,'ACCII GHG Compliance'!N6,'Current GHG Compliance'!N6)+IF(Table44[[#This Row],[Cold]:[Cold]]="Y",'Cold Weather Package'!N6,0)+IF(Table44[[#This Row],[eAWD]:[eAWD]]="Y",'eAWD Package'!N6,0)+IF(Table44[[#This Row],[Towing]:[Towing]]="Y",'Towing Bat Cost'!N6,0),"N/A")</f>
        <v>N/A</v>
      </c>
      <c r="S155" s="23" t="str">
        <f>IF(Table44[[#This Row],[Applicable Package?]:[Applicable Package?]]="Y",SUM('Rolled Up Non-Incremental Costs'!O6,'ICE Removal Cost'!O6,'Trans Removal Cost'!O6,'LEV3 Criteria Emissions Cost'!O6,'ZEV Assembly Reductions'!O6,'ACCII Criteria Compliance Cost'!O6,'ACCII GHG Compliance'!O6,'Current GHG Compliance'!O6)+IF(Table44[[#This Row],[Cold]:[Cold]]="Y",'Cold Weather Package'!O6,0)+IF(Table44[[#This Row],[eAWD]:[eAWD]]="Y",'eAWD Package'!O6,0)+IF(Table44[[#This Row],[Towing]:[Towing]]="Y",'Towing Bat Cost'!O6,0),"N/A")</f>
        <v>N/A</v>
      </c>
    </row>
    <row r="156" spans="1:19" hidden="1" x14ac:dyDescent="0.3">
      <c r="A156" t="str">
        <f t="shared" si="4"/>
        <v>SmallCarPremiumBEV400</v>
      </c>
      <c r="B156" s="90" t="s">
        <v>82</v>
      </c>
      <c r="C156" s="68" t="s">
        <v>75</v>
      </c>
      <c r="D156" s="68" t="str">
        <f>'Vehicle Attributes - Base Year'!D4</f>
        <v>BEV300</v>
      </c>
      <c r="E156" s="124" t="s">
        <v>76</v>
      </c>
      <c r="F156" s="124" t="s">
        <v>77</v>
      </c>
      <c r="G156" s="125" t="s">
        <v>76</v>
      </c>
      <c r="H156" s="125" t="s">
        <v>77</v>
      </c>
      <c r="I156" s="23" t="str">
        <f>IF(Table44[[#This Row],[Applicable Package?]:[Applicable Package?]]="Y",SUM('Rolled Up Non-Incremental Costs'!E7,'ICE Removal Cost'!E7,'Trans Removal Cost'!E7,'LEV3 Criteria Emissions Cost'!E7,'ZEV Assembly Reductions'!E7,'ACCII Criteria Compliance Cost'!E7,'ACCII GHG Compliance'!E7,'Current GHG Compliance'!E7)+IF(Table44[[#This Row],[Cold]:[Cold]]="Y",'Cold Weather Package'!E7,0)+IF(Table44[[#This Row],[eAWD]:[eAWD]]="Y",'eAWD Package'!E7,0)+IF(Table44[[#This Row],[Towing]:[Towing]]="Y",'Towing Bat Cost'!E7,0),"N/A")</f>
        <v>N/A</v>
      </c>
      <c r="J156" s="23" t="str">
        <f>IF(Table44[[#This Row],[Applicable Package?]:[Applicable Package?]]="Y",SUM('Rolled Up Non-Incremental Costs'!F7,'ICE Removal Cost'!F7,'Trans Removal Cost'!F7,'LEV3 Criteria Emissions Cost'!F7,'ZEV Assembly Reductions'!F7,'ACCII Criteria Compliance Cost'!F7,'ACCII GHG Compliance'!F7,'Current GHG Compliance'!F7)+IF(Table44[[#This Row],[Cold]:[Cold]]="Y",'Cold Weather Package'!F7,0)+IF(Table44[[#This Row],[eAWD]:[eAWD]]="Y",'eAWD Package'!F7,0)+IF(Table44[[#This Row],[Towing]:[Towing]]="Y",'Towing Bat Cost'!F7,0),"N/A")</f>
        <v>N/A</v>
      </c>
      <c r="K156" s="23" t="str">
        <f>IF(Table44[[#This Row],[Applicable Package?]:[Applicable Package?]]="Y",SUM('Rolled Up Non-Incremental Costs'!G7,'ICE Removal Cost'!G7,'Trans Removal Cost'!G7,'LEV3 Criteria Emissions Cost'!G7,'ZEV Assembly Reductions'!G7,'ACCII Criteria Compliance Cost'!G7,'ACCII GHG Compliance'!G7,'Current GHG Compliance'!G7)+IF(Table44[[#This Row],[Cold]:[Cold]]="Y",'Cold Weather Package'!G7,0)+IF(Table44[[#This Row],[eAWD]:[eAWD]]="Y",'eAWD Package'!G7,0)+IF(Table44[[#This Row],[Towing]:[Towing]]="Y",'Towing Bat Cost'!G7,0),"N/A")</f>
        <v>N/A</v>
      </c>
      <c r="L156" s="23" t="str">
        <f>IF(Table44[[#This Row],[Applicable Package?]:[Applicable Package?]]="Y",SUM('Rolled Up Non-Incremental Costs'!H7,'ICE Removal Cost'!H7,'Trans Removal Cost'!H7,'LEV3 Criteria Emissions Cost'!H7,'ZEV Assembly Reductions'!H7,'ACCII Criteria Compliance Cost'!H7,'ACCII GHG Compliance'!H7,'Current GHG Compliance'!H7)+IF(Table44[[#This Row],[Cold]:[Cold]]="Y",'Cold Weather Package'!H7,0)+IF(Table44[[#This Row],[eAWD]:[eAWD]]="Y",'eAWD Package'!H7,0)+IF(Table44[[#This Row],[Towing]:[Towing]]="Y",'Towing Bat Cost'!H7,0),"N/A")</f>
        <v>N/A</v>
      </c>
      <c r="M156" s="23" t="str">
        <f>IF(Table44[[#This Row],[Applicable Package?]:[Applicable Package?]]="Y",SUM('Rolled Up Non-Incremental Costs'!I7,'ICE Removal Cost'!I7,'Trans Removal Cost'!I7,'LEV3 Criteria Emissions Cost'!I7,'ZEV Assembly Reductions'!I7,'ACCII Criteria Compliance Cost'!I7,'ACCII GHG Compliance'!I7,'Current GHG Compliance'!I7)+IF(Table44[[#This Row],[Cold]:[Cold]]="Y",'Cold Weather Package'!I7,0)+IF(Table44[[#This Row],[eAWD]:[eAWD]]="Y",'eAWD Package'!I7,0)+IF(Table44[[#This Row],[Towing]:[Towing]]="Y",'Towing Bat Cost'!I7,0),"N/A")</f>
        <v>N/A</v>
      </c>
      <c r="N156" s="23" t="str">
        <f>IF(Table44[[#This Row],[Applicable Package?]:[Applicable Package?]]="Y",SUM('Rolled Up Non-Incremental Costs'!J7,'ICE Removal Cost'!J7,'Trans Removal Cost'!J7,'LEV3 Criteria Emissions Cost'!J7,'ZEV Assembly Reductions'!J7,'ACCII Criteria Compliance Cost'!J7,'ACCII GHG Compliance'!J7,'Current GHG Compliance'!J7)+IF(Table44[[#This Row],[Cold]:[Cold]]="Y",'Cold Weather Package'!J7,0)+IF(Table44[[#This Row],[eAWD]:[eAWD]]="Y",'eAWD Package'!J7,0)+IF(Table44[[#This Row],[Towing]:[Towing]]="Y",'Towing Bat Cost'!J7,0),"N/A")</f>
        <v>N/A</v>
      </c>
      <c r="O156" s="23" t="str">
        <f>IF(Table44[[#This Row],[Applicable Package?]:[Applicable Package?]]="Y",SUM('Rolled Up Non-Incremental Costs'!K7,'ICE Removal Cost'!K7,'Trans Removal Cost'!K7,'LEV3 Criteria Emissions Cost'!K7,'ZEV Assembly Reductions'!K7,'ACCII Criteria Compliance Cost'!K7,'ACCII GHG Compliance'!K7,'Current GHG Compliance'!K7)+IF(Table44[[#This Row],[Cold]:[Cold]]="Y",'Cold Weather Package'!K7,0)+IF(Table44[[#This Row],[eAWD]:[eAWD]]="Y",'eAWD Package'!K7,0)+IF(Table44[[#This Row],[Towing]:[Towing]]="Y",'Towing Bat Cost'!K7,0),"N/A")</f>
        <v>N/A</v>
      </c>
      <c r="P156" s="23" t="str">
        <f>IF(Table44[[#This Row],[Applicable Package?]:[Applicable Package?]]="Y",SUM('Rolled Up Non-Incremental Costs'!L7,'ICE Removal Cost'!L7,'Trans Removal Cost'!L7,'LEV3 Criteria Emissions Cost'!L7,'ZEV Assembly Reductions'!L7,'ACCII Criteria Compliance Cost'!L7,'ACCII GHG Compliance'!L7,'Current GHG Compliance'!L7)+IF(Table44[[#This Row],[Cold]:[Cold]]="Y",'Cold Weather Package'!L7,0)+IF(Table44[[#This Row],[eAWD]:[eAWD]]="Y",'eAWD Package'!L7,0)+IF(Table44[[#This Row],[Towing]:[Towing]]="Y",'Towing Bat Cost'!L7,0),"N/A")</f>
        <v>N/A</v>
      </c>
      <c r="Q156" s="23" t="str">
        <f>IF(Table44[[#This Row],[Applicable Package?]:[Applicable Package?]]="Y",SUM('Rolled Up Non-Incremental Costs'!M7,'ICE Removal Cost'!M7,'Trans Removal Cost'!M7,'LEV3 Criteria Emissions Cost'!M7,'ZEV Assembly Reductions'!M7,'ACCII Criteria Compliance Cost'!M7,'ACCII GHG Compliance'!M7,'Current GHG Compliance'!M7)+IF(Table44[[#This Row],[Cold]:[Cold]]="Y",'Cold Weather Package'!M7,0)+IF(Table44[[#This Row],[eAWD]:[eAWD]]="Y",'eAWD Package'!M7,0)+IF(Table44[[#This Row],[Towing]:[Towing]]="Y",'Towing Bat Cost'!M7,0),"N/A")</f>
        <v>N/A</v>
      </c>
      <c r="R156" s="23" t="str">
        <f>IF(Table44[[#This Row],[Applicable Package?]:[Applicable Package?]]="Y",SUM('Rolled Up Non-Incremental Costs'!N7,'ICE Removal Cost'!N7,'Trans Removal Cost'!N7,'LEV3 Criteria Emissions Cost'!N7,'ZEV Assembly Reductions'!N7,'ACCII Criteria Compliance Cost'!N7,'ACCII GHG Compliance'!N7,'Current GHG Compliance'!N7)+IF(Table44[[#This Row],[Cold]:[Cold]]="Y",'Cold Weather Package'!N7,0)+IF(Table44[[#This Row],[eAWD]:[eAWD]]="Y",'eAWD Package'!N7,0)+IF(Table44[[#This Row],[Towing]:[Towing]]="Y",'Towing Bat Cost'!N7,0),"N/A")</f>
        <v>N/A</v>
      </c>
      <c r="S156" s="23" t="str">
        <f>IF(Table44[[#This Row],[Applicable Package?]:[Applicable Package?]]="Y",SUM('Rolled Up Non-Incremental Costs'!O7,'ICE Removal Cost'!O7,'Trans Removal Cost'!O7,'LEV3 Criteria Emissions Cost'!O7,'ZEV Assembly Reductions'!O7,'ACCII Criteria Compliance Cost'!O7,'ACCII GHG Compliance'!O7,'Current GHG Compliance'!O7)+IF(Table44[[#This Row],[Cold]:[Cold]]="Y",'Cold Weather Package'!O7,0)+IF(Table44[[#This Row],[eAWD]:[eAWD]]="Y",'eAWD Package'!O7,0)+IF(Table44[[#This Row],[Towing]:[Towing]]="Y",'Towing Bat Cost'!O7,0),"N/A")</f>
        <v>N/A</v>
      </c>
    </row>
    <row r="157" spans="1:19" hidden="1" x14ac:dyDescent="0.3">
      <c r="A157" s="28" t="str">
        <f t="shared" si="4"/>
        <v>MedCarBaseBEV300</v>
      </c>
      <c r="B157" s="90" t="s">
        <v>82</v>
      </c>
      <c r="C157" s="68" t="s">
        <v>80</v>
      </c>
      <c r="D157" s="68" t="str">
        <f>'Vehicle Attributes - Base Year'!D5</f>
        <v>BEV400</v>
      </c>
      <c r="E157" s="124" t="s">
        <v>76</v>
      </c>
      <c r="F157" s="124" t="s">
        <v>77</v>
      </c>
      <c r="G157" s="125" t="s">
        <v>76</v>
      </c>
      <c r="H157" s="125" t="s">
        <v>77</v>
      </c>
      <c r="I157" s="23" t="str">
        <f>IF(Table44[[#This Row],[Applicable Package?]:[Applicable Package?]]="Y",SUM('Rolled Up Non-Incremental Costs'!E8,'ICE Removal Cost'!E8,'Trans Removal Cost'!E8,'LEV3 Criteria Emissions Cost'!E8,'ZEV Assembly Reductions'!E8,'ACCII Criteria Compliance Cost'!E8,'ACCII GHG Compliance'!E8,'Current GHG Compliance'!E8)+IF(Table44[[#This Row],[Cold]:[Cold]]="Y",'Cold Weather Package'!E8,0)+IF(Table44[[#This Row],[eAWD]:[eAWD]]="Y",'eAWD Package'!E8,0)+IF(Table44[[#This Row],[Towing]:[Towing]]="Y",'Towing Bat Cost'!E8,0),"N/A")</f>
        <v>N/A</v>
      </c>
      <c r="J157" s="23" t="str">
        <f>IF(Table44[[#This Row],[Applicable Package?]:[Applicable Package?]]="Y",SUM('Rolled Up Non-Incremental Costs'!F8,'ICE Removal Cost'!F8,'Trans Removal Cost'!F8,'LEV3 Criteria Emissions Cost'!F8,'ZEV Assembly Reductions'!F8,'ACCII Criteria Compliance Cost'!F8,'ACCII GHG Compliance'!F8,'Current GHG Compliance'!F8)+IF(Table44[[#This Row],[Cold]:[Cold]]="Y",'Cold Weather Package'!F8,0)+IF(Table44[[#This Row],[eAWD]:[eAWD]]="Y",'eAWD Package'!F8,0)+IF(Table44[[#This Row],[Towing]:[Towing]]="Y",'Towing Bat Cost'!F8,0),"N/A")</f>
        <v>N/A</v>
      </c>
      <c r="K157" s="23" t="str">
        <f>IF(Table44[[#This Row],[Applicable Package?]:[Applicable Package?]]="Y",SUM('Rolled Up Non-Incremental Costs'!G8,'ICE Removal Cost'!G8,'Trans Removal Cost'!G8,'LEV3 Criteria Emissions Cost'!G8,'ZEV Assembly Reductions'!G8,'ACCII Criteria Compliance Cost'!G8,'ACCII GHG Compliance'!G8,'Current GHG Compliance'!G8)+IF(Table44[[#This Row],[Cold]:[Cold]]="Y",'Cold Weather Package'!G8,0)+IF(Table44[[#This Row],[eAWD]:[eAWD]]="Y",'eAWD Package'!G8,0)+IF(Table44[[#This Row],[Towing]:[Towing]]="Y",'Towing Bat Cost'!G8,0),"N/A")</f>
        <v>N/A</v>
      </c>
      <c r="L157" s="23" t="str">
        <f>IF(Table44[[#This Row],[Applicable Package?]:[Applicable Package?]]="Y",SUM('Rolled Up Non-Incremental Costs'!H8,'ICE Removal Cost'!H8,'Trans Removal Cost'!H8,'LEV3 Criteria Emissions Cost'!H8,'ZEV Assembly Reductions'!H8,'ACCII Criteria Compliance Cost'!H8,'ACCII GHG Compliance'!H8,'Current GHG Compliance'!H8)+IF(Table44[[#This Row],[Cold]:[Cold]]="Y",'Cold Weather Package'!H8,0)+IF(Table44[[#This Row],[eAWD]:[eAWD]]="Y",'eAWD Package'!H8,0)+IF(Table44[[#This Row],[Towing]:[Towing]]="Y",'Towing Bat Cost'!H8,0),"N/A")</f>
        <v>N/A</v>
      </c>
      <c r="M157" s="23" t="str">
        <f>IF(Table44[[#This Row],[Applicable Package?]:[Applicable Package?]]="Y",SUM('Rolled Up Non-Incremental Costs'!I8,'ICE Removal Cost'!I8,'Trans Removal Cost'!I8,'LEV3 Criteria Emissions Cost'!I8,'ZEV Assembly Reductions'!I8,'ACCII Criteria Compliance Cost'!I8,'ACCII GHG Compliance'!I8,'Current GHG Compliance'!I8)+IF(Table44[[#This Row],[Cold]:[Cold]]="Y",'Cold Weather Package'!I8,0)+IF(Table44[[#This Row],[eAWD]:[eAWD]]="Y",'eAWD Package'!I8,0)+IF(Table44[[#This Row],[Towing]:[Towing]]="Y",'Towing Bat Cost'!I8,0),"N/A")</f>
        <v>N/A</v>
      </c>
      <c r="N157" s="23" t="str">
        <f>IF(Table44[[#This Row],[Applicable Package?]:[Applicable Package?]]="Y",SUM('Rolled Up Non-Incremental Costs'!J8,'ICE Removal Cost'!J8,'Trans Removal Cost'!J8,'LEV3 Criteria Emissions Cost'!J8,'ZEV Assembly Reductions'!J8,'ACCII Criteria Compliance Cost'!J8,'ACCII GHG Compliance'!J8,'Current GHG Compliance'!J8)+IF(Table44[[#This Row],[Cold]:[Cold]]="Y",'Cold Weather Package'!J8,0)+IF(Table44[[#This Row],[eAWD]:[eAWD]]="Y",'eAWD Package'!J8,0)+IF(Table44[[#This Row],[Towing]:[Towing]]="Y",'Towing Bat Cost'!J8,0),"N/A")</f>
        <v>N/A</v>
      </c>
      <c r="O157" s="23" t="str">
        <f>IF(Table44[[#This Row],[Applicable Package?]:[Applicable Package?]]="Y",SUM('Rolled Up Non-Incremental Costs'!K8,'ICE Removal Cost'!K8,'Trans Removal Cost'!K8,'LEV3 Criteria Emissions Cost'!K8,'ZEV Assembly Reductions'!K8,'ACCII Criteria Compliance Cost'!K8,'ACCII GHG Compliance'!K8,'Current GHG Compliance'!K8)+IF(Table44[[#This Row],[Cold]:[Cold]]="Y",'Cold Weather Package'!K8,0)+IF(Table44[[#This Row],[eAWD]:[eAWD]]="Y",'eAWD Package'!K8,0)+IF(Table44[[#This Row],[Towing]:[Towing]]="Y",'Towing Bat Cost'!K8,0),"N/A")</f>
        <v>N/A</v>
      </c>
      <c r="P157" s="23" t="str">
        <f>IF(Table44[[#This Row],[Applicable Package?]:[Applicable Package?]]="Y",SUM('Rolled Up Non-Incremental Costs'!L8,'ICE Removal Cost'!L8,'Trans Removal Cost'!L8,'LEV3 Criteria Emissions Cost'!L8,'ZEV Assembly Reductions'!L8,'ACCII Criteria Compliance Cost'!L8,'ACCII GHG Compliance'!L8,'Current GHG Compliance'!L8)+IF(Table44[[#This Row],[Cold]:[Cold]]="Y",'Cold Weather Package'!L8,0)+IF(Table44[[#This Row],[eAWD]:[eAWD]]="Y",'eAWD Package'!L8,0)+IF(Table44[[#This Row],[Towing]:[Towing]]="Y",'Towing Bat Cost'!L8,0),"N/A")</f>
        <v>N/A</v>
      </c>
      <c r="Q157" s="23" t="str">
        <f>IF(Table44[[#This Row],[Applicable Package?]:[Applicable Package?]]="Y",SUM('Rolled Up Non-Incremental Costs'!M8,'ICE Removal Cost'!M8,'Trans Removal Cost'!M8,'LEV3 Criteria Emissions Cost'!M8,'ZEV Assembly Reductions'!M8,'ACCII Criteria Compliance Cost'!M8,'ACCII GHG Compliance'!M8,'Current GHG Compliance'!M8)+IF(Table44[[#This Row],[Cold]:[Cold]]="Y",'Cold Weather Package'!M8,0)+IF(Table44[[#This Row],[eAWD]:[eAWD]]="Y",'eAWD Package'!M8,0)+IF(Table44[[#This Row],[Towing]:[Towing]]="Y",'Towing Bat Cost'!M8,0),"N/A")</f>
        <v>N/A</v>
      </c>
      <c r="R157" s="23" t="str">
        <f>IF(Table44[[#This Row],[Applicable Package?]:[Applicable Package?]]="Y",SUM('Rolled Up Non-Incremental Costs'!N8,'ICE Removal Cost'!N8,'Trans Removal Cost'!N8,'LEV3 Criteria Emissions Cost'!N8,'ZEV Assembly Reductions'!N8,'ACCII Criteria Compliance Cost'!N8,'ACCII GHG Compliance'!N8,'Current GHG Compliance'!N8)+IF(Table44[[#This Row],[Cold]:[Cold]]="Y",'Cold Weather Package'!N8,0)+IF(Table44[[#This Row],[eAWD]:[eAWD]]="Y",'eAWD Package'!N8,0)+IF(Table44[[#This Row],[Towing]:[Towing]]="Y",'Towing Bat Cost'!N8,0),"N/A")</f>
        <v>N/A</v>
      </c>
      <c r="S157" s="23" t="str">
        <f>IF(Table44[[#This Row],[Applicable Package?]:[Applicable Package?]]="Y",SUM('Rolled Up Non-Incremental Costs'!O8,'ICE Removal Cost'!O8,'Trans Removal Cost'!O8,'LEV3 Criteria Emissions Cost'!O8,'ZEV Assembly Reductions'!O8,'ACCII Criteria Compliance Cost'!O8,'ACCII GHG Compliance'!O8,'Current GHG Compliance'!O8)+IF(Table44[[#This Row],[Cold]:[Cold]]="Y",'Cold Weather Package'!O8,0)+IF(Table44[[#This Row],[eAWD]:[eAWD]]="Y",'eAWD Package'!O8,0)+IF(Table44[[#This Row],[Towing]:[Towing]]="Y",'Towing Bat Cost'!O8,0),"N/A")</f>
        <v>N/A</v>
      </c>
    </row>
    <row r="158" spans="1:19" hidden="1" x14ac:dyDescent="0.3">
      <c r="A158" t="str">
        <f t="shared" si="4"/>
        <v>MedCarPremiumBEV400</v>
      </c>
      <c r="B158" s="90" t="s">
        <v>83</v>
      </c>
      <c r="C158" s="68" t="s">
        <v>75</v>
      </c>
      <c r="D158" s="68" t="str">
        <f>'Vehicle Attributes - Base Year'!D6</f>
        <v>BEV300</v>
      </c>
      <c r="E158" s="124" t="s">
        <v>76</v>
      </c>
      <c r="F158" s="124" t="s">
        <v>77</v>
      </c>
      <c r="G158" s="125" t="s">
        <v>76</v>
      </c>
      <c r="H158" s="125" t="s">
        <v>77</v>
      </c>
      <c r="I158" s="23" t="str">
        <f>IF(Table44[[#This Row],[Applicable Package?]:[Applicable Package?]]="Y",SUM('Rolled Up Non-Incremental Costs'!E9,'ICE Removal Cost'!E9,'Trans Removal Cost'!E9,'LEV3 Criteria Emissions Cost'!E9,'ZEV Assembly Reductions'!E9,'ACCII Criteria Compliance Cost'!E9,'ACCII GHG Compliance'!E9,'Current GHG Compliance'!E9)+IF(Table44[[#This Row],[Cold]:[Cold]]="Y",'Cold Weather Package'!E9,0)+IF(Table44[[#This Row],[eAWD]:[eAWD]]="Y",'eAWD Package'!E9,0)+IF(Table44[[#This Row],[Towing]:[Towing]]="Y",'Towing Bat Cost'!E9,0),"N/A")</f>
        <v>N/A</v>
      </c>
      <c r="J158" s="23" t="str">
        <f>IF(Table44[[#This Row],[Applicable Package?]:[Applicable Package?]]="Y",SUM('Rolled Up Non-Incremental Costs'!F9,'ICE Removal Cost'!F9,'Trans Removal Cost'!F9,'LEV3 Criteria Emissions Cost'!F9,'ZEV Assembly Reductions'!F9,'ACCII Criteria Compliance Cost'!F9,'ACCII GHG Compliance'!F9,'Current GHG Compliance'!F9)+IF(Table44[[#This Row],[Cold]:[Cold]]="Y",'Cold Weather Package'!F9,0)+IF(Table44[[#This Row],[eAWD]:[eAWD]]="Y",'eAWD Package'!F9,0)+IF(Table44[[#This Row],[Towing]:[Towing]]="Y",'Towing Bat Cost'!F9,0),"N/A")</f>
        <v>N/A</v>
      </c>
      <c r="K158" s="23" t="str">
        <f>IF(Table44[[#This Row],[Applicable Package?]:[Applicable Package?]]="Y",SUM('Rolled Up Non-Incremental Costs'!G9,'ICE Removal Cost'!G9,'Trans Removal Cost'!G9,'LEV3 Criteria Emissions Cost'!G9,'ZEV Assembly Reductions'!G9,'ACCII Criteria Compliance Cost'!G9,'ACCII GHG Compliance'!G9,'Current GHG Compliance'!G9)+IF(Table44[[#This Row],[Cold]:[Cold]]="Y",'Cold Weather Package'!G9,0)+IF(Table44[[#This Row],[eAWD]:[eAWD]]="Y",'eAWD Package'!G9,0)+IF(Table44[[#This Row],[Towing]:[Towing]]="Y",'Towing Bat Cost'!G9,0),"N/A")</f>
        <v>N/A</v>
      </c>
      <c r="L158" s="23" t="str">
        <f>IF(Table44[[#This Row],[Applicable Package?]:[Applicable Package?]]="Y",SUM('Rolled Up Non-Incremental Costs'!H9,'ICE Removal Cost'!H9,'Trans Removal Cost'!H9,'LEV3 Criteria Emissions Cost'!H9,'ZEV Assembly Reductions'!H9,'ACCII Criteria Compliance Cost'!H9,'ACCII GHG Compliance'!H9,'Current GHG Compliance'!H9)+IF(Table44[[#This Row],[Cold]:[Cold]]="Y",'Cold Weather Package'!H9,0)+IF(Table44[[#This Row],[eAWD]:[eAWD]]="Y",'eAWD Package'!H9,0)+IF(Table44[[#This Row],[Towing]:[Towing]]="Y",'Towing Bat Cost'!H9,0),"N/A")</f>
        <v>N/A</v>
      </c>
      <c r="M158" s="23" t="str">
        <f>IF(Table44[[#This Row],[Applicable Package?]:[Applicable Package?]]="Y",SUM('Rolled Up Non-Incremental Costs'!I9,'ICE Removal Cost'!I9,'Trans Removal Cost'!I9,'LEV3 Criteria Emissions Cost'!I9,'ZEV Assembly Reductions'!I9,'ACCII Criteria Compliance Cost'!I9,'ACCII GHG Compliance'!I9,'Current GHG Compliance'!I9)+IF(Table44[[#This Row],[Cold]:[Cold]]="Y",'Cold Weather Package'!I9,0)+IF(Table44[[#This Row],[eAWD]:[eAWD]]="Y",'eAWD Package'!I9,0)+IF(Table44[[#This Row],[Towing]:[Towing]]="Y",'Towing Bat Cost'!I9,0),"N/A")</f>
        <v>N/A</v>
      </c>
      <c r="N158" s="23" t="str">
        <f>IF(Table44[[#This Row],[Applicable Package?]:[Applicable Package?]]="Y",SUM('Rolled Up Non-Incremental Costs'!J9,'ICE Removal Cost'!J9,'Trans Removal Cost'!J9,'LEV3 Criteria Emissions Cost'!J9,'ZEV Assembly Reductions'!J9,'ACCII Criteria Compliance Cost'!J9,'ACCII GHG Compliance'!J9,'Current GHG Compliance'!J9)+IF(Table44[[#This Row],[Cold]:[Cold]]="Y",'Cold Weather Package'!J9,0)+IF(Table44[[#This Row],[eAWD]:[eAWD]]="Y",'eAWD Package'!J9,0)+IF(Table44[[#This Row],[Towing]:[Towing]]="Y",'Towing Bat Cost'!J9,0),"N/A")</f>
        <v>N/A</v>
      </c>
      <c r="O158" s="23" t="str">
        <f>IF(Table44[[#This Row],[Applicable Package?]:[Applicable Package?]]="Y",SUM('Rolled Up Non-Incremental Costs'!K9,'ICE Removal Cost'!K9,'Trans Removal Cost'!K9,'LEV3 Criteria Emissions Cost'!K9,'ZEV Assembly Reductions'!K9,'ACCII Criteria Compliance Cost'!K9,'ACCII GHG Compliance'!K9,'Current GHG Compliance'!K9)+IF(Table44[[#This Row],[Cold]:[Cold]]="Y",'Cold Weather Package'!K9,0)+IF(Table44[[#This Row],[eAWD]:[eAWD]]="Y",'eAWD Package'!K9,0)+IF(Table44[[#This Row],[Towing]:[Towing]]="Y",'Towing Bat Cost'!K9,0),"N/A")</f>
        <v>N/A</v>
      </c>
      <c r="P158" s="23" t="str">
        <f>IF(Table44[[#This Row],[Applicable Package?]:[Applicable Package?]]="Y",SUM('Rolled Up Non-Incremental Costs'!L9,'ICE Removal Cost'!L9,'Trans Removal Cost'!L9,'LEV3 Criteria Emissions Cost'!L9,'ZEV Assembly Reductions'!L9,'ACCII Criteria Compliance Cost'!L9,'ACCII GHG Compliance'!L9,'Current GHG Compliance'!L9)+IF(Table44[[#This Row],[Cold]:[Cold]]="Y",'Cold Weather Package'!L9,0)+IF(Table44[[#This Row],[eAWD]:[eAWD]]="Y",'eAWD Package'!L9,0)+IF(Table44[[#This Row],[Towing]:[Towing]]="Y",'Towing Bat Cost'!L9,0),"N/A")</f>
        <v>N/A</v>
      </c>
      <c r="Q158" s="23" t="str">
        <f>IF(Table44[[#This Row],[Applicable Package?]:[Applicable Package?]]="Y",SUM('Rolled Up Non-Incremental Costs'!M9,'ICE Removal Cost'!M9,'Trans Removal Cost'!M9,'LEV3 Criteria Emissions Cost'!M9,'ZEV Assembly Reductions'!M9,'ACCII Criteria Compliance Cost'!M9,'ACCII GHG Compliance'!M9,'Current GHG Compliance'!M9)+IF(Table44[[#This Row],[Cold]:[Cold]]="Y",'Cold Weather Package'!M9,0)+IF(Table44[[#This Row],[eAWD]:[eAWD]]="Y",'eAWD Package'!M9,0)+IF(Table44[[#This Row],[Towing]:[Towing]]="Y",'Towing Bat Cost'!M9,0),"N/A")</f>
        <v>N/A</v>
      </c>
      <c r="R158" s="23" t="str">
        <f>IF(Table44[[#This Row],[Applicable Package?]:[Applicable Package?]]="Y",SUM('Rolled Up Non-Incremental Costs'!N9,'ICE Removal Cost'!N9,'Trans Removal Cost'!N9,'LEV3 Criteria Emissions Cost'!N9,'ZEV Assembly Reductions'!N9,'ACCII Criteria Compliance Cost'!N9,'ACCII GHG Compliance'!N9,'Current GHG Compliance'!N9)+IF(Table44[[#This Row],[Cold]:[Cold]]="Y",'Cold Weather Package'!N9,0)+IF(Table44[[#This Row],[eAWD]:[eAWD]]="Y",'eAWD Package'!N9,0)+IF(Table44[[#This Row],[Towing]:[Towing]]="Y",'Towing Bat Cost'!N9,0),"N/A")</f>
        <v>N/A</v>
      </c>
      <c r="S158" s="23" t="str">
        <f>IF(Table44[[#This Row],[Applicable Package?]:[Applicable Package?]]="Y",SUM('Rolled Up Non-Incremental Costs'!O9,'ICE Removal Cost'!O9,'Trans Removal Cost'!O9,'LEV3 Criteria Emissions Cost'!O9,'ZEV Assembly Reductions'!O9,'ACCII Criteria Compliance Cost'!O9,'ACCII GHG Compliance'!O9,'Current GHG Compliance'!O9)+IF(Table44[[#This Row],[Cold]:[Cold]]="Y",'Cold Weather Package'!O9,0)+IF(Table44[[#This Row],[eAWD]:[eAWD]]="Y",'eAWD Package'!O9,0)+IF(Table44[[#This Row],[Towing]:[Towing]]="Y",'Towing Bat Cost'!O9,0),"N/A")</f>
        <v>N/A</v>
      </c>
    </row>
    <row r="159" spans="1:19" hidden="1" x14ac:dyDescent="0.3">
      <c r="A159" s="28" t="str">
        <f t="shared" si="4"/>
        <v>SmallSUVBaseBEV300</v>
      </c>
      <c r="B159" s="90" t="s">
        <v>83</v>
      </c>
      <c r="C159" s="68" t="s">
        <v>80</v>
      </c>
      <c r="D159" s="68" t="str">
        <f>'Vehicle Attributes - Base Year'!D7</f>
        <v>BEV400</v>
      </c>
      <c r="E159" s="124" t="s">
        <v>76</v>
      </c>
      <c r="F159" s="124" t="s">
        <v>77</v>
      </c>
      <c r="G159" s="125" t="s">
        <v>76</v>
      </c>
      <c r="H159" s="125" t="s">
        <v>77</v>
      </c>
      <c r="I159" s="23" t="str">
        <f>IF(Table44[[#This Row],[Applicable Package?]:[Applicable Package?]]="Y",SUM('Rolled Up Non-Incremental Costs'!E10,'ICE Removal Cost'!E10,'Trans Removal Cost'!E10,'LEV3 Criteria Emissions Cost'!E10,'ZEV Assembly Reductions'!E10,'ACCII Criteria Compliance Cost'!E10,'ACCII GHG Compliance'!E10,'Current GHG Compliance'!E10)+IF(Table44[[#This Row],[Cold]:[Cold]]="Y",'Cold Weather Package'!E10,0)+IF(Table44[[#This Row],[eAWD]:[eAWD]]="Y",'eAWD Package'!E10,0)+IF(Table44[[#This Row],[Towing]:[Towing]]="Y",'Towing Bat Cost'!E10,0),"N/A")</f>
        <v>N/A</v>
      </c>
      <c r="J159" s="23" t="str">
        <f>IF(Table44[[#This Row],[Applicable Package?]:[Applicable Package?]]="Y",SUM('Rolled Up Non-Incremental Costs'!F10,'ICE Removal Cost'!F10,'Trans Removal Cost'!F10,'LEV3 Criteria Emissions Cost'!F10,'ZEV Assembly Reductions'!F10,'ACCII Criteria Compliance Cost'!F10,'ACCII GHG Compliance'!F10,'Current GHG Compliance'!F10)+IF(Table44[[#This Row],[Cold]:[Cold]]="Y",'Cold Weather Package'!F10,0)+IF(Table44[[#This Row],[eAWD]:[eAWD]]="Y",'eAWD Package'!F10,0)+IF(Table44[[#This Row],[Towing]:[Towing]]="Y",'Towing Bat Cost'!F10,0),"N/A")</f>
        <v>N/A</v>
      </c>
      <c r="K159" s="23" t="str">
        <f>IF(Table44[[#This Row],[Applicable Package?]:[Applicable Package?]]="Y",SUM('Rolled Up Non-Incremental Costs'!G10,'ICE Removal Cost'!G10,'Trans Removal Cost'!G10,'LEV3 Criteria Emissions Cost'!G10,'ZEV Assembly Reductions'!G10,'ACCII Criteria Compliance Cost'!G10,'ACCII GHG Compliance'!G10,'Current GHG Compliance'!G10)+IF(Table44[[#This Row],[Cold]:[Cold]]="Y",'Cold Weather Package'!G10,0)+IF(Table44[[#This Row],[eAWD]:[eAWD]]="Y",'eAWD Package'!G10,0)+IF(Table44[[#This Row],[Towing]:[Towing]]="Y",'Towing Bat Cost'!G10,0),"N/A")</f>
        <v>N/A</v>
      </c>
      <c r="L159" s="23" t="str">
        <f>IF(Table44[[#This Row],[Applicable Package?]:[Applicable Package?]]="Y",SUM('Rolled Up Non-Incremental Costs'!H10,'ICE Removal Cost'!H10,'Trans Removal Cost'!H10,'LEV3 Criteria Emissions Cost'!H10,'ZEV Assembly Reductions'!H10,'ACCII Criteria Compliance Cost'!H10,'ACCII GHG Compliance'!H10,'Current GHG Compliance'!H10)+IF(Table44[[#This Row],[Cold]:[Cold]]="Y",'Cold Weather Package'!H10,0)+IF(Table44[[#This Row],[eAWD]:[eAWD]]="Y",'eAWD Package'!H10,0)+IF(Table44[[#This Row],[Towing]:[Towing]]="Y",'Towing Bat Cost'!H10,0),"N/A")</f>
        <v>N/A</v>
      </c>
      <c r="M159" s="23" t="str">
        <f>IF(Table44[[#This Row],[Applicable Package?]:[Applicable Package?]]="Y",SUM('Rolled Up Non-Incremental Costs'!I10,'ICE Removal Cost'!I10,'Trans Removal Cost'!I10,'LEV3 Criteria Emissions Cost'!I10,'ZEV Assembly Reductions'!I10,'ACCII Criteria Compliance Cost'!I10,'ACCII GHG Compliance'!I10,'Current GHG Compliance'!I10)+IF(Table44[[#This Row],[Cold]:[Cold]]="Y",'Cold Weather Package'!I10,0)+IF(Table44[[#This Row],[eAWD]:[eAWD]]="Y",'eAWD Package'!I10,0)+IF(Table44[[#This Row],[Towing]:[Towing]]="Y",'Towing Bat Cost'!I10,0),"N/A")</f>
        <v>N/A</v>
      </c>
      <c r="N159" s="23" t="str">
        <f>IF(Table44[[#This Row],[Applicable Package?]:[Applicable Package?]]="Y",SUM('Rolled Up Non-Incremental Costs'!J10,'ICE Removal Cost'!J10,'Trans Removal Cost'!J10,'LEV3 Criteria Emissions Cost'!J10,'ZEV Assembly Reductions'!J10,'ACCII Criteria Compliance Cost'!J10,'ACCII GHG Compliance'!J10,'Current GHG Compliance'!J10)+IF(Table44[[#This Row],[Cold]:[Cold]]="Y",'Cold Weather Package'!J10,0)+IF(Table44[[#This Row],[eAWD]:[eAWD]]="Y",'eAWD Package'!J10,0)+IF(Table44[[#This Row],[Towing]:[Towing]]="Y",'Towing Bat Cost'!J10,0),"N/A")</f>
        <v>N/A</v>
      </c>
      <c r="O159" s="23" t="str">
        <f>IF(Table44[[#This Row],[Applicable Package?]:[Applicable Package?]]="Y",SUM('Rolled Up Non-Incremental Costs'!K10,'ICE Removal Cost'!K10,'Trans Removal Cost'!K10,'LEV3 Criteria Emissions Cost'!K10,'ZEV Assembly Reductions'!K10,'ACCII Criteria Compliance Cost'!K10,'ACCII GHG Compliance'!K10,'Current GHG Compliance'!K10)+IF(Table44[[#This Row],[Cold]:[Cold]]="Y",'Cold Weather Package'!K10,0)+IF(Table44[[#This Row],[eAWD]:[eAWD]]="Y",'eAWD Package'!K10,0)+IF(Table44[[#This Row],[Towing]:[Towing]]="Y",'Towing Bat Cost'!K10,0),"N/A")</f>
        <v>N/A</v>
      </c>
      <c r="P159" s="23" t="str">
        <f>IF(Table44[[#This Row],[Applicable Package?]:[Applicable Package?]]="Y",SUM('Rolled Up Non-Incremental Costs'!L10,'ICE Removal Cost'!L10,'Trans Removal Cost'!L10,'LEV3 Criteria Emissions Cost'!L10,'ZEV Assembly Reductions'!L10,'ACCII Criteria Compliance Cost'!L10,'ACCII GHG Compliance'!L10,'Current GHG Compliance'!L10)+IF(Table44[[#This Row],[Cold]:[Cold]]="Y",'Cold Weather Package'!L10,0)+IF(Table44[[#This Row],[eAWD]:[eAWD]]="Y",'eAWD Package'!L10,0)+IF(Table44[[#This Row],[Towing]:[Towing]]="Y",'Towing Bat Cost'!L10,0),"N/A")</f>
        <v>N/A</v>
      </c>
      <c r="Q159" s="23" t="str">
        <f>IF(Table44[[#This Row],[Applicable Package?]:[Applicable Package?]]="Y",SUM('Rolled Up Non-Incremental Costs'!M10,'ICE Removal Cost'!M10,'Trans Removal Cost'!M10,'LEV3 Criteria Emissions Cost'!M10,'ZEV Assembly Reductions'!M10,'ACCII Criteria Compliance Cost'!M10,'ACCII GHG Compliance'!M10,'Current GHG Compliance'!M10)+IF(Table44[[#This Row],[Cold]:[Cold]]="Y",'Cold Weather Package'!M10,0)+IF(Table44[[#This Row],[eAWD]:[eAWD]]="Y",'eAWD Package'!M10,0)+IF(Table44[[#This Row],[Towing]:[Towing]]="Y",'Towing Bat Cost'!M10,0),"N/A")</f>
        <v>N/A</v>
      </c>
      <c r="R159" s="23" t="str">
        <f>IF(Table44[[#This Row],[Applicable Package?]:[Applicable Package?]]="Y",SUM('Rolled Up Non-Incremental Costs'!N10,'ICE Removal Cost'!N10,'Trans Removal Cost'!N10,'LEV3 Criteria Emissions Cost'!N10,'ZEV Assembly Reductions'!N10,'ACCII Criteria Compliance Cost'!N10,'ACCII GHG Compliance'!N10,'Current GHG Compliance'!N10)+IF(Table44[[#This Row],[Cold]:[Cold]]="Y",'Cold Weather Package'!N10,0)+IF(Table44[[#This Row],[eAWD]:[eAWD]]="Y",'eAWD Package'!N10,0)+IF(Table44[[#This Row],[Towing]:[Towing]]="Y",'Towing Bat Cost'!N10,0),"N/A")</f>
        <v>N/A</v>
      </c>
      <c r="S159" s="23" t="str">
        <f>IF(Table44[[#This Row],[Applicable Package?]:[Applicable Package?]]="Y",SUM('Rolled Up Non-Incremental Costs'!O10,'ICE Removal Cost'!O10,'Trans Removal Cost'!O10,'LEV3 Criteria Emissions Cost'!O10,'ZEV Assembly Reductions'!O10,'ACCII Criteria Compliance Cost'!O10,'ACCII GHG Compliance'!O10,'Current GHG Compliance'!O10)+IF(Table44[[#This Row],[Cold]:[Cold]]="Y",'Cold Weather Package'!O10,0)+IF(Table44[[#This Row],[eAWD]:[eAWD]]="Y",'eAWD Package'!O10,0)+IF(Table44[[#This Row],[Towing]:[Towing]]="Y",'Towing Bat Cost'!O10,0),"N/A")</f>
        <v>N/A</v>
      </c>
    </row>
    <row r="160" spans="1:19" hidden="1" x14ac:dyDescent="0.3">
      <c r="A160" t="str">
        <f t="shared" si="4"/>
        <v>SmallSUVPremiumBEV400</v>
      </c>
      <c r="B160" s="90" t="s">
        <v>86</v>
      </c>
      <c r="C160" s="68" t="s">
        <v>75</v>
      </c>
      <c r="D160" s="68" t="str">
        <f>'Vehicle Attributes - Base Year'!D8</f>
        <v>BEV300</v>
      </c>
      <c r="E160" s="124" t="s">
        <v>76</v>
      </c>
      <c r="F160" s="124" t="s">
        <v>77</v>
      </c>
      <c r="G160" s="125" t="s">
        <v>76</v>
      </c>
      <c r="H160" s="125" t="s">
        <v>76</v>
      </c>
      <c r="I160" s="23">
        <f>IF(Table44[[#This Row],[Applicable Package?]:[Applicable Package?]]="Y",SUM('Rolled Up Non-Incremental Costs'!E11,'ICE Removal Cost'!E11,'Trans Removal Cost'!E11,'LEV3 Criteria Emissions Cost'!E11,'ZEV Assembly Reductions'!E11,'ACCII Criteria Compliance Cost'!E11,'ACCII GHG Compliance'!E11,'Current GHG Compliance'!E11)+IF(Table44[[#This Row],[Cold]:[Cold]]="Y",'Cold Weather Package'!E11,0)+IF(Table44[[#This Row],[eAWD]:[eAWD]]="Y",'eAWD Package'!E11,0)+IF(Table44[[#This Row],[Towing]:[Towing]]="Y",'Towing Bat Cost'!E11,0),"N/A")</f>
        <v>14917.960887050971</v>
      </c>
      <c r="J160" s="23">
        <f>IF(Table44[[#This Row],[Applicable Package?]:[Applicable Package?]]="Y",SUM('Rolled Up Non-Incremental Costs'!F11,'ICE Removal Cost'!F11,'Trans Removal Cost'!F11,'LEV3 Criteria Emissions Cost'!F11,'ZEV Assembly Reductions'!F11,'ACCII Criteria Compliance Cost'!F11,'ACCII GHG Compliance'!F11,'Current GHG Compliance'!F11)+IF(Table44[[#This Row],[Cold]:[Cold]]="Y",'Cold Weather Package'!F11,0)+IF(Table44[[#This Row],[eAWD]:[eAWD]]="Y",'eAWD Package'!F11,0)+IF(Table44[[#This Row],[Towing]:[Towing]]="Y",'Towing Bat Cost'!F11,0),"N/A")</f>
        <v>13466.883508082617</v>
      </c>
      <c r="K160" s="23">
        <f>IF(Table44[[#This Row],[Applicable Package?]:[Applicable Package?]]="Y",SUM('Rolled Up Non-Incremental Costs'!G11,'ICE Removal Cost'!G11,'Trans Removal Cost'!G11,'LEV3 Criteria Emissions Cost'!G11,'ZEV Assembly Reductions'!G11,'ACCII Criteria Compliance Cost'!G11,'ACCII GHG Compliance'!G11,'Current GHG Compliance'!G11)+IF(Table44[[#This Row],[Cold]:[Cold]]="Y",'Cold Weather Package'!G11,0)+IF(Table44[[#This Row],[eAWD]:[eAWD]]="Y",'eAWD Package'!G11,0)+IF(Table44[[#This Row],[Towing]:[Towing]]="Y",'Towing Bat Cost'!G11,0),"N/A")</f>
        <v>12120.628306441751</v>
      </c>
      <c r="L160" s="23">
        <f>IF(Table44[[#This Row],[Applicable Package?]:[Applicable Package?]]="Y",SUM('Rolled Up Non-Incremental Costs'!H11,'ICE Removal Cost'!H11,'Trans Removal Cost'!H11,'LEV3 Criteria Emissions Cost'!H11,'ZEV Assembly Reductions'!H11,'ACCII Criteria Compliance Cost'!H11,'ACCII GHG Compliance'!H11,'Current GHG Compliance'!H11)+IF(Table44[[#This Row],[Cold]:[Cold]]="Y",'Cold Weather Package'!H11,0)+IF(Table44[[#This Row],[eAWD]:[eAWD]]="Y",'eAWD Package'!H11,0)+IF(Table44[[#This Row],[Towing]:[Towing]]="Y",'Towing Bat Cost'!H11,0),"N/A")</f>
        <v>10871.405314080999</v>
      </c>
      <c r="M160" s="23">
        <f>IF(Table44[[#This Row],[Applicable Package?]:[Applicable Package?]]="Y",SUM('Rolled Up Non-Incremental Costs'!I11,'ICE Removal Cost'!I11,'Trans Removal Cost'!I11,'LEV3 Criteria Emissions Cost'!I11,'ZEV Assembly Reductions'!I11,'ACCII Criteria Compliance Cost'!I11,'ACCII GHG Compliance'!I11,'Current GHG Compliance'!I11)+IF(Table44[[#This Row],[Cold]:[Cold]]="Y",'Cold Weather Package'!I11,0)+IF(Table44[[#This Row],[eAWD]:[eAWD]]="Y",'eAWD Package'!I11,0)+IF(Table44[[#This Row],[Towing]:[Towing]]="Y",'Towing Bat Cost'!I11,0),"N/A")</f>
        <v>9712.0057339928244</v>
      </c>
      <c r="N160" s="23">
        <f>IF(Table44[[#This Row],[Applicable Package?]:[Applicable Package?]]="Y",SUM('Rolled Up Non-Incremental Costs'!J11,'ICE Removal Cost'!J11,'Trans Removal Cost'!J11,'LEV3 Criteria Emissions Cost'!J11,'ZEV Assembly Reductions'!J11,'ACCII Criteria Compliance Cost'!J11,'ACCII GHG Compliance'!J11,'Current GHG Compliance'!J11)+IF(Table44[[#This Row],[Cold]:[Cold]]="Y",'Cold Weather Package'!J11,0)+IF(Table44[[#This Row],[eAWD]:[eAWD]]="Y",'eAWD Package'!J11,0)+IF(Table44[[#This Row],[Towing]:[Towing]]="Y",'Towing Bat Cost'!J11,0),"N/A")</f>
        <v>8847.9808340808377</v>
      </c>
      <c r="O160" s="23">
        <f>IF(Table44[[#This Row],[Applicable Package?]:[Applicable Package?]]="Y",SUM('Rolled Up Non-Incremental Costs'!K11,'ICE Removal Cost'!K11,'Trans Removal Cost'!K11,'LEV3 Criteria Emissions Cost'!K11,'ZEV Assembly Reductions'!K11,'ACCII Criteria Compliance Cost'!K11,'ACCII GHG Compliance'!K11,'Current GHG Compliance'!K11)+IF(Table44[[#This Row],[Cold]:[Cold]]="Y",'Cold Weather Package'!K11,0)+IF(Table44[[#This Row],[eAWD]:[eAWD]]="Y",'eAWD Package'!K11,0)+IF(Table44[[#This Row],[Towing]:[Towing]]="Y",'Towing Bat Cost'!K11,0),"N/A")</f>
        <v>8089.7482892838862</v>
      </c>
      <c r="P160" s="23">
        <f>IF(Table44[[#This Row],[Applicable Package?]:[Applicable Package?]]="Y",SUM('Rolled Up Non-Incremental Costs'!L11,'ICE Removal Cost'!L11,'Trans Removal Cost'!L11,'LEV3 Criteria Emissions Cost'!L11,'ZEV Assembly Reductions'!L11,'ACCII Criteria Compliance Cost'!L11,'ACCII GHG Compliance'!L11,'Current GHG Compliance'!L11)+IF(Table44[[#This Row],[Cold]:[Cold]]="Y",'Cold Weather Package'!L11,0)+IF(Table44[[#This Row],[eAWD]:[eAWD]]="Y",'eAWD Package'!L11,0)+IF(Table44[[#This Row],[Towing]:[Towing]]="Y",'Towing Bat Cost'!L11,0),"N/A")</f>
        <v>7370.7245572558777</v>
      </c>
      <c r="Q160" s="23">
        <f>IF(Table44[[#This Row],[Applicable Package?]:[Applicable Package?]]="Y",SUM('Rolled Up Non-Incremental Costs'!M11,'ICE Removal Cost'!M11,'Trans Removal Cost'!M11,'LEV3 Criteria Emissions Cost'!M11,'ZEV Assembly Reductions'!M11,'ACCII Criteria Compliance Cost'!M11,'ACCII GHG Compliance'!M11,'Current GHG Compliance'!M11)+IF(Table44[[#This Row],[Cold]:[Cold]]="Y",'Cold Weather Package'!M11,0)+IF(Table44[[#This Row],[eAWD]:[eAWD]]="Y",'eAWD Package'!M11,0)+IF(Table44[[#This Row],[Towing]:[Towing]]="Y",'Towing Bat Cost'!M11,0),"N/A")</f>
        <v>6688.7859996883017</v>
      </c>
      <c r="R160" s="23">
        <f>IF(Table44[[#This Row],[Applicable Package?]:[Applicable Package?]]="Y",SUM('Rolled Up Non-Incremental Costs'!N11,'ICE Removal Cost'!N11,'Trans Removal Cost'!N11,'LEV3 Criteria Emissions Cost'!N11,'ZEV Assembly Reductions'!N11,'ACCII Criteria Compliance Cost'!N11,'ACCII GHG Compliance'!N11,'Current GHG Compliance'!N11)+IF(Table44[[#This Row],[Cold]:[Cold]]="Y",'Cold Weather Package'!N11,0)+IF(Table44[[#This Row],[eAWD]:[eAWD]]="Y",'eAWD Package'!N11,0)+IF(Table44[[#This Row],[Towing]:[Towing]]="Y",'Towing Bat Cost'!N11,0),"N/A")</f>
        <v>6041.9250170281302</v>
      </c>
      <c r="S160" s="23">
        <f>IF(Table44[[#This Row],[Applicable Package?]:[Applicable Package?]]="Y",SUM('Rolled Up Non-Incremental Costs'!O11,'ICE Removal Cost'!O11,'Trans Removal Cost'!O11,'LEV3 Criteria Emissions Cost'!O11,'ZEV Assembly Reductions'!O11,'ACCII Criteria Compliance Cost'!O11,'ACCII GHG Compliance'!O11,'Current GHG Compliance'!O11)+IF(Table44[[#This Row],[Cold]:[Cold]]="Y",'Cold Weather Package'!O11,0)+IF(Table44[[#This Row],[eAWD]:[eAWD]]="Y",'eAWD Package'!O11,0)+IF(Table44[[#This Row],[Towing]:[Towing]]="Y",'Towing Bat Cost'!O11,0),"N/A")</f>
        <v>5428.2436976603694</v>
      </c>
    </row>
    <row r="161" spans="1:19" hidden="1" x14ac:dyDescent="0.3">
      <c r="A161" s="28" t="str">
        <f t="shared" si="4"/>
        <v>MedSUVBaseBEV300</v>
      </c>
      <c r="B161" s="90" t="s">
        <v>86</v>
      </c>
      <c r="C161" s="68" t="s">
        <v>80</v>
      </c>
      <c r="D161" s="68" t="str">
        <f>'Vehicle Attributes - Base Year'!D9</f>
        <v>BEV400</v>
      </c>
      <c r="E161" s="124" t="s">
        <v>76</v>
      </c>
      <c r="F161" s="124" t="s">
        <v>77</v>
      </c>
      <c r="G161" s="125" t="s">
        <v>76</v>
      </c>
      <c r="H161" s="125" t="s">
        <v>76</v>
      </c>
      <c r="I161" s="23">
        <f>IF(Table44[[#This Row],[Applicable Package?]:[Applicable Package?]]="Y",SUM('Rolled Up Non-Incremental Costs'!E12,'ICE Removal Cost'!E12,'Trans Removal Cost'!E12,'LEV3 Criteria Emissions Cost'!E12,'ZEV Assembly Reductions'!E12,'ACCII Criteria Compliance Cost'!E12,'ACCII GHG Compliance'!E12,'Current GHG Compliance'!E12)+IF(Table44[[#This Row],[Cold]:[Cold]]="Y",'Cold Weather Package'!E12,0)+IF(Table44[[#This Row],[eAWD]:[eAWD]]="Y",'eAWD Package'!E12,0)+IF(Table44[[#This Row],[Towing]:[Towing]]="Y",'Towing Bat Cost'!E12,0),"N/A")</f>
        <v>16814.689724310781</v>
      </c>
      <c r="J161" s="23">
        <f>IF(Table44[[#This Row],[Applicable Package?]:[Applicable Package?]]="Y",SUM('Rolled Up Non-Incremental Costs'!F12,'ICE Removal Cost'!F12,'Trans Removal Cost'!F12,'LEV3 Criteria Emissions Cost'!F12,'ZEV Assembly Reductions'!F12,'ACCII Criteria Compliance Cost'!F12,'ACCII GHG Compliance'!F12,'Current GHG Compliance'!F12)+IF(Table44[[#This Row],[Cold]:[Cold]]="Y",'Cold Weather Package'!F12,0)+IF(Table44[[#This Row],[eAWD]:[eAWD]]="Y",'eAWD Package'!F12,0)+IF(Table44[[#This Row],[Towing]:[Towing]]="Y",'Towing Bat Cost'!F12,0),"N/A")</f>
        <v>15220.142516390983</v>
      </c>
      <c r="K161" s="23">
        <f>IF(Table44[[#This Row],[Applicable Package?]:[Applicable Package?]]="Y",SUM('Rolled Up Non-Incremental Costs'!G12,'ICE Removal Cost'!G12,'Trans Removal Cost'!G12,'LEV3 Criteria Emissions Cost'!G12,'ZEV Assembly Reductions'!G12,'ACCII Criteria Compliance Cost'!G12,'ACCII GHG Compliance'!G12,'Current GHG Compliance'!G12)+IF(Table44[[#This Row],[Cold]:[Cold]]="Y",'Cold Weather Package'!G12,0)+IF(Table44[[#This Row],[eAWD]:[eAWD]]="Y",'eAWD Package'!G12,0)+IF(Table44[[#This Row],[Towing]:[Towing]]="Y",'Towing Bat Cost'!G12,0),"N/A")</f>
        <v>13740.773048742394</v>
      </c>
      <c r="L161" s="23">
        <f>IF(Table44[[#This Row],[Applicable Package?]:[Applicable Package?]]="Y",SUM('Rolled Up Non-Incremental Costs'!H12,'ICE Removal Cost'!H12,'Trans Removal Cost'!H12,'LEV3 Criteria Emissions Cost'!H12,'ZEV Assembly Reductions'!H12,'ACCII Criteria Compliance Cost'!H12,'ACCII GHG Compliance'!H12,'Current GHG Compliance'!H12)+IF(Table44[[#This Row],[Cold]:[Cold]]="Y",'Cold Weather Package'!H12,0)+IF(Table44[[#This Row],[eAWD]:[eAWD]]="Y",'eAWD Package'!H12,0)+IF(Table44[[#This Row],[Towing]:[Towing]]="Y",'Towing Bat Cost'!H12,0),"N/A")</f>
        <v>12368.021855141777</v>
      </c>
      <c r="M161" s="23">
        <f>IF(Table44[[#This Row],[Applicable Package?]:[Applicable Package?]]="Y",SUM('Rolled Up Non-Incremental Costs'!I12,'ICE Removal Cost'!I12,'Trans Removal Cost'!I12,'LEV3 Criteria Emissions Cost'!I12,'ZEV Assembly Reductions'!I12,'ACCII Criteria Compliance Cost'!I12,'ACCII GHG Compliance'!I12,'Current GHG Compliance'!I12)+IF(Table44[[#This Row],[Cold]:[Cold]]="Y",'Cold Weather Package'!I12,0)+IF(Table44[[#This Row],[eAWD]:[eAWD]]="Y",'eAWD Package'!I12,0)+IF(Table44[[#This Row],[Towing]:[Towing]]="Y",'Towing Bat Cost'!I12,0),"N/A")</f>
        <v>11093.968047998558</v>
      </c>
      <c r="N161" s="23">
        <f>IF(Table44[[#This Row],[Applicable Package?]:[Applicable Package?]]="Y",SUM('Rolled Up Non-Incremental Costs'!J12,'ICE Removal Cost'!J12,'Trans Removal Cost'!J12,'LEV3 Criteria Emissions Cost'!J12,'ZEV Assembly Reductions'!J12,'ACCII Criteria Compliance Cost'!J12,'ACCII GHG Compliance'!J12,'Current GHG Compliance'!J12)+IF(Table44[[#This Row],[Cold]:[Cold]]="Y",'Cold Weather Package'!J12,0)+IF(Table44[[#This Row],[eAWD]:[eAWD]]="Y",'eAWD Package'!J12,0)+IF(Table44[[#This Row],[Towing]:[Towing]]="Y",'Towing Bat Cost'!J12,0),"N/A")</f>
        <v>10144.467018317526</v>
      </c>
      <c r="O161" s="23">
        <f>IF(Table44[[#This Row],[Applicable Package?]:[Applicable Package?]]="Y",SUM('Rolled Up Non-Incremental Costs'!K12,'ICE Removal Cost'!K12,'Trans Removal Cost'!K12,'LEV3 Criteria Emissions Cost'!K12,'ZEV Assembly Reductions'!K12,'ACCII Criteria Compliance Cost'!K12,'ACCII GHG Compliance'!K12,'Current GHG Compliance'!K12)+IF(Table44[[#This Row],[Cold]:[Cold]]="Y",'Cold Weather Package'!K12,0)+IF(Table44[[#This Row],[eAWD]:[eAWD]]="Y",'eAWD Package'!K12,0)+IF(Table44[[#This Row],[Towing]:[Towing]]="Y",'Towing Bat Cost'!K12,0),"N/A")</f>
        <v>9311.2096870486148</v>
      </c>
      <c r="P161" s="23">
        <f>IF(Table44[[#This Row],[Applicable Package?]:[Applicable Package?]]="Y",SUM('Rolled Up Non-Incremental Costs'!L12,'ICE Removal Cost'!L12,'Trans Removal Cost'!L12,'LEV3 Criteria Emissions Cost'!L12,'ZEV Assembly Reductions'!L12,'ACCII Criteria Compliance Cost'!L12,'ACCII GHG Compliance'!L12,'Current GHG Compliance'!L12)+IF(Table44[[#This Row],[Cold]:[Cold]]="Y",'Cold Weather Package'!L12,0)+IF(Table44[[#This Row],[eAWD]:[eAWD]]="Y",'eAWD Package'!L12,0)+IF(Table44[[#This Row],[Towing]:[Towing]]="Y",'Towing Bat Cost'!L12,0),"N/A")</f>
        <v>8521.0354472868366</v>
      </c>
      <c r="Q161" s="23">
        <f>IF(Table44[[#This Row],[Applicable Package?]:[Applicable Package?]]="Y",SUM('Rolled Up Non-Incremental Costs'!M12,'ICE Removal Cost'!M12,'Trans Removal Cost'!M12,'LEV3 Criteria Emissions Cost'!M12,'ZEV Assembly Reductions'!M12,'ACCII Criteria Compliance Cost'!M12,'ACCII GHG Compliance'!M12,'Current GHG Compliance'!M12)+IF(Table44[[#This Row],[Cold]:[Cold]]="Y",'Cold Weather Package'!M12,0)+IF(Table44[[#This Row],[eAWD]:[eAWD]]="Y",'eAWD Package'!M12,0)+IF(Table44[[#This Row],[Towing]:[Towing]]="Y",'Towing Bat Cost'!M12,0),"N/A")</f>
        <v>7771.6108772459729</v>
      </c>
      <c r="R161" s="23">
        <f>IF(Table44[[#This Row],[Applicable Package?]:[Applicable Package?]]="Y",SUM('Rolled Up Non-Incremental Costs'!N12,'ICE Removal Cost'!N12,'Trans Removal Cost'!N12,'LEV3 Criteria Emissions Cost'!N12,'ZEV Assembly Reductions'!N12,'ACCII Criteria Compliance Cost'!N12,'ACCII GHG Compliance'!N12,'Current GHG Compliance'!N12)+IF(Table44[[#This Row],[Cold]:[Cold]]="Y",'Cold Weather Package'!N12,0)+IF(Table44[[#This Row],[eAWD]:[eAWD]]="Y",'eAWD Package'!N12,0)+IF(Table44[[#This Row],[Towing]:[Towing]]="Y",'Towing Bat Cost'!N12,0),"N/A")</f>
        <v>7060.7300562078699</v>
      </c>
      <c r="S161" s="23">
        <f>IF(Table44[[#This Row],[Applicable Package?]:[Applicable Package?]]="Y",SUM('Rolled Up Non-Incremental Costs'!O12,'ICE Removal Cost'!O12,'Trans Removal Cost'!O12,'LEV3 Criteria Emissions Cost'!O12,'ZEV Assembly Reductions'!O12,'ACCII Criteria Compliance Cost'!O12,'ACCII GHG Compliance'!O12,'Current GHG Compliance'!O12)+IF(Table44[[#This Row],[Cold]:[Cold]]="Y",'Cold Weather Package'!O12,0)+IF(Table44[[#This Row],[eAWD]:[eAWD]]="Y",'eAWD Package'!O12,0)+IF(Table44[[#This Row],[Towing]:[Towing]]="Y",'Towing Bat Cost'!O12,0),"N/A")</f>
        <v>6386.3075863766899</v>
      </c>
    </row>
    <row r="162" spans="1:19" hidden="1" x14ac:dyDescent="0.3">
      <c r="A162" t="str">
        <f t="shared" si="4"/>
        <v>MedSUVPremiumBEV400</v>
      </c>
      <c r="B162" s="90" t="s">
        <v>89</v>
      </c>
      <c r="C162" s="68" t="s">
        <v>75</v>
      </c>
      <c r="D162" s="68" t="str">
        <f>'Vehicle Attributes - Base Year'!D10</f>
        <v>BEV300</v>
      </c>
      <c r="E162" s="124" t="s">
        <v>76</v>
      </c>
      <c r="F162" s="124" t="s">
        <v>77</v>
      </c>
      <c r="G162" s="125" t="s">
        <v>76</v>
      </c>
      <c r="H162" s="125" t="s">
        <v>76</v>
      </c>
      <c r="I162" s="23">
        <f>IF(Table44[[#This Row],[Applicable Package?]:[Applicable Package?]]="Y",SUM('Rolled Up Non-Incremental Costs'!E13,'ICE Removal Cost'!E13,'Trans Removal Cost'!E13,'LEV3 Criteria Emissions Cost'!E13,'ZEV Assembly Reductions'!E13,'ACCII Criteria Compliance Cost'!E13,'ACCII GHG Compliance'!E13,'Current GHG Compliance'!E13)+IF(Table44[[#This Row],[Cold]:[Cold]]="Y",'Cold Weather Package'!E13,0)+IF(Table44[[#This Row],[eAWD]:[eAWD]]="Y",'eAWD Package'!E13,0)+IF(Table44[[#This Row],[Towing]:[Towing]]="Y",'Towing Bat Cost'!E13,0),"N/A")</f>
        <v>21039.881777911454</v>
      </c>
      <c r="J162" s="23">
        <f>IF(Table44[[#This Row],[Applicable Package?]:[Applicable Package?]]="Y",SUM('Rolled Up Non-Incremental Costs'!F13,'ICE Removal Cost'!F13,'Trans Removal Cost'!F13,'LEV3 Criteria Emissions Cost'!F13,'ZEV Assembly Reductions'!F13,'ACCII Criteria Compliance Cost'!F13,'ACCII GHG Compliance'!F13,'Current GHG Compliance'!F13)+IF(Table44[[#This Row],[Cold]:[Cold]]="Y",'Cold Weather Package'!F13,0)+IF(Table44[[#This Row],[eAWD]:[eAWD]]="Y",'eAWD Package'!F13,0)+IF(Table44[[#This Row],[Towing]:[Towing]]="Y",'Towing Bat Cost'!F13,0),"N/A")</f>
        <v>19118.703472857029</v>
      </c>
      <c r="K162" s="23">
        <f>IF(Table44[[#This Row],[Applicable Package?]:[Applicable Package?]]="Y",SUM('Rolled Up Non-Incremental Costs'!G13,'ICE Removal Cost'!G13,'Trans Removal Cost'!G13,'LEV3 Criteria Emissions Cost'!G13,'ZEV Assembly Reductions'!G13,'ACCII Criteria Compliance Cost'!G13,'ACCII GHG Compliance'!G13,'Current GHG Compliance'!G13)+IF(Table44[[#This Row],[Cold]:[Cold]]="Y",'Cold Weather Package'!G13,0)+IF(Table44[[#This Row],[eAWD]:[eAWD]]="Y",'eAWD Package'!G13,0)+IF(Table44[[#This Row],[Towing]:[Towing]]="Y",'Towing Bat Cost'!G13,0),"N/A")</f>
        <v>17337.198124578259</v>
      </c>
      <c r="L162" s="23">
        <f>IF(Table44[[#This Row],[Applicable Package?]:[Applicable Package?]]="Y",SUM('Rolled Up Non-Incremental Costs'!H13,'ICE Removal Cost'!H13,'Trans Removal Cost'!H13,'LEV3 Criteria Emissions Cost'!H13,'ZEV Assembly Reductions'!H13,'ACCII Criteria Compliance Cost'!H13,'ACCII GHG Compliance'!H13,'Current GHG Compliance'!H13)+IF(Table44[[#This Row],[Cold]:[Cold]]="Y",'Cold Weather Package'!H13,0)+IF(Table44[[#This Row],[eAWD]:[eAWD]]="Y",'eAWD Package'!H13,0)+IF(Table44[[#This Row],[Towing]:[Towing]]="Y",'Towing Bat Cost'!H13,0),"N/A")</f>
        <v>15684.976576888788</v>
      </c>
      <c r="M162" s="23">
        <f>IF(Table44[[#This Row],[Applicable Package?]:[Applicable Package?]]="Y",SUM('Rolled Up Non-Incremental Costs'!I13,'ICE Removal Cost'!I13,'Trans Removal Cost'!I13,'LEV3 Criteria Emissions Cost'!I13,'ZEV Assembly Reductions'!I13,'ACCII Criteria Compliance Cost'!I13,'ACCII GHG Compliance'!I13,'Current GHG Compliance'!I13)+IF(Table44[[#This Row],[Cold]:[Cold]]="Y",'Cold Weather Package'!I13,0)+IF(Table44[[#This Row],[eAWD]:[eAWD]]="Y",'eAWD Package'!I13,0)+IF(Table44[[#This Row],[Towing]:[Towing]]="Y",'Towing Bat Cost'!I13,0),"N/A")</f>
        <v>14152.424849811239</v>
      </c>
      <c r="N162" s="23">
        <f>IF(Table44[[#This Row],[Applicable Package?]:[Applicable Package?]]="Y",SUM('Rolled Up Non-Incremental Costs'!J13,'ICE Removal Cost'!J13,'Trans Removal Cost'!J13,'LEV3 Criteria Emissions Cost'!J13,'ZEV Assembly Reductions'!J13,'ACCII Criteria Compliance Cost'!J13,'ACCII GHG Compliance'!J13,'Current GHG Compliance'!J13)+IF(Table44[[#This Row],[Cold]:[Cold]]="Y",'Cold Weather Package'!J13,0)+IF(Table44[[#This Row],[eAWD]:[eAWD]]="Y",'eAWD Package'!J13,0)+IF(Table44[[#This Row],[Towing]:[Towing]]="Y",'Towing Bat Cost'!J13,0),"N/A")</f>
        <v>13013.717331789081</v>
      </c>
      <c r="O162" s="23">
        <f>IF(Table44[[#This Row],[Applicable Package?]:[Applicable Package?]]="Y",SUM('Rolled Up Non-Incremental Costs'!K13,'ICE Removal Cost'!K13,'Trans Removal Cost'!K13,'LEV3 Criteria Emissions Cost'!K13,'ZEV Assembly Reductions'!K13,'ACCII Criteria Compliance Cost'!K13,'ACCII GHG Compliance'!K13,'Current GHG Compliance'!K13)+IF(Table44[[#This Row],[Cold]:[Cold]]="Y",'Cold Weather Package'!K13,0)+IF(Table44[[#This Row],[eAWD]:[eAWD]]="Y",'eAWD Package'!K13,0)+IF(Table44[[#This Row],[Towing]:[Towing]]="Y",'Towing Bat Cost'!K13,0),"N/A")</f>
        <v>12015.982481398813</v>
      </c>
      <c r="P162" s="23">
        <f>IF(Table44[[#This Row],[Applicable Package?]:[Applicable Package?]]="Y",SUM('Rolled Up Non-Incremental Costs'!L13,'ICE Removal Cost'!L13,'Trans Removal Cost'!L13,'LEV3 Criteria Emissions Cost'!L13,'ZEV Assembly Reductions'!L13,'ACCII Criteria Compliance Cost'!L13,'ACCII GHG Compliance'!L13,'Current GHG Compliance'!L13)+IF(Table44[[#This Row],[Cold]:[Cold]]="Y",'Cold Weather Package'!L13,0)+IF(Table44[[#This Row],[eAWD]:[eAWD]]="Y",'eAWD Package'!L13,0)+IF(Table44[[#This Row],[Towing]:[Towing]]="Y",'Towing Bat Cost'!L13,0),"N/A")</f>
        <v>11070.409727332164</v>
      </c>
      <c r="Q162" s="23">
        <f>IF(Table44[[#This Row],[Applicable Package?]:[Applicable Package?]]="Y",SUM('Rolled Up Non-Incremental Costs'!M13,'ICE Removal Cost'!M13,'Trans Removal Cost'!M13,'LEV3 Criteria Emissions Cost'!M13,'ZEV Assembly Reductions'!M13,'ACCII Criteria Compliance Cost'!M13,'ACCII GHG Compliance'!M13,'Current GHG Compliance'!M13)+IF(Table44[[#This Row],[Cold]:[Cold]]="Y",'Cold Weather Package'!M13,0)+IF(Table44[[#This Row],[eAWD]:[eAWD]]="Y",'eAWD Package'!M13,0)+IF(Table44[[#This Row],[Towing]:[Towing]]="Y",'Towing Bat Cost'!M13,0),"N/A")</f>
        <v>10174.167833682764</v>
      </c>
      <c r="R162" s="23">
        <f>IF(Table44[[#This Row],[Applicable Package?]:[Applicable Package?]]="Y",SUM('Rolled Up Non-Incremental Costs'!N13,'ICE Removal Cost'!N13,'Trans Removal Cost'!N13,'LEV3 Criteria Emissions Cost'!N13,'ZEV Assembly Reductions'!N13,'ACCII Criteria Compliance Cost'!N13,'ACCII GHG Compliance'!N13,'Current GHG Compliance'!N13)+IF(Table44[[#This Row],[Cold]:[Cold]]="Y",'Cold Weather Package'!N13,0)+IF(Table44[[#This Row],[eAWD]:[eAWD]]="Y",'eAWD Package'!N13,0)+IF(Table44[[#This Row],[Towing]:[Towing]]="Y",'Towing Bat Cost'!N13,0),"N/A")</f>
        <v>9324.5803283214482</v>
      </c>
      <c r="S162" s="23">
        <f>IF(Table44[[#This Row],[Applicable Package?]:[Applicable Package?]]="Y",SUM('Rolled Up Non-Incremental Costs'!O13,'ICE Removal Cost'!O13,'Trans Removal Cost'!O13,'LEV3 Criteria Emissions Cost'!O13,'ZEV Assembly Reductions'!O13,'ACCII Criteria Compliance Cost'!O13,'ACCII GHG Compliance'!O13,'Current GHG Compliance'!O13)+IF(Table44[[#This Row],[Cold]:[Cold]]="Y",'Cold Weather Package'!O13,0)+IF(Table44[[#This Row],[eAWD]:[eAWD]]="Y",'eAWD Package'!O13,0)+IF(Table44[[#This Row],[Towing]:[Towing]]="Y",'Towing Bat Cost'!O13,0),"N/A")</f>
        <v>8519.1170320433375</v>
      </c>
    </row>
    <row r="163" spans="1:19" hidden="1" x14ac:dyDescent="0.3">
      <c r="A163" s="28" t="str">
        <f t="shared" si="4"/>
        <v>PickupBaseBEV300</v>
      </c>
      <c r="B163" s="90" t="s">
        <v>89</v>
      </c>
      <c r="C163" s="68" t="s">
        <v>113</v>
      </c>
      <c r="D163" s="68" t="str">
        <f>'Vehicle Attributes - Base Year'!D11</f>
        <v>BEV400</v>
      </c>
      <c r="E163" s="124" t="s">
        <v>76</v>
      </c>
      <c r="F163" s="124" t="s">
        <v>77</v>
      </c>
      <c r="G163" s="125" t="s">
        <v>76</v>
      </c>
      <c r="H163" s="125" t="s">
        <v>76</v>
      </c>
      <c r="I163" s="23">
        <f>IF(Table44[[#This Row],[Applicable Package?]:[Applicable Package?]]="Y",SUM('Rolled Up Non-Incremental Costs'!E14,'ICE Removal Cost'!E14,'Trans Removal Cost'!E14,'LEV3 Criteria Emissions Cost'!E14,'ZEV Assembly Reductions'!E14,'ACCII Criteria Compliance Cost'!E14,'ACCII GHG Compliance'!E14,'Current GHG Compliance'!E14)+IF(Table44[[#This Row],[Cold]:[Cold]]="Y",'Cold Weather Package'!E14,0)+IF(Table44[[#This Row],[eAWD]:[eAWD]]="Y",'eAWD Package'!E14,0)+IF(Table44[[#This Row],[Towing]:[Towing]]="Y",'Towing Bat Cost'!E14,0),"N/A")</f>
        <v>23743.628370927319</v>
      </c>
      <c r="J163" s="23">
        <f>IF(Table44[[#This Row],[Applicable Package?]:[Applicable Package?]]="Y",SUM('Rolled Up Non-Incremental Costs'!F14,'ICE Removal Cost'!F14,'Trans Removal Cost'!F14,'LEV3 Criteria Emissions Cost'!F14,'ZEV Assembly Reductions'!F14,'ACCII Criteria Compliance Cost'!F14,'ACCII GHG Compliance'!F14,'Current GHG Compliance'!F14)+IF(Table44[[#This Row],[Cold]:[Cold]]="Y",'Cold Weather Package'!F14,0)+IF(Table44[[#This Row],[eAWD]:[eAWD]]="Y",'eAWD Package'!F14,0)+IF(Table44[[#This Row],[Towing]:[Towing]]="Y",'Towing Bat Cost'!F14,0),"N/A")</f>
        <v>21652.288567037598</v>
      </c>
      <c r="K163" s="23">
        <f>IF(Table44[[#This Row],[Applicable Package?]:[Applicable Package?]]="Y",SUM('Rolled Up Non-Incremental Costs'!G14,'ICE Removal Cost'!G14,'Trans Removal Cost'!G14,'LEV3 Criteria Emissions Cost'!G14,'ZEV Assembly Reductions'!G14,'ACCII Criteria Compliance Cost'!G14,'ACCII GHG Compliance'!G14,'Current GHG Compliance'!G14)+IF(Table44[[#This Row],[Cold]:[Cold]]="Y",'Cold Weather Package'!G14,0)+IF(Table44[[#This Row],[eAWD]:[eAWD]]="Y",'eAWD Package'!G14,0)+IF(Table44[[#This Row],[Towing]:[Towing]]="Y",'Towing Bat Cost'!G14,0),"N/A")</f>
        <v>19713.007543968244</v>
      </c>
      <c r="L163" s="23">
        <f>IF(Table44[[#This Row],[Applicable Package?]:[Applicable Package?]]="Y",SUM('Rolled Up Non-Incremental Costs'!H14,'ICE Removal Cost'!H14,'Trans Removal Cost'!H14,'LEV3 Criteria Emissions Cost'!H14,'ZEV Assembly Reductions'!H14,'ACCII Criteria Compliance Cost'!H14,'ACCII GHG Compliance'!H14,'Current GHG Compliance'!H14)+IF(Table44[[#This Row],[Cold]:[Cold]]="Y",'Cold Weather Package'!H14,0)+IF(Table44[[#This Row],[eAWD]:[eAWD]]="Y",'eAWD Package'!H14,0)+IF(Table44[[#This Row],[Towing]:[Towing]]="Y",'Towing Bat Cost'!H14,0),"N/A")</f>
        <v>17914.474711086412</v>
      </c>
      <c r="M163" s="23">
        <f>IF(Table44[[#This Row],[Applicable Package?]:[Applicable Package?]]="Y",SUM('Rolled Up Non-Incremental Costs'!I14,'ICE Removal Cost'!I14,'Trans Removal Cost'!I14,'LEV3 Criteria Emissions Cost'!I14,'ZEV Assembly Reductions'!I14,'ACCII Criteria Compliance Cost'!I14,'ACCII GHG Compliance'!I14,'Current GHG Compliance'!I14)+IF(Table44[[#This Row],[Cold]:[Cold]]="Y",'Cold Weather Package'!I14,0)+IF(Table44[[#This Row],[eAWD]:[eAWD]]="Y",'eAWD Package'!I14,0)+IF(Table44[[#This Row],[Towing]:[Towing]]="Y",'Towing Bat Cost'!I14,0),"N/A")</f>
        <v>16246.223407376456</v>
      </c>
      <c r="N163" s="23">
        <f>IF(Table44[[#This Row],[Applicable Package?]:[Applicable Package?]]="Y",SUM('Rolled Up Non-Incremental Costs'!J14,'ICE Removal Cost'!J14,'Trans Removal Cost'!J14,'LEV3 Criteria Emissions Cost'!J14,'ZEV Assembly Reductions'!J14,'ACCII Criteria Compliance Cost'!J14,'ACCII GHG Compliance'!J14,'Current GHG Compliance'!J14)+IF(Table44[[#This Row],[Cold]:[Cold]]="Y",'Cold Weather Package'!J14,0)+IF(Table44[[#This Row],[eAWD]:[eAWD]]="Y",'eAWD Package'!J14,0)+IF(Table44[[#This Row],[Towing]:[Towing]]="Y",'Towing Bat Cost'!J14,0),"N/A")</f>
        <v>15006.745726137071</v>
      </c>
      <c r="O163" s="23">
        <f>IF(Table44[[#This Row],[Applicable Package?]:[Applicable Package?]]="Y",SUM('Rolled Up Non-Incremental Costs'!K14,'ICE Removal Cost'!K14,'Trans Removal Cost'!K14,'LEV3 Criteria Emissions Cost'!K14,'ZEV Assembly Reductions'!K14,'ACCII Criteria Compliance Cost'!K14,'ACCII GHG Compliance'!K14,'Current GHG Compliance'!K14)+IF(Table44[[#This Row],[Cold]:[Cold]]="Y",'Cold Weather Package'!K14,0)+IF(Table44[[#This Row],[eAWD]:[eAWD]]="Y",'eAWD Package'!K14,0)+IF(Table44[[#This Row],[Towing]:[Towing]]="Y",'Towing Bat Cost'!K14,0),"N/A")</f>
        <v>13920.741906360377</v>
      </c>
      <c r="P163" s="23">
        <f>IF(Table44[[#This Row],[Applicable Package?]:[Applicable Package?]]="Y",SUM('Rolled Up Non-Incremental Costs'!L14,'ICE Removal Cost'!L14,'Trans Removal Cost'!L14,'LEV3 Criteria Emissions Cost'!L14,'ZEV Assembly Reductions'!L14,'ACCII Criteria Compliance Cost'!L14,'ACCII GHG Compliance'!L14,'Current GHG Compliance'!L14)+IF(Table44[[#This Row],[Cold]:[Cold]]="Y",'Cold Weather Package'!L14,0)+IF(Table44[[#This Row],[eAWD]:[eAWD]]="Y",'eAWD Package'!L14,0)+IF(Table44[[#This Row],[Towing]:[Towing]]="Y",'Towing Bat Cost'!L14,0),"N/A")</f>
        <v>12891.524415629166</v>
      </c>
      <c r="Q163" s="23">
        <f>IF(Table44[[#This Row],[Applicable Package?]:[Applicable Package?]]="Y",SUM('Rolled Up Non-Incremental Costs'!M14,'ICE Removal Cost'!M14,'Trans Removal Cost'!M14,'LEV3 Criteria Emissions Cost'!M14,'ZEV Assembly Reductions'!M14,'ACCII Criteria Compliance Cost'!M14,'ACCII GHG Compliance'!M14,'Current GHG Compliance'!M14)+IF(Table44[[#This Row],[Cold]:[Cold]]="Y",'Cold Weather Package'!M14,0)+IF(Table44[[#This Row],[eAWD]:[eAWD]]="Y",'eAWD Package'!M14,0)+IF(Table44[[#This Row],[Towing]:[Towing]]="Y",'Towing Bat Cost'!M14,0),"N/A")</f>
        <v>11916.01092622907</v>
      </c>
      <c r="R163" s="23">
        <f>IF(Table44[[#This Row],[Applicable Package?]:[Applicable Package?]]="Y",SUM('Rolled Up Non-Incremental Costs'!N14,'ICE Removal Cost'!N14,'Trans Removal Cost'!N14,'LEV3 Criteria Emissions Cost'!N14,'ZEV Assembly Reductions'!N14,'ACCII Criteria Compliance Cost'!N14,'ACCII GHG Compliance'!N14,'Current GHG Compliance'!N14)+IF(Table44[[#This Row],[Cold]:[Cold]]="Y",'Cold Weather Package'!N14,0)+IF(Table44[[#This Row],[eAWD]:[eAWD]]="Y",'eAWD Package'!N14,0)+IF(Table44[[#This Row],[Towing]:[Towing]]="Y",'Towing Bat Cost'!N14,0),"N/A")</f>
        <v>10991.287600650074</v>
      </c>
      <c r="S163" s="23">
        <f>IF(Table44[[#This Row],[Applicable Package?]:[Applicable Package?]]="Y",SUM('Rolled Up Non-Incremental Costs'!O14,'ICE Removal Cost'!O14,'Trans Removal Cost'!O14,'LEV3 Criteria Emissions Cost'!O14,'ZEV Assembly Reductions'!O14,'ACCII Criteria Compliance Cost'!O14,'ACCII GHG Compliance'!O14,'Current GHG Compliance'!O14)+IF(Table44[[#This Row],[Cold]:[Cold]]="Y",'Cold Weather Package'!O14,0)+IF(Table44[[#This Row],[eAWD]:[eAWD]]="Y",'eAWD Package'!O14,0)+IF(Table44[[#This Row],[Towing]:[Towing]]="Y",'Towing Bat Cost'!O14,0),"N/A")</f>
        <v>10114.599869420203</v>
      </c>
    </row>
    <row r="164" spans="1:19" hidden="1" x14ac:dyDescent="0.3">
      <c r="A164" t="str">
        <f t="shared" si="4"/>
        <v>PickupHTBEV400</v>
      </c>
      <c r="B164" s="90" t="s">
        <v>73</v>
      </c>
      <c r="C164" s="68" t="s">
        <v>75</v>
      </c>
      <c r="D164" s="68" t="str">
        <f>'Vehicle Attributes - Base Year'!D12</f>
        <v>PHEV50</v>
      </c>
      <c r="E164" s="124" t="s">
        <v>76</v>
      </c>
      <c r="F164" s="124" t="s">
        <v>77</v>
      </c>
      <c r="G164" s="125" t="s">
        <v>76</v>
      </c>
      <c r="H164" s="125" t="s">
        <v>77</v>
      </c>
      <c r="I164" s="23" t="str">
        <f>IF(Table44[[#This Row],[Applicable Package?]:[Applicable Package?]]="Y",SUM('Rolled Up Non-Incremental Costs'!E15,'ICE Removal Cost'!E15,'Trans Removal Cost'!E15,'LEV3 Criteria Emissions Cost'!E15,'ZEV Assembly Reductions'!E15,'ACCII Criteria Compliance Cost'!E15,'ACCII GHG Compliance'!E15,'Current GHG Compliance'!E15)+IF(Table44[[#This Row],[Cold]:[Cold]]="Y",'Cold Weather Package'!E15,0)+IF(Table44[[#This Row],[eAWD]:[eAWD]]="Y",'eAWD Package'!E15,0)+IF(Table44[[#This Row],[Towing]:[Towing]]="Y",'Towing Bat Cost'!E15,0),"N/A")</f>
        <v>N/A</v>
      </c>
      <c r="J164" s="23" t="str">
        <f>IF(Table44[[#This Row],[Applicable Package?]:[Applicable Package?]]="Y",SUM('Rolled Up Non-Incremental Costs'!F15,'ICE Removal Cost'!F15,'Trans Removal Cost'!F15,'LEV3 Criteria Emissions Cost'!F15,'ZEV Assembly Reductions'!F15,'ACCII Criteria Compliance Cost'!F15,'ACCII GHG Compliance'!F15,'Current GHG Compliance'!F15)+IF(Table44[[#This Row],[Cold]:[Cold]]="Y",'Cold Weather Package'!F15,0)+IF(Table44[[#This Row],[eAWD]:[eAWD]]="Y",'eAWD Package'!F15,0)+IF(Table44[[#This Row],[Towing]:[Towing]]="Y",'Towing Bat Cost'!F15,0),"N/A")</f>
        <v>N/A</v>
      </c>
      <c r="K164" s="23" t="str">
        <f>IF(Table44[[#This Row],[Applicable Package?]:[Applicable Package?]]="Y",SUM('Rolled Up Non-Incremental Costs'!G15,'ICE Removal Cost'!G15,'Trans Removal Cost'!G15,'LEV3 Criteria Emissions Cost'!G15,'ZEV Assembly Reductions'!G15,'ACCII Criteria Compliance Cost'!G15,'ACCII GHG Compliance'!G15,'Current GHG Compliance'!G15)+IF(Table44[[#This Row],[Cold]:[Cold]]="Y",'Cold Weather Package'!G15,0)+IF(Table44[[#This Row],[eAWD]:[eAWD]]="Y",'eAWD Package'!G15,0)+IF(Table44[[#This Row],[Towing]:[Towing]]="Y",'Towing Bat Cost'!G15,0),"N/A")</f>
        <v>N/A</v>
      </c>
      <c r="L164" s="23" t="str">
        <f>IF(Table44[[#This Row],[Applicable Package?]:[Applicable Package?]]="Y",SUM('Rolled Up Non-Incremental Costs'!H15,'ICE Removal Cost'!H15,'Trans Removal Cost'!H15,'LEV3 Criteria Emissions Cost'!H15,'ZEV Assembly Reductions'!H15,'ACCII Criteria Compliance Cost'!H15,'ACCII GHG Compliance'!H15,'Current GHG Compliance'!H15)+IF(Table44[[#This Row],[Cold]:[Cold]]="Y",'Cold Weather Package'!H15,0)+IF(Table44[[#This Row],[eAWD]:[eAWD]]="Y",'eAWD Package'!H15,0)+IF(Table44[[#This Row],[Towing]:[Towing]]="Y",'Towing Bat Cost'!H15,0),"N/A")</f>
        <v>N/A</v>
      </c>
      <c r="M164" s="23" t="str">
        <f>IF(Table44[[#This Row],[Applicable Package?]:[Applicable Package?]]="Y",SUM('Rolled Up Non-Incremental Costs'!I15,'ICE Removal Cost'!I15,'Trans Removal Cost'!I15,'LEV3 Criteria Emissions Cost'!I15,'ZEV Assembly Reductions'!I15,'ACCII Criteria Compliance Cost'!I15,'ACCII GHG Compliance'!I15,'Current GHG Compliance'!I15)+IF(Table44[[#This Row],[Cold]:[Cold]]="Y",'Cold Weather Package'!I15,0)+IF(Table44[[#This Row],[eAWD]:[eAWD]]="Y",'eAWD Package'!I15,0)+IF(Table44[[#This Row],[Towing]:[Towing]]="Y",'Towing Bat Cost'!I15,0),"N/A")</f>
        <v>N/A</v>
      </c>
      <c r="N164" s="23" t="str">
        <f>IF(Table44[[#This Row],[Applicable Package?]:[Applicable Package?]]="Y",SUM('Rolled Up Non-Incremental Costs'!J15,'ICE Removal Cost'!J15,'Trans Removal Cost'!J15,'LEV3 Criteria Emissions Cost'!J15,'ZEV Assembly Reductions'!J15,'ACCII Criteria Compliance Cost'!J15,'ACCII GHG Compliance'!J15,'Current GHG Compliance'!J15)+IF(Table44[[#This Row],[Cold]:[Cold]]="Y",'Cold Weather Package'!J15,0)+IF(Table44[[#This Row],[eAWD]:[eAWD]]="Y",'eAWD Package'!J15,0)+IF(Table44[[#This Row],[Towing]:[Towing]]="Y",'Towing Bat Cost'!J15,0),"N/A")</f>
        <v>N/A</v>
      </c>
      <c r="O164" s="23" t="str">
        <f>IF(Table44[[#This Row],[Applicable Package?]:[Applicable Package?]]="Y",SUM('Rolled Up Non-Incremental Costs'!K15,'ICE Removal Cost'!K15,'Trans Removal Cost'!K15,'LEV3 Criteria Emissions Cost'!K15,'ZEV Assembly Reductions'!K15,'ACCII Criteria Compliance Cost'!K15,'ACCII GHG Compliance'!K15,'Current GHG Compliance'!K15)+IF(Table44[[#This Row],[Cold]:[Cold]]="Y",'Cold Weather Package'!K15,0)+IF(Table44[[#This Row],[eAWD]:[eAWD]]="Y",'eAWD Package'!K15,0)+IF(Table44[[#This Row],[Towing]:[Towing]]="Y",'Towing Bat Cost'!K15,0),"N/A")</f>
        <v>N/A</v>
      </c>
      <c r="P164" s="23" t="str">
        <f>IF(Table44[[#This Row],[Applicable Package?]:[Applicable Package?]]="Y",SUM('Rolled Up Non-Incremental Costs'!L15,'ICE Removal Cost'!L15,'Trans Removal Cost'!L15,'LEV3 Criteria Emissions Cost'!L15,'ZEV Assembly Reductions'!L15,'ACCII Criteria Compliance Cost'!L15,'ACCII GHG Compliance'!L15,'Current GHG Compliance'!L15)+IF(Table44[[#This Row],[Cold]:[Cold]]="Y",'Cold Weather Package'!L15,0)+IF(Table44[[#This Row],[eAWD]:[eAWD]]="Y",'eAWD Package'!L15,0)+IF(Table44[[#This Row],[Towing]:[Towing]]="Y",'Towing Bat Cost'!L15,0),"N/A")</f>
        <v>N/A</v>
      </c>
      <c r="Q164" s="23" t="str">
        <f>IF(Table44[[#This Row],[Applicable Package?]:[Applicable Package?]]="Y",SUM('Rolled Up Non-Incremental Costs'!M15,'ICE Removal Cost'!M15,'Trans Removal Cost'!M15,'LEV3 Criteria Emissions Cost'!M15,'ZEV Assembly Reductions'!M15,'ACCII Criteria Compliance Cost'!M15,'ACCII GHG Compliance'!M15,'Current GHG Compliance'!M15)+IF(Table44[[#This Row],[Cold]:[Cold]]="Y",'Cold Weather Package'!M15,0)+IF(Table44[[#This Row],[eAWD]:[eAWD]]="Y",'eAWD Package'!M15,0)+IF(Table44[[#This Row],[Towing]:[Towing]]="Y",'Towing Bat Cost'!M15,0),"N/A")</f>
        <v>N/A</v>
      </c>
      <c r="R164" s="23" t="str">
        <f>IF(Table44[[#This Row],[Applicable Package?]:[Applicable Package?]]="Y",SUM('Rolled Up Non-Incremental Costs'!N15,'ICE Removal Cost'!N15,'Trans Removal Cost'!N15,'LEV3 Criteria Emissions Cost'!N15,'ZEV Assembly Reductions'!N15,'ACCII Criteria Compliance Cost'!N15,'ACCII GHG Compliance'!N15,'Current GHG Compliance'!N15)+IF(Table44[[#This Row],[Cold]:[Cold]]="Y",'Cold Weather Package'!N15,0)+IF(Table44[[#This Row],[eAWD]:[eAWD]]="Y",'eAWD Package'!N15,0)+IF(Table44[[#This Row],[Towing]:[Towing]]="Y",'Towing Bat Cost'!N15,0),"N/A")</f>
        <v>N/A</v>
      </c>
      <c r="S164" s="23" t="str">
        <f>IF(Table44[[#This Row],[Applicable Package?]:[Applicable Package?]]="Y",SUM('Rolled Up Non-Incremental Costs'!O15,'ICE Removal Cost'!O15,'Trans Removal Cost'!O15,'LEV3 Criteria Emissions Cost'!O15,'ZEV Assembly Reductions'!O15,'ACCII Criteria Compliance Cost'!O15,'ACCII GHG Compliance'!O15,'Current GHG Compliance'!O15)+IF(Table44[[#This Row],[Cold]:[Cold]]="Y",'Cold Weather Package'!O15,0)+IF(Table44[[#This Row],[eAWD]:[eAWD]]="Y",'eAWD Package'!O15,0)+IF(Table44[[#This Row],[Towing]:[Towing]]="Y",'Towing Bat Cost'!O15,0),"N/A")</f>
        <v>N/A</v>
      </c>
    </row>
    <row r="165" spans="1:19" hidden="1" x14ac:dyDescent="0.3">
      <c r="A165" s="28" t="str">
        <f t="shared" si="4"/>
        <v>SmallCarBasePHEV50</v>
      </c>
      <c r="B165" s="90" t="s">
        <v>73</v>
      </c>
      <c r="C165" s="68" t="s">
        <v>80</v>
      </c>
      <c r="D165" s="68" t="str">
        <f>'Vehicle Attributes - Base Year'!D13</f>
        <v>PHEV50</v>
      </c>
      <c r="E165" s="124" t="s">
        <v>76</v>
      </c>
      <c r="F165" s="124" t="s">
        <v>77</v>
      </c>
      <c r="G165" s="125" t="s">
        <v>76</v>
      </c>
      <c r="H165" s="125" t="s">
        <v>77</v>
      </c>
      <c r="I165" s="23" t="str">
        <f>IF(Table44[[#This Row],[Applicable Package?]:[Applicable Package?]]="Y",SUM('Rolled Up Non-Incremental Costs'!E16,'ICE Removal Cost'!E16,'Trans Removal Cost'!E16,'LEV3 Criteria Emissions Cost'!E16,'ZEV Assembly Reductions'!E16,'ACCII Criteria Compliance Cost'!E16,'ACCII GHG Compliance'!E16,'Current GHG Compliance'!E16)+IF(Table44[[#This Row],[Cold]:[Cold]]="Y",'Cold Weather Package'!E16,0)+IF(Table44[[#This Row],[eAWD]:[eAWD]]="Y",'eAWD Package'!E16,0)+IF(Table44[[#This Row],[Towing]:[Towing]]="Y",'Towing Bat Cost'!E16,0),"N/A")</f>
        <v>N/A</v>
      </c>
      <c r="J165" s="23" t="str">
        <f>IF(Table44[[#This Row],[Applicable Package?]:[Applicable Package?]]="Y",SUM('Rolled Up Non-Incremental Costs'!F16,'ICE Removal Cost'!F16,'Trans Removal Cost'!F16,'LEV3 Criteria Emissions Cost'!F16,'ZEV Assembly Reductions'!F16,'ACCII Criteria Compliance Cost'!F16,'ACCII GHG Compliance'!F16,'Current GHG Compliance'!F16)+IF(Table44[[#This Row],[Cold]:[Cold]]="Y",'Cold Weather Package'!F16,0)+IF(Table44[[#This Row],[eAWD]:[eAWD]]="Y",'eAWD Package'!F16,0)+IF(Table44[[#This Row],[Towing]:[Towing]]="Y",'Towing Bat Cost'!F16,0),"N/A")</f>
        <v>N/A</v>
      </c>
      <c r="K165" s="23" t="str">
        <f>IF(Table44[[#This Row],[Applicable Package?]:[Applicable Package?]]="Y",SUM('Rolled Up Non-Incremental Costs'!G16,'ICE Removal Cost'!G16,'Trans Removal Cost'!G16,'LEV3 Criteria Emissions Cost'!G16,'ZEV Assembly Reductions'!G16,'ACCII Criteria Compliance Cost'!G16,'ACCII GHG Compliance'!G16,'Current GHG Compliance'!G16)+IF(Table44[[#This Row],[Cold]:[Cold]]="Y",'Cold Weather Package'!G16,0)+IF(Table44[[#This Row],[eAWD]:[eAWD]]="Y",'eAWD Package'!G16,0)+IF(Table44[[#This Row],[Towing]:[Towing]]="Y",'Towing Bat Cost'!G16,0),"N/A")</f>
        <v>N/A</v>
      </c>
      <c r="L165" s="23" t="str">
        <f>IF(Table44[[#This Row],[Applicable Package?]:[Applicable Package?]]="Y",SUM('Rolled Up Non-Incremental Costs'!H16,'ICE Removal Cost'!H16,'Trans Removal Cost'!H16,'LEV3 Criteria Emissions Cost'!H16,'ZEV Assembly Reductions'!H16,'ACCII Criteria Compliance Cost'!H16,'ACCII GHG Compliance'!H16,'Current GHG Compliance'!H16)+IF(Table44[[#This Row],[Cold]:[Cold]]="Y",'Cold Weather Package'!H16,0)+IF(Table44[[#This Row],[eAWD]:[eAWD]]="Y",'eAWD Package'!H16,0)+IF(Table44[[#This Row],[Towing]:[Towing]]="Y",'Towing Bat Cost'!H16,0),"N/A")</f>
        <v>N/A</v>
      </c>
      <c r="M165" s="23" t="str">
        <f>IF(Table44[[#This Row],[Applicable Package?]:[Applicable Package?]]="Y",SUM('Rolled Up Non-Incremental Costs'!I16,'ICE Removal Cost'!I16,'Trans Removal Cost'!I16,'LEV3 Criteria Emissions Cost'!I16,'ZEV Assembly Reductions'!I16,'ACCII Criteria Compliance Cost'!I16,'ACCII GHG Compliance'!I16,'Current GHG Compliance'!I16)+IF(Table44[[#This Row],[Cold]:[Cold]]="Y",'Cold Weather Package'!I16,0)+IF(Table44[[#This Row],[eAWD]:[eAWD]]="Y",'eAWD Package'!I16,0)+IF(Table44[[#This Row],[Towing]:[Towing]]="Y",'Towing Bat Cost'!I16,0),"N/A")</f>
        <v>N/A</v>
      </c>
      <c r="N165" s="23" t="str">
        <f>IF(Table44[[#This Row],[Applicable Package?]:[Applicable Package?]]="Y",SUM('Rolled Up Non-Incremental Costs'!J16,'ICE Removal Cost'!J16,'Trans Removal Cost'!J16,'LEV3 Criteria Emissions Cost'!J16,'ZEV Assembly Reductions'!J16,'ACCII Criteria Compliance Cost'!J16,'ACCII GHG Compliance'!J16,'Current GHG Compliance'!J16)+IF(Table44[[#This Row],[Cold]:[Cold]]="Y",'Cold Weather Package'!J16,0)+IF(Table44[[#This Row],[eAWD]:[eAWD]]="Y",'eAWD Package'!J16,0)+IF(Table44[[#This Row],[Towing]:[Towing]]="Y",'Towing Bat Cost'!J16,0),"N/A")</f>
        <v>N/A</v>
      </c>
      <c r="O165" s="23" t="str">
        <f>IF(Table44[[#This Row],[Applicable Package?]:[Applicable Package?]]="Y",SUM('Rolled Up Non-Incremental Costs'!K16,'ICE Removal Cost'!K16,'Trans Removal Cost'!K16,'LEV3 Criteria Emissions Cost'!K16,'ZEV Assembly Reductions'!K16,'ACCII Criteria Compliance Cost'!K16,'ACCII GHG Compliance'!K16,'Current GHG Compliance'!K16)+IF(Table44[[#This Row],[Cold]:[Cold]]="Y",'Cold Weather Package'!K16,0)+IF(Table44[[#This Row],[eAWD]:[eAWD]]="Y",'eAWD Package'!K16,0)+IF(Table44[[#This Row],[Towing]:[Towing]]="Y",'Towing Bat Cost'!K16,0),"N/A")</f>
        <v>N/A</v>
      </c>
      <c r="P165" s="23" t="str">
        <f>IF(Table44[[#This Row],[Applicable Package?]:[Applicable Package?]]="Y",SUM('Rolled Up Non-Incremental Costs'!L16,'ICE Removal Cost'!L16,'Trans Removal Cost'!L16,'LEV3 Criteria Emissions Cost'!L16,'ZEV Assembly Reductions'!L16,'ACCII Criteria Compliance Cost'!L16,'ACCII GHG Compliance'!L16,'Current GHG Compliance'!L16)+IF(Table44[[#This Row],[Cold]:[Cold]]="Y",'Cold Weather Package'!L16,0)+IF(Table44[[#This Row],[eAWD]:[eAWD]]="Y",'eAWD Package'!L16,0)+IF(Table44[[#This Row],[Towing]:[Towing]]="Y",'Towing Bat Cost'!L16,0),"N/A")</f>
        <v>N/A</v>
      </c>
      <c r="Q165" s="23" t="str">
        <f>IF(Table44[[#This Row],[Applicable Package?]:[Applicable Package?]]="Y",SUM('Rolled Up Non-Incremental Costs'!M16,'ICE Removal Cost'!M16,'Trans Removal Cost'!M16,'LEV3 Criteria Emissions Cost'!M16,'ZEV Assembly Reductions'!M16,'ACCII Criteria Compliance Cost'!M16,'ACCII GHG Compliance'!M16,'Current GHG Compliance'!M16)+IF(Table44[[#This Row],[Cold]:[Cold]]="Y",'Cold Weather Package'!M16,0)+IF(Table44[[#This Row],[eAWD]:[eAWD]]="Y",'eAWD Package'!M16,0)+IF(Table44[[#This Row],[Towing]:[Towing]]="Y",'Towing Bat Cost'!M16,0),"N/A")</f>
        <v>N/A</v>
      </c>
      <c r="R165" s="23" t="str">
        <f>IF(Table44[[#This Row],[Applicable Package?]:[Applicable Package?]]="Y",SUM('Rolled Up Non-Incremental Costs'!N16,'ICE Removal Cost'!N16,'Trans Removal Cost'!N16,'LEV3 Criteria Emissions Cost'!N16,'ZEV Assembly Reductions'!N16,'ACCII Criteria Compliance Cost'!N16,'ACCII GHG Compliance'!N16,'Current GHG Compliance'!N16)+IF(Table44[[#This Row],[Cold]:[Cold]]="Y",'Cold Weather Package'!N16,0)+IF(Table44[[#This Row],[eAWD]:[eAWD]]="Y",'eAWD Package'!N16,0)+IF(Table44[[#This Row],[Towing]:[Towing]]="Y",'Towing Bat Cost'!N16,0),"N/A")</f>
        <v>N/A</v>
      </c>
      <c r="S165" s="23" t="str">
        <f>IF(Table44[[#This Row],[Applicable Package?]:[Applicable Package?]]="Y",SUM('Rolled Up Non-Incremental Costs'!O16,'ICE Removal Cost'!O16,'Trans Removal Cost'!O16,'LEV3 Criteria Emissions Cost'!O16,'ZEV Assembly Reductions'!O16,'ACCII Criteria Compliance Cost'!O16,'ACCII GHG Compliance'!O16,'Current GHG Compliance'!O16)+IF(Table44[[#This Row],[Cold]:[Cold]]="Y",'Cold Weather Package'!O16,0)+IF(Table44[[#This Row],[eAWD]:[eAWD]]="Y",'eAWD Package'!O16,0)+IF(Table44[[#This Row],[Towing]:[Towing]]="Y",'Towing Bat Cost'!O16,0),"N/A")</f>
        <v>N/A</v>
      </c>
    </row>
    <row r="166" spans="1:19" hidden="1" x14ac:dyDescent="0.3">
      <c r="A166" t="str">
        <f t="shared" si="4"/>
        <v>SmallCarPremiumPHEV50</v>
      </c>
      <c r="B166" s="90" t="s">
        <v>82</v>
      </c>
      <c r="C166" s="68" t="s">
        <v>75</v>
      </c>
      <c r="D166" s="68" t="str">
        <f>'Vehicle Attributes - Base Year'!D14</f>
        <v>PHEV50</v>
      </c>
      <c r="E166" s="124" t="s">
        <v>76</v>
      </c>
      <c r="F166" s="124" t="s">
        <v>77</v>
      </c>
      <c r="G166" s="125" t="s">
        <v>76</v>
      </c>
      <c r="H166" s="125" t="s">
        <v>77</v>
      </c>
      <c r="I166" s="23" t="str">
        <f>IF(Table44[[#This Row],[Applicable Package?]:[Applicable Package?]]="Y",SUM('Rolled Up Non-Incremental Costs'!E17,'ICE Removal Cost'!E17,'Trans Removal Cost'!E17,'LEV3 Criteria Emissions Cost'!E17,'ZEV Assembly Reductions'!E17,'ACCII Criteria Compliance Cost'!E17,'ACCII GHG Compliance'!E17,'Current GHG Compliance'!E17)+IF(Table44[[#This Row],[Cold]:[Cold]]="Y",'Cold Weather Package'!E17,0)+IF(Table44[[#This Row],[eAWD]:[eAWD]]="Y",'eAWD Package'!E17,0)+IF(Table44[[#This Row],[Towing]:[Towing]]="Y",'Towing Bat Cost'!E17,0),"N/A")</f>
        <v>N/A</v>
      </c>
      <c r="J166" s="23" t="str">
        <f>IF(Table44[[#This Row],[Applicable Package?]:[Applicable Package?]]="Y",SUM('Rolled Up Non-Incremental Costs'!F17,'ICE Removal Cost'!F17,'Trans Removal Cost'!F17,'LEV3 Criteria Emissions Cost'!F17,'ZEV Assembly Reductions'!F17,'ACCII Criteria Compliance Cost'!F17,'ACCII GHG Compliance'!F17,'Current GHG Compliance'!F17)+IF(Table44[[#This Row],[Cold]:[Cold]]="Y",'Cold Weather Package'!F17,0)+IF(Table44[[#This Row],[eAWD]:[eAWD]]="Y",'eAWD Package'!F17,0)+IF(Table44[[#This Row],[Towing]:[Towing]]="Y",'Towing Bat Cost'!F17,0),"N/A")</f>
        <v>N/A</v>
      </c>
      <c r="K166" s="23" t="str">
        <f>IF(Table44[[#This Row],[Applicable Package?]:[Applicable Package?]]="Y",SUM('Rolled Up Non-Incremental Costs'!G17,'ICE Removal Cost'!G17,'Trans Removal Cost'!G17,'LEV3 Criteria Emissions Cost'!G17,'ZEV Assembly Reductions'!G17,'ACCII Criteria Compliance Cost'!G17,'ACCII GHG Compliance'!G17,'Current GHG Compliance'!G17)+IF(Table44[[#This Row],[Cold]:[Cold]]="Y",'Cold Weather Package'!G17,0)+IF(Table44[[#This Row],[eAWD]:[eAWD]]="Y",'eAWD Package'!G17,0)+IF(Table44[[#This Row],[Towing]:[Towing]]="Y",'Towing Bat Cost'!G17,0),"N/A")</f>
        <v>N/A</v>
      </c>
      <c r="L166" s="23" t="str">
        <f>IF(Table44[[#This Row],[Applicable Package?]:[Applicable Package?]]="Y",SUM('Rolled Up Non-Incremental Costs'!H17,'ICE Removal Cost'!H17,'Trans Removal Cost'!H17,'LEV3 Criteria Emissions Cost'!H17,'ZEV Assembly Reductions'!H17,'ACCII Criteria Compliance Cost'!H17,'ACCII GHG Compliance'!H17,'Current GHG Compliance'!H17)+IF(Table44[[#This Row],[Cold]:[Cold]]="Y",'Cold Weather Package'!H17,0)+IF(Table44[[#This Row],[eAWD]:[eAWD]]="Y",'eAWD Package'!H17,0)+IF(Table44[[#This Row],[Towing]:[Towing]]="Y",'Towing Bat Cost'!H17,0),"N/A")</f>
        <v>N/A</v>
      </c>
      <c r="M166" s="23" t="str">
        <f>IF(Table44[[#This Row],[Applicable Package?]:[Applicable Package?]]="Y",SUM('Rolled Up Non-Incremental Costs'!I17,'ICE Removal Cost'!I17,'Trans Removal Cost'!I17,'LEV3 Criteria Emissions Cost'!I17,'ZEV Assembly Reductions'!I17,'ACCII Criteria Compliance Cost'!I17,'ACCII GHG Compliance'!I17,'Current GHG Compliance'!I17)+IF(Table44[[#This Row],[Cold]:[Cold]]="Y",'Cold Weather Package'!I17,0)+IF(Table44[[#This Row],[eAWD]:[eAWD]]="Y",'eAWD Package'!I17,0)+IF(Table44[[#This Row],[Towing]:[Towing]]="Y",'Towing Bat Cost'!I17,0),"N/A")</f>
        <v>N/A</v>
      </c>
      <c r="N166" s="23" t="str">
        <f>IF(Table44[[#This Row],[Applicable Package?]:[Applicable Package?]]="Y",SUM('Rolled Up Non-Incremental Costs'!J17,'ICE Removal Cost'!J17,'Trans Removal Cost'!J17,'LEV3 Criteria Emissions Cost'!J17,'ZEV Assembly Reductions'!J17,'ACCII Criteria Compliance Cost'!J17,'ACCII GHG Compliance'!J17,'Current GHG Compliance'!J17)+IF(Table44[[#This Row],[Cold]:[Cold]]="Y",'Cold Weather Package'!J17,0)+IF(Table44[[#This Row],[eAWD]:[eAWD]]="Y",'eAWD Package'!J17,0)+IF(Table44[[#This Row],[Towing]:[Towing]]="Y",'Towing Bat Cost'!J17,0),"N/A")</f>
        <v>N/A</v>
      </c>
      <c r="O166" s="23" t="str">
        <f>IF(Table44[[#This Row],[Applicable Package?]:[Applicable Package?]]="Y",SUM('Rolled Up Non-Incremental Costs'!K17,'ICE Removal Cost'!K17,'Trans Removal Cost'!K17,'LEV3 Criteria Emissions Cost'!K17,'ZEV Assembly Reductions'!K17,'ACCII Criteria Compliance Cost'!K17,'ACCII GHG Compliance'!K17,'Current GHG Compliance'!K17)+IF(Table44[[#This Row],[Cold]:[Cold]]="Y",'Cold Weather Package'!K17,0)+IF(Table44[[#This Row],[eAWD]:[eAWD]]="Y",'eAWD Package'!K17,0)+IF(Table44[[#This Row],[Towing]:[Towing]]="Y",'Towing Bat Cost'!K17,0),"N/A")</f>
        <v>N/A</v>
      </c>
      <c r="P166" s="23" t="str">
        <f>IF(Table44[[#This Row],[Applicable Package?]:[Applicable Package?]]="Y",SUM('Rolled Up Non-Incremental Costs'!L17,'ICE Removal Cost'!L17,'Trans Removal Cost'!L17,'LEV3 Criteria Emissions Cost'!L17,'ZEV Assembly Reductions'!L17,'ACCII Criteria Compliance Cost'!L17,'ACCII GHG Compliance'!L17,'Current GHG Compliance'!L17)+IF(Table44[[#This Row],[Cold]:[Cold]]="Y",'Cold Weather Package'!L17,0)+IF(Table44[[#This Row],[eAWD]:[eAWD]]="Y",'eAWD Package'!L17,0)+IF(Table44[[#This Row],[Towing]:[Towing]]="Y",'Towing Bat Cost'!L17,0),"N/A")</f>
        <v>N/A</v>
      </c>
      <c r="Q166" s="23" t="str">
        <f>IF(Table44[[#This Row],[Applicable Package?]:[Applicable Package?]]="Y",SUM('Rolled Up Non-Incremental Costs'!M17,'ICE Removal Cost'!M17,'Trans Removal Cost'!M17,'LEV3 Criteria Emissions Cost'!M17,'ZEV Assembly Reductions'!M17,'ACCII Criteria Compliance Cost'!M17,'ACCII GHG Compliance'!M17,'Current GHG Compliance'!M17)+IF(Table44[[#This Row],[Cold]:[Cold]]="Y",'Cold Weather Package'!M17,0)+IF(Table44[[#This Row],[eAWD]:[eAWD]]="Y",'eAWD Package'!M17,0)+IF(Table44[[#This Row],[Towing]:[Towing]]="Y",'Towing Bat Cost'!M17,0),"N/A")</f>
        <v>N/A</v>
      </c>
      <c r="R166" s="23" t="str">
        <f>IF(Table44[[#This Row],[Applicable Package?]:[Applicable Package?]]="Y",SUM('Rolled Up Non-Incremental Costs'!N17,'ICE Removal Cost'!N17,'Trans Removal Cost'!N17,'LEV3 Criteria Emissions Cost'!N17,'ZEV Assembly Reductions'!N17,'ACCII Criteria Compliance Cost'!N17,'ACCII GHG Compliance'!N17,'Current GHG Compliance'!N17)+IF(Table44[[#This Row],[Cold]:[Cold]]="Y",'Cold Weather Package'!N17,0)+IF(Table44[[#This Row],[eAWD]:[eAWD]]="Y",'eAWD Package'!N17,0)+IF(Table44[[#This Row],[Towing]:[Towing]]="Y",'Towing Bat Cost'!N17,0),"N/A")</f>
        <v>N/A</v>
      </c>
      <c r="S166" s="23" t="str">
        <f>IF(Table44[[#This Row],[Applicable Package?]:[Applicable Package?]]="Y",SUM('Rolled Up Non-Incremental Costs'!O17,'ICE Removal Cost'!O17,'Trans Removal Cost'!O17,'LEV3 Criteria Emissions Cost'!O17,'ZEV Assembly Reductions'!O17,'ACCII Criteria Compliance Cost'!O17,'ACCII GHG Compliance'!O17,'Current GHG Compliance'!O17)+IF(Table44[[#This Row],[Cold]:[Cold]]="Y",'Cold Weather Package'!O17,0)+IF(Table44[[#This Row],[eAWD]:[eAWD]]="Y",'eAWD Package'!O17,0)+IF(Table44[[#This Row],[Towing]:[Towing]]="Y",'Towing Bat Cost'!O17,0),"N/A")</f>
        <v>N/A</v>
      </c>
    </row>
    <row r="167" spans="1:19" hidden="1" x14ac:dyDescent="0.3">
      <c r="A167" s="28" t="str">
        <f t="shared" si="4"/>
        <v>MedCarBasePHEV50</v>
      </c>
      <c r="B167" s="90" t="s">
        <v>82</v>
      </c>
      <c r="C167" s="68" t="s">
        <v>80</v>
      </c>
      <c r="D167" s="68" t="str">
        <f>'Vehicle Attributes - Base Year'!D15</f>
        <v>PHEV50</v>
      </c>
      <c r="E167" s="124" t="s">
        <v>76</v>
      </c>
      <c r="F167" s="124" t="s">
        <v>77</v>
      </c>
      <c r="G167" s="125" t="s">
        <v>76</v>
      </c>
      <c r="H167" s="125" t="s">
        <v>77</v>
      </c>
      <c r="I167" s="23" t="str">
        <f>IF(Table44[[#This Row],[Applicable Package?]:[Applicable Package?]]="Y",SUM('Rolled Up Non-Incremental Costs'!E18,'ICE Removal Cost'!E18,'Trans Removal Cost'!E18,'LEV3 Criteria Emissions Cost'!E18,'ZEV Assembly Reductions'!E18,'ACCII Criteria Compliance Cost'!E18,'ACCII GHG Compliance'!E18,'Current GHG Compliance'!E18)+IF(Table44[[#This Row],[Cold]:[Cold]]="Y",'Cold Weather Package'!E18,0)+IF(Table44[[#This Row],[eAWD]:[eAWD]]="Y",'eAWD Package'!E18,0)+IF(Table44[[#This Row],[Towing]:[Towing]]="Y",'Towing Bat Cost'!E18,0),"N/A")</f>
        <v>N/A</v>
      </c>
      <c r="J167" s="23" t="str">
        <f>IF(Table44[[#This Row],[Applicable Package?]:[Applicable Package?]]="Y",SUM('Rolled Up Non-Incremental Costs'!F18,'ICE Removal Cost'!F18,'Trans Removal Cost'!F18,'LEV3 Criteria Emissions Cost'!F18,'ZEV Assembly Reductions'!F18,'ACCII Criteria Compliance Cost'!F18,'ACCII GHG Compliance'!F18,'Current GHG Compliance'!F18)+IF(Table44[[#This Row],[Cold]:[Cold]]="Y",'Cold Weather Package'!F18,0)+IF(Table44[[#This Row],[eAWD]:[eAWD]]="Y",'eAWD Package'!F18,0)+IF(Table44[[#This Row],[Towing]:[Towing]]="Y",'Towing Bat Cost'!F18,0),"N/A")</f>
        <v>N/A</v>
      </c>
      <c r="K167" s="23" t="str">
        <f>IF(Table44[[#This Row],[Applicable Package?]:[Applicable Package?]]="Y",SUM('Rolled Up Non-Incremental Costs'!G18,'ICE Removal Cost'!G18,'Trans Removal Cost'!G18,'LEV3 Criteria Emissions Cost'!G18,'ZEV Assembly Reductions'!G18,'ACCII Criteria Compliance Cost'!G18,'ACCII GHG Compliance'!G18,'Current GHG Compliance'!G18)+IF(Table44[[#This Row],[Cold]:[Cold]]="Y",'Cold Weather Package'!G18,0)+IF(Table44[[#This Row],[eAWD]:[eAWD]]="Y",'eAWD Package'!G18,0)+IF(Table44[[#This Row],[Towing]:[Towing]]="Y",'Towing Bat Cost'!G18,0),"N/A")</f>
        <v>N/A</v>
      </c>
      <c r="L167" s="23" t="str">
        <f>IF(Table44[[#This Row],[Applicable Package?]:[Applicable Package?]]="Y",SUM('Rolled Up Non-Incremental Costs'!H18,'ICE Removal Cost'!H18,'Trans Removal Cost'!H18,'LEV3 Criteria Emissions Cost'!H18,'ZEV Assembly Reductions'!H18,'ACCII Criteria Compliance Cost'!H18,'ACCII GHG Compliance'!H18,'Current GHG Compliance'!H18)+IF(Table44[[#This Row],[Cold]:[Cold]]="Y",'Cold Weather Package'!H18,0)+IF(Table44[[#This Row],[eAWD]:[eAWD]]="Y",'eAWD Package'!H18,0)+IF(Table44[[#This Row],[Towing]:[Towing]]="Y",'Towing Bat Cost'!H18,0),"N/A")</f>
        <v>N/A</v>
      </c>
      <c r="M167" s="23" t="str">
        <f>IF(Table44[[#This Row],[Applicable Package?]:[Applicable Package?]]="Y",SUM('Rolled Up Non-Incremental Costs'!I18,'ICE Removal Cost'!I18,'Trans Removal Cost'!I18,'LEV3 Criteria Emissions Cost'!I18,'ZEV Assembly Reductions'!I18,'ACCII Criteria Compliance Cost'!I18,'ACCII GHG Compliance'!I18,'Current GHG Compliance'!I18)+IF(Table44[[#This Row],[Cold]:[Cold]]="Y",'Cold Weather Package'!I18,0)+IF(Table44[[#This Row],[eAWD]:[eAWD]]="Y",'eAWD Package'!I18,0)+IF(Table44[[#This Row],[Towing]:[Towing]]="Y",'Towing Bat Cost'!I18,0),"N/A")</f>
        <v>N/A</v>
      </c>
      <c r="N167" s="23" t="str">
        <f>IF(Table44[[#This Row],[Applicable Package?]:[Applicable Package?]]="Y",SUM('Rolled Up Non-Incremental Costs'!J18,'ICE Removal Cost'!J18,'Trans Removal Cost'!J18,'LEV3 Criteria Emissions Cost'!J18,'ZEV Assembly Reductions'!J18,'ACCII Criteria Compliance Cost'!J18,'ACCII GHG Compliance'!J18,'Current GHG Compliance'!J18)+IF(Table44[[#This Row],[Cold]:[Cold]]="Y",'Cold Weather Package'!J18,0)+IF(Table44[[#This Row],[eAWD]:[eAWD]]="Y",'eAWD Package'!J18,0)+IF(Table44[[#This Row],[Towing]:[Towing]]="Y",'Towing Bat Cost'!J18,0),"N/A")</f>
        <v>N/A</v>
      </c>
      <c r="O167" s="23" t="str">
        <f>IF(Table44[[#This Row],[Applicable Package?]:[Applicable Package?]]="Y",SUM('Rolled Up Non-Incremental Costs'!K18,'ICE Removal Cost'!K18,'Trans Removal Cost'!K18,'LEV3 Criteria Emissions Cost'!K18,'ZEV Assembly Reductions'!K18,'ACCII Criteria Compliance Cost'!K18,'ACCII GHG Compliance'!K18,'Current GHG Compliance'!K18)+IF(Table44[[#This Row],[Cold]:[Cold]]="Y",'Cold Weather Package'!K18,0)+IF(Table44[[#This Row],[eAWD]:[eAWD]]="Y",'eAWD Package'!K18,0)+IF(Table44[[#This Row],[Towing]:[Towing]]="Y",'Towing Bat Cost'!K18,0),"N/A")</f>
        <v>N/A</v>
      </c>
      <c r="P167" s="23" t="str">
        <f>IF(Table44[[#This Row],[Applicable Package?]:[Applicable Package?]]="Y",SUM('Rolled Up Non-Incremental Costs'!L18,'ICE Removal Cost'!L18,'Trans Removal Cost'!L18,'LEV3 Criteria Emissions Cost'!L18,'ZEV Assembly Reductions'!L18,'ACCII Criteria Compliance Cost'!L18,'ACCII GHG Compliance'!L18,'Current GHG Compliance'!L18)+IF(Table44[[#This Row],[Cold]:[Cold]]="Y",'Cold Weather Package'!L18,0)+IF(Table44[[#This Row],[eAWD]:[eAWD]]="Y",'eAWD Package'!L18,0)+IF(Table44[[#This Row],[Towing]:[Towing]]="Y",'Towing Bat Cost'!L18,0),"N/A")</f>
        <v>N/A</v>
      </c>
      <c r="Q167" s="23" t="str">
        <f>IF(Table44[[#This Row],[Applicable Package?]:[Applicable Package?]]="Y",SUM('Rolled Up Non-Incremental Costs'!M18,'ICE Removal Cost'!M18,'Trans Removal Cost'!M18,'LEV3 Criteria Emissions Cost'!M18,'ZEV Assembly Reductions'!M18,'ACCII Criteria Compliance Cost'!M18,'ACCII GHG Compliance'!M18,'Current GHG Compliance'!M18)+IF(Table44[[#This Row],[Cold]:[Cold]]="Y",'Cold Weather Package'!M18,0)+IF(Table44[[#This Row],[eAWD]:[eAWD]]="Y",'eAWD Package'!M18,0)+IF(Table44[[#This Row],[Towing]:[Towing]]="Y",'Towing Bat Cost'!M18,0),"N/A")</f>
        <v>N/A</v>
      </c>
      <c r="R167" s="23" t="str">
        <f>IF(Table44[[#This Row],[Applicable Package?]:[Applicable Package?]]="Y",SUM('Rolled Up Non-Incremental Costs'!N18,'ICE Removal Cost'!N18,'Trans Removal Cost'!N18,'LEV3 Criteria Emissions Cost'!N18,'ZEV Assembly Reductions'!N18,'ACCII Criteria Compliance Cost'!N18,'ACCII GHG Compliance'!N18,'Current GHG Compliance'!N18)+IF(Table44[[#This Row],[Cold]:[Cold]]="Y",'Cold Weather Package'!N18,0)+IF(Table44[[#This Row],[eAWD]:[eAWD]]="Y",'eAWD Package'!N18,0)+IF(Table44[[#This Row],[Towing]:[Towing]]="Y",'Towing Bat Cost'!N18,0),"N/A")</f>
        <v>N/A</v>
      </c>
      <c r="S167" s="23" t="str">
        <f>IF(Table44[[#This Row],[Applicable Package?]:[Applicable Package?]]="Y",SUM('Rolled Up Non-Incremental Costs'!O18,'ICE Removal Cost'!O18,'Trans Removal Cost'!O18,'LEV3 Criteria Emissions Cost'!O18,'ZEV Assembly Reductions'!O18,'ACCII Criteria Compliance Cost'!O18,'ACCII GHG Compliance'!O18,'Current GHG Compliance'!O18)+IF(Table44[[#This Row],[Cold]:[Cold]]="Y",'Cold Weather Package'!O18,0)+IF(Table44[[#This Row],[eAWD]:[eAWD]]="Y",'eAWD Package'!O18,0)+IF(Table44[[#This Row],[Towing]:[Towing]]="Y",'Towing Bat Cost'!O18,0),"N/A")</f>
        <v>N/A</v>
      </c>
    </row>
    <row r="168" spans="1:19" hidden="1" x14ac:dyDescent="0.3">
      <c r="A168" t="str">
        <f t="shared" si="4"/>
        <v>MedCarPremiumPHEV50</v>
      </c>
      <c r="B168" s="90" t="s">
        <v>83</v>
      </c>
      <c r="C168" s="68" t="s">
        <v>75</v>
      </c>
      <c r="D168" s="68" t="str">
        <f>'Vehicle Attributes - Base Year'!D16</f>
        <v>PHEV50</v>
      </c>
      <c r="E168" s="124" t="s">
        <v>76</v>
      </c>
      <c r="F168" s="124" t="s">
        <v>77</v>
      </c>
      <c r="G168" s="125" t="s">
        <v>76</v>
      </c>
      <c r="H168" s="125" t="s">
        <v>77</v>
      </c>
      <c r="I168" s="23" t="str">
        <f>IF(Table44[[#This Row],[Applicable Package?]:[Applicable Package?]]="Y",SUM('Rolled Up Non-Incremental Costs'!E19,'ICE Removal Cost'!E19,'Trans Removal Cost'!E19,'LEV3 Criteria Emissions Cost'!E19,'ZEV Assembly Reductions'!E19,'ACCII Criteria Compliance Cost'!E19,'ACCII GHG Compliance'!E19,'Current GHG Compliance'!E19)+IF(Table44[[#This Row],[Cold]:[Cold]]="Y",'Cold Weather Package'!E19,0)+IF(Table44[[#This Row],[eAWD]:[eAWD]]="Y",'eAWD Package'!E19,0)+IF(Table44[[#This Row],[Towing]:[Towing]]="Y",'Towing Bat Cost'!E19,0),"N/A")</f>
        <v>N/A</v>
      </c>
      <c r="J168" s="23" t="str">
        <f>IF(Table44[[#This Row],[Applicable Package?]:[Applicable Package?]]="Y",SUM('Rolled Up Non-Incremental Costs'!F19,'ICE Removal Cost'!F19,'Trans Removal Cost'!F19,'LEV3 Criteria Emissions Cost'!F19,'ZEV Assembly Reductions'!F19,'ACCII Criteria Compliance Cost'!F19,'ACCII GHG Compliance'!F19,'Current GHG Compliance'!F19)+IF(Table44[[#This Row],[Cold]:[Cold]]="Y",'Cold Weather Package'!F19,0)+IF(Table44[[#This Row],[eAWD]:[eAWD]]="Y",'eAWD Package'!F19,0)+IF(Table44[[#This Row],[Towing]:[Towing]]="Y",'Towing Bat Cost'!F19,0),"N/A")</f>
        <v>N/A</v>
      </c>
      <c r="K168" s="23" t="str">
        <f>IF(Table44[[#This Row],[Applicable Package?]:[Applicable Package?]]="Y",SUM('Rolled Up Non-Incremental Costs'!G19,'ICE Removal Cost'!G19,'Trans Removal Cost'!G19,'LEV3 Criteria Emissions Cost'!G19,'ZEV Assembly Reductions'!G19,'ACCII Criteria Compliance Cost'!G19,'ACCII GHG Compliance'!G19,'Current GHG Compliance'!G19)+IF(Table44[[#This Row],[Cold]:[Cold]]="Y",'Cold Weather Package'!G19,0)+IF(Table44[[#This Row],[eAWD]:[eAWD]]="Y",'eAWD Package'!G19,0)+IF(Table44[[#This Row],[Towing]:[Towing]]="Y",'Towing Bat Cost'!G19,0),"N/A")</f>
        <v>N/A</v>
      </c>
      <c r="L168" s="23" t="str">
        <f>IF(Table44[[#This Row],[Applicable Package?]:[Applicable Package?]]="Y",SUM('Rolled Up Non-Incremental Costs'!H19,'ICE Removal Cost'!H19,'Trans Removal Cost'!H19,'LEV3 Criteria Emissions Cost'!H19,'ZEV Assembly Reductions'!H19,'ACCII Criteria Compliance Cost'!H19,'ACCII GHG Compliance'!H19,'Current GHG Compliance'!H19)+IF(Table44[[#This Row],[Cold]:[Cold]]="Y",'Cold Weather Package'!H19,0)+IF(Table44[[#This Row],[eAWD]:[eAWD]]="Y",'eAWD Package'!H19,0)+IF(Table44[[#This Row],[Towing]:[Towing]]="Y",'Towing Bat Cost'!H19,0),"N/A")</f>
        <v>N/A</v>
      </c>
      <c r="M168" s="23" t="str">
        <f>IF(Table44[[#This Row],[Applicable Package?]:[Applicable Package?]]="Y",SUM('Rolled Up Non-Incremental Costs'!I19,'ICE Removal Cost'!I19,'Trans Removal Cost'!I19,'LEV3 Criteria Emissions Cost'!I19,'ZEV Assembly Reductions'!I19,'ACCII Criteria Compliance Cost'!I19,'ACCII GHG Compliance'!I19,'Current GHG Compliance'!I19)+IF(Table44[[#This Row],[Cold]:[Cold]]="Y",'Cold Weather Package'!I19,0)+IF(Table44[[#This Row],[eAWD]:[eAWD]]="Y",'eAWD Package'!I19,0)+IF(Table44[[#This Row],[Towing]:[Towing]]="Y",'Towing Bat Cost'!I19,0),"N/A")</f>
        <v>N/A</v>
      </c>
      <c r="N168" s="23" t="str">
        <f>IF(Table44[[#This Row],[Applicable Package?]:[Applicable Package?]]="Y",SUM('Rolled Up Non-Incremental Costs'!J19,'ICE Removal Cost'!J19,'Trans Removal Cost'!J19,'LEV3 Criteria Emissions Cost'!J19,'ZEV Assembly Reductions'!J19,'ACCII Criteria Compliance Cost'!J19,'ACCII GHG Compliance'!J19,'Current GHG Compliance'!J19)+IF(Table44[[#This Row],[Cold]:[Cold]]="Y",'Cold Weather Package'!J19,0)+IF(Table44[[#This Row],[eAWD]:[eAWD]]="Y",'eAWD Package'!J19,0)+IF(Table44[[#This Row],[Towing]:[Towing]]="Y",'Towing Bat Cost'!J19,0),"N/A")</f>
        <v>N/A</v>
      </c>
      <c r="O168" s="23" t="str">
        <f>IF(Table44[[#This Row],[Applicable Package?]:[Applicable Package?]]="Y",SUM('Rolled Up Non-Incremental Costs'!K19,'ICE Removal Cost'!K19,'Trans Removal Cost'!K19,'LEV3 Criteria Emissions Cost'!K19,'ZEV Assembly Reductions'!K19,'ACCII Criteria Compliance Cost'!K19,'ACCII GHG Compliance'!K19,'Current GHG Compliance'!K19)+IF(Table44[[#This Row],[Cold]:[Cold]]="Y",'Cold Weather Package'!K19,0)+IF(Table44[[#This Row],[eAWD]:[eAWD]]="Y",'eAWD Package'!K19,0)+IF(Table44[[#This Row],[Towing]:[Towing]]="Y",'Towing Bat Cost'!K19,0),"N/A")</f>
        <v>N/A</v>
      </c>
      <c r="P168" s="23" t="str">
        <f>IF(Table44[[#This Row],[Applicable Package?]:[Applicable Package?]]="Y",SUM('Rolled Up Non-Incremental Costs'!L19,'ICE Removal Cost'!L19,'Trans Removal Cost'!L19,'LEV3 Criteria Emissions Cost'!L19,'ZEV Assembly Reductions'!L19,'ACCII Criteria Compliance Cost'!L19,'ACCII GHG Compliance'!L19,'Current GHG Compliance'!L19)+IF(Table44[[#This Row],[Cold]:[Cold]]="Y",'Cold Weather Package'!L19,0)+IF(Table44[[#This Row],[eAWD]:[eAWD]]="Y",'eAWD Package'!L19,0)+IF(Table44[[#This Row],[Towing]:[Towing]]="Y",'Towing Bat Cost'!L19,0),"N/A")</f>
        <v>N/A</v>
      </c>
      <c r="Q168" s="23" t="str">
        <f>IF(Table44[[#This Row],[Applicable Package?]:[Applicable Package?]]="Y",SUM('Rolled Up Non-Incremental Costs'!M19,'ICE Removal Cost'!M19,'Trans Removal Cost'!M19,'LEV3 Criteria Emissions Cost'!M19,'ZEV Assembly Reductions'!M19,'ACCII Criteria Compliance Cost'!M19,'ACCII GHG Compliance'!M19,'Current GHG Compliance'!M19)+IF(Table44[[#This Row],[Cold]:[Cold]]="Y",'Cold Weather Package'!M19,0)+IF(Table44[[#This Row],[eAWD]:[eAWD]]="Y",'eAWD Package'!M19,0)+IF(Table44[[#This Row],[Towing]:[Towing]]="Y",'Towing Bat Cost'!M19,0),"N/A")</f>
        <v>N/A</v>
      </c>
      <c r="R168" s="23" t="str">
        <f>IF(Table44[[#This Row],[Applicable Package?]:[Applicable Package?]]="Y",SUM('Rolled Up Non-Incremental Costs'!N19,'ICE Removal Cost'!N19,'Trans Removal Cost'!N19,'LEV3 Criteria Emissions Cost'!N19,'ZEV Assembly Reductions'!N19,'ACCII Criteria Compliance Cost'!N19,'ACCII GHG Compliance'!N19,'Current GHG Compliance'!N19)+IF(Table44[[#This Row],[Cold]:[Cold]]="Y",'Cold Weather Package'!N19,0)+IF(Table44[[#This Row],[eAWD]:[eAWD]]="Y",'eAWD Package'!N19,0)+IF(Table44[[#This Row],[Towing]:[Towing]]="Y",'Towing Bat Cost'!N19,0),"N/A")</f>
        <v>N/A</v>
      </c>
      <c r="S168" s="23" t="str">
        <f>IF(Table44[[#This Row],[Applicable Package?]:[Applicable Package?]]="Y",SUM('Rolled Up Non-Incremental Costs'!O19,'ICE Removal Cost'!O19,'Trans Removal Cost'!O19,'LEV3 Criteria Emissions Cost'!O19,'ZEV Assembly Reductions'!O19,'ACCII Criteria Compliance Cost'!O19,'ACCII GHG Compliance'!O19,'Current GHG Compliance'!O19)+IF(Table44[[#This Row],[Cold]:[Cold]]="Y",'Cold Weather Package'!O19,0)+IF(Table44[[#This Row],[eAWD]:[eAWD]]="Y",'eAWD Package'!O19,0)+IF(Table44[[#This Row],[Towing]:[Towing]]="Y",'Towing Bat Cost'!O19,0),"N/A")</f>
        <v>N/A</v>
      </c>
    </row>
    <row r="169" spans="1:19" hidden="1" x14ac:dyDescent="0.3">
      <c r="A169" s="28" t="str">
        <f t="shared" si="4"/>
        <v>SmallSUVBasePHEV50</v>
      </c>
      <c r="B169" s="90" t="s">
        <v>83</v>
      </c>
      <c r="C169" s="68" t="s">
        <v>80</v>
      </c>
      <c r="D169" s="68" t="str">
        <f>'Vehicle Attributes - Base Year'!D17</f>
        <v>PHEV50</v>
      </c>
      <c r="E169" s="124" t="s">
        <v>76</v>
      </c>
      <c r="F169" s="124" t="s">
        <v>77</v>
      </c>
      <c r="G169" s="125" t="s">
        <v>76</v>
      </c>
      <c r="H169" s="125" t="s">
        <v>77</v>
      </c>
      <c r="I169" s="23" t="str">
        <f>IF(Table44[[#This Row],[Applicable Package?]:[Applicable Package?]]="Y",SUM('Rolled Up Non-Incremental Costs'!E20,'ICE Removal Cost'!E20,'Trans Removal Cost'!E20,'LEV3 Criteria Emissions Cost'!E20,'ZEV Assembly Reductions'!E20,'ACCII Criteria Compliance Cost'!E20,'ACCII GHG Compliance'!E20,'Current GHG Compliance'!E20)+IF(Table44[[#This Row],[Cold]:[Cold]]="Y",'Cold Weather Package'!E20,0)+IF(Table44[[#This Row],[eAWD]:[eAWD]]="Y",'eAWD Package'!E20,0)+IF(Table44[[#This Row],[Towing]:[Towing]]="Y",'Towing Bat Cost'!E20,0),"N/A")</f>
        <v>N/A</v>
      </c>
      <c r="J169" s="23" t="str">
        <f>IF(Table44[[#This Row],[Applicable Package?]:[Applicable Package?]]="Y",SUM('Rolled Up Non-Incremental Costs'!F20,'ICE Removal Cost'!F20,'Trans Removal Cost'!F20,'LEV3 Criteria Emissions Cost'!F20,'ZEV Assembly Reductions'!F20,'ACCII Criteria Compliance Cost'!F20,'ACCII GHG Compliance'!F20,'Current GHG Compliance'!F20)+IF(Table44[[#This Row],[Cold]:[Cold]]="Y",'Cold Weather Package'!F20,0)+IF(Table44[[#This Row],[eAWD]:[eAWD]]="Y",'eAWD Package'!F20,0)+IF(Table44[[#This Row],[Towing]:[Towing]]="Y",'Towing Bat Cost'!F20,0),"N/A")</f>
        <v>N/A</v>
      </c>
      <c r="K169" s="23" t="str">
        <f>IF(Table44[[#This Row],[Applicable Package?]:[Applicable Package?]]="Y",SUM('Rolled Up Non-Incremental Costs'!G20,'ICE Removal Cost'!G20,'Trans Removal Cost'!G20,'LEV3 Criteria Emissions Cost'!G20,'ZEV Assembly Reductions'!G20,'ACCII Criteria Compliance Cost'!G20,'ACCII GHG Compliance'!G20,'Current GHG Compliance'!G20)+IF(Table44[[#This Row],[Cold]:[Cold]]="Y",'Cold Weather Package'!G20,0)+IF(Table44[[#This Row],[eAWD]:[eAWD]]="Y",'eAWD Package'!G20,0)+IF(Table44[[#This Row],[Towing]:[Towing]]="Y",'Towing Bat Cost'!G20,0),"N/A")</f>
        <v>N/A</v>
      </c>
      <c r="L169" s="23" t="str">
        <f>IF(Table44[[#This Row],[Applicable Package?]:[Applicable Package?]]="Y",SUM('Rolled Up Non-Incremental Costs'!H20,'ICE Removal Cost'!H20,'Trans Removal Cost'!H20,'LEV3 Criteria Emissions Cost'!H20,'ZEV Assembly Reductions'!H20,'ACCII Criteria Compliance Cost'!H20,'ACCII GHG Compliance'!H20,'Current GHG Compliance'!H20)+IF(Table44[[#This Row],[Cold]:[Cold]]="Y",'Cold Weather Package'!H20,0)+IF(Table44[[#This Row],[eAWD]:[eAWD]]="Y",'eAWD Package'!H20,0)+IF(Table44[[#This Row],[Towing]:[Towing]]="Y",'Towing Bat Cost'!H20,0),"N/A")</f>
        <v>N/A</v>
      </c>
      <c r="M169" s="23" t="str">
        <f>IF(Table44[[#This Row],[Applicable Package?]:[Applicable Package?]]="Y",SUM('Rolled Up Non-Incremental Costs'!I20,'ICE Removal Cost'!I20,'Trans Removal Cost'!I20,'LEV3 Criteria Emissions Cost'!I20,'ZEV Assembly Reductions'!I20,'ACCII Criteria Compliance Cost'!I20,'ACCII GHG Compliance'!I20,'Current GHG Compliance'!I20)+IF(Table44[[#This Row],[Cold]:[Cold]]="Y",'Cold Weather Package'!I20,0)+IF(Table44[[#This Row],[eAWD]:[eAWD]]="Y",'eAWD Package'!I20,0)+IF(Table44[[#This Row],[Towing]:[Towing]]="Y",'Towing Bat Cost'!I20,0),"N/A")</f>
        <v>N/A</v>
      </c>
      <c r="N169" s="23" t="str">
        <f>IF(Table44[[#This Row],[Applicable Package?]:[Applicable Package?]]="Y",SUM('Rolled Up Non-Incremental Costs'!J20,'ICE Removal Cost'!J20,'Trans Removal Cost'!J20,'LEV3 Criteria Emissions Cost'!J20,'ZEV Assembly Reductions'!J20,'ACCII Criteria Compliance Cost'!J20,'ACCII GHG Compliance'!J20,'Current GHG Compliance'!J20)+IF(Table44[[#This Row],[Cold]:[Cold]]="Y",'Cold Weather Package'!J20,0)+IF(Table44[[#This Row],[eAWD]:[eAWD]]="Y",'eAWD Package'!J20,0)+IF(Table44[[#This Row],[Towing]:[Towing]]="Y",'Towing Bat Cost'!J20,0),"N/A")</f>
        <v>N/A</v>
      </c>
      <c r="O169" s="23" t="str">
        <f>IF(Table44[[#This Row],[Applicable Package?]:[Applicable Package?]]="Y",SUM('Rolled Up Non-Incremental Costs'!K20,'ICE Removal Cost'!K20,'Trans Removal Cost'!K20,'LEV3 Criteria Emissions Cost'!K20,'ZEV Assembly Reductions'!K20,'ACCII Criteria Compliance Cost'!K20,'ACCII GHG Compliance'!K20,'Current GHG Compliance'!K20)+IF(Table44[[#This Row],[Cold]:[Cold]]="Y",'Cold Weather Package'!K20,0)+IF(Table44[[#This Row],[eAWD]:[eAWD]]="Y",'eAWD Package'!K20,0)+IF(Table44[[#This Row],[Towing]:[Towing]]="Y",'Towing Bat Cost'!K20,0),"N/A")</f>
        <v>N/A</v>
      </c>
      <c r="P169" s="23" t="str">
        <f>IF(Table44[[#This Row],[Applicable Package?]:[Applicable Package?]]="Y",SUM('Rolled Up Non-Incremental Costs'!L20,'ICE Removal Cost'!L20,'Trans Removal Cost'!L20,'LEV3 Criteria Emissions Cost'!L20,'ZEV Assembly Reductions'!L20,'ACCII Criteria Compliance Cost'!L20,'ACCII GHG Compliance'!L20,'Current GHG Compliance'!L20)+IF(Table44[[#This Row],[Cold]:[Cold]]="Y",'Cold Weather Package'!L20,0)+IF(Table44[[#This Row],[eAWD]:[eAWD]]="Y",'eAWD Package'!L20,0)+IF(Table44[[#This Row],[Towing]:[Towing]]="Y",'Towing Bat Cost'!L20,0),"N/A")</f>
        <v>N/A</v>
      </c>
      <c r="Q169" s="23" t="str">
        <f>IF(Table44[[#This Row],[Applicable Package?]:[Applicable Package?]]="Y",SUM('Rolled Up Non-Incremental Costs'!M20,'ICE Removal Cost'!M20,'Trans Removal Cost'!M20,'LEV3 Criteria Emissions Cost'!M20,'ZEV Assembly Reductions'!M20,'ACCII Criteria Compliance Cost'!M20,'ACCII GHG Compliance'!M20,'Current GHG Compliance'!M20)+IF(Table44[[#This Row],[Cold]:[Cold]]="Y",'Cold Weather Package'!M20,0)+IF(Table44[[#This Row],[eAWD]:[eAWD]]="Y",'eAWD Package'!M20,0)+IF(Table44[[#This Row],[Towing]:[Towing]]="Y",'Towing Bat Cost'!M20,0),"N/A")</f>
        <v>N/A</v>
      </c>
      <c r="R169" s="23" t="str">
        <f>IF(Table44[[#This Row],[Applicable Package?]:[Applicable Package?]]="Y",SUM('Rolled Up Non-Incremental Costs'!N20,'ICE Removal Cost'!N20,'Trans Removal Cost'!N20,'LEV3 Criteria Emissions Cost'!N20,'ZEV Assembly Reductions'!N20,'ACCII Criteria Compliance Cost'!N20,'ACCII GHG Compliance'!N20,'Current GHG Compliance'!N20)+IF(Table44[[#This Row],[Cold]:[Cold]]="Y",'Cold Weather Package'!N20,0)+IF(Table44[[#This Row],[eAWD]:[eAWD]]="Y",'eAWD Package'!N20,0)+IF(Table44[[#This Row],[Towing]:[Towing]]="Y",'Towing Bat Cost'!N20,0),"N/A")</f>
        <v>N/A</v>
      </c>
      <c r="S169" s="23" t="str">
        <f>IF(Table44[[#This Row],[Applicable Package?]:[Applicable Package?]]="Y",SUM('Rolled Up Non-Incremental Costs'!O20,'ICE Removal Cost'!O20,'Trans Removal Cost'!O20,'LEV3 Criteria Emissions Cost'!O20,'ZEV Assembly Reductions'!O20,'ACCII Criteria Compliance Cost'!O20,'ACCII GHG Compliance'!O20,'Current GHG Compliance'!O20)+IF(Table44[[#This Row],[Cold]:[Cold]]="Y",'Cold Weather Package'!O20,0)+IF(Table44[[#This Row],[eAWD]:[eAWD]]="Y",'eAWD Package'!O20,0)+IF(Table44[[#This Row],[Towing]:[Towing]]="Y",'Towing Bat Cost'!O20,0),"N/A")</f>
        <v>N/A</v>
      </c>
    </row>
    <row r="170" spans="1:19" hidden="1" x14ac:dyDescent="0.3">
      <c r="A170" t="str">
        <f t="shared" si="4"/>
        <v>SmallSUVPremiumPHEV50</v>
      </c>
      <c r="B170" s="90" t="s">
        <v>86</v>
      </c>
      <c r="C170" s="68" t="s">
        <v>75</v>
      </c>
      <c r="D170" s="68" t="str">
        <f>'Vehicle Attributes - Base Year'!D18</f>
        <v>PHEV50</v>
      </c>
      <c r="E170" s="124" t="s">
        <v>76</v>
      </c>
      <c r="F170" s="124" t="s">
        <v>77</v>
      </c>
      <c r="G170" s="125" t="s">
        <v>76</v>
      </c>
      <c r="H170" s="125" t="s">
        <v>76</v>
      </c>
      <c r="I170" s="23">
        <f>IF(Table44[[#This Row],[Applicable Package?]:[Applicable Package?]]="Y",SUM('Rolled Up Non-Incremental Costs'!E21,'ICE Removal Cost'!E21,'Trans Removal Cost'!E21,'LEV3 Criteria Emissions Cost'!E21,'ZEV Assembly Reductions'!E21,'ACCII Criteria Compliance Cost'!E21,'ACCII GHG Compliance'!E21,'Current GHG Compliance'!E21)+IF(Table44[[#This Row],[Cold]:[Cold]]="Y",'Cold Weather Package'!E21,0)+IF(Table44[[#This Row],[eAWD]:[eAWD]]="Y",'eAWD Package'!E21,0)+IF(Table44[[#This Row],[Towing]:[Towing]]="Y",'Towing Bat Cost'!E21,0),"N/A")</f>
        <v>4976.1012098839019</v>
      </c>
      <c r="J170" s="23">
        <f>IF(Table44[[#This Row],[Applicable Package?]:[Applicable Package?]]="Y",SUM('Rolled Up Non-Incremental Costs'!F21,'ICE Removal Cost'!F21,'Trans Removal Cost'!F21,'LEV3 Criteria Emissions Cost'!F21,'ZEV Assembly Reductions'!F21,'ACCII Criteria Compliance Cost'!F21,'ACCII GHG Compliance'!F21,'Current GHG Compliance'!F21)+IF(Table44[[#This Row],[Cold]:[Cold]]="Y",'Cold Weather Package'!F21,0)+IF(Table44[[#This Row],[eAWD]:[eAWD]]="Y",'eAWD Package'!F21,0)+IF(Table44[[#This Row],[Towing]:[Towing]]="Y",'Towing Bat Cost'!F21,0),"N/A")</f>
        <v>4706.0414830791797</v>
      </c>
      <c r="K170" s="23">
        <f>IF(Table44[[#This Row],[Applicable Package?]:[Applicable Package?]]="Y",SUM('Rolled Up Non-Incremental Costs'!G21,'ICE Removal Cost'!G21,'Trans Removal Cost'!G21,'LEV3 Criteria Emissions Cost'!G21,'ZEV Assembly Reductions'!G21,'ACCII Criteria Compliance Cost'!G21,'ACCII GHG Compliance'!G21,'Current GHG Compliance'!G21)+IF(Table44[[#This Row],[Cold]:[Cold]]="Y",'Cold Weather Package'!G21,0)+IF(Table44[[#This Row],[eAWD]:[eAWD]]="Y",'eAWD Package'!G21,0)+IF(Table44[[#This Row],[Towing]:[Towing]]="Y",'Towing Bat Cost'!G21,0),"N/A")</f>
        <v>4454.4072800952999</v>
      </c>
      <c r="L170" s="23">
        <f>IF(Table44[[#This Row],[Applicable Package?]:[Applicable Package?]]="Y",SUM('Rolled Up Non-Incremental Costs'!H21,'ICE Removal Cost'!H21,'Trans Removal Cost'!H21,'LEV3 Criteria Emissions Cost'!H21,'ZEV Assembly Reductions'!H21,'ACCII Criteria Compliance Cost'!H21,'ACCII GHG Compliance'!H21,'Current GHG Compliance'!H21)+IF(Table44[[#This Row],[Cold]:[Cold]]="Y",'Cold Weather Package'!H21,0)+IF(Table44[[#This Row],[eAWD]:[eAWD]]="Y",'eAWD Package'!H21,0)+IF(Table44[[#This Row],[Towing]:[Towing]]="Y",'Towing Bat Cost'!H21,0),"N/A")</f>
        <v>4219.8404799268865</v>
      </c>
      <c r="M170" s="23">
        <f>IF(Table44[[#This Row],[Applicable Package?]:[Applicable Package?]]="Y",SUM('Rolled Up Non-Incremental Costs'!I21,'ICE Removal Cost'!I21,'Trans Removal Cost'!I21,'LEV3 Criteria Emissions Cost'!I21,'ZEV Assembly Reductions'!I21,'ACCII Criteria Compliance Cost'!I21,'ACCII GHG Compliance'!I21,'Current GHG Compliance'!I21)+IF(Table44[[#This Row],[Cold]:[Cold]]="Y",'Cold Weather Package'!I21,0)+IF(Table44[[#This Row],[eAWD]:[eAWD]]="Y",'eAWD Package'!I21,0)+IF(Table44[[#This Row],[Towing]:[Towing]]="Y",'Towing Bat Cost'!I21,0),"N/A")</f>
        <v>4001.0841718581378</v>
      </c>
      <c r="N170" s="23">
        <f>IF(Table44[[#This Row],[Applicable Package?]:[Applicable Package?]]="Y",SUM('Rolled Up Non-Incremental Costs'!J21,'ICE Removal Cost'!J21,'Trans Removal Cost'!J21,'LEV3 Criteria Emissions Cost'!J21,'ZEV Assembly Reductions'!J21,'ACCII Criteria Compliance Cost'!J21,'ACCII GHG Compliance'!J21,'Current GHG Compliance'!J21)+IF(Table44[[#This Row],[Cold]:[Cold]]="Y",'Cold Weather Package'!J21,0)+IF(Table44[[#This Row],[eAWD]:[eAWD]]="Y",'eAWD Package'!J21,0)+IF(Table44[[#This Row],[Towing]:[Towing]]="Y",'Towing Bat Cost'!J21,0),"N/A")</f>
        <v>3833.9270210220329</v>
      </c>
      <c r="O170" s="23">
        <f>IF(Table44[[#This Row],[Applicable Package?]:[Applicable Package?]]="Y",SUM('Rolled Up Non-Incremental Costs'!K21,'ICE Removal Cost'!K21,'Trans Removal Cost'!K21,'LEV3 Criteria Emissions Cost'!K21,'ZEV Assembly Reductions'!K21,'ACCII Criteria Compliance Cost'!K21,'ACCII GHG Compliance'!K21,'Current GHG Compliance'!K21)+IF(Table44[[#This Row],[Cold]:[Cold]]="Y",'Cold Weather Package'!K21,0)+IF(Table44[[#This Row],[eAWD]:[eAWD]]="Y",'eAWD Package'!K21,0)+IF(Table44[[#This Row],[Towing]:[Towing]]="Y",'Towing Bat Cost'!K21,0),"N/A")</f>
        <v>3685.357464181774</v>
      </c>
      <c r="P170" s="23">
        <f>IF(Table44[[#This Row],[Applicable Package?]:[Applicable Package?]]="Y",SUM('Rolled Up Non-Incremental Costs'!L21,'ICE Removal Cost'!L21,'Trans Removal Cost'!L21,'LEV3 Criteria Emissions Cost'!L21,'ZEV Assembly Reductions'!L21,'ACCII Criteria Compliance Cost'!L21,'ACCII GHG Compliance'!L21,'Current GHG Compliance'!L21)+IF(Table44[[#This Row],[Cold]:[Cold]]="Y",'Cold Weather Package'!L21,0)+IF(Table44[[#This Row],[eAWD]:[eAWD]]="Y",'eAWD Package'!L21,0)+IF(Table44[[#This Row],[Towing]:[Towing]]="Y",'Towing Bat Cost'!L21,0),"N/A")</f>
        <v>3543.7803736029127</v>
      </c>
      <c r="Q170" s="23">
        <f>IF(Table44[[#This Row],[Applicable Package?]:[Applicable Package?]]="Y",SUM('Rolled Up Non-Incremental Costs'!M21,'ICE Removal Cost'!M21,'Trans Removal Cost'!M21,'LEV3 Criteria Emissions Cost'!M21,'ZEV Assembly Reductions'!M21,'ACCII Criteria Compliance Cost'!M21,'ACCII GHG Compliance'!M21,'Current GHG Compliance'!M21)+IF(Table44[[#This Row],[Cold]:[Cold]]="Y",'Cold Weather Package'!M21,0)+IF(Table44[[#This Row],[eAWD]:[eAWD]]="Y",'eAWD Package'!M21,0)+IF(Table44[[#This Row],[Towing]:[Towing]]="Y",'Towing Bat Cost'!M21,0),"N/A")</f>
        <v>3408.8243289273923</v>
      </c>
      <c r="R170" s="23">
        <f>IF(Table44[[#This Row],[Applicable Package?]:[Applicable Package?]]="Y",SUM('Rolled Up Non-Incremental Costs'!N21,'ICE Removal Cost'!N21,'Trans Removal Cost'!N21,'LEV3 Criteria Emissions Cost'!N21,'ZEV Assembly Reductions'!N21,'ACCII Criteria Compliance Cost'!N21,'ACCII GHG Compliance'!N21,'Current GHG Compliance'!N21)+IF(Table44[[#This Row],[Cold]:[Cold]]="Y",'Cold Weather Package'!N21,0)+IF(Table44[[#This Row],[eAWD]:[eAWD]]="Y",'eAWD Package'!N21,0)+IF(Table44[[#This Row],[Towing]:[Towing]]="Y",'Towing Bat Cost'!N21,0),"N/A")</f>
        <v>3280.1381308900654</v>
      </c>
      <c r="S170" s="23">
        <f>IF(Table44[[#This Row],[Applicable Package?]:[Applicable Package?]]="Y",SUM('Rolled Up Non-Incremental Costs'!O21,'ICE Removal Cost'!O21,'Trans Removal Cost'!O21,'LEV3 Criteria Emissions Cost'!O21,'ZEV Assembly Reductions'!O21,'ACCII Criteria Compliance Cost'!O21,'ACCII GHG Compliance'!O21,'Current GHG Compliance'!O21)+IF(Table44[[#This Row],[Cold]:[Cold]]="Y",'Cold Weather Package'!O21,0)+IF(Table44[[#This Row],[eAWD]:[eAWD]]="Y",'eAWD Package'!O21,0)+IF(Table44[[#This Row],[Towing]:[Towing]]="Y",'Towing Bat Cost'!O21,0),"N/A")</f>
        <v>3157.3896953555668</v>
      </c>
    </row>
    <row r="171" spans="1:19" hidden="1" x14ac:dyDescent="0.3">
      <c r="A171" s="28" t="str">
        <f t="shared" si="4"/>
        <v>MedSUVBasePHEV50</v>
      </c>
      <c r="B171" s="90" t="s">
        <v>86</v>
      </c>
      <c r="C171" s="68" t="s">
        <v>80</v>
      </c>
      <c r="D171" s="68" t="str">
        <f>'Vehicle Attributes - Base Year'!D19</f>
        <v>PHEV50</v>
      </c>
      <c r="E171" s="124" t="s">
        <v>76</v>
      </c>
      <c r="F171" s="124" t="s">
        <v>77</v>
      </c>
      <c r="G171" s="125" t="s">
        <v>76</v>
      </c>
      <c r="H171" s="125" t="s">
        <v>76</v>
      </c>
      <c r="I171" s="23">
        <f>IF(Table44[[#This Row],[Applicable Package?]:[Applicable Package?]]="Y",SUM('Rolled Up Non-Incremental Costs'!E22,'ICE Removal Cost'!E22,'Trans Removal Cost'!E22,'LEV3 Criteria Emissions Cost'!E22,'ZEV Assembly Reductions'!E22,'ACCII Criteria Compliance Cost'!E22,'ACCII GHG Compliance'!E22,'Current GHG Compliance'!E22)+IF(Table44[[#This Row],[Cold]:[Cold]]="Y",'Cold Weather Package'!E22,0)+IF(Table44[[#This Row],[eAWD]:[eAWD]]="Y",'eAWD Package'!E22,0)+IF(Table44[[#This Row],[Towing]:[Towing]]="Y",'Towing Bat Cost'!E22,0),"N/A")</f>
        <v>4976.1012098839019</v>
      </c>
      <c r="J171" s="23">
        <f>IF(Table44[[#This Row],[Applicable Package?]:[Applicable Package?]]="Y",SUM('Rolled Up Non-Incremental Costs'!F22,'ICE Removal Cost'!F22,'Trans Removal Cost'!F22,'LEV3 Criteria Emissions Cost'!F22,'ZEV Assembly Reductions'!F22,'ACCII Criteria Compliance Cost'!F22,'ACCII GHG Compliance'!F22,'Current GHG Compliance'!F22)+IF(Table44[[#This Row],[Cold]:[Cold]]="Y",'Cold Weather Package'!F22,0)+IF(Table44[[#This Row],[eAWD]:[eAWD]]="Y",'eAWD Package'!F22,0)+IF(Table44[[#This Row],[Towing]:[Towing]]="Y",'Towing Bat Cost'!F22,0),"N/A")</f>
        <v>4706.0414830791797</v>
      </c>
      <c r="K171" s="23">
        <f>IF(Table44[[#This Row],[Applicable Package?]:[Applicable Package?]]="Y",SUM('Rolled Up Non-Incremental Costs'!G22,'ICE Removal Cost'!G22,'Trans Removal Cost'!G22,'LEV3 Criteria Emissions Cost'!G22,'ZEV Assembly Reductions'!G22,'ACCII Criteria Compliance Cost'!G22,'ACCII GHG Compliance'!G22,'Current GHG Compliance'!G22)+IF(Table44[[#This Row],[Cold]:[Cold]]="Y",'Cold Weather Package'!G22,0)+IF(Table44[[#This Row],[eAWD]:[eAWD]]="Y",'eAWD Package'!G22,0)+IF(Table44[[#This Row],[Towing]:[Towing]]="Y",'Towing Bat Cost'!G22,0),"N/A")</f>
        <v>4454.4072800952999</v>
      </c>
      <c r="L171" s="23">
        <f>IF(Table44[[#This Row],[Applicable Package?]:[Applicable Package?]]="Y",SUM('Rolled Up Non-Incremental Costs'!H22,'ICE Removal Cost'!H22,'Trans Removal Cost'!H22,'LEV3 Criteria Emissions Cost'!H22,'ZEV Assembly Reductions'!H22,'ACCII Criteria Compliance Cost'!H22,'ACCII GHG Compliance'!H22,'Current GHG Compliance'!H22)+IF(Table44[[#This Row],[Cold]:[Cold]]="Y",'Cold Weather Package'!H22,0)+IF(Table44[[#This Row],[eAWD]:[eAWD]]="Y",'eAWD Package'!H22,0)+IF(Table44[[#This Row],[Towing]:[Towing]]="Y",'Towing Bat Cost'!H22,0),"N/A")</f>
        <v>4219.8404799268865</v>
      </c>
      <c r="M171" s="23">
        <f>IF(Table44[[#This Row],[Applicable Package?]:[Applicable Package?]]="Y",SUM('Rolled Up Non-Incremental Costs'!I22,'ICE Removal Cost'!I22,'Trans Removal Cost'!I22,'LEV3 Criteria Emissions Cost'!I22,'ZEV Assembly Reductions'!I22,'ACCII Criteria Compliance Cost'!I22,'ACCII GHG Compliance'!I22,'Current GHG Compliance'!I22)+IF(Table44[[#This Row],[Cold]:[Cold]]="Y",'Cold Weather Package'!I22,0)+IF(Table44[[#This Row],[eAWD]:[eAWD]]="Y",'eAWD Package'!I22,0)+IF(Table44[[#This Row],[Towing]:[Towing]]="Y",'Towing Bat Cost'!I22,0),"N/A")</f>
        <v>4001.0841718581378</v>
      </c>
      <c r="N171" s="23">
        <f>IF(Table44[[#This Row],[Applicable Package?]:[Applicable Package?]]="Y",SUM('Rolled Up Non-Incremental Costs'!J22,'ICE Removal Cost'!J22,'Trans Removal Cost'!J22,'LEV3 Criteria Emissions Cost'!J22,'ZEV Assembly Reductions'!J22,'ACCII Criteria Compliance Cost'!J22,'ACCII GHG Compliance'!J22,'Current GHG Compliance'!J22)+IF(Table44[[#This Row],[Cold]:[Cold]]="Y",'Cold Weather Package'!J22,0)+IF(Table44[[#This Row],[eAWD]:[eAWD]]="Y",'eAWD Package'!J22,0)+IF(Table44[[#This Row],[Towing]:[Towing]]="Y",'Towing Bat Cost'!J22,0),"N/A")</f>
        <v>3833.9270210220329</v>
      </c>
      <c r="O171" s="23">
        <f>IF(Table44[[#This Row],[Applicable Package?]:[Applicable Package?]]="Y",SUM('Rolled Up Non-Incremental Costs'!K22,'ICE Removal Cost'!K22,'Trans Removal Cost'!K22,'LEV3 Criteria Emissions Cost'!K22,'ZEV Assembly Reductions'!K22,'ACCII Criteria Compliance Cost'!K22,'ACCII GHG Compliance'!K22,'Current GHG Compliance'!K22)+IF(Table44[[#This Row],[Cold]:[Cold]]="Y",'Cold Weather Package'!K22,0)+IF(Table44[[#This Row],[eAWD]:[eAWD]]="Y",'eAWD Package'!K22,0)+IF(Table44[[#This Row],[Towing]:[Towing]]="Y",'Towing Bat Cost'!K22,0),"N/A")</f>
        <v>3685.357464181774</v>
      </c>
      <c r="P171" s="23">
        <f>IF(Table44[[#This Row],[Applicable Package?]:[Applicable Package?]]="Y",SUM('Rolled Up Non-Incremental Costs'!L22,'ICE Removal Cost'!L22,'Trans Removal Cost'!L22,'LEV3 Criteria Emissions Cost'!L22,'ZEV Assembly Reductions'!L22,'ACCII Criteria Compliance Cost'!L22,'ACCII GHG Compliance'!L22,'Current GHG Compliance'!L22)+IF(Table44[[#This Row],[Cold]:[Cold]]="Y",'Cold Weather Package'!L22,0)+IF(Table44[[#This Row],[eAWD]:[eAWD]]="Y",'eAWD Package'!L22,0)+IF(Table44[[#This Row],[Towing]:[Towing]]="Y",'Towing Bat Cost'!L22,0),"N/A")</f>
        <v>3543.7803736029127</v>
      </c>
      <c r="Q171" s="23">
        <f>IF(Table44[[#This Row],[Applicable Package?]:[Applicable Package?]]="Y",SUM('Rolled Up Non-Incremental Costs'!M22,'ICE Removal Cost'!M22,'Trans Removal Cost'!M22,'LEV3 Criteria Emissions Cost'!M22,'ZEV Assembly Reductions'!M22,'ACCII Criteria Compliance Cost'!M22,'ACCII GHG Compliance'!M22,'Current GHG Compliance'!M22)+IF(Table44[[#This Row],[Cold]:[Cold]]="Y",'Cold Weather Package'!M22,0)+IF(Table44[[#This Row],[eAWD]:[eAWD]]="Y",'eAWD Package'!M22,0)+IF(Table44[[#This Row],[Towing]:[Towing]]="Y",'Towing Bat Cost'!M22,0),"N/A")</f>
        <v>3408.8243289273923</v>
      </c>
      <c r="R171" s="23">
        <f>IF(Table44[[#This Row],[Applicable Package?]:[Applicable Package?]]="Y",SUM('Rolled Up Non-Incremental Costs'!N22,'ICE Removal Cost'!N22,'Trans Removal Cost'!N22,'LEV3 Criteria Emissions Cost'!N22,'ZEV Assembly Reductions'!N22,'ACCII Criteria Compliance Cost'!N22,'ACCII GHG Compliance'!N22,'Current GHG Compliance'!N22)+IF(Table44[[#This Row],[Cold]:[Cold]]="Y",'Cold Weather Package'!N22,0)+IF(Table44[[#This Row],[eAWD]:[eAWD]]="Y",'eAWD Package'!N22,0)+IF(Table44[[#This Row],[Towing]:[Towing]]="Y",'Towing Bat Cost'!N22,0),"N/A")</f>
        <v>3280.1381308900654</v>
      </c>
      <c r="S171" s="23">
        <f>IF(Table44[[#This Row],[Applicable Package?]:[Applicable Package?]]="Y",SUM('Rolled Up Non-Incremental Costs'!O22,'ICE Removal Cost'!O22,'Trans Removal Cost'!O22,'LEV3 Criteria Emissions Cost'!O22,'ZEV Assembly Reductions'!O22,'ACCII Criteria Compliance Cost'!O22,'ACCII GHG Compliance'!O22,'Current GHG Compliance'!O22)+IF(Table44[[#This Row],[Cold]:[Cold]]="Y",'Cold Weather Package'!O22,0)+IF(Table44[[#This Row],[eAWD]:[eAWD]]="Y",'eAWD Package'!O22,0)+IF(Table44[[#This Row],[Towing]:[Towing]]="Y",'Towing Bat Cost'!O22,0),"N/A")</f>
        <v>3157.3896953555668</v>
      </c>
    </row>
    <row r="172" spans="1:19" hidden="1" x14ac:dyDescent="0.3">
      <c r="A172" t="str">
        <f t="shared" si="4"/>
        <v>MedSUVPremiumPHEV50</v>
      </c>
      <c r="B172" s="90" t="s">
        <v>89</v>
      </c>
      <c r="C172" s="68" t="s">
        <v>75</v>
      </c>
      <c r="D172" s="68" t="str">
        <f>'Vehicle Attributes - Base Year'!D20</f>
        <v>PHEV50</v>
      </c>
      <c r="E172" s="124" t="s">
        <v>76</v>
      </c>
      <c r="F172" s="124" t="s">
        <v>77</v>
      </c>
      <c r="G172" s="125" t="s">
        <v>76</v>
      </c>
      <c r="H172" s="125" t="s">
        <v>76</v>
      </c>
      <c r="I172" s="23">
        <f>IF(Table44[[#This Row],[Applicable Package?]:[Applicable Package?]]="Y",SUM('Rolled Up Non-Incremental Costs'!E23,'ICE Removal Cost'!E23,'Trans Removal Cost'!E23,'LEV3 Criteria Emissions Cost'!E23,'ZEV Assembly Reductions'!E23,'ACCII Criteria Compliance Cost'!E23,'ACCII GHG Compliance'!E23,'Current GHG Compliance'!E23)+IF(Table44[[#This Row],[Cold]:[Cold]]="Y",'Cold Weather Package'!E23,0)+IF(Table44[[#This Row],[eAWD]:[eAWD]]="Y",'eAWD Package'!E23,0)+IF(Table44[[#This Row],[Towing]:[Towing]]="Y",'Towing Bat Cost'!E23,0),"N/A")</f>
        <v>5876.5135809680669</v>
      </c>
      <c r="J172" s="23">
        <f>IF(Table44[[#This Row],[Applicable Package?]:[Applicable Package?]]="Y",SUM('Rolled Up Non-Incremental Costs'!F23,'ICE Removal Cost'!F23,'Trans Removal Cost'!F23,'LEV3 Criteria Emissions Cost'!F23,'ZEV Assembly Reductions'!F23,'ACCII Criteria Compliance Cost'!F23,'ACCII GHG Compliance'!F23,'Current GHG Compliance'!F23)+IF(Table44[[#This Row],[Cold]:[Cold]]="Y",'Cold Weather Package'!F23,0)+IF(Table44[[#This Row],[eAWD]:[eAWD]]="Y",'eAWD Package'!F23,0)+IF(Table44[[#This Row],[Towing]:[Towing]]="Y",'Towing Bat Cost'!F23,0),"N/A")</f>
        <v>5555.4291319230924</v>
      </c>
      <c r="K172" s="23">
        <f>IF(Table44[[#This Row],[Applicable Package?]:[Applicable Package?]]="Y",SUM('Rolled Up Non-Incremental Costs'!G23,'ICE Removal Cost'!G23,'Trans Removal Cost'!G23,'LEV3 Criteria Emissions Cost'!G23,'ZEV Assembly Reductions'!G23,'ACCII Criteria Compliance Cost'!G23,'ACCII GHG Compliance'!G23,'Current GHG Compliance'!G23)+IF(Table44[[#This Row],[Cold]:[Cold]]="Y",'Cold Weather Package'!G23,0)+IF(Table44[[#This Row],[eAWD]:[eAWD]]="Y",'eAWD Package'!G23,0)+IF(Table44[[#This Row],[Towing]:[Towing]]="Y",'Towing Bat Cost'!G23,0),"N/A")</f>
        <v>5256.4172916015823</v>
      </c>
      <c r="L172" s="23">
        <f>IF(Table44[[#This Row],[Applicable Package?]:[Applicable Package?]]="Y",SUM('Rolled Up Non-Incremental Costs'!H23,'ICE Removal Cost'!H23,'Trans Removal Cost'!H23,'LEV3 Criteria Emissions Cost'!H23,'ZEV Assembly Reductions'!H23,'ACCII Criteria Compliance Cost'!H23,'ACCII GHG Compliance'!H23,'Current GHG Compliance'!H23)+IF(Table44[[#This Row],[Cold]:[Cold]]="Y",'Cold Weather Package'!H23,0)+IF(Table44[[#This Row],[eAWD]:[eAWD]]="Y",'eAWD Package'!H23,0)+IF(Table44[[#This Row],[Towing]:[Towing]]="Y",'Towing Bat Cost'!H23,0),"N/A")</f>
        <v>4977.8493032163069</v>
      </c>
      <c r="M172" s="23">
        <f>IF(Table44[[#This Row],[Applicable Package?]:[Applicable Package?]]="Y",SUM('Rolled Up Non-Incremental Costs'!I23,'ICE Removal Cost'!I23,'Trans Removal Cost'!I23,'LEV3 Criteria Emissions Cost'!I23,'ZEV Assembly Reductions'!I23,'ACCII Criteria Compliance Cost'!I23,'ACCII GHG Compliance'!I23,'Current GHG Compliance'!I23)+IF(Table44[[#This Row],[Cold]:[Cold]]="Y",'Cold Weather Package'!I23,0)+IF(Table44[[#This Row],[eAWD]:[eAWD]]="Y",'eAWD Package'!I23,0)+IF(Table44[[#This Row],[Towing]:[Towing]]="Y",'Towing Bat Cost'!I23,0),"N/A")</f>
        <v>4718.2178070396649</v>
      </c>
      <c r="N172" s="23">
        <f>IF(Table44[[#This Row],[Applicable Package?]:[Applicable Package?]]="Y",SUM('Rolled Up Non-Incremental Costs'!J23,'ICE Removal Cost'!J23,'Trans Removal Cost'!J23,'LEV3 Criteria Emissions Cost'!J23,'ZEV Assembly Reductions'!J23,'ACCII Criteria Compliance Cost'!J23,'ACCII GHG Compliance'!J23,'Current GHG Compliance'!J23)+IF(Table44[[#This Row],[Cold]:[Cold]]="Y",'Cold Weather Package'!J23,0)+IF(Table44[[#This Row],[eAWD]:[eAWD]]="Y",'eAWD Package'!J23,0)+IF(Table44[[#This Row],[Towing]:[Towing]]="Y",'Towing Bat Cost'!J23,0),"N/A")</f>
        <v>4520.4509369448788</v>
      </c>
      <c r="O172" s="23">
        <f>IF(Table44[[#This Row],[Applicable Package?]:[Applicable Package?]]="Y",SUM('Rolled Up Non-Incremental Costs'!K23,'ICE Removal Cost'!K23,'Trans Removal Cost'!K23,'LEV3 Criteria Emissions Cost'!K23,'ZEV Assembly Reductions'!K23,'ACCII Criteria Compliance Cost'!K23,'ACCII GHG Compliance'!K23,'Current GHG Compliance'!K23)+IF(Table44[[#This Row],[Cold]:[Cold]]="Y",'Cold Weather Package'!K23,0)+IF(Table44[[#This Row],[eAWD]:[eAWD]]="Y",'eAWD Package'!K23,0)+IF(Table44[[#This Row],[Towing]:[Towing]]="Y",'Towing Bat Cost'!K23,0),"N/A")</f>
        <v>4344.952197757535</v>
      </c>
      <c r="P172" s="23">
        <f>IF(Table44[[#This Row],[Applicable Package?]:[Applicable Package?]]="Y",SUM('Rolled Up Non-Incremental Costs'!L23,'ICE Removal Cost'!L23,'Trans Removal Cost'!L23,'LEV3 Criteria Emissions Cost'!L23,'ZEV Assembly Reductions'!L23,'ACCII Criteria Compliance Cost'!L23,'ACCII GHG Compliance'!L23,'Current GHG Compliance'!L23)+IF(Table44[[#This Row],[Cold]:[Cold]]="Y",'Cold Weather Package'!L23,0)+IF(Table44[[#This Row],[eAWD]:[eAWD]]="Y",'eAWD Package'!L23,0)+IF(Table44[[#This Row],[Towing]:[Towing]]="Y",'Towing Bat Cost'!L23,0),"N/A")</f>
        <v>4177.8137175445936</v>
      </c>
      <c r="Q172" s="23">
        <f>IF(Table44[[#This Row],[Applicable Package?]:[Applicable Package?]]="Y",SUM('Rolled Up Non-Incremental Costs'!M23,'ICE Removal Cost'!M23,'Trans Removal Cost'!M23,'LEV3 Criteria Emissions Cost'!M23,'ZEV Assembly Reductions'!M23,'ACCII Criteria Compliance Cost'!M23,'ACCII GHG Compliance'!M23,'Current GHG Compliance'!M23)+IF(Table44[[#This Row],[Cold]:[Cold]]="Y",'Cold Weather Package'!M23,0)+IF(Table44[[#This Row],[eAWD]:[eAWD]]="Y",'eAWD Package'!M23,0)+IF(Table44[[#This Row],[Towing]:[Towing]]="Y",'Towing Bat Cost'!M23,0),"N/A")</f>
        <v>4018.5902550971678</v>
      </c>
      <c r="R172" s="23">
        <f>IF(Table44[[#This Row],[Applicable Package?]:[Applicable Package?]]="Y",SUM('Rolled Up Non-Incremental Costs'!N23,'ICE Removal Cost'!N23,'Trans Removal Cost'!N23,'LEV3 Criteria Emissions Cost'!N23,'ZEV Assembly Reductions'!N23,'ACCII Criteria Compliance Cost'!N23,'ACCII GHG Compliance'!N23,'Current GHG Compliance'!N23)+IF(Table44[[#This Row],[Cold]:[Cold]]="Y",'Cold Weather Package'!N23,0)+IF(Table44[[#This Row],[eAWD]:[eAWD]]="Y",'eAWD Package'!N23,0)+IF(Table44[[#This Row],[Towing]:[Towing]]="Y",'Towing Bat Cost'!N23,0),"N/A")</f>
        <v>3866.8608213328571</v>
      </c>
      <c r="S172" s="23">
        <f>IF(Table44[[#This Row],[Applicable Package?]:[Applicable Package?]]="Y",SUM('Rolled Up Non-Incremental Costs'!O23,'ICE Removal Cost'!O23,'Trans Removal Cost'!O23,'LEV3 Criteria Emissions Cost'!O23,'ZEV Assembly Reductions'!O23,'ACCII Criteria Compliance Cost'!O23,'ACCII GHG Compliance'!O23,'Current GHG Compliance'!O23)+IF(Table44[[#This Row],[Cold]:[Cold]]="Y",'Cold Weather Package'!O23,0)+IF(Table44[[#This Row],[eAWD]:[eAWD]]="Y",'eAWD Package'!O23,0)+IF(Table44[[#This Row],[Towing]:[Towing]]="Y",'Towing Bat Cost'!O23,0),"N/A")</f>
        <v>3722.2273527401212</v>
      </c>
    </row>
    <row r="173" spans="1:19" hidden="1" x14ac:dyDescent="0.3">
      <c r="A173" s="28" t="str">
        <f t="shared" si="4"/>
        <v>PickupBasePHEV50</v>
      </c>
      <c r="B173" s="90" t="s">
        <v>89</v>
      </c>
      <c r="C173" s="68" t="s">
        <v>113</v>
      </c>
      <c r="D173" s="68" t="str">
        <f>'Vehicle Attributes - Base Year'!D21</f>
        <v>PHEV50</v>
      </c>
      <c r="E173" s="124" t="s">
        <v>76</v>
      </c>
      <c r="F173" s="124" t="s">
        <v>77</v>
      </c>
      <c r="G173" s="125" t="s">
        <v>76</v>
      </c>
      <c r="H173" s="125" t="s">
        <v>76</v>
      </c>
      <c r="I173" s="23">
        <f>IF(Table44[[#This Row],[Applicable Package?]:[Applicable Package?]]="Y",SUM('Rolled Up Non-Incremental Costs'!E24,'ICE Removal Cost'!E24,'Trans Removal Cost'!E24,'LEV3 Criteria Emissions Cost'!E24,'ZEV Assembly Reductions'!E24,'ACCII Criteria Compliance Cost'!E24,'ACCII GHG Compliance'!E24,'Current GHG Compliance'!E24)+IF(Table44[[#This Row],[Cold]:[Cold]]="Y",'Cold Weather Package'!E24,0)+IF(Table44[[#This Row],[eAWD]:[eAWD]]="Y",'eAWD Package'!E24,0)+IF(Table44[[#This Row],[Towing]:[Towing]]="Y",'Towing Bat Cost'!E24,0),"N/A")</f>
        <v>5876.5135809680669</v>
      </c>
      <c r="J173" s="23">
        <f>IF(Table44[[#This Row],[Applicable Package?]:[Applicable Package?]]="Y",SUM('Rolled Up Non-Incremental Costs'!F24,'ICE Removal Cost'!F24,'Trans Removal Cost'!F24,'LEV3 Criteria Emissions Cost'!F24,'ZEV Assembly Reductions'!F24,'ACCII Criteria Compliance Cost'!F24,'ACCII GHG Compliance'!F24,'Current GHG Compliance'!F24)+IF(Table44[[#This Row],[Cold]:[Cold]]="Y",'Cold Weather Package'!F24,0)+IF(Table44[[#This Row],[eAWD]:[eAWD]]="Y",'eAWD Package'!F24,0)+IF(Table44[[#This Row],[Towing]:[Towing]]="Y",'Towing Bat Cost'!F24,0),"N/A")</f>
        <v>5555.4291319230924</v>
      </c>
      <c r="K173" s="23">
        <f>IF(Table44[[#This Row],[Applicable Package?]:[Applicable Package?]]="Y",SUM('Rolled Up Non-Incremental Costs'!G24,'ICE Removal Cost'!G24,'Trans Removal Cost'!G24,'LEV3 Criteria Emissions Cost'!G24,'ZEV Assembly Reductions'!G24,'ACCII Criteria Compliance Cost'!G24,'ACCII GHG Compliance'!G24,'Current GHG Compliance'!G24)+IF(Table44[[#This Row],[Cold]:[Cold]]="Y",'Cold Weather Package'!G24,0)+IF(Table44[[#This Row],[eAWD]:[eAWD]]="Y",'eAWD Package'!G24,0)+IF(Table44[[#This Row],[Towing]:[Towing]]="Y",'Towing Bat Cost'!G24,0),"N/A")</f>
        <v>5256.4172916015823</v>
      </c>
      <c r="L173" s="23">
        <f>IF(Table44[[#This Row],[Applicable Package?]:[Applicable Package?]]="Y",SUM('Rolled Up Non-Incremental Costs'!H24,'ICE Removal Cost'!H24,'Trans Removal Cost'!H24,'LEV3 Criteria Emissions Cost'!H24,'ZEV Assembly Reductions'!H24,'ACCII Criteria Compliance Cost'!H24,'ACCII GHG Compliance'!H24,'Current GHG Compliance'!H24)+IF(Table44[[#This Row],[Cold]:[Cold]]="Y",'Cold Weather Package'!H24,0)+IF(Table44[[#This Row],[eAWD]:[eAWD]]="Y",'eAWD Package'!H24,0)+IF(Table44[[#This Row],[Towing]:[Towing]]="Y",'Towing Bat Cost'!H24,0),"N/A")</f>
        <v>4977.8493032163069</v>
      </c>
      <c r="M173" s="23">
        <f>IF(Table44[[#This Row],[Applicable Package?]:[Applicable Package?]]="Y",SUM('Rolled Up Non-Incremental Costs'!I24,'ICE Removal Cost'!I24,'Trans Removal Cost'!I24,'LEV3 Criteria Emissions Cost'!I24,'ZEV Assembly Reductions'!I24,'ACCII Criteria Compliance Cost'!I24,'ACCII GHG Compliance'!I24,'Current GHG Compliance'!I24)+IF(Table44[[#This Row],[Cold]:[Cold]]="Y",'Cold Weather Package'!I24,0)+IF(Table44[[#This Row],[eAWD]:[eAWD]]="Y",'eAWD Package'!I24,0)+IF(Table44[[#This Row],[Towing]:[Towing]]="Y",'Towing Bat Cost'!I24,0),"N/A")</f>
        <v>4718.2178070396649</v>
      </c>
      <c r="N173" s="23">
        <f>IF(Table44[[#This Row],[Applicable Package?]:[Applicable Package?]]="Y",SUM('Rolled Up Non-Incremental Costs'!J24,'ICE Removal Cost'!J24,'Trans Removal Cost'!J24,'LEV3 Criteria Emissions Cost'!J24,'ZEV Assembly Reductions'!J24,'ACCII Criteria Compliance Cost'!J24,'ACCII GHG Compliance'!J24,'Current GHG Compliance'!J24)+IF(Table44[[#This Row],[Cold]:[Cold]]="Y",'Cold Weather Package'!J24,0)+IF(Table44[[#This Row],[eAWD]:[eAWD]]="Y",'eAWD Package'!J24,0)+IF(Table44[[#This Row],[Towing]:[Towing]]="Y",'Towing Bat Cost'!J24,0),"N/A")</f>
        <v>4520.4509369448788</v>
      </c>
      <c r="O173" s="23">
        <f>IF(Table44[[#This Row],[Applicable Package?]:[Applicable Package?]]="Y",SUM('Rolled Up Non-Incremental Costs'!K24,'ICE Removal Cost'!K24,'Trans Removal Cost'!K24,'LEV3 Criteria Emissions Cost'!K24,'ZEV Assembly Reductions'!K24,'ACCII Criteria Compliance Cost'!K24,'ACCII GHG Compliance'!K24,'Current GHG Compliance'!K24)+IF(Table44[[#This Row],[Cold]:[Cold]]="Y",'Cold Weather Package'!K24,0)+IF(Table44[[#This Row],[eAWD]:[eAWD]]="Y",'eAWD Package'!K24,0)+IF(Table44[[#This Row],[Towing]:[Towing]]="Y",'Towing Bat Cost'!K24,0),"N/A")</f>
        <v>4344.952197757535</v>
      </c>
      <c r="P173" s="23">
        <f>IF(Table44[[#This Row],[Applicable Package?]:[Applicable Package?]]="Y",SUM('Rolled Up Non-Incremental Costs'!L24,'ICE Removal Cost'!L24,'Trans Removal Cost'!L24,'LEV3 Criteria Emissions Cost'!L24,'ZEV Assembly Reductions'!L24,'ACCII Criteria Compliance Cost'!L24,'ACCII GHG Compliance'!L24,'Current GHG Compliance'!L24)+IF(Table44[[#This Row],[Cold]:[Cold]]="Y",'Cold Weather Package'!L24,0)+IF(Table44[[#This Row],[eAWD]:[eAWD]]="Y",'eAWD Package'!L24,0)+IF(Table44[[#This Row],[Towing]:[Towing]]="Y",'Towing Bat Cost'!L24,0),"N/A")</f>
        <v>4177.8137175445936</v>
      </c>
      <c r="Q173" s="23">
        <f>IF(Table44[[#This Row],[Applicable Package?]:[Applicable Package?]]="Y",SUM('Rolled Up Non-Incremental Costs'!M24,'ICE Removal Cost'!M24,'Trans Removal Cost'!M24,'LEV3 Criteria Emissions Cost'!M24,'ZEV Assembly Reductions'!M24,'ACCII Criteria Compliance Cost'!M24,'ACCII GHG Compliance'!M24,'Current GHG Compliance'!M24)+IF(Table44[[#This Row],[Cold]:[Cold]]="Y",'Cold Weather Package'!M24,0)+IF(Table44[[#This Row],[eAWD]:[eAWD]]="Y",'eAWD Package'!M24,0)+IF(Table44[[#This Row],[Towing]:[Towing]]="Y",'Towing Bat Cost'!M24,0),"N/A")</f>
        <v>4018.5902550971678</v>
      </c>
      <c r="R173" s="23">
        <f>IF(Table44[[#This Row],[Applicable Package?]:[Applicable Package?]]="Y",SUM('Rolled Up Non-Incremental Costs'!N24,'ICE Removal Cost'!N24,'Trans Removal Cost'!N24,'LEV3 Criteria Emissions Cost'!N24,'ZEV Assembly Reductions'!N24,'ACCII Criteria Compliance Cost'!N24,'ACCII GHG Compliance'!N24,'Current GHG Compliance'!N24)+IF(Table44[[#This Row],[Cold]:[Cold]]="Y",'Cold Weather Package'!N24,0)+IF(Table44[[#This Row],[eAWD]:[eAWD]]="Y",'eAWD Package'!N24,0)+IF(Table44[[#This Row],[Towing]:[Towing]]="Y",'Towing Bat Cost'!N24,0),"N/A")</f>
        <v>3866.8608213328571</v>
      </c>
      <c r="S173" s="23">
        <f>IF(Table44[[#This Row],[Applicable Package?]:[Applicable Package?]]="Y",SUM('Rolled Up Non-Incremental Costs'!O24,'ICE Removal Cost'!O24,'Trans Removal Cost'!O24,'LEV3 Criteria Emissions Cost'!O24,'ZEV Assembly Reductions'!O24,'ACCII Criteria Compliance Cost'!O24,'ACCII GHG Compliance'!O24,'Current GHG Compliance'!O24)+IF(Table44[[#This Row],[Cold]:[Cold]]="Y",'Cold Weather Package'!O24,0)+IF(Table44[[#This Row],[eAWD]:[eAWD]]="Y",'eAWD Package'!O24,0)+IF(Table44[[#This Row],[Towing]:[Towing]]="Y",'Towing Bat Cost'!O24,0),"N/A")</f>
        <v>3722.2273527401212</v>
      </c>
    </row>
    <row r="174" spans="1:19" hidden="1" x14ac:dyDescent="0.3">
      <c r="A174" t="str">
        <f t="shared" si="4"/>
        <v>PickupHTPHEV50</v>
      </c>
      <c r="B174" s="90" t="s">
        <v>73</v>
      </c>
      <c r="C174" s="68" t="s">
        <v>75</v>
      </c>
      <c r="D174" s="68" t="str">
        <f>'Vehicle Attributes - Base Year'!D22</f>
        <v>FCEV320</v>
      </c>
      <c r="E174" s="124" t="s">
        <v>76</v>
      </c>
      <c r="F174" s="124" t="s">
        <v>77</v>
      </c>
      <c r="G174" s="125" t="s">
        <v>76</v>
      </c>
      <c r="H174" s="125" t="s">
        <v>77</v>
      </c>
      <c r="I174" s="23" t="str">
        <f>IF(Table44[[#This Row],[Applicable Package?]:[Applicable Package?]]="Y",SUM('Rolled Up Non-Incremental Costs'!E25,'ICE Removal Cost'!E25,'Trans Removal Cost'!E25,'LEV3 Criteria Emissions Cost'!E25,'ZEV Assembly Reductions'!E25,'ACCII Criteria Compliance Cost'!E25,'ACCII GHG Compliance'!E25,'Current GHG Compliance'!E25)+IF(Table44[[#This Row],[Cold]:[Cold]]="Y",'Cold Weather Package'!E25,0)+IF(Table44[[#This Row],[eAWD]:[eAWD]]="Y",'eAWD Package'!E25,0)+IF(Table44[[#This Row],[Towing]:[Towing]]="Y",'Towing Bat Cost'!E25,0),"N/A")</f>
        <v>N/A</v>
      </c>
      <c r="J174" s="23" t="str">
        <f>IF(Table44[[#This Row],[Applicable Package?]:[Applicable Package?]]="Y",SUM('Rolled Up Non-Incremental Costs'!F25,'ICE Removal Cost'!F25,'Trans Removal Cost'!F25,'LEV3 Criteria Emissions Cost'!F25,'ZEV Assembly Reductions'!F25,'ACCII Criteria Compliance Cost'!F25,'ACCII GHG Compliance'!F25,'Current GHG Compliance'!F25)+IF(Table44[[#This Row],[Cold]:[Cold]]="Y",'Cold Weather Package'!F25,0)+IF(Table44[[#This Row],[eAWD]:[eAWD]]="Y",'eAWD Package'!F25,0)+IF(Table44[[#This Row],[Towing]:[Towing]]="Y",'Towing Bat Cost'!F25,0),"N/A")</f>
        <v>N/A</v>
      </c>
      <c r="K174" s="23" t="str">
        <f>IF(Table44[[#This Row],[Applicable Package?]:[Applicable Package?]]="Y",SUM('Rolled Up Non-Incremental Costs'!G25,'ICE Removal Cost'!G25,'Trans Removal Cost'!G25,'LEV3 Criteria Emissions Cost'!G25,'ZEV Assembly Reductions'!G25,'ACCII Criteria Compliance Cost'!G25,'ACCII GHG Compliance'!G25,'Current GHG Compliance'!G25)+IF(Table44[[#This Row],[Cold]:[Cold]]="Y",'Cold Weather Package'!G25,0)+IF(Table44[[#This Row],[eAWD]:[eAWD]]="Y",'eAWD Package'!G25,0)+IF(Table44[[#This Row],[Towing]:[Towing]]="Y",'Towing Bat Cost'!G25,0),"N/A")</f>
        <v>N/A</v>
      </c>
      <c r="L174" s="23" t="str">
        <f>IF(Table44[[#This Row],[Applicable Package?]:[Applicable Package?]]="Y",SUM('Rolled Up Non-Incremental Costs'!H25,'ICE Removal Cost'!H25,'Trans Removal Cost'!H25,'LEV3 Criteria Emissions Cost'!H25,'ZEV Assembly Reductions'!H25,'ACCII Criteria Compliance Cost'!H25,'ACCII GHG Compliance'!H25,'Current GHG Compliance'!H25)+IF(Table44[[#This Row],[Cold]:[Cold]]="Y",'Cold Weather Package'!H25,0)+IF(Table44[[#This Row],[eAWD]:[eAWD]]="Y",'eAWD Package'!H25,0)+IF(Table44[[#This Row],[Towing]:[Towing]]="Y",'Towing Bat Cost'!H25,0),"N/A")</f>
        <v>N/A</v>
      </c>
      <c r="M174" s="23" t="str">
        <f>IF(Table44[[#This Row],[Applicable Package?]:[Applicable Package?]]="Y",SUM('Rolled Up Non-Incremental Costs'!I25,'ICE Removal Cost'!I25,'Trans Removal Cost'!I25,'LEV3 Criteria Emissions Cost'!I25,'ZEV Assembly Reductions'!I25,'ACCII Criteria Compliance Cost'!I25,'ACCII GHG Compliance'!I25,'Current GHG Compliance'!I25)+IF(Table44[[#This Row],[Cold]:[Cold]]="Y",'Cold Weather Package'!I25,0)+IF(Table44[[#This Row],[eAWD]:[eAWD]]="Y",'eAWD Package'!I25,0)+IF(Table44[[#This Row],[Towing]:[Towing]]="Y",'Towing Bat Cost'!I25,0),"N/A")</f>
        <v>N/A</v>
      </c>
      <c r="N174" s="23" t="str">
        <f>IF(Table44[[#This Row],[Applicable Package?]:[Applicable Package?]]="Y",SUM('Rolled Up Non-Incremental Costs'!J25,'ICE Removal Cost'!J25,'Trans Removal Cost'!J25,'LEV3 Criteria Emissions Cost'!J25,'ZEV Assembly Reductions'!J25,'ACCII Criteria Compliance Cost'!J25,'ACCII GHG Compliance'!J25,'Current GHG Compliance'!J25)+IF(Table44[[#This Row],[Cold]:[Cold]]="Y",'Cold Weather Package'!J25,0)+IF(Table44[[#This Row],[eAWD]:[eAWD]]="Y",'eAWD Package'!J25,0)+IF(Table44[[#This Row],[Towing]:[Towing]]="Y",'Towing Bat Cost'!J25,0),"N/A")</f>
        <v>N/A</v>
      </c>
      <c r="O174" s="23" t="str">
        <f>IF(Table44[[#This Row],[Applicable Package?]:[Applicable Package?]]="Y",SUM('Rolled Up Non-Incremental Costs'!K25,'ICE Removal Cost'!K25,'Trans Removal Cost'!K25,'LEV3 Criteria Emissions Cost'!K25,'ZEV Assembly Reductions'!K25,'ACCII Criteria Compliance Cost'!K25,'ACCII GHG Compliance'!K25,'Current GHG Compliance'!K25)+IF(Table44[[#This Row],[Cold]:[Cold]]="Y",'Cold Weather Package'!K25,0)+IF(Table44[[#This Row],[eAWD]:[eAWD]]="Y",'eAWD Package'!K25,0)+IF(Table44[[#This Row],[Towing]:[Towing]]="Y",'Towing Bat Cost'!K25,0),"N/A")</f>
        <v>N/A</v>
      </c>
      <c r="P174" s="23" t="str">
        <f>IF(Table44[[#This Row],[Applicable Package?]:[Applicable Package?]]="Y",SUM('Rolled Up Non-Incremental Costs'!L25,'ICE Removal Cost'!L25,'Trans Removal Cost'!L25,'LEV3 Criteria Emissions Cost'!L25,'ZEV Assembly Reductions'!L25,'ACCII Criteria Compliance Cost'!L25,'ACCII GHG Compliance'!L25,'Current GHG Compliance'!L25)+IF(Table44[[#This Row],[Cold]:[Cold]]="Y",'Cold Weather Package'!L25,0)+IF(Table44[[#This Row],[eAWD]:[eAWD]]="Y",'eAWD Package'!L25,0)+IF(Table44[[#This Row],[Towing]:[Towing]]="Y",'Towing Bat Cost'!L25,0),"N/A")</f>
        <v>N/A</v>
      </c>
      <c r="Q174" s="23" t="str">
        <f>IF(Table44[[#This Row],[Applicable Package?]:[Applicable Package?]]="Y",SUM('Rolled Up Non-Incremental Costs'!M25,'ICE Removal Cost'!M25,'Trans Removal Cost'!M25,'LEV3 Criteria Emissions Cost'!M25,'ZEV Assembly Reductions'!M25,'ACCII Criteria Compliance Cost'!M25,'ACCII GHG Compliance'!M25,'Current GHG Compliance'!M25)+IF(Table44[[#This Row],[Cold]:[Cold]]="Y",'Cold Weather Package'!M25,0)+IF(Table44[[#This Row],[eAWD]:[eAWD]]="Y",'eAWD Package'!M25,0)+IF(Table44[[#This Row],[Towing]:[Towing]]="Y",'Towing Bat Cost'!M25,0),"N/A")</f>
        <v>N/A</v>
      </c>
      <c r="R174" s="23" t="str">
        <f>IF(Table44[[#This Row],[Applicable Package?]:[Applicable Package?]]="Y",SUM('Rolled Up Non-Incremental Costs'!N25,'ICE Removal Cost'!N25,'Trans Removal Cost'!N25,'LEV3 Criteria Emissions Cost'!N25,'ZEV Assembly Reductions'!N25,'ACCII Criteria Compliance Cost'!N25,'ACCII GHG Compliance'!N25,'Current GHG Compliance'!N25)+IF(Table44[[#This Row],[Cold]:[Cold]]="Y",'Cold Weather Package'!N25,0)+IF(Table44[[#This Row],[eAWD]:[eAWD]]="Y",'eAWD Package'!N25,0)+IF(Table44[[#This Row],[Towing]:[Towing]]="Y",'Towing Bat Cost'!N25,0),"N/A")</f>
        <v>N/A</v>
      </c>
      <c r="S174" s="23" t="str">
        <f>IF(Table44[[#This Row],[Applicable Package?]:[Applicable Package?]]="Y",SUM('Rolled Up Non-Incremental Costs'!O25,'ICE Removal Cost'!O25,'Trans Removal Cost'!O25,'LEV3 Criteria Emissions Cost'!O25,'ZEV Assembly Reductions'!O25,'ACCII Criteria Compliance Cost'!O25,'ACCII GHG Compliance'!O25,'Current GHG Compliance'!O25)+IF(Table44[[#This Row],[Cold]:[Cold]]="Y",'Cold Weather Package'!O25,0)+IF(Table44[[#This Row],[eAWD]:[eAWD]]="Y",'eAWD Package'!O25,0)+IF(Table44[[#This Row],[Towing]:[Towing]]="Y",'Towing Bat Cost'!O25,0),"N/A")</f>
        <v>N/A</v>
      </c>
    </row>
    <row r="175" spans="1:19" hidden="1" x14ac:dyDescent="0.3">
      <c r="A175" s="28" t="str">
        <f t="shared" si="4"/>
        <v>SmallCarBaseFCEV320</v>
      </c>
      <c r="B175" s="90" t="s">
        <v>73</v>
      </c>
      <c r="C175" s="68" t="s">
        <v>80</v>
      </c>
      <c r="D175" s="68" t="str">
        <f>'Vehicle Attributes - Base Year'!D23</f>
        <v>FCEV320</v>
      </c>
      <c r="E175" s="124" t="s">
        <v>76</v>
      </c>
      <c r="F175" s="124" t="s">
        <v>77</v>
      </c>
      <c r="G175" s="125" t="s">
        <v>76</v>
      </c>
      <c r="H175" s="125" t="s">
        <v>77</v>
      </c>
      <c r="I175" s="23" t="str">
        <f>IF(Table44[[#This Row],[Applicable Package?]:[Applicable Package?]]="Y",SUM('Rolled Up Non-Incremental Costs'!E26,'ICE Removal Cost'!E26,'Trans Removal Cost'!E26,'LEV3 Criteria Emissions Cost'!E26,'ZEV Assembly Reductions'!E26,'ACCII Criteria Compliance Cost'!E26,'ACCII GHG Compliance'!E26,'Current GHG Compliance'!E26)+IF(Table44[[#This Row],[Cold]:[Cold]]="Y",'Cold Weather Package'!E26,0)+IF(Table44[[#This Row],[eAWD]:[eAWD]]="Y",'eAWD Package'!E26,0)+IF(Table44[[#This Row],[Towing]:[Towing]]="Y",'Towing Bat Cost'!E26,0),"N/A")</f>
        <v>N/A</v>
      </c>
      <c r="J175" s="23" t="str">
        <f>IF(Table44[[#This Row],[Applicable Package?]:[Applicable Package?]]="Y",SUM('Rolled Up Non-Incremental Costs'!F26,'ICE Removal Cost'!F26,'Trans Removal Cost'!F26,'LEV3 Criteria Emissions Cost'!F26,'ZEV Assembly Reductions'!F26,'ACCII Criteria Compliance Cost'!F26,'ACCII GHG Compliance'!F26,'Current GHG Compliance'!F26)+IF(Table44[[#This Row],[Cold]:[Cold]]="Y",'Cold Weather Package'!F26,0)+IF(Table44[[#This Row],[eAWD]:[eAWD]]="Y",'eAWD Package'!F26,0)+IF(Table44[[#This Row],[Towing]:[Towing]]="Y",'Towing Bat Cost'!F26,0),"N/A")</f>
        <v>N/A</v>
      </c>
      <c r="K175" s="23" t="str">
        <f>IF(Table44[[#This Row],[Applicable Package?]:[Applicable Package?]]="Y",SUM('Rolled Up Non-Incremental Costs'!G26,'ICE Removal Cost'!G26,'Trans Removal Cost'!G26,'LEV3 Criteria Emissions Cost'!G26,'ZEV Assembly Reductions'!G26,'ACCII Criteria Compliance Cost'!G26,'ACCII GHG Compliance'!G26,'Current GHG Compliance'!G26)+IF(Table44[[#This Row],[Cold]:[Cold]]="Y",'Cold Weather Package'!G26,0)+IF(Table44[[#This Row],[eAWD]:[eAWD]]="Y",'eAWD Package'!G26,0)+IF(Table44[[#This Row],[Towing]:[Towing]]="Y",'Towing Bat Cost'!G26,0),"N/A")</f>
        <v>N/A</v>
      </c>
      <c r="L175" s="23" t="str">
        <f>IF(Table44[[#This Row],[Applicable Package?]:[Applicable Package?]]="Y",SUM('Rolled Up Non-Incremental Costs'!H26,'ICE Removal Cost'!H26,'Trans Removal Cost'!H26,'LEV3 Criteria Emissions Cost'!H26,'ZEV Assembly Reductions'!H26,'ACCII Criteria Compliance Cost'!H26,'ACCII GHG Compliance'!H26,'Current GHG Compliance'!H26)+IF(Table44[[#This Row],[Cold]:[Cold]]="Y",'Cold Weather Package'!H26,0)+IF(Table44[[#This Row],[eAWD]:[eAWD]]="Y",'eAWD Package'!H26,0)+IF(Table44[[#This Row],[Towing]:[Towing]]="Y",'Towing Bat Cost'!H26,0),"N/A")</f>
        <v>N/A</v>
      </c>
      <c r="M175" s="23" t="str">
        <f>IF(Table44[[#This Row],[Applicable Package?]:[Applicable Package?]]="Y",SUM('Rolled Up Non-Incremental Costs'!I26,'ICE Removal Cost'!I26,'Trans Removal Cost'!I26,'LEV3 Criteria Emissions Cost'!I26,'ZEV Assembly Reductions'!I26,'ACCII Criteria Compliance Cost'!I26,'ACCII GHG Compliance'!I26,'Current GHG Compliance'!I26)+IF(Table44[[#This Row],[Cold]:[Cold]]="Y",'Cold Weather Package'!I26,0)+IF(Table44[[#This Row],[eAWD]:[eAWD]]="Y",'eAWD Package'!I26,0)+IF(Table44[[#This Row],[Towing]:[Towing]]="Y",'Towing Bat Cost'!I26,0),"N/A")</f>
        <v>N/A</v>
      </c>
      <c r="N175" s="23" t="str">
        <f>IF(Table44[[#This Row],[Applicable Package?]:[Applicable Package?]]="Y",SUM('Rolled Up Non-Incremental Costs'!J26,'ICE Removal Cost'!J26,'Trans Removal Cost'!J26,'LEV3 Criteria Emissions Cost'!J26,'ZEV Assembly Reductions'!J26,'ACCII Criteria Compliance Cost'!J26,'ACCII GHG Compliance'!J26,'Current GHG Compliance'!J26)+IF(Table44[[#This Row],[Cold]:[Cold]]="Y",'Cold Weather Package'!J26,0)+IF(Table44[[#This Row],[eAWD]:[eAWD]]="Y",'eAWD Package'!J26,0)+IF(Table44[[#This Row],[Towing]:[Towing]]="Y",'Towing Bat Cost'!J26,0),"N/A")</f>
        <v>N/A</v>
      </c>
      <c r="O175" s="23" t="str">
        <f>IF(Table44[[#This Row],[Applicable Package?]:[Applicable Package?]]="Y",SUM('Rolled Up Non-Incremental Costs'!K26,'ICE Removal Cost'!K26,'Trans Removal Cost'!K26,'LEV3 Criteria Emissions Cost'!K26,'ZEV Assembly Reductions'!K26,'ACCII Criteria Compliance Cost'!K26,'ACCII GHG Compliance'!K26,'Current GHG Compliance'!K26)+IF(Table44[[#This Row],[Cold]:[Cold]]="Y",'Cold Weather Package'!K26,0)+IF(Table44[[#This Row],[eAWD]:[eAWD]]="Y",'eAWD Package'!K26,0)+IF(Table44[[#This Row],[Towing]:[Towing]]="Y",'Towing Bat Cost'!K26,0),"N/A")</f>
        <v>N/A</v>
      </c>
      <c r="P175" s="23" t="str">
        <f>IF(Table44[[#This Row],[Applicable Package?]:[Applicable Package?]]="Y",SUM('Rolled Up Non-Incremental Costs'!L26,'ICE Removal Cost'!L26,'Trans Removal Cost'!L26,'LEV3 Criteria Emissions Cost'!L26,'ZEV Assembly Reductions'!L26,'ACCII Criteria Compliance Cost'!L26,'ACCII GHG Compliance'!L26,'Current GHG Compliance'!L26)+IF(Table44[[#This Row],[Cold]:[Cold]]="Y",'Cold Weather Package'!L26,0)+IF(Table44[[#This Row],[eAWD]:[eAWD]]="Y",'eAWD Package'!L26,0)+IF(Table44[[#This Row],[Towing]:[Towing]]="Y",'Towing Bat Cost'!L26,0),"N/A")</f>
        <v>N/A</v>
      </c>
      <c r="Q175" s="23" t="str">
        <f>IF(Table44[[#This Row],[Applicable Package?]:[Applicable Package?]]="Y",SUM('Rolled Up Non-Incremental Costs'!M26,'ICE Removal Cost'!M26,'Trans Removal Cost'!M26,'LEV3 Criteria Emissions Cost'!M26,'ZEV Assembly Reductions'!M26,'ACCII Criteria Compliance Cost'!M26,'ACCII GHG Compliance'!M26,'Current GHG Compliance'!M26)+IF(Table44[[#This Row],[Cold]:[Cold]]="Y",'Cold Weather Package'!M26,0)+IF(Table44[[#This Row],[eAWD]:[eAWD]]="Y",'eAWD Package'!M26,0)+IF(Table44[[#This Row],[Towing]:[Towing]]="Y",'Towing Bat Cost'!M26,0),"N/A")</f>
        <v>N/A</v>
      </c>
      <c r="R175" s="23" t="str">
        <f>IF(Table44[[#This Row],[Applicable Package?]:[Applicable Package?]]="Y",SUM('Rolled Up Non-Incremental Costs'!N26,'ICE Removal Cost'!N26,'Trans Removal Cost'!N26,'LEV3 Criteria Emissions Cost'!N26,'ZEV Assembly Reductions'!N26,'ACCII Criteria Compliance Cost'!N26,'ACCII GHG Compliance'!N26,'Current GHG Compliance'!N26)+IF(Table44[[#This Row],[Cold]:[Cold]]="Y",'Cold Weather Package'!N26,0)+IF(Table44[[#This Row],[eAWD]:[eAWD]]="Y",'eAWD Package'!N26,0)+IF(Table44[[#This Row],[Towing]:[Towing]]="Y",'Towing Bat Cost'!N26,0),"N/A")</f>
        <v>N/A</v>
      </c>
      <c r="S175" s="23" t="str">
        <f>IF(Table44[[#This Row],[Applicable Package?]:[Applicable Package?]]="Y",SUM('Rolled Up Non-Incremental Costs'!O26,'ICE Removal Cost'!O26,'Trans Removal Cost'!O26,'LEV3 Criteria Emissions Cost'!O26,'ZEV Assembly Reductions'!O26,'ACCII Criteria Compliance Cost'!O26,'ACCII GHG Compliance'!O26,'Current GHG Compliance'!O26)+IF(Table44[[#This Row],[Cold]:[Cold]]="Y",'Cold Weather Package'!O26,0)+IF(Table44[[#This Row],[eAWD]:[eAWD]]="Y",'eAWD Package'!O26,0)+IF(Table44[[#This Row],[Towing]:[Towing]]="Y",'Towing Bat Cost'!O26,0),"N/A")</f>
        <v>N/A</v>
      </c>
    </row>
    <row r="176" spans="1:19" hidden="1" x14ac:dyDescent="0.3">
      <c r="A176" t="str">
        <f t="shared" si="4"/>
        <v>SmallCarPremiumFCEV320</v>
      </c>
      <c r="B176" s="90" t="s">
        <v>82</v>
      </c>
      <c r="C176" s="68" t="s">
        <v>75</v>
      </c>
      <c r="D176" s="68" t="str">
        <f>'Vehicle Attributes - Base Year'!D24</f>
        <v>FCEV320</v>
      </c>
      <c r="E176" s="124" t="s">
        <v>76</v>
      </c>
      <c r="F176" s="124" t="s">
        <v>77</v>
      </c>
      <c r="G176" s="125" t="s">
        <v>76</v>
      </c>
      <c r="H176" s="125" t="s">
        <v>77</v>
      </c>
      <c r="I176" s="23" t="str">
        <f>IF(Table44[[#This Row],[Applicable Package?]:[Applicable Package?]]="Y",SUM('Rolled Up Non-Incremental Costs'!E27,'ICE Removal Cost'!E27,'Trans Removal Cost'!E27,'LEV3 Criteria Emissions Cost'!E27,'ZEV Assembly Reductions'!E27,'ACCII Criteria Compliance Cost'!E27,'ACCII GHG Compliance'!E27,'Current GHG Compliance'!E27)+IF(Table44[[#This Row],[Cold]:[Cold]]="Y",'Cold Weather Package'!E27,0)+IF(Table44[[#This Row],[eAWD]:[eAWD]]="Y",'eAWD Package'!E27,0)+IF(Table44[[#This Row],[Towing]:[Towing]]="Y",'Towing Bat Cost'!E27,0),"N/A")</f>
        <v>N/A</v>
      </c>
      <c r="J176" s="23" t="str">
        <f>IF(Table44[[#This Row],[Applicable Package?]:[Applicable Package?]]="Y",SUM('Rolled Up Non-Incremental Costs'!F27,'ICE Removal Cost'!F27,'Trans Removal Cost'!F27,'LEV3 Criteria Emissions Cost'!F27,'ZEV Assembly Reductions'!F27,'ACCII Criteria Compliance Cost'!F27,'ACCII GHG Compliance'!F27,'Current GHG Compliance'!F27)+IF(Table44[[#This Row],[Cold]:[Cold]]="Y",'Cold Weather Package'!F27,0)+IF(Table44[[#This Row],[eAWD]:[eAWD]]="Y",'eAWD Package'!F27,0)+IF(Table44[[#This Row],[Towing]:[Towing]]="Y",'Towing Bat Cost'!F27,0),"N/A")</f>
        <v>N/A</v>
      </c>
      <c r="K176" s="23" t="str">
        <f>IF(Table44[[#This Row],[Applicable Package?]:[Applicable Package?]]="Y",SUM('Rolled Up Non-Incremental Costs'!G27,'ICE Removal Cost'!G27,'Trans Removal Cost'!G27,'LEV3 Criteria Emissions Cost'!G27,'ZEV Assembly Reductions'!G27,'ACCII Criteria Compliance Cost'!G27,'ACCII GHG Compliance'!G27,'Current GHG Compliance'!G27)+IF(Table44[[#This Row],[Cold]:[Cold]]="Y",'Cold Weather Package'!G27,0)+IF(Table44[[#This Row],[eAWD]:[eAWD]]="Y",'eAWD Package'!G27,0)+IF(Table44[[#This Row],[Towing]:[Towing]]="Y",'Towing Bat Cost'!G27,0),"N/A")</f>
        <v>N/A</v>
      </c>
      <c r="L176" s="23" t="str">
        <f>IF(Table44[[#This Row],[Applicable Package?]:[Applicable Package?]]="Y",SUM('Rolled Up Non-Incremental Costs'!H27,'ICE Removal Cost'!H27,'Trans Removal Cost'!H27,'LEV3 Criteria Emissions Cost'!H27,'ZEV Assembly Reductions'!H27,'ACCII Criteria Compliance Cost'!H27,'ACCII GHG Compliance'!H27,'Current GHG Compliance'!H27)+IF(Table44[[#This Row],[Cold]:[Cold]]="Y",'Cold Weather Package'!H27,0)+IF(Table44[[#This Row],[eAWD]:[eAWD]]="Y",'eAWD Package'!H27,0)+IF(Table44[[#This Row],[Towing]:[Towing]]="Y",'Towing Bat Cost'!H27,0),"N/A")</f>
        <v>N/A</v>
      </c>
      <c r="M176" s="23" t="str">
        <f>IF(Table44[[#This Row],[Applicable Package?]:[Applicable Package?]]="Y",SUM('Rolled Up Non-Incremental Costs'!I27,'ICE Removal Cost'!I27,'Trans Removal Cost'!I27,'LEV3 Criteria Emissions Cost'!I27,'ZEV Assembly Reductions'!I27,'ACCII Criteria Compliance Cost'!I27,'ACCII GHG Compliance'!I27,'Current GHG Compliance'!I27)+IF(Table44[[#This Row],[Cold]:[Cold]]="Y",'Cold Weather Package'!I27,0)+IF(Table44[[#This Row],[eAWD]:[eAWD]]="Y",'eAWD Package'!I27,0)+IF(Table44[[#This Row],[Towing]:[Towing]]="Y",'Towing Bat Cost'!I27,0),"N/A")</f>
        <v>N/A</v>
      </c>
      <c r="N176" s="23" t="str">
        <f>IF(Table44[[#This Row],[Applicable Package?]:[Applicable Package?]]="Y",SUM('Rolled Up Non-Incremental Costs'!J27,'ICE Removal Cost'!J27,'Trans Removal Cost'!J27,'LEV3 Criteria Emissions Cost'!J27,'ZEV Assembly Reductions'!J27,'ACCII Criteria Compliance Cost'!J27,'ACCII GHG Compliance'!J27,'Current GHG Compliance'!J27)+IF(Table44[[#This Row],[Cold]:[Cold]]="Y",'Cold Weather Package'!J27,0)+IF(Table44[[#This Row],[eAWD]:[eAWD]]="Y",'eAWD Package'!J27,0)+IF(Table44[[#This Row],[Towing]:[Towing]]="Y",'Towing Bat Cost'!J27,0),"N/A")</f>
        <v>N/A</v>
      </c>
      <c r="O176" s="23" t="str">
        <f>IF(Table44[[#This Row],[Applicable Package?]:[Applicable Package?]]="Y",SUM('Rolled Up Non-Incremental Costs'!K27,'ICE Removal Cost'!K27,'Trans Removal Cost'!K27,'LEV3 Criteria Emissions Cost'!K27,'ZEV Assembly Reductions'!K27,'ACCII Criteria Compliance Cost'!K27,'ACCII GHG Compliance'!K27,'Current GHG Compliance'!K27)+IF(Table44[[#This Row],[Cold]:[Cold]]="Y",'Cold Weather Package'!K27,0)+IF(Table44[[#This Row],[eAWD]:[eAWD]]="Y",'eAWD Package'!K27,0)+IF(Table44[[#This Row],[Towing]:[Towing]]="Y",'Towing Bat Cost'!K27,0),"N/A")</f>
        <v>N/A</v>
      </c>
      <c r="P176" s="23" t="str">
        <f>IF(Table44[[#This Row],[Applicable Package?]:[Applicable Package?]]="Y",SUM('Rolled Up Non-Incremental Costs'!L27,'ICE Removal Cost'!L27,'Trans Removal Cost'!L27,'LEV3 Criteria Emissions Cost'!L27,'ZEV Assembly Reductions'!L27,'ACCII Criteria Compliance Cost'!L27,'ACCII GHG Compliance'!L27,'Current GHG Compliance'!L27)+IF(Table44[[#This Row],[Cold]:[Cold]]="Y",'Cold Weather Package'!L27,0)+IF(Table44[[#This Row],[eAWD]:[eAWD]]="Y",'eAWD Package'!L27,0)+IF(Table44[[#This Row],[Towing]:[Towing]]="Y",'Towing Bat Cost'!L27,0),"N/A")</f>
        <v>N/A</v>
      </c>
      <c r="Q176" s="23" t="str">
        <f>IF(Table44[[#This Row],[Applicable Package?]:[Applicable Package?]]="Y",SUM('Rolled Up Non-Incremental Costs'!M27,'ICE Removal Cost'!M27,'Trans Removal Cost'!M27,'LEV3 Criteria Emissions Cost'!M27,'ZEV Assembly Reductions'!M27,'ACCII Criteria Compliance Cost'!M27,'ACCII GHG Compliance'!M27,'Current GHG Compliance'!M27)+IF(Table44[[#This Row],[Cold]:[Cold]]="Y",'Cold Weather Package'!M27,0)+IF(Table44[[#This Row],[eAWD]:[eAWD]]="Y",'eAWD Package'!M27,0)+IF(Table44[[#This Row],[Towing]:[Towing]]="Y",'Towing Bat Cost'!M27,0),"N/A")</f>
        <v>N/A</v>
      </c>
      <c r="R176" s="23" t="str">
        <f>IF(Table44[[#This Row],[Applicable Package?]:[Applicable Package?]]="Y",SUM('Rolled Up Non-Incremental Costs'!N27,'ICE Removal Cost'!N27,'Trans Removal Cost'!N27,'LEV3 Criteria Emissions Cost'!N27,'ZEV Assembly Reductions'!N27,'ACCII Criteria Compliance Cost'!N27,'ACCII GHG Compliance'!N27,'Current GHG Compliance'!N27)+IF(Table44[[#This Row],[Cold]:[Cold]]="Y",'Cold Weather Package'!N27,0)+IF(Table44[[#This Row],[eAWD]:[eAWD]]="Y",'eAWD Package'!N27,0)+IF(Table44[[#This Row],[Towing]:[Towing]]="Y",'Towing Bat Cost'!N27,0),"N/A")</f>
        <v>N/A</v>
      </c>
      <c r="S176" s="23" t="str">
        <f>IF(Table44[[#This Row],[Applicable Package?]:[Applicable Package?]]="Y",SUM('Rolled Up Non-Incremental Costs'!O27,'ICE Removal Cost'!O27,'Trans Removal Cost'!O27,'LEV3 Criteria Emissions Cost'!O27,'ZEV Assembly Reductions'!O27,'ACCII Criteria Compliance Cost'!O27,'ACCII GHG Compliance'!O27,'Current GHG Compliance'!O27)+IF(Table44[[#This Row],[Cold]:[Cold]]="Y",'Cold Weather Package'!O27,0)+IF(Table44[[#This Row],[eAWD]:[eAWD]]="Y",'eAWD Package'!O27,0)+IF(Table44[[#This Row],[Towing]:[Towing]]="Y",'Towing Bat Cost'!O27,0),"N/A")</f>
        <v>N/A</v>
      </c>
    </row>
    <row r="177" spans="1:19" hidden="1" x14ac:dyDescent="0.3">
      <c r="A177" s="28" t="str">
        <f t="shared" si="4"/>
        <v>MedCarBaseFCEV320</v>
      </c>
      <c r="B177" s="90" t="s">
        <v>82</v>
      </c>
      <c r="C177" s="68" t="s">
        <v>80</v>
      </c>
      <c r="D177" s="68" t="str">
        <f>'Vehicle Attributes - Base Year'!D25</f>
        <v>FCEV320</v>
      </c>
      <c r="E177" s="124" t="s">
        <v>76</v>
      </c>
      <c r="F177" s="124" t="s">
        <v>77</v>
      </c>
      <c r="G177" s="125" t="s">
        <v>76</v>
      </c>
      <c r="H177" s="125" t="s">
        <v>77</v>
      </c>
      <c r="I177" s="23" t="str">
        <f>IF(Table44[[#This Row],[Applicable Package?]:[Applicable Package?]]="Y",SUM('Rolled Up Non-Incremental Costs'!E28,'ICE Removal Cost'!E28,'Trans Removal Cost'!E28,'LEV3 Criteria Emissions Cost'!E28,'ZEV Assembly Reductions'!E28,'ACCII Criteria Compliance Cost'!E28,'ACCII GHG Compliance'!E28,'Current GHG Compliance'!E28)+IF(Table44[[#This Row],[Cold]:[Cold]]="Y",'Cold Weather Package'!E28,0)+IF(Table44[[#This Row],[eAWD]:[eAWD]]="Y",'eAWD Package'!E28,0)+IF(Table44[[#This Row],[Towing]:[Towing]]="Y",'Towing Bat Cost'!E28,0),"N/A")</f>
        <v>N/A</v>
      </c>
      <c r="J177" s="23" t="str">
        <f>IF(Table44[[#This Row],[Applicable Package?]:[Applicable Package?]]="Y",SUM('Rolled Up Non-Incremental Costs'!F28,'ICE Removal Cost'!F28,'Trans Removal Cost'!F28,'LEV3 Criteria Emissions Cost'!F28,'ZEV Assembly Reductions'!F28,'ACCII Criteria Compliance Cost'!F28,'ACCII GHG Compliance'!F28,'Current GHG Compliance'!F28)+IF(Table44[[#This Row],[Cold]:[Cold]]="Y",'Cold Weather Package'!F28,0)+IF(Table44[[#This Row],[eAWD]:[eAWD]]="Y",'eAWD Package'!F28,0)+IF(Table44[[#This Row],[Towing]:[Towing]]="Y",'Towing Bat Cost'!F28,0),"N/A")</f>
        <v>N/A</v>
      </c>
      <c r="K177" s="23" t="str">
        <f>IF(Table44[[#This Row],[Applicable Package?]:[Applicable Package?]]="Y",SUM('Rolled Up Non-Incremental Costs'!G28,'ICE Removal Cost'!G28,'Trans Removal Cost'!G28,'LEV3 Criteria Emissions Cost'!G28,'ZEV Assembly Reductions'!G28,'ACCII Criteria Compliance Cost'!G28,'ACCII GHG Compliance'!G28,'Current GHG Compliance'!G28)+IF(Table44[[#This Row],[Cold]:[Cold]]="Y",'Cold Weather Package'!G28,0)+IF(Table44[[#This Row],[eAWD]:[eAWD]]="Y",'eAWD Package'!G28,0)+IF(Table44[[#This Row],[Towing]:[Towing]]="Y",'Towing Bat Cost'!G28,0),"N/A")</f>
        <v>N/A</v>
      </c>
      <c r="L177" s="23" t="str">
        <f>IF(Table44[[#This Row],[Applicable Package?]:[Applicable Package?]]="Y",SUM('Rolled Up Non-Incremental Costs'!H28,'ICE Removal Cost'!H28,'Trans Removal Cost'!H28,'LEV3 Criteria Emissions Cost'!H28,'ZEV Assembly Reductions'!H28,'ACCII Criteria Compliance Cost'!H28,'ACCII GHG Compliance'!H28,'Current GHG Compliance'!H28)+IF(Table44[[#This Row],[Cold]:[Cold]]="Y",'Cold Weather Package'!H28,0)+IF(Table44[[#This Row],[eAWD]:[eAWD]]="Y",'eAWD Package'!H28,0)+IF(Table44[[#This Row],[Towing]:[Towing]]="Y",'Towing Bat Cost'!H28,0),"N/A")</f>
        <v>N/A</v>
      </c>
      <c r="M177" s="23" t="str">
        <f>IF(Table44[[#This Row],[Applicable Package?]:[Applicable Package?]]="Y",SUM('Rolled Up Non-Incremental Costs'!I28,'ICE Removal Cost'!I28,'Trans Removal Cost'!I28,'LEV3 Criteria Emissions Cost'!I28,'ZEV Assembly Reductions'!I28,'ACCII Criteria Compliance Cost'!I28,'ACCII GHG Compliance'!I28,'Current GHG Compliance'!I28)+IF(Table44[[#This Row],[Cold]:[Cold]]="Y",'Cold Weather Package'!I28,0)+IF(Table44[[#This Row],[eAWD]:[eAWD]]="Y",'eAWD Package'!I28,0)+IF(Table44[[#This Row],[Towing]:[Towing]]="Y",'Towing Bat Cost'!I28,0),"N/A")</f>
        <v>N/A</v>
      </c>
      <c r="N177" s="23" t="str">
        <f>IF(Table44[[#This Row],[Applicable Package?]:[Applicable Package?]]="Y",SUM('Rolled Up Non-Incremental Costs'!J28,'ICE Removal Cost'!J28,'Trans Removal Cost'!J28,'LEV3 Criteria Emissions Cost'!J28,'ZEV Assembly Reductions'!J28,'ACCII Criteria Compliance Cost'!J28,'ACCII GHG Compliance'!J28,'Current GHG Compliance'!J28)+IF(Table44[[#This Row],[Cold]:[Cold]]="Y",'Cold Weather Package'!J28,0)+IF(Table44[[#This Row],[eAWD]:[eAWD]]="Y",'eAWD Package'!J28,0)+IF(Table44[[#This Row],[Towing]:[Towing]]="Y",'Towing Bat Cost'!J28,0),"N/A")</f>
        <v>N/A</v>
      </c>
      <c r="O177" s="23" t="str">
        <f>IF(Table44[[#This Row],[Applicable Package?]:[Applicable Package?]]="Y",SUM('Rolled Up Non-Incremental Costs'!K28,'ICE Removal Cost'!K28,'Trans Removal Cost'!K28,'LEV3 Criteria Emissions Cost'!K28,'ZEV Assembly Reductions'!K28,'ACCII Criteria Compliance Cost'!K28,'ACCII GHG Compliance'!K28,'Current GHG Compliance'!K28)+IF(Table44[[#This Row],[Cold]:[Cold]]="Y",'Cold Weather Package'!K28,0)+IF(Table44[[#This Row],[eAWD]:[eAWD]]="Y",'eAWD Package'!K28,0)+IF(Table44[[#This Row],[Towing]:[Towing]]="Y",'Towing Bat Cost'!K28,0),"N/A")</f>
        <v>N/A</v>
      </c>
      <c r="P177" s="23" t="str">
        <f>IF(Table44[[#This Row],[Applicable Package?]:[Applicable Package?]]="Y",SUM('Rolled Up Non-Incremental Costs'!L28,'ICE Removal Cost'!L28,'Trans Removal Cost'!L28,'LEV3 Criteria Emissions Cost'!L28,'ZEV Assembly Reductions'!L28,'ACCII Criteria Compliance Cost'!L28,'ACCII GHG Compliance'!L28,'Current GHG Compliance'!L28)+IF(Table44[[#This Row],[Cold]:[Cold]]="Y",'Cold Weather Package'!L28,0)+IF(Table44[[#This Row],[eAWD]:[eAWD]]="Y",'eAWD Package'!L28,0)+IF(Table44[[#This Row],[Towing]:[Towing]]="Y",'Towing Bat Cost'!L28,0),"N/A")</f>
        <v>N/A</v>
      </c>
      <c r="Q177" s="23" t="str">
        <f>IF(Table44[[#This Row],[Applicable Package?]:[Applicable Package?]]="Y",SUM('Rolled Up Non-Incremental Costs'!M28,'ICE Removal Cost'!M28,'Trans Removal Cost'!M28,'LEV3 Criteria Emissions Cost'!M28,'ZEV Assembly Reductions'!M28,'ACCII Criteria Compliance Cost'!M28,'ACCII GHG Compliance'!M28,'Current GHG Compliance'!M28)+IF(Table44[[#This Row],[Cold]:[Cold]]="Y",'Cold Weather Package'!M28,0)+IF(Table44[[#This Row],[eAWD]:[eAWD]]="Y",'eAWD Package'!M28,0)+IF(Table44[[#This Row],[Towing]:[Towing]]="Y",'Towing Bat Cost'!M28,0),"N/A")</f>
        <v>N/A</v>
      </c>
      <c r="R177" s="23" t="str">
        <f>IF(Table44[[#This Row],[Applicable Package?]:[Applicable Package?]]="Y",SUM('Rolled Up Non-Incremental Costs'!N28,'ICE Removal Cost'!N28,'Trans Removal Cost'!N28,'LEV3 Criteria Emissions Cost'!N28,'ZEV Assembly Reductions'!N28,'ACCII Criteria Compliance Cost'!N28,'ACCII GHG Compliance'!N28,'Current GHG Compliance'!N28)+IF(Table44[[#This Row],[Cold]:[Cold]]="Y",'Cold Weather Package'!N28,0)+IF(Table44[[#This Row],[eAWD]:[eAWD]]="Y",'eAWD Package'!N28,0)+IF(Table44[[#This Row],[Towing]:[Towing]]="Y",'Towing Bat Cost'!N28,0),"N/A")</f>
        <v>N/A</v>
      </c>
      <c r="S177" s="23" t="str">
        <f>IF(Table44[[#This Row],[Applicable Package?]:[Applicable Package?]]="Y",SUM('Rolled Up Non-Incremental Costs'!O28,'ICE Removal Cost'!O28,'Trans Removal Cost'!O28,'LEV3 Criteria Emissions Cost'!O28,'ZEV Assembly Reductions'!O28,'ACCII Criteria Compliance Cost'!O28,'ACCII GHG Compliance'!O28,'Current GHG Compliance'!O28)+IF(Table44[[#This Row],[Cold]:[Cold]]="Y",'Cold Weather Package'!O28,0)+IF(Table44[[#This Row],[eAWD]:[eAWD]]="Y",'eAWD Package'!O28,0)+IF(Table44[[#This Row],[Towing]:[Towing]]="Y",'Towing Bat Cost'!O28,0),"N/A")</f>
        <v>N/A</v>
      </c>
    </row>
    <row r="178" spans="1:19" hidden="1" x14ac:dyDescent="0.3">
      <c r="A178" t="str">
        <f t="shared" si="4"/>
        <v>MedCarPremiumFCEV320</v>
      </c>
      <c r="B178" s="90" t="s">
        <v>83</v>
      </c>
      <c r="C178" s="68" t="s">
        <v>75</v>
      </c>
      <c r="D178" s="68" t="str">
        <f>'Vehicle Attributes - Base Year'!D26</f>
        <v>FCEV320</v>
      </c>
      <c r="E178" s="124" t="s">
        <v>76</v>
      </c>
      <c r="F178" s="124" t="s">
        <v>77</v>
      </c>
      <c r="G178" s="125" t="s">
        <v>76</v>
      </c>
      <c r="H178" s="125" t="s">
        <v>77</v>
      </c>
      <c r="I178" s="23" t="str">
        <f>IF(Table44[[#This Row],[Applicable Package?]:[Applicable Package?]]="Y",SUM('Rolled Up Non-Incremental Costs'!E29,'ICE Removal Cost'!E29,'Trans Removal Cost'!E29,'LEV3 Criteria Emissions Cost'!E29,'ZEV Assembly Reductions'!E29,'ACCII Criteria Compliance Cost'!E29,'ACCII GHG Compliance'!E29,'Current GHG Compliance'!E29)+IF(Table44[[#This Row],[Cold]:[Cold]]="Y",'Cold Weather Package'!E29,0)+IF(Table44[[#This Row],[eAWD]:[eAWD]]="Y",'eAWD Package'!E29,0)+IF(Table44[[#This Row],[Towing]:[Towing]]="Y",'Towing Bat Cost'!E29,0),"N/A")</f>
        <v>N/A</v>
      </c>
      <c r="J178" s="23" t="str">
        <f>IF(Table44[[#This Row],[Applicable Package?]:[Applicable Package?]]="Y",SUM('Rolled Up Non-Incremental Costs'!F29,'ICE Removal Cost'!F29,'Trans Removal Cost'!F29,'LEV3 Criteria Emissions Cost'!F29,'ZEV Assembly Reductions'!F29,'ACCII Criteria Compliance Cost'!F29,'ACCII GHG Compliance'!F29,'Current GHG Compliance'!F29)+IF(Table44[[#This Row],[Cold]:[Cold]]="Y",'Cold Weather Package'!F29,0)+IF(Table44[[#This Row],[eAWD]:[eAWD]]="Y",'eAWD Package'!F29,0)+IF(Table44[[#This Row],[Towing]:[Towing]]="Y",'Towing Bat Cost'!F29,0),"N/A")</f>
        <v>N/A</v>
      </c>
      <c r="K178" s="23" t="str">
        <f>IF(Table44[[#This Row],[Applicable Package?]:[Applicable Package?]]="Y",SUM('Rolled Up Non-Incremental Costs'!G29,'ICE Removal Cost'!G29,'Trans Removal Cost'!G29,'LEV3 Criteria Emissions Cost'!G29,'ZEV Assembly Reductions'!G29,'ACCII Criteria Compliance Cost'!G29,'ACCII GHG Compliance'!G29,'Current GHG Compliance'!G29)+IF(Table44[[#This Row],[Cold]:[Cold]]="Y",'Cold Weather Package'!G29,0)+IF(Table44[[#This Row],[eAWD]:[eAWD]]="Y",'eAWD Package'!G29,0)+IF(Table44[[#This Row],[Towing]:[Towing]]="Y",'Towing Bat Cost'!G29,0),"N/A")</f>
        <v>N/A</v>
      </c>
      <c r="L178" s="23" t="str">
        <f>IF(Table44[[#This Row],[Applicable Package?]:[Applicable Package?]]="Y",SUM('Rolled Up Non-Incremental Costs'!H29,'ICE Removal Cost'!H29,'Trans Removal Cost'!H29,'LEV3 Criteria Emissions Cost'!H29,'ZEV Assembly Reductions'!H29,'ACCII Criteria Compliance Cost'!H29,'ACCII GHG Compliance'!H29,'Current GHG Compliance'!H29)+IF(Table44[[#This Row],[Cold]:[Cold]]="Y",'Cold Weather Package'!H29,0)+IF(Table44[[#This Row],[eAWD]:[eAWD]]="Y",'eAWD Package'!H29,0)+IF(Table44[[#This Row],[Towing]:[Towing]]="Y",'Towing Bat Cost'!H29,0),"N/A")</f>
        <v>N/A</v>
      </c>
      <c r="M178" s="23" t="str">
        <f>IF(Table44[[#This Row],[Applicable Package?]:[Applicable Package?]]="Y",SUM('Rolled Up Non-Incremental Costs'!I29,'ICE Removal Cost'!I29,'Trans Removal Cost'!I29,'LEV3 Criteria Emissions Cost'!I29,'ZEV Assembly Reductions'!I29,'ACCII Criteria Compliance Cost'!I29,'ACCII GHG Compliance'!I29,'Current GHG Compliance'!I29)+IF(Table44[[#This Row],[Cold]:[Cold]]="Y",'Cold Weather Package'!I29,0)+IF(Table44[[#This Row],[eAWD]:[eAWD]]="Y",'eAWD Package'!I29,0)+IF(Table44[[#This Row],[Towing]:[Towing]]="Y",'Towing Bat Cost'!I29,0),"N/A")</f>
        <v>N/A</v>
      </c>
      <c r="N178" s="23" t="str">
        <f>IF(Table44[[#This Row],[Applicable Package?]:[Applicable Package?]]="Y",SUM('Rolled Up Non-Incremental Costs'!J29,'ICE Removal Cost'!J29,'Trans Removal Cost'!J29,'LEV3 Criteria Emissions Cost'!J29,'ZEV Assembly Reductions'!J29,'ACCII Criteria Compliance Cost'!J29,'ACCII GHG Compliance'!J29,'Current GHG Compliance'!J29)+IF(Table44[[#This Row],[Cold]:[Cold]]="Y",'Cold Weather Package'!J29,0)+IF(Table44[[#This Row],[eAWD]:[eAWD]]="Y",'eAWD Package'!J29,0)+IF(Table44[[#This Row],[Towing]:[Towing]]="Y",'Towing Bat Cost'!J29,0),"N/A")</f>
        <v>N/A</v>
      </c>
      <c r="O178" s="23" t="str">
        <f>IF(Table44[[#This Row],[Applicable Package?]:[Applicable Package?]]="Y",SUM('Rolled Up Non-Incremental Costs'!K29,'ICE Removal Cost'!K29,'Trans Removal Cost'!K29,'LEV3 Criteria Emissions Cost'!K29,'ZEV Assembly Reductions'!K29,'ACCII Criteria Compliance Cost'!K29,'ACCII GHG Compliance'!K29,'Current GHG Compliance'!K29)+IF(Table44[[#This Row],[Cold]:[Cold]]="Y",'Cold Weather Package'!K29,0)+IF(Table44[[#This Row],[eAWD]:[eAWD]]="Y",'eAWD Package'!K29,0)+IF(Table44[[#This Row],[Towing]:[Towing]]="Y",'Towing Bat Cost'!K29,0),"N/A")</f>
        <v>N/A</v>
      </c>
      <c r="P178" s="23" t="str">
        <f>IF(Table44[[#This Row],[Applicable Package?]:[Applicable Package?]]="Y",SUM('Rolled Up Non-Incremental Costs'!L29,'ICE Removal Cost'!L29,'Trans Removal Cost'!L29,'LEV3 Criteria Emissions Cost'!L29,'ZEV Assembly Reductions'!L29,'ACCII Criteria Compliance Cost'!L29,'ACCII GHG Compliance'!L29,'Current GHG Compliance'!L29)+IF(Table44[[#This Row],[Cold]:[Cold]]="Y",'Cold Weather Package'!L29,0)+IF(Table44[[#This Row],[eAWD]:[eAWD]]="Y",'eAWD Package'!L29,0)+IF(Table44[[#This Row],[Towing]:[Towing]]="Y",'Towing Bat Cost'!L29,0),"N/A")</f>
        <v>N/A</v>
      </c>
      <c r="Q178" s="23" t="str">
        <f>IF(Table44[[#This Row],[Applicable Package?]:[Applicable Package?]]="Y",SUM('Rolled Up Non-Incremental Costs'!M29,'ICE Removal Cost'!M29,'Trans Removal Cost'!M29,'LEV3 Criteria Emissions Cost'!M29,'ZEV Assembly Reductions'!M29,'ACCII Criteria Compliance Cost'!M29,'ACCII GHG Compliance'!M29,'Current GHG Compliance'!M29)+IF(Table44[[#This Row],[Cold]:[Cold]]="Y",'Cold Weather Package'!M29,0)+IF(Table44[[#This Row],[eAWD]:[eAWD]]="Y",'eAWD Package'!M29,0)+IF(Table44[[#This Row],[Towing]:[Towing]]="Y",'Towing Bat Cost'!M29,0),"N/A")</f>
        <v>N/A</v>
      </c>
      <c r="R178" s="23" t="str">
        <f>IF(Table44[[#This Row],[Applicable Package?]:[Applicable Package?]]="Y",SUM('Rolled Up Non-Incremental Costs'!N29,'ICE Removal Cost'!N29,'Trans Removal Cost'!N29,'LEV3 Criteria Emissions Cost'!N29,'ZEV Assembly Reductions'!N29,'ACCII Criteria Compliance Cost'!N29,'ACCII GHG Compliance'!N29,'Current GHG Compliance'!N29)+IF(Table44[[#This Row],[Cold]:[Cold]]="Y",'Cold Weather Package'!N29,0)+IF(Table44[[#This Row],[eAWD]:[eAWD]]="Y",'eAWD Package'!N29,0)+IF(Table44[[#This Row],[Towing]:[Towing]]="Y",'Towing Bat Cost'!N29,0),"N/A")</f>
        <v>N/A</v>
      </c>
      <c r="S178" s="23" t="str">
        <f>IF(Table44[[#This Row],[Applicable Package?]:[Applicable Package?]]="Y",SUM('Rolled Up Non-Incremental Costs'!O29,'ICE Removal Cost'!O29,'Trans Removal Cost'!O29,'LEV3 Criteria Emissions Cost'!O29,'ZEV Assembly Reductions'!O29,'ACCII Criteria Compliance Cost'!O29,'ACCII GHG Compliance'!O29,'Current GHG Compliance'!O29)+IF(Table44[[#This Row],[Cold]:[Cold]]="Y",'Cold Weather Package'!O29,0)+IF(Table44[[#This Row],[eAWD]:[eAWD]]="Y",'eAWD Package'!O29,0)+IF(Table44[[#This Row],[Towing]:[Towing]]="Y",'Towing Bat Cost'!O29,0),"N/A")</f>
        <v>N/A</v>
      </c>
    </row>
    <row r="179" spans="1:19" hidden="1" x14ac:dyDescent="0.3">
      <c r="A179" s="28" t="str">
        <f t="shared" si="4"/>
        <v>SmallSUVBaseFCEV320</v>
      </c>
      <c r="B179" s="90" t="s">
        <v>83</v>
      </c>
      <c r="C179" s="68" t="s">
        <v>80</v>
      </c>
      <c r="D179" s="68" t="str">
        <f>'Vehicle Attributes - Base Year'!D27</f>
        <v>FCEV320</v>
      </c>
      <c r="E179" s="124" t="s">
        <v>76</v>
      </c>
      <c r="F179" s="124" t="s">
        <v>77</v>
      </c>
      <c r="G179" s="125" t="s">
        <v>76</v>
      </c>
      <c r="H179" s="125" t="s">
        <v>77</v>
      </c>
      <c r="I179" s="23" t="str">
        <f>IF(Table44[[#This Row],[Applicable Package?]:[Applicable Package?]]="Y",SUM('Rolled Up Non-Incremental Costs'!E30,'ICE Removal Cost'!E30,'Trans Removal Cost'!E30,'LEV3 Criteria Emissions Cost'!E30,'ZEV Assembly Reductions'!E30,'ACCII Criteria Compliance Cost'!E30,'ACCII GHG Compliance'!E30,'Current GHG Compliance'!E30)+IF(Table44[[#This Row],[Cold]:[Cold]]="Y",'Cold Weather Package'!E30,0)+IF(Table44[[#This Row],[eAWD]:[eAWD]]="Y",'eAWD Package'!E30,0)+IF(Table44[[#This Row],[Towing]:[Towing]]="Y",'Towing Bat Cost'!E30,0),"N/A")</f>
        <v>N/A</v>
      </c>
      <c r="J179" s="23" t="str">
        <f>IF(Table44[[#This Row],[Applicable Package?]:[Applicable Package?]]="Y",SUM('Rolled Up Non-Incremental Costs'!F30,'ICE Removal Cost'!F30,'Trans Removal Cost'!F30,'LEV3 Criteria Emissions Cost'!F30,'ZEV Assembly Reductions'!F30,'ACCII Criteria Compliance Cost'!F30,'ACCII GHG Compliance'!F30,'Current GHG Compliance'!F30)+IF(Table44[[#This Row],[Cold]:[Cold]]="Y",'Cold Weather Package'!F30,0)+IF(Table44[[#This Row],[eAWD]:[eAWD]]="Y",'eAWD Package'!F30,0)+IF(Table44[[#This Row],[Towing]:[Towing]]="Y",'Towing Bat Cost'!F30,0),"N/A")</f>
        <v>N/A</v>
      </c>
      <c r="K179" s="23" t="str">
        <f>IF(Table44[[#This Row],[Applicable Package?]:[Applicable Package?]]="Y",SUM('Rolled Up Non-Incremental Costs'!G30,'ICE Removal Cost'!G30,'Trans Removal Cost'!G30,'LEV3 Criteria Emissions Cost'!G30,'ZEV Assembly Reductions'!G30,'ACCII Criteria Compliance Cost'!G30,'ACCII GHG Compliance'!G30,'Current GHG Compliance'!G30)+IF(Table44[[#This Row],[Cold]:[Cold]]="Y",'Cold Weather Package'!G30,0)+IF(Table44[[#This Row],[eAWD]:[eAWD]]="Y",'eAWD Package'!G30,0)+IF(Table44[[#This Row],[Towing]:[Towing]]="Y",'Towing Bat Cost'!G30,0),"N/A")</f>
        <v>N/A</v>
      </c>
      <c r="L179" s="23" t="str">
        <f>IF(Table44[[#This Row],[Applicable Package?]:[Applicable Package?]]="Y",SUM('Rolled Up Non-Incremental Costs'!H30,'ICE Removal Cost'!H30,'Trans Removal Cost'!H30,'LEV3 Criteria Emissions Cost'!H30,'ZEV Assembly Reductions'!H30,'ACCII Criteria Compliance Cost'!H30,'ACCII GHG Compliance'!H30,'Current GHG Compliance'!H30)+IF(Table44[[#This Row],[Cold]:[Cold]]="Y",'Cold Weather Package'!H30,0)+IF(Table44[[#This Row],[eAWD]:[eAWD]]="Y",'eAWD Package'!H30,0)+IF(Table44[[#This Row],[Towing]:[Towing]]="Y",'Towing Bat Cost'!H30,0),"N/A")</f>
        <v>N/A</v>
      </c>
      <c r="M179" s="23" t="str">
        <f>IF(Table44[[#This Row],[Applicable Package?]:[Applicable Package?]]="Y",SUM('Rolled Up Non-Incremental Costs'!I30,'ICE Removal Cost'!I30,'Trans Removal Cost'!I30,'LEV3 Criteria Emissions Cost'!I30,'ZEV Assembly Reductions'!I30,'ACCII Criteria Compliance Cost'!I30,'ACCII GHG Compliance'!I30,'Current GHG Compliance'!I30)+IF(Table44[[#This Row],[Cold]:[Cold]]="Y",'Cold Weather Package'!I30,0)+IF(Table44[[#This Row],[eAWD]:[eAWD]]="Y",'eAWD Package'!I30,0)+IF(Table44[[#This Row],[Towing]:[Towing]]="Y",'Towing Bat Cost'!I30,0),"N/A")</f>
        <v>N/A</v>
      </c>
      <c r="N179" s="23" t="str">
        <f>IF(Table44[[#This Row],[Applicable Package?]:[Applicable Package?]]="Y",SUM('Rolled Up Non-Incremental Costs'!J30,'ICE Removal Cost'!J30,'Trans Removal Cost'!J30,'LEV3 Criteria Emissions Cost'!J30,'ZEV Assembly Reductions'!J30,'ACCII Criteria Compliance Cost'!J30,'ACCII GHG Compliance'!J30,'Current GHG Compliance'!J30)+IF(Table44[[#This Row],[Cold]:[Cold]]="Y",'Cold Weather Package'!J30,0)+IF(Table44[[#This Row],[eAWD]:[eAWD]]="Y",'eAWD Package'!J30,0)+IF(Table44[[#This Row],[Towing]:[Towing]]="Y",'Towing Bat Cost'!J30,0),"N/A")</f>
        <v>N/A</v>
      </c>
      <c r="O179" s="23" t="str">
        <f>IF(Table44[[#This Row],[Applicable Package?]:[Applicable Package?]]="Y",SUM('Rolled Up Non-Incremental Costs'!K30,'ICE Removal Cost'!K30,'Trans Removal Cost'!K30,'LEV3 Criteria Emissions Cost'!K30,'ZEV Assembly Reductions'!K30,'ACCII Criteria Compliance Cost'!K30,'ACCII GHG Compliance'!K30,'Current GHG Compliance'!K30)+IF(Table44[[#This Row],[Cold]:[Cold]]="Y",'Cold Weather Package'!K30,0)+IF(Table44[[#This Row],[eAWD]:[eAWD]]="Y",'eAWD Package'!K30,0)+IF(Table44[[#This Row],[Towing]:[Towing]]="Y",'Towing Bat Cost'!K30,0),"N/A")</f>
        <v>N/A</v>
      </c>
      <c r="P179" s="23" t="str">
        <f>IF(Table44[[#This Row],[Applicable Package?]:[Applicable Package?]]="Y",SUM('Rolled Up Non-Incremental Costs'!L30,'ICE Removal Cost'!L30,'Trans Removal Cost'!L30,'LEV3 Criteria Emissions Cost'!L30,'ZEV Assembly Reductions'!L30,'ACCII Criteria Compliance Cost'!L30,'ACCII GHG Compliance'!L30,'Current GHG Compliance'!L30)+IF(Table44[[#This Row],[Cold]:[Cold]]="Y",'Cold Weather Package'!L30,0)+IF(Table44[[#This Row],[eAWD]:[eAWD]]="Y",'eAWD Package'!L30,0)+IF(Table44[[#This Row],[Towing]:[Towing]]="Y",'Towing Bat Cost'!L30,0),"N/A")</f>
        <v>N/A</v>
      </c>
      <c r="Q179" s="23" t="str">
        <f>IF(Table44[[#This Row],[Applicable Package?]:[Applicable Package?]]="Y",SUM('Rolled Up Non-Incremental Costs'!M30,'ICE Removal Cost'!M30,'Trans Removal Cost'!M30,'LEV3 Criteria Emissions Cost'!M30,'ZEV Assembly Reductions'!M30,'ACCII Criteria Compliance Cost'!M30,'ACCII GHG Compliance'!M30,'Current GHG Compliance'!M30)+IF(Table44[[#This Row],[Cold]:[Cold]]="Y",'Cold Weather Package'!M30,0)+IF(Table44[[#This Row],[eAWD]:[eAWD]]="Y",'eAWD Package'!M30,0)+IF(Table44[[#This Row],[Towing]:[Towing]]="Y",'Towing Bat Cost'!M30,0),"N/A")</f>
        <v>N/A</v>
      </c>
      <c r="R179" s="23" t="str">
        <f>IF(Table44[[#This Row],[Applicable Package?]:[Applicable Package?]]="Y",SUM('Rolled Up Non-Incremental Costs'!N30,'ICE Removal Cost'!N30,'Trans Removal Cost'!N30,'LEV3 Criteria Emissions Cost'!N30,'ZEV Assembly Reductions'!N30,'ACCII Criteria Compliance Cost'!N30,'ACCII GHG Compliance'!N30,'Current GHG Compliance'!N30)+IF(Table44[[#This Row],[Cold]:[Cold]]="Y",'Cold Weather Package'!N30,0)+IF(Table44[[#This Row],[eAWD]:[eAWD]]="Y",'eAWD Package'!N30,0)+IF(Table44[[#This Row],[Towing]:[Towing]]="Y",'Towing Bat Cost'!N30,0),"N/A")</f>
        <v>N/A</v>
      </c>
      <c r="S179" s="23" t="str">
        <f>IF(Table44[[#This Row],[Applicable Package?]:[Applicable Package?]]="Y",SUM('Rolled Up Non-Incremental Costs'!O30,'ICE Removal Cost'!O30,'Trans Removal Cost'!O30,'LEV3 Criteria Emissions Cost'!O30,'ZEV Assembly Reductions'!O30,'ACCII Criteria Compliance Cost'!O30,'ACCII GHG Compliance'!O30,'Current GHG Compliance'!O30)+IF(Table44[[#This Row],[Cold]:[Cold]]="Y",'Cold Weather Package'!O30,0)+IF(Table44[[#This Row],[eAWD]:[eAWD]]="Y",'eAWD Package'!O30,0)+IF(Table44[[#This Row],[Towing]:[Towing]]="Y",'Towing Bat Cost'!O30,0),"N/A")</f>
        <v>N/A</v>
      </c>
    </row>
    <row r="180" spans="1:19" hidden="1" x14ac:dyDescent="0.3">
      <c r="A180" t="str">
        <f t="shared" si="4"/>
        <v>SmallSUVPremiumFCEV320</v>
      </c>
      <c r="B180" s="90" t="s">
        <v>86</v>
      </c>
      <c r="C180" s="68" t="s">
        <v>75</v>
      </c>
      <c r="D180" s="68" t="str">
        <f>'Vehicle Attributes - Base Year'!D28</f>
        <v>FCEV320</v>
      </c>
      <c r="E180" s="124" t="s">
        <v>76</v>
      </c>
      <c r="F180" s="124" t="s">
        <v>77</v>
      </c>
      <c r="G180" s="125" t="s">
        <v>76</v>
      </c>
      <c r="H180" s="125" t="s">
        <v>76</v>
      </c>
      <c r="I180" s="23">
        <f>IF(Table44[[#This Row],[Applicable Package?]:[Applicable Package?]]="Y",SUM('Rolled Up Non-Incremental Costs'!E31,'ICE Removal Cost'!E31,'Trans Removal Cost'!E31,'LEV3 Criteria Emissions Cost'!E31,'ZEV Assembly Reductions'!E31,'ACCII Criteria Compliance Cost'!E31,'ACCII GHG Compliance'!E31,'Current GHG Compliance'!E31)+IF(Table44[[#This Row],[Cold]:[Cold]]="Y",'Cold Weather Package'!E31,0)+IF(Table44[[#This Row],[eAWD]:[eAWD]]="Y",'eAWD Package'!E31,0)+IF(Table44[[#This Row],[Towing]:[Towing]]="Y",'Towing Bat Cost'!E31,0),"N/A")</f>
        <v>11110.136838309834</v>
      </c>
      <c r="J180" s="23">
        <f>IF(Table44[[#This Row],[Applicable Package?]:[Applicable Package?]]="Y",SUM('Rolled Up Non-Incremental Costs'!F31,'ICE Removal Cost'!F31,'Trans Removal Cost'!F31,'LEV3 Criteria Emissions Cost'!F31,'ZEV Assembly Reductions'!F31,'ACCII Criteria Compliance Cost'!F31,'ACCII GHG Compliance'!F31,'Current GHG Compliance'!F31)+IF(Table44[[#This Row],[Cold]:[Cold]]="Y",'Cold Weather Package'!F31,0)+IF(Table44[[#This Row],[eAWD]:[eAWD]]="Y",'eAWD Package'!F31,0)+IF(Table44[[#This Row],[Towing]:[Towing]]="Y",'Towing Bat Cost'!F31,0),"N/A")</f>
        <v>9848.0290290725607</v>
      </c>
      <c r="K180" s="23">
        <f>IF(Table44[[#This Row],[Applicable Package?]:[Applicable Package?]]="Y",SUM('Rolled Up Non-Incremental Costs'!G31,'ICE Removal Cost'!G31,'Trans Removal Cost'!G31,'LEV3 Criteria Emissions Cost'!G31,'ZEV Assembly Reductions'!G31,'ACCII Criteria Compliance Cost'!G31,'ACCII GHG Compliance'!G31,'Current GHG Compliance'!G31)+IF(Table44[[#This Row],[Cold]:[Cold]]="Y",'Cold Weather Package'!G31,0)+IF(Table44[[#This Row],[eAWD]:[eAWD]]="Y",'eAWD Package'!G31,0)+IF(Table44[[#This Row],[Towing]:[Towing]]="Y",'Towing Bat Cost'!G31,0),"N/A")</f>
        <v>8607.8538837884626</v>
      </c>
      <c r="L180" s="23">
        <f>IF(Table44[[#This Row],[Applicable Package?]:[Applicable Package?]]="Y",SUM('Rolled Up Non-Incremental Costs'!H31,'ICE Removal Cost'!H31,'Trans Removal Cost'!H31,'LEV3 Criteria Emissions Cost'!H31,'ZEV Assembly Reductions'!H31,'ACCII Criteria Compliance Cost'!H31,'ACCII GHG Compliance'!H31,'Current GHG Compliance'!H31)+IF(Table44[[#This Row],[Cold]:[Cold]]="Y",'Cold Weather Package'!H31,0)+IF(Table44[[#This Row],[eAWD]:[eAWD]]="Y",'eAWD Package'!H31,0)+IF(Table44[[#This Row],[Towing]:[Towing]]="Y",'Towing Bat Cost'!H31,0),"N/A")</f>
        <v>7389.5999772970699</v>
      </c>
      <c r="M180" s="23">
        <f>IF(Table44[[#This Row],[Applicable Package?]:[Applicable Package?]]="Y",SUM('Rolled Up Non-Incremental Costs'!I31,'ICE Removal Cost'!I31,'Trans Removal Cost'!I31,'LEV3 Criteria Emissions Cost'!I31,'ZEV Assembly Reductions'!I31,'ACCII Criteria Compliance Cost'!I31,'ACCII GHG Compliance'!I31,'Current GHG Compliance'!I31)+IF(Table44[[#This Row],[Cold]:[Cold]]="Y",'Cold Weather Package'!I31,0)+IF(Table44[[#This Row],[eAWD]:[eAWD]]="Y",'eAWD Package'!I31,0)+IF(Table44[[#This Row],[Towing]:[Towing]]="Y",'Towing Bat Cost'!I31,0),"N/A")</f>
        <v>6193.2560220750202</v>
      </c>
      <c r="N180" s="23">
        <f>IF(Table44[[#This Row],[Applicable Package?]:[Applicable Package?]]="Y",SUM('Rolled Up Non-Incremental Costs'!J31,'ICE Removal Cost'!J31,'Trans Removal Cost'!J31,'LEV3 Criteria Emissions Cost'!J31,'ZEV Assembly Reductions'!J31,'ACCII Criteria Compliance Cost'!J31,'ACCII GHG Compliance'!J31,'Current GHG Compliance'!J31)+IF(Table44[[#This Row],[Cold]:[Cold]]="Y",'Cold Weather Package'!J31,0)+IF(Table44[[#This Row],[eAWD]:[eAWD]]="Y",'eAWD Package'!J31,0)+IF(Table44[[#This Row],[Towing]:[Towing]]="Y",'Towing Bat Cost'!J31,0),"N/A")</f>
        <v>5018.8108666257958</v>
      </c>
      <c r="O180" s="23">
        <f>IF(Table44[[#This Row],[Applicable Package?]:[Applicable Package?]]="Y",SUM('Rolled Up Non-Incremental Costs'!K31,'ICE Removal Cost'!K31,'Trans Removal Cost'!K31,'LEV3 Criteria Emissions Cost'!K31,'ZEV Assembly Reductions'!K31,'ACCII Criteria Compliance Cost'!K31,'ACCII GHG Compliance'!K31,'Current GHG Compliance'!K31)+IF(Table44[[#This Row],[Cold]:[Cold]]="Y",'Cold Weather Package'!K31,0)+IF(Table44[[#This Row],[eAWD]:[eAWD]]="Y",'eAWD Package'!K31,0)+IF(Table44[[#This Row],[Towing]:[Towing]]="Y",'Towing Bat Cost'!K31,0),"N/A")</f>
        <v>4602.6198124325056</v>
      </c>
      <c r="P180" s="23">
        <f>IF(Table44[[#This Row],[Applicable Package?]:[Applicable Package?]]="Y",SUM('Rolled Up Non-Incremental Costs'!L31,'ICE Removal Cost'!L31,'Trans Removal Cost'!L31,'LEV3 Criteria Emissions Cost'!L31,'ZEV Assembly Reductions'!L31,'ACCII Criteria Compliance Cost'!L31,'ACCII GHG Compliance'!L31,'Current GHG Compliance'!L31)+IF(Table44[[#This Row],[Cold]:[Cold]]="Y",'Cold Weather Package'!L31,0)+IF(Table44[[#This Row],[eAWD]:[eAWD]]="Y",'eAWD Package'!L31,0)+IF(Table44[[#This Row],[Towing]:[Towing]]="Y",'Towing Bat Cost'!L31,0),"N/A")</f>
        <v>4191.9714605561076</v>
      </c>
      <c r="Q180" s="23">
        <f>IF(Table44[[#This Row],[Applicable Package?]:[Applicable Package?]]="Y",SUM('Rolled Up Non-Incremental Costs'!M31,'ICE Removal Cost'!M31,'Trans Removal Cost'!M31,'LEV3 Criteria Emissions Cost'!M31,'ZEV Assembly Reductions'!M31,'ACCII Criteria Compliance Cost'!M31,'ACCII GHG Compliance'!M31,'Current GHG Compliance'!M31)+IF(Table44[[#This Row],[Cold]:[Cold]]="Y",'Cold Weather Package'!M31,0)+IF(Table44[[#This Row],[eAWD]:[eAWD]]="Y",'eAWD Package'!M31,0)+IF(Table44[[#This Row],[Towing]:[Towing]]="Y",'Towing Bat Cost'!M31,0),"N/A")</f>
        <v>3786.855058102683</v>
      </c>
      <c r="R180" s="23">
        <f>IF(Table44[[#This Row],[Applicable Package?]:[Applicable Package?]]="Y",SUM('Rolled Up Non-Incremental Costs'!N31,'ICE Removal Cost'!N31,'Trans Removal Cost'!N31,'LEV3 Criteria Emissions Cost'!N31,'ZEV Assembly Reductions'!N31,'ACCII Criteria Compliance Cost'!N31,'ACCII GHG Compliance'!N31,'Current GHG Compliance'!N31)+IF(Table44[[#This Row],[Cold]:[Cold]]="Y",'Cold Weather Package'!N31,0)+IF(Table44[[#This Row],[eAWD]:[eAWD]]="Y",'eAWD Package'!N31,0)+IF(Table44[[#This Row],[Towing]:[Towing]]="Y",'Towing Bat Cost'!N31,0),"N/A")</f>
        <v>3387.2599819466195</v>
      </c>
      <c r="S180" s="23">
        <f>IF(Table44[[#This Row],[Applicable Package?]:[Applicable Package?]]="Y",SUM('Rolled Up Non-Incremental Costs'!O31,'ICE Removal Cost'!O31,'Trans Removal Cost'!O31,'LEV3 Criteria Emissions Cost'!O31,'ZEV Assembly Reductions'!O31,'ACCII Criteria Compliance Cost'!O31,'ACCII GHG Compliance'!O31,'Current GHG Compliance'!O31)+IF(Table44[[#This Row],[Cold]:[Cold]]="Y",'Cold Weather Package'!O31,0)+IF(Table44[[#This Row],[eAWD]:[eAWD]]="Y",'eAWD Package'!O31,0)+IF(Table44[[#This Row],[Towing]:[Towing]]="Y",'Towing Bat Cost'!O31,0),"N/A")</f>
        <v>2993.1757372105203</v>
      </c>
    </row>
    <row r="181" spans="1:19" hidden="1" x14ac:dyDescent="0.3">
      <c r="A181" s="28" t="str">
        <f t="shared" si="4"/>
        <v>MedSUVBaseFCEV320</v>
      </c>
      <c r="B181" s="90" t="s">
        <v>86</v>
      </c>
      <c r="C181" s="68" t="s">
        <v>80</v>
      </c>
      <c r="D181" s="68" t="str">
        <f>'Vehicle Attributes - Base Year'!D29</f>
        <v>FCEV320</v>
      </c>
      <c r="E181" s="124" t="s">
        <v>76</v>
      </c>
      <c r="F181" s="124" t="s">
        <v>77</v>
      </c>
      <c r="G181" s="125" t="s">
        <v>76</v>
      </c>
      <c r="H181" s="125" t="s">
        <v>76</v>
      </c>
      <c r="I181" s="23">
        <f>IF(Table44[[#This Row],[Applicable Package?]:[Applicable Package?]]="Y",SUM('Rolled Up Non-Incremental Costs'!E32,'ICE Removal Cost'!E32,'Trans Removal Cost'!E32,'LEV3 Criteria Emissions Cost'!E32,'ZEV Assembly Reductions'!E32,'ACCII Criteria Compliance Cost'!E32,'ACCII GHG Compliance'!E32,'Current GHG Compliance'!E32)+IF(Table44[[#This Row],[Cold]:[Cold]]="Y",'Cold Weather Package'!E32,0)+IF(Table44[[#This Row],[eAWD]:[eAWD]]="Y",'eAWD Package'!E32,0)+IF(Table44[[#This Row],[Towing]:[Towing]]="Y",'Towing Bat Cost'!E32,0),"N/A")</f>
        <v>10610.136838309834</v>
      </c>
      <c r="J181" s="23">
        <f>IF(Table44[[#This Row],[Applicable Package?]:[Applicable Package?]]="Y",SUM('Rolled Up Non-Incremental Costs'!F32,'ICE Removal Cost'!F32,'Trans Removal Cost'!F32,'LEV3 Criteria Emissions Cost'!F32,'ZEV Assembly Reductions'!F32,'ACCII Criteria Compliance Cost'!F32,'ACCII GHG Compliance'!F32,'Current GHG Compliance'!F32)+IF(Table44[[#This Row],[Cold]:[Cold]]="Y",'Cold Weather Package'!F32,0)+IF(Table44[[#This Row],[eAWD]:[eAWD]]="Y",'eAWD Package'!F32,0)+IF(Table44[[#This Row],[Towing]:[Towing]]="Y",'Towing Bat Cost'!F32,0),"N/A")</f>
        <v>9348.0290290725607</v>
      </c>
      <c r="K181" s="23">
        <f>IF(Table44[[#This Row],[Applicable Package?]:[Applicable Package?]]="Y",SUM('Rolled Up Non-Incremental Costs'!G32,'ICE Removal Cost'!G32,'Trans Removal Cost'!G32,'LEV3 Criteria Emissions Cost'!G32,'ZEV Assembly Reductions'!G32,'ACCII Criteria Compliance Cost'!G32,'ACCII GHG Compliance'!G32,'Current GHG Compliance'!G32)+IF(Table44[[#This Row],[Cold]:[Cold]]="Y",'Cold Weather Package'!G32,0)+IF(Table44[[#This Row],[eAWD]:[eAWD]]="Y",'eAWD Package'!G32,0)+IF(Table44[[#This Row],[Towing]:[Towing]]="Y",'Towing Bat Cost'!G32,0),"N/A")</f>
        <v>8107.8538837884626</v>
      </c>
      <c r="L181" s="23">
        <f>IF(Table44[[#This Row],[Applicable Package?]:[Applicable Package?]]="Y",SUM('Rolled Up Non-Incremental Costs'!H32,'ICE Removal Cost'!H32,'Trans Removal Cost'!H32,'LEV3 Criteria Emissions Cost'!H32,'ZEV Assembly Reductions'!H32,'ACCII Criteria Compliance Cost'!H32,'ACCII GHG Compliance'!H32,'Current GHG Compliance'!H32)+IF(Table44[[#This Row],[Cold]:[Cold]]="Y",'Cold Weather Package'!H32,0)+IF(Table44[[#This Row],[eAWD]:[eAWD]]="Y",'eAWD Package'!H32,0)+IF(Table44[[#This Row],[Towing]:[Towing]]="Y",'Towing Bat Cost'!H32,0),"N/A")</f>
        <v>6889.5999772970699</v>
      </c>
      <c r="M181" s="23">
        <f>IF(Table44[[#This Row],[Applicable Package?]:[Applicable Package?]]="Y",SUM('Rolled Up Non-Incremental Costs'!I32,'ICE Removal Cost'!I32,'Trans Removal Cost'!I32,'LEV3 Criteria Emissions Cost'!I32,'ZEV Assembly Reductions'!I32,'ACCII Criteria Compliance Cost'!I32,'ACCII GHG Compliance'!I32,'Current GHG Compliance'!I32)+IF(Table44[[#This Row],[Cold]:[Cold]]="Y",'Cold Weather Package'!I32,0)+IF(Table44[[#This Row],[eAWD]:[eAWD]]="Y",'eAWD Package'!I32,0)+IF(Table44[[#This Row],[Towing]:[Towing]]="Y",'Towing Bat Cost'!I32,0),"N/A")</f>
        <v>5693.2560220750202</v>
      </c>
      <c r="N181" s="23">
        <f>IF(Table44[[#This Row],[Applicable Package?]:[Applicable Package?]]="Y",SUM('Rolled Up Non-Incremental Costs'!J32,'ICE Removal Cost'!J32,'Trans Removal Cost'!J32,'LEV3 Criteria Emissions Cost'!J32,'ZEV Assembly Reductions'!J32,'ACCII Criteria Compliance Cost'!J32,'ACCII GHG Compliance'!J32,'Current GHG Compliance'!J32)+IF(Table44[[#This Row],[Cold]:[Cold]]="Y",'Cold Weather Package'!J32,0)+IF(Table44[[#This Row],[eAWD]:[eAWD]]="Y",'eAWD Package'!J32,0)+IF(Table44[[#This Row],[Towing]:[Towing]]="Y",'Towing Bat Cost'!J32,0),"N/A")</f>
        <v>4518.8108666257958</v>
      </c>
      <c r="O181" s="23">
        <f>IF(Table44[[#This Row],[Applicable Package?]:[Applicable Package?]]="Y",SUM('Rolled Up Non-Incremental Costs'!K32,'ICE Removal Cost'!K32,'Trans Removal Cost'!K32,'LEV3 Criteria Emissions Cost'!K32,'ZEV Assembly Reductions'!K32,'ACCII Criteria Compliance Cost'!K32,'ACCII GHG Compliance'!K32,'Current GHG Compliance'!K32)+IF(Table44[[#This Row],[Cold]:[Cold]]="Y",'Cold Weather Package'!K32,0)+IF(Table44[[#This Row],[eAWD]:[eAWD]]="Y",'eAWD Package'!K32,0)+IF(Table44[[#This Row],[Towing]:[Towing]]="Y",'Towing Bat Cost'!K32,0),"N/A")</f>
        <v>4102.6198124325056</v>
      </c>
      <c r="P181" s="23">
        <f>IF(Table44[[#This Row],[Applicable Package?]:[Applicable Package?]]="Y",SUM('Rolled Up Non-Incremental Costs'!L32,'ICE Removal Cost'!L32,'Trans Removal Cost'!L32,'LEV3 Criteria Emissions Cost'!L32,'ZEV Assembly Reductions'!L32,'ACCII Criteria Compliance Cost'!L32,'ACCII GHG Compliance'!L32,'Current GHG Compliance'!L32)+IF(Table44[[#This Row],[Cold]:[Cold]]="Y",'Cold Weather Package'!L32,0)+IF(Table44[[#This Row],[eAWD]:[eAWD]]="Y",'eAWD Package'!L32,0)+IF(Table44[[#This Row],[Towing]:[Towing]]="Y",'Towing Bat Cost'!L32,0),"N/A")</f>
        <v>3691.9714605561076</v>
      </c>
      <c r="Q181" s="23">
        <f>IF(Table44[[#This Row],[Applicable Package?]:[Applicable Package?]]="Y",SUM('Rolled Up Non-Incremental Costs'!M32,'ICE Removal Cost'!M32,'Trans Removal Cost'!M32,'LEV3 Criteria Emissions Cost'!M32,'ZEV Assembly Reductions'!M32,'ACCII Criteria Compliance Cost'!M32,'ACCII GHG Compliance'!M32,'Current GHG Compliance'!M32)+IF(Table44[[#This Row],[Cold]:[Cold]]="Y",'Cold Weather Package'!M32,0)+IF(Table44[[#This Row],[eAWD]:[eAWD]]="Y",'eAWD Package'!M32,0)+IF(Table44[[#This Row],[Towing]:[Towing]]="Y",'Towing Bat Cost'!M32,0),"N/A")</f>
        <v>3286.855058102683</v>
      </c>
      <c r="R181" s="23">
        <f>IF(Table44[[#This Row],[Applicable Package?]:[Applicable Package?]]="Y",SUM('Rolled Up Non-Incremental Costs'!N32,'ICE Removal Cost'!N32,'Trans Removal Cost'!N32,'LEV3 Criteria Emissions Cost'!N32,'ZEV Assembly Reductions'!N32,'ACCII Criteria Compliance Cost'!N32,'ACCII GHG Compliance'!N32,'Current GHG Compliance'!N32)+IF(Table44[[#This Row],[Cold]:[Cold]]="Y",'Cold Weather Package'!N32,0)+IF(Table44[[#This Row],[eAWD]:[eAWD]]="Y",'eAWD Package'!N32,0)+IF(Table44[[#This Row],[Towing]:[Towing]]="Y",'Towing Bat Cost'!N32,0),"N/A")</f>
        <v>2887.2599819466195</v>
      </c>
      <c r="S181" s="23">
        <f>IF(Table44[[#This Row],[Applicable Package?]:[Applicable Package?]]="Y",SUM('Rolled Up Non-Incremental Costs'!O32,'ICE Removal Cost'!O32,'Trans Removal Cost'!O32,'LEV3 Criteria Emissions Cost'!O32,'ZEV Assembly Reductions'!O32,'ACCII Criteria Compliance Cost'!O32,'ACCII GHG Compliance'!O32,'Current GHG Compliance'!O32)+IF(Table44[[#This Row],[Cold]:[Cold]]="Y",'Cold Weather Package'!O32,0)+IF(Table44[[#This Row],[eAWD]:[eAWD]]="Y",'eAWD Package'!O32,0)+IF(Table44[[#This Row],[Towing]:[Towing]]="Y",'Towing Bat Cost'!O32,0),"N/A")</f>
        <v>2493.1757372105203</v>
      </c>
    </row>
    <row r="182" spans="1:19" hidden="1" x14ac:dyDescent="0.3">
      <c r="A182" t="str">
        <f t="shared" si="4"/>
        <v>MedSUVPremiumFCEV320</v>
      </c>
      <c r="B182" s="90" t="s">
        <v>89</v>
      </c>
      <c r="C182" s="68" t="s">
        <v>75</v>
      </c>
      <c r="D182" s="68" t="str">
        <f>'Vehicle Attributes - Base Year'!D30</f>
        <v>FCEV320</v>
      </c>
      <c r="E182" s="124" t="s">
        <v>76</v>
      </c>
      <c r="F182" s="124" t="s">
        <v>77</v>
      </c>
      <c r="G182" s="125" t="s">
        <v>76</v>
      </c>
      <c r="H182" s="125" t="s">
        <v>76</v>
      </c>
      <c r="I182" s="23">
        <f>IF(Table44[[#This Row],[Applicable Package?]:[Applicable Package?]]="Y",SUM('Rolled Up Non-Incremental Costs'!E33,'ICE Removal Cost'!E33,'Trans Removal Cost'!E33,'LEV3 Criteria Emissions Cost'!E33,'ZEV Assembly Reductions'!E33,'ACCII Criteria Compliance Cost'!E33,'ACCII GHG Compliance'!E33,'Current GHG Compliance'!E33)+IF(Table44[[#This Row],[Cold]:[Cold]]="Y",'Cold Weather Package'!E33,0)+IF(Table44[[#This Row],[eAWD]:[eAWD]]="Y",'eAWD Package'!E33,0)+IF(Table44[[#This Row],[Towing]:[Towing]]="Y",'Towing Bat Cost'!E33,0),"N/A")</f>
        <v>15199.517558637141</v>
      </c>
      <c r="J182" s="23">
        <f>IF(Table44[[#This Row],[Applicable Package?]:[Applicable Package?]]="Y",SUM('Rolled Up Non-Incremental Costs'!F33,'ICE Removal Cost'!F33,'Trans Removal Cost'!F33,'LEV3 Criteria Emissions Cost'!F33,'ZEV Assembly Reductions'!F33,'ACCII Criteria Compliance Cost'!F33,'ACCII GHG Compliance'!F33,'Current GHG Compliance'!F33)+IF(Table44[[#This Row],[Cold]:[Cold]]="Y",'Cold Weather Package'!F33,0)+IF(Table44[[#This Row],[eAWD]:[eAWD]]="Y",'eAWD Package'!F33,0)+IF(Table44[[#This Row],[Towing]:[Towing]]="Y",'Towing Bat Cost'!F33,0),"N/A")</f>
        <v>13650.247383730682</v>
      </c>
      <c r="K182" s="23">
        <f>IF(Table44[[#This Row],[Applicable Package?]:[Applicable Package?]]="Y",SUM('Rolled Up Non-Incremental Costs'!G33,'ICE Removal Cost'!G33,'Trans Removal Cost'!G33,'LEV3 Criteria Emissions Cost'!G33,'ZEV Assembly Reductions'!G33,'ACCII Criteria Compliance Cost'!G33,'ACCII GHG Compliance'!G33,'Current GHG Compliance'!G33)+IF(Table44[[#This Row],[Cold]:[Cold]]="Y",'Cold Weather Package'!G33,0)+IF(Table44[[#This Row],[eAWD]:[eAWD]]="Y",'eAWD Package'!G33,0)+IF(Table44[[#This Row],[Towing]:[Towing]]="Y",'Towing Bat Cost'!G33,0),"N/A")</f>
        <v>12131.976125477049</v>
      </c>
      <c r="L182" s="23">
        <f>IF(Table44[[#This Row],[Applicable Package?]:[Applicable Package?]]="Y",SUM('Rolled Up Non-Incremental Costs'!H33,'ICE Removal Cost'!H33,'Trans Removal Cost'!H33,'LEV3 Criteria Emissions Cost'!H33,'ZEV Assembly Reductions'!H33,'ACCII Criteria Compliance Cost'!H33,'ACCII GHG Compliance'!H33,'Current GHG Compliance'!H33)+IF(Table44[[#This Row],[Cold]:[Cold]]="Y",'Cold Weather Package'!H33,0)+IF(Table44[[#This Row],[eAWD]:[eAWD]]="Y",'eAWD Package'!H33,0)+IF(Table44[[#This Row],[Towing]:[Towing]]="Y",'Towing Bat Cost'!H33,0),"N/A")</f>
        <v>10644.684886967054</v>
      </c>
      <c r="M182" s="23">
        <f>IF(Table44[[#This Row],[Applicable Package?]:[Applicable Package?]]="Y",SUM('Rolled Up Non-Incremental Costs'!I33,'ICE Removal Cost'!I33,'Trans Removal Cost'!I33,'LEV3 Criteria Emissions Cost'!I33,'ZEV Assembly Reductions'!I33,'ACCII Criteria Compliance Cost'!I33,'ACCII GHG Compliance'!I33,'Current GHG Compliance'!I33)+IF(Table44[[#This Row],[Cold]:[Cold]]="Y",'Cold Weather Package'!I33,0)+IF(Table44[[#This Row],[eAWD]:[eAWD]]="Y",'eAWD Package'!I33,0)+IF(Table44[[#This Row],[Towing]:[Towing]]="Y",'Towing Bat Cost'!I33,0),"N/A")</f>
        <v>9188.355007031576</v>
      </c>
      <c r="N182" s="23">
        <f>IF(Table44[[#This Row],[Applicable Package?]:[Applicable Package?]]="Y",SUM('Rolled Up Non-Incremental Costs'!J33,'ICE Removal Cost'!J33,'Trans Removal Cost'!J33,'LEV3 Criteria Emissions Cost'!J33,'ZEV Assembly Reductions'!J33,'ACCII Criteria Compliance Cost'!J33,'ACCII GHG Compliance'!J33,'Current GHG Compliance'!J33)+IF(Table44[[#This Row],[Cold]:[Cold]]="Y",'Cold Weather Package'!J33,0)+IF(Table44[[#This Row],[eAWD]:[eAWD]]="Y",'eAWD Package'!J33,0)+IF(Table44[[#This Row],[Towing]:[Towing]]="Y",'Towing Bat Cost'!J33,0),"N/A")</f>
        <v>7762.968057416434</v>
      </c>
      <c r="O182" s="23">
        <f>IF(Table44[[#This Row],[Applicable Package?]:[Applicable Package?]]="Y",SUM('Rolled Up Non-Incremental Costs'!K33,'ICE Removal Cost'!K33,'Trans Removal Cost'!K33,'LEV3 Criteria Emissions Cost'!K33,'ZEV Assembly Reductions'!K33,'ACCII Criteria Compliance Cost'!K33,'ACCII GHG Compliance'!K33,'Current GHG Compliance'!K33)+IF(Table44[[#This Row],[Cold]:[Cold]]="Y",'Cold Weather Package'!K33,0)+IF(Table44[[#This Row],[eAWD]:[eAWD]]="Y",'eAWD Package'!K33,0)+IF(Table44[[#This Row],[Towing]:[Towing]]="Y",'Towing Bat Cost'!K33,0),"N/A")</f>
        <v>7199.0847713151925</v>
      </c>
      <c r="P182" s="23">
        <f>IF(Table44[[#This Row],[Applicable Package?]:[Applicable Package?]]="Y",SUM('Rolled Up Non-Incremental Costs'!L33,'ICE Removal Cost'!L33,'Trans Removal Cost'!L33,'LEV3 Criteria Emissions Cost'!L33,'ZEV Assembly Reductions'!L33,'ACCII Criteria Compliance Cost'!L33,'ACCII GHG Compliance'!L33,'Current GHG Compliance'!L33)+IF(Table44[[#This Row],[Cold]:[Cold]]="Y",'Cold Weather Package'!L33,0)+IF(Table44[[#This Row],[eAWD]:[eAWD]]="Y",'eAWD Package'!L33,0)+IF(Table44[[#This Row],[Towing]:[Towing]]="Y",'Towing Bat Cost'!L33,0),"N/A")</f>
        <v>6643.3476172103947</v>
      </c>
      <c r="Q182" s="23">
        <f>IF(Table44[[#This Row],[Applicable Package?]:[Applicable Package?]]="Y",SUM('Rolled Up Non-Incremental Costs'!M33,'ICE Removal Cost'!M33,'Trans Removal Cost'!M33,'LEV3 Criteria Emissions Cost'!M33,'ZEV Assembly Reductions'!M33,'ACCII Criteria Compliance Cost'!M33,'ACCII GHG Compliance'!M33,'Current GHG Compliance'!M33)+IF(Table44[[#This Row],[Cold]:[Cold]]="Y",'Cold Weather Package'!M33,0)+IF(Table44[[#This Row],[eAWD]:[eAWD]]="Y",'eAWD Package'!M33,0)+IF(Table44[[#This Row],[Towing]:[Towing]]="Y",'Towing Bat Cost'!M33,0),"N/A")</f>
        <v>6095.7521925854362</v>
      </c>
      <c r="R182" s="23">
        <f>IF(Table44[[#This Row],[Applicable Package?]:[Applicable Package?]]="Y",SUM('Rolled Up Non-Incremental Costs'!N33,'ICE Removal Cost'!N33,'Trans Removal Cost'!N33,'LEV3 Criteria Emissions Cost'!N33,'ZEV Assembly Reductions'!N33,'ACCII Criteria Compliance Cost'!N33,'ACCII GHG Compliance'!N33,'Current GHG Compliance'!N33)+IF(Table44[[#This Row],[Cold]:[Cold]]="Y",'Cold Weather Package'!N33,0)+IF(Table44[[#This Row],[eAWD]:[eAWD]]="Y",'eAWD Package'!N33,0)+IF(Table44[[#This Row],[Towing]:[Towing]]="Y",'Towing Bat Cost'!N33,0),"N/A")</f>
        <v>5556.2941389488751</v>
      </c>
      <c r="S182" s="23">
        <f>IF(Table44[[#This Row],[Applicable Package?]:[Applicable Package?]]="Y",SUM('Rolled Up Non-Incremental Costs'!O33,'ICE Removal Cost'!O33,'Trans Removal Cost'!O33,'LEV3 Criteria Emissions Cost'!O33,'ZEV Assembly Reductions'!O33,'ACCII Criteria Compliance Cost'!O33,'ACCII GHG Compliance'!O33,'Current GHG Compliance'!O33)+IF(Table44[[#This Row],[Cold]:[Cold]]="Y",'Cold Weather Package'!O33,0)+IF(Table44[[#This Row],[eAWD]:[eAWD]]="Y",'eAWD Package'!O33,0)+IF(Table44[[#This Row],[Towing]:[Towing]]="Y",'Towing Bat Cost'!O33,0),"N/A")</f>
        <v>5024.9691413941855</v>
      </c>
    </row>
    <row r="183" spans="1:19" hidden="1" x14ac:dyDescent="0.3">
      <c r="A183" s="28" t="str">
        <f t="shared" si="4"/>
        <v>PickupBaseFCEV320</v>
      </c>
      <c r="B183" s="90" t="s">
        <v>89</v>
      </c>
      <c r="C183" s="68" t="s">
        <v>113</v>
      </c>
      <c r="D183" s="68" t="str">
        <f>'Vehicle Attributes - Base Year'!D31</f>
        <v>FCEV320</v>
      </c>
      <c r="E183" s="124" t="s">
        <v>76</v>
      </c>
      <c r="F183" s="124" t="s">
        <v>77</v>
      </c>
      <c r="G183" s="125" t="s">
        <v>76</v>
      </c>
      <c r="H183" s="125" t="s">
        <v>76</v>
      </c>
      <c r="I183" s="23">
        <f>IF(Table44[[#This Row],[Applicable Package?]:[Applicable Package?]]="Y",SUM('Rolled Up Non-Incremental Costs'!E34,'ICE Removal Cost'!E34,'Trans Removal Cost'!E34,'LEV3 Criteria Emissions Cost'!E34,'ZEV Assembly Reductions'!E34,'ACCII Criteria Compliance Cost'!E34,'ACCII GHG Compliance'!E34,'Current GHG Compliance'!E34)+IF(Table44[[#This Row],[Cold]:[Cold]]="Y",'Cold Weather Package'!E34,0)+IF(Table44[[#This Row],[eAWD]:[eAWD]]="Y",'eAWD Package'!E34,0)+IF(Table44[[#This Row],[Towing]:[Towing]]="Y",'Towing Bat Cost'!E34,0),"N/A")</f>
        <v>15199.517558637141</v>
      </c>
      <c r="J183" s="23">
        <f>IF(Table44[[#This Row],[Applicable Package?]:[Applicable Package?]]="Y",SUM('Rolled Up Non-Incremental Costs'!F34,'ICE Removal Cost'!F34,'Trans Removal Cost'!F34,'LEV3 Criteria Emissions Cost'!F34,'ZEV Assembly Reductions'!F34,'ACCII Criteria Compliance Cost'!F34,'ACCII GHG Compliance'!F34,'Current GHG Compliance'!F34)+IF(Table44[[#This Row],[Cold]:[Cold]]="Y",'Cold Weather Package'!F34,0)+IF(Table44[[#This Row],[eAWD]:[eAWD]]="Y",'eAWD Package'!F34,0)+IF(Table44[[#This Row],[Towing]:[Towing]]="Y",'Towing Bat Cost'!F34,0),"N/A")</f>
        <v>13650.247383730682</v>
      </c>
      <c r="K183" s="23">
        <f>IF(Table44[[#This Row],[Applicable Package?]:[Applicable Package?]]="Y",SUM('Rolled Up Non-Incremental Costs'!G34,'ICE Removal Cost'!G34,'Trans Removal Cost'!G34,'LEV3 Criteria Emissions Cost'!G34,'ZEV Assembly Reductions'!G34,'ACCII Criteria Compliance Cost'!G34,'ACCII GHG Compliance'!G34,'Current GHG Compliance'!G34)+IF(Table44[[#This Row],[Cold]:[Cold]]="Y",'Cold Weather Package'!G34,0)+IF(Table44[[#This Row],[eAWD]:[eAWD]]="Y",'eAWD Package'!G34,0)+IF(Table44[[#This Row],[Towing]:[Towing]]="Y",'Towing Bat Cost'!G34,0),"N/A")</f>
        <v>12131.976125477049</v>
      </c>
      <c r="L183" s="23">
        <f>IF(Table44[[#This Row],[Applicable Package?]:[Applicable Package?]]="Y",SUM('Rolled Up Non-Incremental Costs'!H34,'ICE Removal Cost'!H34,'Trans Removal Cost'!H34,'LEV3 Criteria Emissions Cost'!H34,'ZEV Assembly Reductions'!H34,'ACCII Criteria Compliance Cost'!H34,'ACCII GHG Compliance'!H34,'Current GHG Compliance'!H34)+IF(Table44[[#This Row],[Cold]:[Cold]]="Y",'Cold Weather Package'!H34,0)+IF(Table44[[#This Row],[eAWD]:[eAWD]]="Y",'eAWD Package'!H34,0)+IF(Table44[[#This Row],[Towing]:[Towing]]="Y",'Towing Bat Cost'!H34,0),"N/A")</f>
        <v>10644.684886967054</v>
      </c>
      <c r="M183" s="23">
        <f>IF(Table44[[#This Row],[Applicable Package?]:[Applicable Package?]]="Y",SUM('Rolled Up Non-Incremental Costs'!I34,'ICE Removal Cost'!I34,'Trans Removal Cost'!I34,'LEV3 Criteria Emissions Cost'!I34,'ZEV Assembly Reductions'!I34,'ACCII Criteria Compliance Cost'!I34,'ACCII GHG Compliance'!I34,'Current GHG Compliance'!I34)+IF(Table44[[#This Row],[Cold]:[Cold]]="Y",'Cold Weather Package'!I34,0)+IF(Table44[[#This Row],[eAWD]:[eAWD]]="Y",'eAWD Package'!I34,0)+IF(Table44[[#This Row],[Towing]:[Towing]]="Y",'Towing Bat Cost'!I34,0),"N/A")</f>
        <v>9188.355007031576</v>
      </c>
      <c r="N183" s="23">
        <f>IF(Table44[[#This Row],[Applicable Package?]:[Applicable Package?]]="Y",SUM('Rolled Up Non-Incremental Costs'!J34,'ICE Removal Cost'!J34,'Trans Removal Cost'!J34,'LEV3 Criteria Emissions Cost'!J34,'ZEV Assembly Reductions'!J34,'ACCII Criteria Compliance Cost'!J34,'ACCII GHG Compliance'!J34,'Current GHG Compliance'!J34)+IF(Table44[[#This Row],[Cold]:[Cold]]="Y",'Cold Weather Package'!J34,0)+IF(Table44[[#This Row],[eAWD]:[eAWD]]="Y",'eAWD Package'!J34,0)+IF(Table44[[#This Row],[Towing]:[Towing]]="Y",'Towing Bat Cost'!J34,0),"N/A")</f>
        <v>7762.968057416434</v>
      </c>
      <c r="O183" s="23">
        <f>IF(Table44[[#This Row],[Applicable Package?]:[Applicable Package?]]="Y",SUM('Rolled Up Non-Incremental Costs'!K34,'ICE Removal Cost'!K34,'Trans Removal Cost'!K34,'LEV3 Criteria Emissions Cost'!K34,'ZEV Assembly Reductions'!K34,'ACCII Criteria Compliance Cost'!K34,'ACCII GHG Compliance'!K34,'Current GHG Compliance'!K34)+IF(Table44[[#This Row],[Cold]:[Cold]]="Y",'Cold Weather Package'!K34,0)+IF(Table44[[#This Row],[eAWD]:[eAWD]]="Y",'eAWD Package'!K34,0)+IF(Table44[[#This Row],[Towing]:[Towing]]="Y",'Towing Bat Cost'!K34,0),"N/A")</f>
        <v>7199.0847713151925</v>
      </c>
      <c r="P183" s="23">
        <f>IF(Table44[[#This Row],[Applicable Package?]:[Applicable Package?]]="Y",SUM('Rolled Up Non-Incremental Costs'!L34,'ICE Removal Cost'!L34,'Trans Removal Cost'!L34,'LEV3 Criteria Emissions Cost'!L34,'ZEV Assembly Reductions'!L34,'ACCII Criteria Compliance Cost'!L34,'ACCII GHG Compliance'!L34,'Current GHG Compliance'!L34)+IF(Table44[[#This Row],[Cold]:[Cold]]="Y",'Cold Weather Package'!L34,0)+IF(Table44[[#This Row],[eAWD]:[eAWD]]="Y",'eAWD Package'!L34,0)+IF(Table44[[#This Row],[Towing]:[Towing]]="Y",'Towing Bat Cost'!L34,0),"N/A")</f>
        <v>6643.3476172103947</v>
      </c>
      <c r="Q183" s="23">
        <f>IF(Table44[[#This Row],[Applicable Package?]:[Applicable Package?]]="Y",SUM('Rolled Up Non-Incremental Costs'!M34,'ICE Removal Cost'!M34,'Trans Removal Cost'!M34,'LEV3 Criteria Emissions Cost'!M34,'ZEV Assembly Reductions'!M34,'ACCII Criteria Compliance Cost'!M34,'ACCII GHG Compliance'!M34,'Current GHG Compliance'!M34)+IF(Table44[[#This Row],[Cold]:[Cold]]="Y",'Cold Weather Package'!M34,0)+IF(Table44[[#This Row],[eAWD]:[eAWD]]="Y",'eAWD Package'!M34,0)+IF(Table44[[#This Row],[Towing]:[Towing]]="Y",'Towing Bat Cost'!M34,0),"N/A")</f>
        <v>6095.7521925854362</v>
      </c>
      <c r="R183" s="23">
        <f>IF(Table44[[#This Row],[Applicable Package?]:[Applicable Package?]]="Y",SUM('Rolled Up Non-Incremental Costs'!N34,'ICE Removal Cost'!N34,'Trans Removal Cost'!N34,'LEV3 Criteria Emissions Cost'!N34,'ZEV Assembly Reductions'!N34,'ACCII Criteria Compliance Cost'!N34,'ACCII GHG Compliance'!N34,'Current GHG Compliance'!N34)+IF(Table44[[#This Row],[Cold]:[Cold]]="Y",'Cold Weather Package'!N34,0)+IF(Table44[[#This Row],[eAWD]:[eAWD]]="Y",'eAWD Package'!N34,0)+IF(Table44[[#This Row],[Towing]:[Towing]]="Y",'Towing Bat Cost'!N34,0),"N/A")</f>
        <v>5556.2941389488751</v>
      </c>
      <c r="S183" s="23">
        <f>IF(Table44[[#This Row],[Applicable Package?]:[Applicable Package?]]="Y",SUM('Rolled Up Non-Incremental Costs'!O34,'ICE Removal Cost'!O34,'Trans Removal Cost'!O34,'LEV3 Criteria Emissions Cost'!O34,'ZEV Assembly Reductions'!O34,'ACCII Criteria Compliance Cost'!O34,'ACCII GHG Compliance'!O34,'Current GHG Compliance'!O34)+IF(Table44[[#This Row],[Cold]:[Cold]]="Y",'Cold Weather Package'!O34,0)+IF(Table44[[#This Row],[eAWD]:[eAWD]]="Y",'eAWD Package'!O34,0)+IF(Table44[[#This Row],[Towing]:[Towing]]="Y",'Towing Bat Cost'!O34,0),"N/A")</f>
        <v>5024.9691413941855</v>
      </c>
    </row>
    <row r="184" spans="1:19" hidden="1" x14ac:dyDescent="0.3">
      <c r="A184" t="str">
        <f t="shared" si="4"/>
        <v>PickupHTFCEV320</v>
      </c>
      <c r="B184" s="90" t="s">
        <v>73</v>
      </c>
      <c r="C184" s="68" t="s">
        <v>75</v>
      </c>
      <c r="D184" s="68" t="str">
        <f>'Vehicle Attributes - Base Year'!D2</f>
        <v>BEV300</v>
      </c>
      <c r="E184" s="124" t="s">
        <v>77</v>
      </c>
      <c r="F184" s="124" t="s">
        <v>76</v>
      </c>
      <c r="G184" s="125" t="s">
        <v>76</v>
      </c>
      <c r="H184" s="156" t="s">
        <v>77</v>
      </c>
      <c r="I184" s="157" t="str">
        <f>IF(Table44[[#This Row],[Applicable Package?]:[Applicable Package?]]="Y",SUM('Rolled Up Non-Incremental Costs'!E5,'ICE Removal Cost'!E5,'Trans Removal Cost'!E5,'LEV3 Criteria Emissions Cost'!E5,'ZEV Assembly Reductions'!E5,'ACCII Criteria Compliance Cost'!E5,'ACCII GHG Compliance'!E5,'Current GHG Compliance'!E5)+IF(Table44[[#This Row],[Cold]:[Cold]]="Y",'Cold Weather Package'!E5,0)+IF(Table44[[#This Row],[eAWD]:[eAWD]]="Y",'eAWD Package'!E5,0)+IF(Table44[[#This Row],[Towing]:[Towing]]="Y",'Towing Bat Cost'!E5,0),"N/A")</f>
        <v>N/A</v>
      </c>
      <c r="J184" s="157" t="str">
        <f>IF(Table44[[#This Row],[Applicable Package?]:[Applicable Package?]]="Y",SUM('Rolled Up Non-Incremental Costs'!F5,'ICE Removal Cost'!F5,'Trans Removal Cost'!F5,'LEV3 Criteria Emissions Cost'!F5,'ZEV Assembly Reductions'!F5,'ACCII Criteria Compliance Cost'!F5,'ACCII GHG Compliance'!F5,'Current GHG Compliance'!F5)+IF(Table44[[#This Row],[Cold]:[Cold]]="Y",'Cold Weather Package'!F5,0)+IF(Table44[[#This Row],[eAWD]:[eAWD]]="Y",'eAWD Package'!F5,0)+IF(Table44[[#This Row],[Towing]:[Towing]]="Y",'Towing Bat Cost'!F5,0),"N/A")</f>
        <v>N/A</v>
      </c>
      <c r="K184" s="157" t="str">
        <f>IF(Table44[[#This Row],[Applicable Package?]:[Applicable Package?]]="Y",SUM('Rolled Up Non-Incremental Costs'!G5,'ICE Removal Cost'!G5,'Trans Removal Cost'!G5,'LEV3 Criteria Emissions Cost'!G5,'ZEV Assembly Reductions'!G5,'ACCII Criteria Compliance Cost'!G5,'ACCII GHG Compliance'!G5,'Current GHG Compliance'!G5)+IF(Table44[[#This Row],[Cold]:[Cold]]="Y",'Cold Weather Package'!G5,0)+IF(Table44[[#This Row],[eAWD]:[eAWD]]="Y",'eAWD Package'!G5,0)+IF(Table44[[#This Row],[Towing]:[Towing]]="Y",'Towing Bat Cost'!G5,0),"N/A")</f>
        <v>N/A</v>
      </c>
      <c r="L184" s="157" t="str">
        <f>IF(Table44[[#This Row],[Applicable Package?]:[Applicable Package?]]="Y",SUM('Rolled Up Non-Incremental Costs'!H5,'ICE Removal Cost'!H5,'Trans Removal Cost'!H5,'LEV3 Criteria Emissions Cost'!H5,'ZEV Assembly Reductions'!H5,'ACCII Criteria Compliance Cost'!H5,'ACCII GHG Compliance'!H5,'Current GHG Compliance'!H5)+IF(Table44[[#This Row],[Cold]:[Cold]]="Y",'Cold Weather Package'!H5,0)+IF(Table44[[#This Row],[eAWD]:[eAWD]]="Y",'eAWD Package'!H5,0)+IF(Table44[[#This Row],[Towing]:[Towing]]="Y",'Towing Bat Cost'!H5,0),"N/A")</f>
        <v>N/A</v>
      </c>
      <c r="M184" s="157" t="str">
        <f>IF(Table44[[#This Row],[Applicable Package?]:[Applicable Package?]]="Y",SUM('Rolled Up Non-Incremental Costs'!I5,'ICE Removal Cost'!I5,'Trans Removal Cost'!I5,'LEV3 Criteria Emissions Cost'!I5,'ZEV Assembly Reductions'!I5,'ACCII Criteria Compliance Cost'!I5,'ACCII GHG Compliance'!I5,'Current GHG Compliance'!I5)+IF(Table44[[#This Row],[Cold]:[Cold]]="Y",'Cold Weather Package'!I5,0)+IF(Table44[[#This Row],[eAWD]:[eAWD]]="Y",'eAWD Package'!I5,0)+IF(Table44[[#This Row],[Towing]:[Towing]]="Y",'Towing Bat Cost'!I5,0),"N/A")</f>
        <v>N/A</v>
      </c>
      <c r="N184" s="157" t="str">
        <f>IF(Table44[[#This Row],[Applicable Package?]:[Applicable Package?]]="Y",SUM('Rolled Up Non-Incremental Costs'!J5,'ICE Removal Cost'!J5,'Trans Removal Cost'!J5,'LEV3 Criteria Emissions Cost'!J5,'ZEV Assembly Reductions'!J5,'ACCII Criteria Compliance Cost'!J5,'ACCII GHG Compliance'!J5,'Current GHG Compliance'!J5)+IF(Table44[[#This Row],[Cold]:[Cold]]="Y",'Cold Weather Package'!J5,0)+IF(Table44[[#This Row],[eAWD]:[eAWD]]="Y",'eAWD Package'!J5,0)+IF(Table44[[#This Row],[Towing]:[Towing]]="Y",'Towing Bat Cost'!J5,0),"N/A")</f>
        <v>N/A</v>
      </c>
      <c r="O184" s="157" t="str">
        <f>IF(Table44[[#This Row],[Applicable Package?]:[Applicable Package?]]="Y",SUM('Rolled Up Non-Incremental Costs'!K5,'ICE Removal Cost'!K5,'Trans Removal Cost'!K5,'LEV3 Criteria Emissions Cost'!K5,'ZEV Assembly Reductions'!K5,'ACCII Criteria Compliance Cost'!K5,'ACCII GHG Compliance'!K5,'Current GHG Compliance'!K5)+IF(Table44[[#This Row],[Cold]:[Cold]]="Y",'Cold Weather Package'!K5,0)+IF(Table44[[#This Row],[eAWD]:[eAWD]]="Y",'eAWD Package'!K5,0)+IF(Table44[[#This Row],[Towing]:[Towing]]="Y",'Towing Bat Cost'!K5,0),"N/A")</f>
        <v>N/A</v>
      </c>
      <c r="P184" s="157" t="str">
        <f>IF(Table44[[#This Row],[Applicable Package?]:[Applicable Package?]]="Y",SUM('Rolled Up Non-Incremental Costs'!L5,'ICE Removal Cost'!L5,'Trans Removal Cost'!L5,'LEV3 Criteria Emissions Cost'!L5,'ZEV Assembly Reductions'!L5,'ACCII Criteria Compliance Cost'!L5,'ACCII GHG Compliance'!L5,'Current GHG Compliance'!L5)+IF(Table44[[#This Row],[Cold]:[Cold]]="Y",'Cold Weather Package'!L5,0)+IF(Table44[[#This Row],[eAWD]:[eAWD]]="Y",'eAWD Package'!L5,0)+IF(Table44[[#This Row],[Towing]:[Towing]]="Y",'Towing Bat Cost'!L5,0),"N/A")</f>
        <v>N/A</v>
      </c>
      <c r="Q184" s="157" t="str">
        <f>IF(Table44[[#This Row],[Applicable Package?]:[Applicable Package?]]="Y",SUM('Rolled Up Non-Incremental Costs'!M5,'ICE Removal Cost'!M5,'Trans Removal Cost'!M5,'LEV3 Criteria Emissions Cost'!M5,'ZEV Assembly Reductions'!M5,'ACCII Criteria Compliance Cost'!M5,'ACCII GHG Compliance'!M5,'Current GHG Compliance'!M5)+IF(Table44[[#This Row],[Cold]:[Cold]]="Y",'Cold Weather Package'!M5,0)+IF(Table44[[#This Row],[eAWD]:[eAWD]]="Y",'eAWD Package'!M5,0)+IF(Table44[[#This Row],[Towing]:[Towing]]="Y",'Towing Bat Cost'!M5,0),"N/A")</f>
        <v>N/A</v>
      </c>
      <c r="R184" s="157" t="str">
        <f>IF(Table44[[#This Row],[Applicable Package?]:[Applicable Package?]]="Y",SUM('Rolled Up Non-Incremental Costs'!N5,'ICE Removal Cost'!N5,'Trans Removal Cost'!N5,'LEV3 Criteria Emissions Cost'!N5,'ZEV Assembly Reductions'!N5,'ACCII Criteria Compliance Cost'!N5,'ACCII GHG Compliance'!N5,'Current GHG Compliance'!N5)+IF(Table44[[#This Row],[Cold]:[Cold]]="Y",'Cold Weather Package'!N5,0)+IF(Table44[[#This Row],[eAWD]:[eAWD]]="Y",'eAWD Package'!N5,0)+IF(Table44[[#This Row],[Towing]:[Towing]]="Y",'Towing Bat Cost'!N5,0),"N/A")</f>
        <v>N/A</v>
      </c>
      <c r="S184" s="157" t="str">
        <f>IF(Table44[[#This Row],[Applicable Package?]:[Applicable Package?]]="Y",SUM('Rolled Up Non-Incremental Costs'!O5,'ICE Removal Cost'!O5,'Trans Removal Cost'!O5,'LEV3 Criteria Emissions Cost'!O5,'ZEV Assembly Reductions'!O5,'ACCII Criteria Compliance Cost'!O5,'ACCII GHG Compliance'!O5,'Current GHG Compliance'!O5)+IF(Table44[[#This Row],[Cold]:[Cold]]="Y",'Cold Weather Package'!O5,0)+IF(Table44[[#This Row],[eAWD]:[eAWD]]="Y",'eAWD Package'!O5,0)+IF(Table44[[#This Row],[Towing]:[Towing]]="Y",'Towing Bat Cost'!O5,0),"N/A")</f>
        <v>N/A</v>
      </c>
    </row>
    <row r="185" spans="1:19" hidden="1" x14ac:dyDescent="0.3">
      <c r="A185" s="28" t="str">
        <f t="shared" ref="A185:A214" si="5">CONCATENATE(B214,C214,D214)</f>
        <v>SmallCarBaseBEV300</v>
      </c>
      <c r="B185" s="90" t="s">
        <v>73</v>
      </c>
      <c r="C185" s="68" t="s">
        <v>80</v>
      </c>
      <c r="D185" s="68" t="str">
        <f>'Vehicle Attributes - Base Year'!D3</f>
        <v>BEV400</v>
      </c>
      <c r="E185" s="124" t="s">
        <v>77</v>
      </c>
      <c r="F185" s="124" t="s">
        <v>76</v>
      </c>
      <c r="G185" s="125" t="s">
        <v>76</v>
      </c>
      <c r="H185" s="156" t="s">
        <v>77</v>
      </c>
      <c r="I185" s="157" t="str">
        <f>IF(Table44[[#This Row],[Applicable Package?]:[Applicable Package?]]="Y",SUM('Rolled Up Non-Incremental Costs'!E6,'ICE Removal Cost'!E6,'Trans Removal Cost'!E6,'LEV3 Criteria Emissions Cost'!E6,'ZEV Assembly Reductions'!E6,'ACCII Criteria Compliance Cost'!E6,'ACCII GHG Compliance'!E6,'Current GHG Compliance'!E6)+IF(Table44[[#This Row],[Cold]:[Cold]]="Y",'Cold Weather Package'!E6,0)+IF(Table44[[#This Row],[eAWD]:[eAWD]]="Y",'eAWD Package'!E6,0)+IF(Table44[[#This Row],[Towing]:[Towing]]="Y",'Towing Bat Cost'!E6,0),"N/A")</f>
        <v>N/A</v>
      </c>
      <c r="J185" s="157" t="str">
        <f>IF(Table44[[#This Row],[Applicable Package?]:[Applicable Package?]]="Y",SUM('Rolled Up Non-Incremental Costs'!F6,'ICE Removal Cost'!F6,'Trans Removal Cost'!F6,'LEV3 Criteria Emissions Cost'!F6,'ZEV Assembly Reductions'!F6,'ACCII Criteria Compliance Cost'!F6,'ACCII GHG Compliance'!F6,'Current GHG Compliance'!F6)+IF(Table44[[#This Row],[Cold]:[Cold]]="Y",'Cold Weather Package'!F6,0)+IF(Table44[[#This Row],[eAWD]:[eAWD]]="Y",'eAWD Package'!F6,0)+IF(Table44[[#This Row],[Towing]:[Towing]]="Y",'Towing Bat Cost'!F6,0),"N/A")</f>
        <v>N/A</v>
      </c>
      <c r="K185" s="157" t="str">
        <f>IF(Table44[[#This Row],[Applicable Package?]:[Applicable Package?]]="Y",SUM('Rolled Up Non-Incremental Costs'!G6,'ICE Removal Cost'!G6,'Trans Removal Cost'!G6,'LEV3 Criteria Emissions Cost'!G6,'ZEV Assembly Reductions'!G6,'ACCII Criteria Compliance Cost'!G6,'ACCII GHG Compliance'!G6,'Current GHG Compliance'!G6)+IF(Table44[[#This Row],[Cold]:[Cold]]="Y",'Cold Weather Package'!G6,0)+IF(Table44[[#This Row],[eAWD]:[eAWD]]="Y",'eAWD Package'!G6,0)+IF(Table44[[#This Row],[Towing]:[Towing]]="Y",'Towing Bat Cost'!G6,0),"N/A")</f>
        <v>N/A</v>
      </c>
      <c r="L185" s="157" t="str">
        <f>IF(Table44[[#This Row],[Applicable Package?]:[Applicable Package?]]="Y",SUM('Rolled Up Non-Incremental Costs'!H6,'ICE Removal Cost'!H6,'Trans Removal Cost'!H6,'LEV3 Criteria Emissions Cost'!H6,'ZEV Assembly Reductions'!H6,'ACCII Criteria Compliance Cost'!H6,'ACCII GHG Compliance'!H6,'Current GHG Compliance'!H6)+IF(Table44[[#This Row],[Cold]:[Cold]]="Y",'Cold Weather Package'!H6,0)+IF(Table44[[#This Row],[eAWD]:[eAWD]]="Y",'eAWD Package'!H6,0)+IF(Table44[[#This Row],[Towing]:[Towing]]="Y",'Towing Bat Cost'!H6,0),"N/A")</f>
        <v>N/A</v>
      </c>
      <c r="M185" s="157" t="str">
        <f>IF(Table44[[#This Row],[Applicable Package?]:[Applicable Package?]]="Y",SUM('Rolled Up Non-Incremental Costs'!I6,'ICE Removal Cost'!I6,'Trans Removal Cost'!I6,'LEV3 Criteria Emissions Cost'!I6,'ZEV Assembly Reductions'!I6,'ACCII Criteria Compliance Cost'!I6,'ACCII GHG Compliance'!I6,'Current GHG Compliance'!I6)+IF(Table44[[#This Row],[Cold]:[Cold]]="Y",'Cold Weather Package'!I6,0)+IF(Table44[[#This Row],[eAWD]:[eAWD]]="Y",'eAWD Package'!I6,0)+IF(Table44[[#This Row],[Towing]:[Towing]]="Y",'Towing Bat Cost'!I6,0),"N/A")</f>
        <v>N/A</v>
      </c>
      <c r="N185" s="157" t="str">
        <f>IF(Table44[[#This Row],[Applicable Package?]:[Applicable Package?]]="Y",SUM('Rolled Up Non-Incremental Costs'!J6,'ICE Removal Cost'!J6,'Trans Removal Cost'!J6,'LEV3 Criteria Emissions Cost'!J6,'ZEV Assembly Reductions'!J6,'ACCII Criteria Compliance Cost'!J6,'ACCII GHG Compliance'!J6,'Current GHG Compliance'!J6)+IF(Table44[[#This Row],[Cold]:[Cold]]="Y",'Cold Weather Package'!J6,0)+IF(Table44[[#This Row],[eAWD]:[eAWD]]="Y",'eAWD Package'!J6,0)+IF(Table44[[#This Row],[Towing]:[Towing]]="Y",'Towing Bat Cost'!J6,0),"N/A")</f>
        <v>N/A</v>
      </c>
      <c r="O185" s="157" t="str">
        <f>IF(Table44[[#This Row],[Applicable Package?]:[Applicable Package?]]="Y",SUM('Rolled Up Non-Incremental Costs'!K6,'ICE Removal Cost'!K6,'Trans Removal Cost'!K6,'LEV3 Criteria Emissions Cost'!K6,'ZEV Assembly Reductions'!K6,'ACCII Criteria Compliance Cost'!K6,'ACCII GHG Compliance'!K6,'Current GHG Compliance'!K6)+IF(Table44[[#This Row],[Cold]:[Cold]]="Y",'Cold Weather Package'!K6,0)+IF(Table44[[#This Row],[eAWD]:[eAWD]]="Y",'eAWD Package'!K6,0)+IF(Table44[[#This Row],[Towing]:[Towing]]="Y",'Towing Bat Cost'!K6,0),"N/A")</f>
        <v>N/A</v>
      </c>
      <c r="P185" s="157" t="str">
        <f>IF(Table44[[#This Row],[Applicable Package?]:[Applicable Package?]]="Y",SUM('Rolled Up Non-Incremental Costs'!L6,'ICE Removal Cost'!L6,'Trans Removal Cost'!L6,'LEV3 Criteria Emissions Cost'!L6,'ZEV Assembly Reductions'!L6,'ACCII Criteria Compliance Cost'!L6,'ACCII GHG Compliance'!L6,'Current GHG Compliance'!L6)+IF(Table44[[#This Row],[Cold]:[Cold]]="Y",'Cold Weather Package'!L6,0)+IF(Table44[[#This Row],[eAWD]:[eAWD]]="Y",'eAWD Package'!L6,0)+IF(Table44[[#This Row],[Towing]:[Towing]]="Y",'Towing Bat Cost'!L6,0),"N/A")</f>
        <v>N/A</v>
      </c>
      <c r="Q185" s="157" t="str">
        <f>IF(Table44[[#This Row],[Applicable Package?]:[Applicable Package?]]="Y",SUM('Rolled Up Non-Incremental Costs'!M6,'ICE Removal Cost'!M6,'Trans Removal Cost'!M6,'LEV3 Criteria Emissions Cost'!M6,'ZEV Assembly Reductions'!M6,'ACCII Criteria Compliance Cost'!M6,'ACCII GHG Compliance'!M6,'Current GHG Compliance'!M6)+IF(Table44[[#This Row],[Cold]:[Cold]]="Y",'Cold Weather Package'!M6,0)+IF(Table44[[#This Row],[eAWD]:[eAWD]]="Y",'eAWD Package'!M6,0)+IF(Table44[[#This Row],[Towing]:[Towing]]="Y",'Towing Bat Cost'!M6,0),"N/A")</f>
        <v>N/A</v>
      </c>
      <c r="R185" s="157" t="str">
        <f>IF(Table44[[#This Row],[Applicable Package?]:[Applicable Package?]]="Y",SUM('Rolled Up Non-Incremental Costs'!N6,'ICE Removal Cost'!N6,'Trans Removal Cost'!N6,'LEV3 Criteria Emissions Cost'!N6,'ZEV Assembly Reductions'!N6,'ACCII Criteria Compliance Cost'!N6,'ACCII GHG Compliance'!N6,'Current GHG Compliance'!N6)+IF(Table44[[#This Row],[Cold]:[Cold]]="Y",'Cold Weather Package'!N6,0)+IF(Table44[[#This Row],[eAWD]:[eAWD]]="Y",'eAWD Package'!N6,0)+IF(Table44[[#This Row],[Towing]:[Towing]]="Y",'Towing Bat Cost'!N6,0),"N/A")</f>
        <v>N/A</v>
      </c>
      <c r="S185" s="157" t="str">
        <f>IF(Table44[[#This Row],[Applicable Package?]:[Applicable Package?]]="Y",SUM('Rolled Up Non-Incremental Costs'!O6,'ICE Removal Cost'!O6,'Trans Removal Cost'!O6,'LEV3 Criteria Emissions Cost'!O6,'ZEV Assembly Reductions'!O6,'ACCII Criteria Compliance Cost'!O6,'ACCII GHG Compliance'!O6,'Current GHG Compliance'!O6)+IF(Table44[[#This Row],[Cold]:[Cold]]="Y",'Cold Weather Package'!O6,0)+IF(Table44[[#This Row],[eAWD]:[eAWD]]="Y",'eAWD Package'!O6,0)+IF(Table44[[#This Row],[Towing]:[Towing]]="Y",'Towing Bat Cost'!O6,0),"N/A")</f>
        <v>N/A</v>
      </c>
    </row>
    <row r="186" spans="1:19" hidden="1" x14ac:dyDescent="0.3">
      <c r="A186" t="str">
        <f t="shared" si="5"/>
        <v>SmallCarPremiumBEV400</v>
      </c>
      <c r="B186" s="90" t="s">
        <v>82</v>
      </c>
      <c r="C186" s="68" t="s">
        <v>75</v>
      </c>
      <c r="D186" s="68" t="str">
        <f>'Vehicle Attributes - Base Year'!D4</f>
        <v>BEV300</v>
      </c>
      <c r="E186" s="124" t="s">
        <v>77</v>
      </c>
      <c r="F186" s="124" t="s">
        <v>76</v>
      </c>
      <c r="G186" s="125" t="s">
        <v>76</v>
      </c>
      <c r="H186" s="156" t="s">
        <v>77</v>
      </c>
      <c r="I186" s="157" t="str">
        <f>IF(Table44[[#This Row],[Applicable Package?]:[Applicable Package?]]="Y",SUM('Rolled Up Non-Incremental Costs'!E7,'ICE Removal Cost'!E7,'Trans Removal Cost'!E7,'LEV3 Criteria Emissions Cost'!E7,'ZEV Assembly Reductions'!E7,'ACCII Criteria Compliance Cost'!E7,'ACCII GHG Compliance'!E7,'Current GHG Compliance'!E7)+IF(Table44[[#This Row],[Cold]:[Cold]]="Y",'Cold Weather Package'!E7,0)+IF(Table44[[#This Row],[eAWD]:[eAWD]]="Y",'eAWD Package'!E7,0)+IF(Table44[[#This Row],[Towing]:[Towing]]="Y",'Towing Bat Cost'!E7,0),"N/A")</f>
        <v>N/A</v>
      </c>
      <c r="J186" s="157" t="str">
        <f>IF(Table44[[#This Row],[Applicable Package?]:[Applicable Package?]]="Y",SUM('Rolled Up Non-Incremental Costs'!F7,'ICE Removal Cost'!F7,'Trans Removal Cost'!F7,'LEV3 Criteria Emissions Cost'!F7,'ZEV Assembly Reductions'!F7,'ACCII Criteria Compliance Cost'!F7,'ACCII GHG Compliance'!F7,'Current GHG Compliance'!F7)+IF(Table44[[#This Row],[Cold]:[Cold]]="Y",'Cold Weather Package'!F7,0)+IF(Table44[[#This Row],[eAWD]:[eAWD]]="Y",'eAWD Package'!F7,0)+IF(Table44[[#This Row],[Towing]:[Towing]]="Y",'Towing Bat Cost'!F7,0),"N/A")</f>
        <v>N/A</v>
      </c>
      <c r="K186" s="157" t="str">
        <f>IF(Table44[[#This Row],[Applicable Package?]:[Applicable Package?]]="Y",SUM('Rolled Up Non-Incremental Costs'!G7,'ICE Removal Cost'!G7,'Trans Removal Cost'!G7,'LEV3 Criteria Emissions Cost'!G7,'ZEV Assembly Reductions'!G7,'ACCII Criteria Compliance Cost'!G7,'ACCII GHG Compliance'!G7,'Current GHG Compliance'!G7)+IF(Table44[[#This Row],[Cold]:[Cold]]="Y",'Cold Weather Package'!G7,0)+IF(Table44[[#This Row],[eAWD]:[eAWD]]="Y",'eAWD Package'!G7,0)+IF(Table44[[#This Row],[Towing]:[Towing]]="Y",'Towing Bat Cost'!G7,0),"N/A")</f>
        <v>N/A</v>
      </c>
      <c r="L186" s="157" t="str">
        <f>IF(Table44[[#This Row],[Applicable Package?]:[Applicable Package?]]="Y",SUM('Rolled Up Non-Incremental Costs'!H7,'ICE Removal Cost'!H7,'Trans Removal Cost'!H7,'LEV3 Criteria Emissions Cost'!H7,'ZEV Assembly Reductions'!H7,'ACCII Criteria Compliance Cost'!H7,'ACCII GHG Compliance'!H7,'Current GHG Compliance'!H7)+IF(Table44[[#This Row],[Cold]:[Cold]]="Y",'Cold Weather Package'!H7,0)+IF(Table44[[#This Row],[eAWD]:[eAWD]]="Y",'eAWD Package'!H7,0)+IF(Table44[[#This Row],[Towing]:[Towing]]="Y",'Towing Bat Cost'!H7,0),"N/A")</f>
        <v>N/A</v>
      </c>
      <c r="M186" s="157" t="str">
        <f>IF(Table44[[#This Row],[Applicable Package?]:[Applicable Package?]]="Y",SUM('Rolled Up Non-Incremental Costs'!I7,'ICE Removal Cost'!I7,'Trans Removal Cost'!I7,'LEV3 Criteria Emissions Cost'!I7,'ZEV Assembly Reductions'!I7,'ACCII Criteria Compliance Cost'!I7,'ACCII GHG Compliance'!I7,'Current GHG Compliance'!I7)+IF(Table44[[#This Row],[Cold]:[Cold]]="Y",'Cold Weather Package'!I7,0)+IF(Table44[[#This Row],[eAWD]:[eAWD]]="Y",'eAWD Package'!I7,0)+IF(Table44[[#This Row],[Towing]:[Towing]]="Y",'Towing Bat Cost'!I7,0),"N/A")</f>
        <v>N/A</v>
      </c>
      <c r="N186" s="157" t="str">
        <f>IF(Table44[[#This Row],[Applicable Package?]:[Applicable Package?]]="Y",SUM('Rolled Up Non-Incremental Costs'!J7,'ICE Removal Cost'!J7,'Trans Removal Cost'!J7,'LEV3 Criteria Emissions Cost'!J7,'ZEV Assembly Reductions'!J7,'ACCII Criteria Compliance Cost'!J7,'ACCII GHG Compliance'!J7,'Current GHG Compliance'!J7)+IF(Table44[[#This Row],[Cold]:[Cold]]="Y",'Cold Weather Package'!J7,0)+IF(Table44[[#This Row],[eAWD]:[eAWD]]="Y",'eAWD Package'!J7,0)+IF(Table44[[#This Row],[Towing]:[Towing]]="Y",'Towing Bat Cost'!J7,0),"N/A")</f>
        <v>N/A</v>
      </c>
      <c r="O186" s="157" t="str">
        <f>IF(Table44[[#This Row],[Applicable Package?]:[Applicable Package?]]="Y",SUM('Rolled Up Non-Incremental Costs'!K7,'ICE Removal Cost'!K7,'Trans Removal Cost'!K7,'LEV3 Criteria Emissions Cost'!K7,'ZEV Assembly Reductions'!K7,'ACCII Criteria Compliance Cost'!K7,'ACCII GHG Compliance'!K7,'Current GHG Compliance'!K7)+IF(Table44[[#This Row],[Cold]:[Cold]]="Y",'Cold Weather Package'!K7,0)+IF(Table44[[#This Row],[eAWD]:[eAWD]]="Y",'eAWD Package'!K7,0)+IF(Table44[[#This Row],[Towing]:[Towing]]="Y",'Towing Bat Cost'!K7,0),"N/A")</f>
        <v>N/A</v>
      </c>
      <c r="P186" s="157" t="str">
        <f>IF(Table44[[#This Row],[Applicable Package?]:[Applicable Package?]]="Y",SUM('Rolled Up Non-Incremental Costs'!L7,'ICE Removal Cost'!L7,'Trans Removal Cost'!L7,'LEV3 Criteria Emissions Cost'!L7,'ZEV Assembly Reductions'!L7,'ACCII Criteria Compliance Cost'!L7,'ACCII GHG Compliance'!L7,'Current GHG Compliance'!L7)+IF(Table44[[#This Row],[Cold]:[Cold]]="Y",'Cold Weather Package'!L7,0)+IF(Table44[[#This Row],[eAWD]:[eAWD]]="Y",'eAWD Package'!L7,0)+IF(Table44[[#This Row],[Towing]:[Towing]]="Y",'Towing Bat Cost'!L7,0),"N/A")</f>
        <v>N/A</v>
      </c>
      <c r="Q186" s="157" t="str">
        <f>IF(Table44[[#This Row],[Applicable Package?]:[Applicable Package?]]="Y",SUM('Rolled Up Non-Incremental Costs'!M7,'ICE Removal Cost'!M7,'Trans Removal Cost'!M7,'LEV3 Criteria Emissions Cost'!M7,'ZEV Assembly Reductions'!M7,'ACCII Criteria Compliance Cost'!M7,'ACCII GHG Compliance'!M7,'Current GHG Compliance'!M7)+IF(Table44[[#This Row],[Cold]:[Cold]]="Y",'Cold Weather Package'!M7,0)+IF(Table44[[#This Row],[eAWD]:[eAWD]]="Y",'eAWD Package'!M7,0)+IF(Table44[[#This Row],[Towing]:[Towing]]="Y",'Towing Bat Cost'!M7,0),"N/A")</f>
        <v>N/A</v>
      </c>
      <c r="R186" s="157" t="str">
        <f>IF(Table44[[#This Row],[Applicable Package?]:[Applicable Package?]]="Y",SUM('Rolled Up Non-Incremental Costs'!N7,'ICE Removal Cost'!N7,'Trans Removal Cost'!N7,'LEV3 Criteria Emissions Cost'!N7,'ZEV Assembly Reductions'!N7,'ACCII Criteria Compliance Cost'!N7,'ACCII GHG Compliance'!N7,'Current GHG Compliance'!N7)+IF(Table44[[#This Row],[Cold]:[Cold]]="Y",'Cold Weather Package'!N7,0)+IF(Table44[[#This Row],[eAWD]:[eAWD]]="Y",'eAWD Package'!N7,0)+IF(Table44[[#This Row],[Towing]:[Towing]]="Y",'Towing Bat Cost'!N7,0),"N/A")</f>
        <v>N/A</v>
      </c>
      <c r="S186" s="157" t="str">
        <f>IF(Table44[[#This Row],[Applicable Package?]:[Applicable Package?]]="Y",SUM('Rolled Up Non-Incremental Costs'!O7,'ICE Removal Cost'!O7,'Trans Removal Cost'!O7,'LEV3 Criteria Emissions Cost'!O7,'ZEV Assembly Reductions'!O7,'ACCII Criteria Compliance Cost'!O7,'ACCII GHG Compliance'!O7,'Current GHG Compliance'!O7)+IF(Table44[[#This Row],[Cold]:[Cold]]="Y",'Cold Weather Package'!O7,0)+IF(Table44[[#This Row],[eAWD]:[eAWD]]="Y",'eAWD Package'!O7,0)+IF(Table44[[#This Row],[Towing]:[Towing]]="Y",'Towing Bat Cost'!O7,0),"N/A")</f>
        <v>N/A</v>
      </c>
    </row>
    <row r="187" spans="1:19" hidden="1" x14ac:dyDescent="0.3">
      <c r="A187" s="28" t="str">
        <f t="shared" si="5"/>
        <v>MedCarBaseBEV300</v>
      </c>
      <c r="B187" s="90" t="s">
        <v>82</v>
      </c>
      <c r="C187" s="68" t="s">
        <v>80</v>
      </c>
      <c r="D187" s="68" t="str">
        <f>'Vehicle Attributes - Base Year'!D5</f>
        <v>BEV400</v>
      </c>
      <c r="E187" s="124" t="s">
        <v>77</v>
      </c>
      <c r="F187" s="124" t="s">
        <v>76</v>
      </c>
      <c r="G187" s="125" t="s">
        <v>76</v>
      </c>
      <c r="H187" s="156" t="s">
        <v>77</v>
      </c>
      <c r="I187" s="157" t="str">
        <f>IF(Table44[[#This Row],[Applicable Package?]:[Applicable Package?]]="Y",SUM('Rolled Up Non-Incremental Costs'!E8,'ICE Removal Cost'!E8,'Trans Removal Cost'!E8,'LEV3 Criteria Emissions Cost'!E8,'ZEV Assembly Reductions'!E8,'ACCII Criteria Compliance Cost'!E8,'ACCII GHG Compliance'!E8,'Current GHG Compliance'!E8)+IF(Table44[[#This Row],[Cold]:[Cold]]="Y",'Cold Weather Package'!E8,0)+IF(Table44[[#This Row],[eAWD]:[eAWD]]="Y",'eAWD Package'!E8,0)+IF(Table44[[#This Row],[Towing]:[Towing]]="Y",'Towing Bat Cost'!E8,0),"N/A")</f>
        <v>N/A</v>
      </c>
      <c r="J187" s="157" t="str">
        <f>IF(Table44[[#This Row],[Applicable Package?]:[Applicable Package?]]="Y",SUM('Rolled Up Non-Incremental Costs'!F8,'ICE Removal Cost'!F8,'Trans Removal Cost'!F8,'LEV3 Criteria Emissions Cost'!F8,'ZEV Assembly Reductions'!F8,'ACCII Criteria Compliance Cost'!F8,'ACCII GHG Compliance'!F8,'Current GHG Compliance'!F8)+IF(Table44[[#This Row],[Cold]:[Cold]]="Y",'Cold Weather Package'!F8,0)+IF(Table44[[#This Row],[eAWD]:[eAWD]]="Y",'eAWD Package'!F8,0)+IF(Table44[[#This Row],[Towing]:[Towing]]="Y",'Towing Bat Cost'!F8,0),"N/A")</f>
        <v>N/A</v>
      </c>
      <c r="K187" s="157" t="str">
        <f>IF(Table44[[#This Row],[Applicable Package?]:[Applicable Package?]]="Y",SUM('Rolled Up Non-Incremental Costs'!G8,'ICE Removal Cost'!G8,'Trans Removal Cost'!G8,'LEV3 Criteria Emissions Cost'!G8,'ZEV Assembly Reductions'!G8,'ACCII Criteria Compliance Cost'!G8,'ACCII GHG Compliance'!G8,'Current GHG Compliance'!G8)+IF(Table44[[#This Row],[Cold]:[Cold]]="Y",'Cold Weather Package'!G8,0)+IF(Table44[[#This Row],[eAWD]:[eAWD]]="Y",'eAWD Package'!G8,0)+IF(Table44[[#This Row],[Towing]:[Towing]]="Y",'Towing Bat Cost'!G8,0),"N/A")</f>
        <v>N/A</v>
      </c>
      <c r="L187" s="157" t="str">
        <f>IF(Table44[[#This Row],[Applicable Package?]:[Applicable Package?]]="Y",SUM('Rolled Up Non-Incremental Costs'!H8,'ICE Removal Cost'!H8,'Trans Removal Cost'!H8,'LEV3 Criteria Emissions Cost'!H8,'ZEV Assembly Reductions'!H8,'ACCII Criteria Compliance Cost'!H8,'ACCII GHG Compliance'!H8,'Current GHG Compliance'!H8)+IF(Table44[[#This Row],[Cold]:[Cold]]="Y",'Cold Weather Package'!H8,0)+IF(Table44[[#This Row],[eAWD]:[eAWD]]="Y",'eAWD Package'!H8,0)+IF(Table44[[#This Row],[Towing]:[Towing]]="Y",'Towing Bat Cost'!H8,0),"N/A")</f>
        <v>N/A</v>
      </c>
      <c r="M187" s="157" t="str">
        <f>IF(Table44[[#This Row],[Applicable Package?]:[Applicable Package?]]="Y",SUM('Rolled Up Non-Incremental Costs'!I8,'ICE Removal Cost'!I8,'Trans Removal Cost'!I8,'LEV3 Criteria Emissions Cost'!I8,'ZEV Assembly Reductions'!I8,'ACCII Criteria Compliance Cost'!I8,'ACCII GHG Compliance'!I8,'Current GHG Compliance'!I8)+IF(Table44[[#This Row],[Cold]:[Cold]]="Y",'Cold Weather Package'!I8,0)+IF(Table44[[#This Row],[eAWD]:[eAWD]]="Y",'eAWD Package'!I8,0)+IF(Table44[[#This Row],[Towing]:[Towing]]="Y",'Towing Bat Cost'!I8,0),"N/A")</f>
        <v>N/A</v>
      </c>
      <c r="N187" s="157" t="str">
        <f>IF(Table44[[#This Row],[Applicable Package?]:[Applicable Package?]]="Y",SUM('Rolled Up Non-Incremental Costs'!J8,'ICE Removal Cost'!J8,'Trans Removal Cost'!J8,'LEV3 Criteria Emissions Cost'!J8,'ZEV Assembly Reductions'!J8,'ACCII Criteria Compliance Cost'!J8,'ACCII GHG Compliance'!J8,'Current GHG Compliance'!J8)+IF(Table44[[#This Row],[Cold]:[Cold]]="Y",'Cold Weather Package'!J8,0)+IF(Table44[[#This Row],[eAWD]:[eAWD]]="Y",'eAWD Package'!J8,0)+IF(Table44[[#This Row],[Towing]:[Towing]]="Y",'Towing Bat Cost'!J8,0),"N/A")</f>
        <v>N/A</v>
      </c>
      <c r="O187" s="157" t="str">
        <f>IF(Table44[[#This Row],[Applicable Package?]:[Applicable Package?]]="Y",SUM('Rolled Up Non-Incremental Costs'!K8,'ICE Removal Cost'!K8,'Trans Removal Cost'!K8,'LEV3 Criteria Emissions Cost'!K8,'ZEV Assembly Reductions'!K8,'ACCII Criteria Compliance Cost'!K8,'ACCII GHG Compliance'!K8,'Current GHG Compliance'!K8)+IF(Table44[[#This Row],[Cold]:[Cold]]="Y",'Cold Weather Package'!K8,0)+IF(Table44[[#This Row],[eAWD]:[eAWD]]="Y",'eAWD Package'!K8,0)+IF(Table44[[#This Row],[Towing]:[Towing]]="Y",'Towing Bat Cost'!K8,0),"N/A")</f>
        <v>N/A</v>
      </c>
      <c r="P187" s="157" t="str">
        <f>IF(Table44[[#This Row],[Applicable Package?]:[Applicable Package?]]="Y",SUM('Rolled Up Non-Incremental Costs'!L8,'ICE Removal Cost'!L8,'Trans Removal Cost'!L8,'LEV3 Criteria Emissions Cost'!L8,'ZEV Assembly Reductions'!L8,'ACCII Criteria Compliance Cost'!L8,'ACCII GHG Compliance'!L8,'Current GHG Compliance'!L8)+IF(Table44[[#This Row],[Cold]:[Cold]]="Y",'Cold Weather Package'!L8,0)+IF(Table44[[#This Row],[eAWD]:[eAWD]]="Y",'eAWD Package'!L8,0)+IF(Table44[[#This Row],[Towing]:[Towing]]="Y",'Towing Bat Cost'!L8,0),"N/A")</f>
        <v>N/A</v>
      </c>
      <c r="Q187" s="157" t="str">
        <f>IF(Table44[[#This Row],[Applicable Package?]:[Applicable Package?]]="Y",SUM('Rolled Up Non-Incremental Costs'!M8,'ICE Removal Cost'!M8,'Trans Removal Cost'!M8,'LEV3 Criteria Emissions Cost'!M8,'ZEV Assembly Reductions'!M8,'ACCII Criteria Compliance Cost'!M8,'ACCII GHG Compliance'!M8,'Current GHG Compliance'!M8)+IF(Table44[[#This Row],[Cold]:[Cold]]="Y",'Cold Weather Package'!M8,0)+IF(Table44[[#This Row],[eAWD]:[eAWD]]="Y",'eAWD Package'!M8,0)+IF(Table44[[#This Row],[Towing]:[Towing]]="Y",'Towing Bat Cost'!M8,0),"N/A")</f>
        <v>N/A</v>
      </c>
      <c r="R187" s="157" t="str">
        <f>IF(Table44[[#This Row],[Applicable Package?]:[Applicable Package?]]="Y",SUM('Rolled Up Non-Incremental Costs'!N8,'ICE Removal Cost'!N8,'Trans Removal Cost'!N8,'LEV3 Criteria Emissions Cost'!N8,'ZEV Assembly Reductions'!N8,'ACCII Criteria Compliance Cost'!N8,'ACCII GHG Compliance'!N8,'Current GHG Compliance'!N8)+IF(Table44[[#This Row],[Cold]:[Cold]]="Y",'Cold Weather Package'!N8,0)+IF(Table44[[#This Row],[eAWD]:[eAWD]]="Y",'eAWD Package'!N8,0)+IF(Table44[[#This Row],[Towing]:[Towing]]="Y",'Towing Bat Cost'!N8,0),"N/A")</f>
        <v>N/A</v>
      </c>
      <c r="S187" s="157" t="str">
        <f>IF(Table44[[#This Row],[Applicable Package?]:[Applicable Package?]]="Y",SUM('Rolled Up Non-Incremental Costs'!O8,'ICE Removal Cost'!O8,'Trans Removal Cost'!O8,'LEV3 Criteria Emissions Cost'!O8,'ZEV Assembly Reductions'!O8,'ACCII Criteria Compliance Cost'!O8,'ACCII GHG Compliance'!O8,'Current GHG Compliance'!O8)+IF(Table44[[#This Row],[Cold]:[Cold]]="Y",'Cold Weather Package'!O8,0)+IF(Table44[[#This Row],[eAWD]:[eAWD]]="Y",'eAWD Package'!O8,0)+IF(Table44[[#This Row],[Towing]:[Towing]]="Y",'Towing Bat Cost'!O8,0),"N/A")</f>
        <v>N/A</v>
      </c>
    </row>
    <row r="188" spans="1:19" hidden="1" x14ac:dyDescent="0.3">
      <c r="A188" t="str">
        <f t="shared" si="5"/>
        <v>MedCarPremiumBEV400</v>
      </c>
      <c r="B188" s="90" t="s">
        <v>83</v>
      </c>
      <c r="C188" s="68" t="s">
        <v>75</v>
      </c>
      <c r="D188" s="68" t="str">
        <f>'Vehicle Attributes - Base Year'!D6</f>
        <v>BEV300</v>
      </c>
      <c r="E188" s="124" t="s">
        <v>77</v>
      </c>
      <c r="F188" s="124" t="s">
        <v>76</v>
      </c>
      <c r="G188" s="125" t="s">
        <v>76</v>
      </c>
      <c r="H188" s="156" t="s">
        <v>77</v>
      </c>
      <c r="I188" s="157" t="str">
        <f>IF(Table44[[#This Row],[Applicable Package?]:[Applicable Package?]]="Y",SUM('Rolled Up Non-Incremental Costs'!E9,'ICE Removal Cost'!E9,'Trans Removal Cost'!E9,'LEV3 Criteria Emissions Cost'!E9,'ZEV Assembly Reductions'!E9,'ACCII Criteria Compliance Cost'!E9,'ACCII GHG Compliance'!E9,'Current GHG Compliance'!E9)+IF(Table44[[#This Row],[Cold]:[Cold]]="Y",'Cold Weather Package'!E9,0)+IF(Table44[[#This Row],[eAWD]:[eAWD]]="Y",'eAWD Package'!E9,0)+IF(Table44[[#This Row],[Towing]:[Towing]]="Y",'Towing Bat Cost'!E9,0),"N/A")</f>
        <v>N/A</v>
      </c>
      <c r="J188" s="157" t="str">
        <f>IF(Table44[[#This Row],[Applicable Package?]:[Applicable Package?]]="Y",SUM('Rolled Up Non-Incremental Costs'!F9,'ICE Removal Cost'!F9,'Trans Removal Cost'!F9,'LEV3 Criteria Emissions Cost'!F9,'ZEV Assembly Reductions'!F9,'ACCII Criteria Compliance Cost'!F9,'ACCII GHG Compliance'!F9,'Current GHG Compliance'!F9)+IF(Table44[[#This Row],[Cold]:[Cold]]="Y",'Cold Weather Package'!F9,0)+IF(Table44[[#This Row],[eAWD]:[eAWD]]="Y",'eAWD Package'!F9,0)+IF(Table44[[#This Row],[Towing]:[Towing]]="Y",'Towing Bat Cost'!F9,0),"N/A")</f>
        <v>N/A</v>
      </c>
      <c r="K188" s="157" t="str">
        <f>IF(Table44[[#This Row],[Applicable Package?]:[Applicable Package?]]="Y",SUM('Rolled Up Non-Incremental Costs'!G9,'ICE Removal Cost'!G9,'Trans Removal Cost'!G9,'LEV3 Criteria Emissions Cost'!G9,'ZEV Assembly Reductions'!G9,'ACCII Criteria Compliance Cost'!G9,'ACCII GHG Compliance'!G9,'Current GHG Compliance'!G9)+IF(Table44[[#This Row],[Cold]:[Cold]]="Y",'Cold Weather Package'!G9,0)+IF(Table44[[#This Row],[eAWD]:[eAWD]]="Y",'eAWD Package'!G9,0)+IF(Table44[[#This Row],[Towing]:[Towing]]="Y",'Towing Bat Cost'!G9,0),"N/A")</f>
        <v>N/A</v>
      </c>
      <c r="L188" s="157" t="str">
        <f>IF(Table44[[#This Row],[Applicable Package?]:[Applicable Package?]]="Y",SUM('Rolled Up Non-Incremental Costs'!H9,'ICE Removal Cost'!H9,'Trans Removal Cost'!H9,'LEV3 Criteria Emissions Cost'!H9,'ZEV Assembly Reductions'!H9,'ACCII Criteria Compliance Cost'!H9,'ACCII GHG Compliance'!H9,'Current GHG Compliance'!H9)+IF(Table44[[#This Row],[Cold]:[Cold]]="Y",'Cold Weather Package'!H9,0)+IF(Table44[[#This Row],[eAWD]:[eAWD]]="Y",'eAWD Package'!H9,0)+IF(Table44[[#This Row],[Towing]:[Towing]]="Y",'Towing Bat Cost'!H9,0),"N/A")</f>
        <v>N/A</v>
      </c>
      <c r="M188" s="157" t="str">
        <f>IF(Table44[[#This Row],[Applicable Package?]:[Applicable Package?]]="Y",SUM('Rolled Up Non-Incremental Costs'!I9,'ICE Removal Cost'!I9,'Trans Removal Cost'!I9,'LEV3 Criteria Emissions Cost'!I9,'ZEV Assembly Reductions'!I9,'ACCII Criteria Compliance Cost'!I9,'ACCII GHG Compliance'!I9,'Current GHG Compliance'!I9)+IF(Table44[[#This Row],[Cold]:[Cold]]="Y",'Cold Weather Package'!I9,0)+IF(Table44[[#This Row],[eAWD]:[eAWD]]="Y",'eAWD Package'!I9,0)+IF(Table44[[#This Row],[Towing]:[Towing]]="Y",'Towing Bat Cost'!I9,0),"N/A")</f>
        <v>N/A</v>
      </c>
      <c r="N188" s="157" t="str">
        <f>IF(Table44[[#This Row],[Applicable Package?]:[Applicable Package?]]="Y",SUM('Rolled Up Non-Incremental Costs'!J9,'ICE Removal Cost'!J9,'Trans Removal Cost'!J9,'LEV3 Criteria Emissions Cost'!J9,'ZEV Assembly Reductions'!J9,'ACCII Criteria Compliance Cost'!J9,'ACCII GHG Compliance'!J9,'Current GHG Compliance'!J9)+IF(Table44[[#This Row],[Cold]:[Cold]]="Y",'Cold Weather Package'!J9,0)+IF(Table44[[#This Row],[eAWD]:[eAWD]]="Y",'eAWD Package'!J9,0)+IF(Table44[[#This Row],[Towing]:[Towing]]="Y",'Towing Bat Cost'!J9,0),"N/A")</f>
        <v>N/A</v>
      </c>
      <c r="O188" s="157" t="str">
        <f>IF(Table44[[#This Row],[Applicable Package?]:[Applicable Package?]]="Y",SUM('Rolled Up Non-Incremental Costs'!K9,'ICE Removal Cost'!K9,'Trans Removal Cost'!K9,'LEV3 Criteria Emissions Cost'!K9,'ZEV Assembly Reductions'!K9,'ACCII Criteria Compliance Cost'!K9,'ACCII GHG Compliance'!K9,'Current GHG Compliance'!K9)+IF(Table44[[#This Row],[Cold]:[Cold]]="Y",'Cold Weather Package'!K9,0)+IF(Table44[[#This Row],[eAWD]:[eAWD]]="Y",'eAWD Package'!K9,0)+IF(Table44[[#This Row],[Towing]:[Towing]]="Y",'Towing Bat Cost'!K9,0),"N/A")</f>
        <v>N/A</v>
      </c>
      <c r="P188" s="157" t="str">
        <f>IF(Table44[[#This Row],[Applicable Package?]:[Applicable Package?]]="Y",SUM('Rolled Up Non-Incremental Costs'!L9,'ICE Removal Cost'!L9,'Trans Removal Cost'!L9,'LEV3 Criteria Emissions Cost'!L9,'ZEV Assembly Reductions'!L9,'ACCII Criteria Compliance Cost'!L9,'ACCII GHG Compliance'!L9,'Current GHG Compliance'!L9)+IF(Table44[[#This Row],[Cold]:[Cold]]="Y",'Cold Weather Package'!L9,0)+IF(Table44[[#This Row],[eAWD]:[eAWD]]="Y",'eAWD Package'!L9,0)+IF(Table44[[#This Row],[Towing]:[Towing]]="Y",'Towing Bat Cost'!L9,0),"N/A")</f>
        <v>N/A</v>
      </c>
      <c r="Q188" s="157" t="str">
        <f>IF(Table44[[#This Row],[Applicable Package?]:[Applicable Package?]]="Y",SUM('Rolled Up Non-Incremental Costs'!M9,'ICE Removal Cost'!M9,'Trans Removal Cost'!M9,'LEV3 Criteria Emissions Cost'!M9,'ZEV Assembly Reductions'!M9,'ACCII Criteria Compliance Cost'!M9,'ACCII GHG Compliance'!M9,'Current GHG Compliance'!M9)+IF(Table44[[#This Row],[Cold]:[Cold]]="Y",'Cold Weather Package'!M9,0)+IF(Table44[[#This Row],[eAWD]:[eAWD]]="Y",'eAWD Package'!M9,0)+IF(Table44[[#This Row],[Towing]:[Towing]]="Y",'Towing Bat Cost'!M9,0),"N/A")</f>
        <v>N/A</v>
      </c>
      <c r="R188" s="157" t="str">
        <f>IF(Table44[[#This Row],[Applicable Package?]:[Applicable Package?]]="Y",SUM('Rolled Up Non-Incremental Costs'!N9,'ICE Removal Cost'!N9,'Trans Removal Cost'!N9,'LEV3 Criteria Emissions Cost'!N9,'ZEV Assembly Reductions'!N9,'ACCII Criteria Compliance Cost'!N9,'ACCII GHG Compliance'!N9,'Current GHG Compliance'!N9)+IF(Table44[[#This Row],[Cold]:[Cold]]="Y",'Cold Weather Package'!N9,0)+IF(Table44[[#This Row],[eAWD]:[eAWD]]="Y",'eAWD Package'!N9,0)+IF(Table44[[#This Row],[Towing]:[Towing]]="Y",'Towing Bat Cost'!N9,0),"N/A")</f>
        <v>N/A</v>
      </c>
      <c r="S188" s="157" t="str">
        <f>IF(Table44[[#This Row],[Applicable Package?]:[Applicable Package?]]="Y",SUM('Rolled Up Non-Incremental Costs'!O9,'ICE Removal Cost'!O9,'Trans Removal Cost'!O9,'LEV3 Criteria Emissions Cost'!O9,'ZEV Assembly Reductions'!O9,'ACCII Criteria Compliance Cost'!O9,'ACCII GHG Compliance'!O9,'Current GHG Compliance'!O9)+IF(Table44[[#This Row],[Cold]:[Cold]]="Y",'Cold Weather Package'!O9,0)+IF(Table44[[#This Row],[eAWD]:[eAWD]]="Y",'eAWD Package'!O9,0)+IF(Table44[[#This Row],[Towing]:[Towing]]="Y",'Towing Bat Cost'!O9,0),"N/A")</f>
        <v>N/A</v>
      </c>
    </row>
    <row r="189" spans="1:19" hidden="1" x14ac:dyDescent="0.3">
      <c r="A189" s="28" t="str">
        <f t="shared" si="5"/>
        <v>SmallSUVBaseBEV300</v>
      </c>
      <c r="B189" s="90" t="s">
        <v>83</v>
      </c>
      <c r="C189" s="68" t="s">
        <v>80</v>
      </c>
      <c r="D189" s="68" t="str">
        <f>'Vehicle Attributes - Base Year'!D7</f>
        <v>BEV400</v>
      </c>
      <c r="E189" s="124" t="s">
        <v>77</v>
      </c>
      <c r="F189" s="124" t="s">
        <v>76</v>
      </c>
      <c r="G189" s="125" t="s">
        <v>76</v>
      </c>
      <c r="H189" s="156" t="s">
        <v>77</v>
      </c>
      <c r="I189" s="157" t="str">
        <f>IF(Table44[[#This Row],[Applicable Package?]:[Applicable Package?]]="Y",SUM('Rolled Up Non-Incremental Costs'!E10,'ICE Removal Cost'!E10,'Trans Removal Cost'!E10,'LEV3 Criteria Emissions Cost'!E10,'ZEV Assembly Reductions'!E10,'ACCII Criteria Compliance Cost'!E10,'ACCII GHG Compliance'!E10,'Current GHG Compliance'!E10)+IF(Table44[[#This Row],[Cold]:[Cold]]="Y",'Cold Weather Package'!E10,0)+IF(Table44[[#This Row],[eAWD]:[eAWD]]="Y",'eAWD Package'!E10,0)+IF(Table44[[#This Row],[Towing]:[Towing]]="Y",'Towing Bat Cost'!E10,0),"N/A")</f>
        <v>N/A</v>
      </c>
      <c r="J189" s="157" t="str">
        <f>IF(Table44[[#This Row],[Applicable Package?]:[Applicable Package?]]="Y",SUM('Rolled Up Non-Incremental Costs'!F10,'ICE Removal Cost'!F10,'Trans Removal Cost'!F10,'LEV3 Criteria Emissions Cost'!F10,'ZEV Assembly Reductions'!F10,'ACCII Criteria Compliance Cost'!F10,'ACCII GHG Compliance'!F10,'Current GHG Compliance'!F10)+IF(Table44[[#This Row],[Cold]:[Cold]]="Y",'Cold Weather Package'!F10,0)+IF(Table44[[#This Row],[eAWD]:[eAWD]]="Y",'eAWD Package'!F10,0)+IF(Table44[[#This Row],[Towing]:[Towing]]="Y",'Towing Bat Cost'!F10,0),"N/A")</f>
        <v>N/A</v>
      </c>
      <c r="K189" s="157" t="str">
        <f>IF(Table44[[#This Row],[Applicable Package?]:[Applicable Package?]]="Y",SUM('Rolled Up Non-Incremental Costs'!G10,'ICE Removal Cost'!G10,'Trans Removal Cost'!G10,'LEV3 Criteria Emissions Cost'!G10,'ZEV Assembly Reductions'!G10,'ACCII Criteria Compliance Cost'!G10,'ACCII GHG Compliance'!G10,'Current GHG Compliance'!G10)+IF(Table44[[#This Row],[Cold]:[Cold]]="Y",'Cold Weather Package'!G10,0)+IF(Table44[[#This Row],[eAWD]:[eAWD]]="Y",'eAWD Package'!G10,0)+IF(Table44[[#This Row],[Towing]:[Towing]]="Y",'Towing Bat Cost'!G10,0),"N/A")</f>
        <v>N/A</v>
      </c>
      <c r="L189" s="157" t="str">
        <f>IF(Table44[[#This Row],[Applicable Package?]:[Applicable Package?]]="Y",SUM('Rolled Up Non-Incremental Costs'!H10,'ICE Removal Cost'!H10,'Trans Removal Cost'!H10,'LEV3 Criteria Emissions Cost'!H10,'ZEV Assembly Reductions'!H10,'ACCII Criteria Compliance Cost'!H10,'ACCII GHG Compliance'!H10,'Current GHG Compliance'!H10)+IF(Table44[[#This Row],[Cold]:[Cold]]="Y",'Cold Weather Package'!H10,0)+IF(Table44[[#This Row],[eAWD]:[eAWD]]="Y",'eAWD Package'!H10,0)+IF(Table44[[#This Row],[Towing]:[Towing]]="Y",'Towing Bat Cost'!H10,0),"N/A")</f>
        <v>N/A</v>
      </c>
      <c r="M189" s="157" t="str">
        <f>IF(Table44[[#This Row],[Applicable Package?]:[Applicable Package?]]="Y",SUM('Rolled Up Non-Incremental Costs'!I10,'ICE Removal Cost'!I10,'Trans Removal Cost'!I10,'LEV3 Criteria Emissions Cost'!I10,'ZEV Assembly Reductions'!I10,'ACCII Criteria Compliance Cost'!I10,'ACCII GHG Compliance'!I10,'Current GHG Compliance'!I10)+IF(Table44[[#This Row],[Cold]:[Cold]]="Y",'Cold Weather Package'!I10,0)+IF(Table44[[#This Row],[eAWD]:[eAWD]]="Y",'eAWD Package'!I10,0)+IF(Table44[[#This Row],[Towing]:[Towing]]="Y",'Towing Bat Cost'!I10,0),"N/A")</f>
        <v>N/A</v>
      </c>
      <c r="N189" s="157" t="str">
        <f>IF(Table44[[#This Row],[Applicable Package?]:[Applicable Package?]]="Y",SUM('Rolled Up Non-Incremental Costs'!J10,'ICE Removal Cost'!J10,'Trans Removal Cost'!J10,'LEV3 Criteria Emissions Cost'!J10,'ZEV Assembly Reductions'!J10,'ACCII Criteria Compliance Cost'!J10,'ACCII GHG Compliance'!J10,'Current GHG Compliance'!J10)+IF(Table44[[#This Row],[Cold]:[Cold]]="Y",'Cold Weather Package'!J10,0)+IF(Table44[[#This Row],[eAWD]:[eAWD]]="Y",'eAWD Package'!J10,0)+IF(Table44[[#This Row],[Towing]:[Towing]]="Y",'Towing Bat Cost'!J10,0),"N/A")</f>
        <v>N/A</v>
      </c>
      <c r="O189" s="157" t="str">
        <f>IF(Table44[[#This Row],[Applicable Package?]:[Applicable Package?]]="Y",SUM('Rolled Up Non-Incremental Costs'!K10,'ICE Removal Cost'!K10,'Trans Removal Cost'!K10,'LEV3 Criteria Emissions Cost'!K10,'ZEV Assembly Reductions'!K10,'ACCII Criteria Compliance Cost'!K10,'ACCII GHG Compliance'!K10,'Current GHG Compliance'!K10)+IF(Table44[[#This Row],[Cold]:[Cold]]="Y",'Cold Weather Package'!K10,0)+IF(Table44[[#This Row],[eAWD]:[eAWD]]="Y",'eAWD Package'!K10,0)+IF(Table44[[#This Row],[Towing]:[Towing]]="Y",'Towing Bat Cost'!K10,0),"N/A")</f>
        <v>N/A</v>
      </c>
      <c r="P189" s="157" t="str">
        <f>IF(Table44[[#This Row],[Applicable Package?]:[Applicable Package?]]="Y",SUM('Rolled Up Non-Incremental Costs'!L10,'ICE Removal Cost'!L10,'Trans Removal Cost'!L10,'LEV3 Criteria Emissions Cost'!L10,'ZEV Assembly Reductions'!L10,'ACCII Criteria Compliance Cost'!L10,'ACCII GHG Compliance'!L10,'Current GHG Compliance'!L10)+IF(Table44[[#This Row],[Cold]:[Cold]]="Y",'Cold Weather Package'!L10,0)+IF(Table44[[#This Row],[eAWD]:[eAWD]]="Y",'eAWD Package'!L10,0)+IF(Table44[[#This Row],[Towing]:[Towing]]="Y",'Towing Bat Cost'!L10,0),"N/A")</f>
        <v>N/A</v>
      </c>
      <c r="Q189" s="157" t="str">
        <f>IF(Table44[[#This Row],[Applicable Package?]:[Applicable Package?]]="Y",SUM('Rolled Up Non-Incremental Costs'!M10,'ICE Removal Cost'!M10,'Trans Removal Cost'!M10,'LEV3 Criteria Emissions Cost'!M10,'ZEV Assembly Reductions'!M10,'ACCII Criteria Compliance Cost'!M10,'ACCII GHG Compliance'!M10,'Current GHG Compliance'!M10)+IF(Table44[[#This Row],[Cold]:[Cold]]="Y",'Cold Weather Package'!M10,0)+IF(Table44[[#This Row],[eAWD]:[eAWD]]="Y",'eAWD Package'!M10,0)+IF(Table44[[#This Row],[Towing]:[Towing]]="Y",'Towing Bat Cost'!M10,0),"N/A")</f>
        <v>N/A</v>
      </c>
      <c r="R189" s="157" t="str">
        <f>IF(Table44[[#This Row],[Applicable Package?]:[Applicable Package?]]="Y",SUM('Rolled Up Non-Incremental Costs'!N10,'ICE Removal Cost'!N10,'Trans Removal Cost'!N10,'LEV3 Criteria Emissions Cost'!N10,'ZEV Assembly Reductions'!N10,'ACCII Criteria Compliance Cost'!N10,'ACCII GHG Compliance'!N10,'Current GHG Compliance'!N10)+IF(Table44[[#This Row],[Cold]:[Cold]]="Y",'Cold Weather Package'!N10,0)+IF(Table44[[#This Row],[eAWD]:[eAWD]]="Y",'eAWD Package'!N10,0)+IF(Table44[[#This Row],[Towing]:[Towing]]="Y",'Towing Bat Cost'!N10,0),"N/A")</f>
        <v>N/A</v>
      </c>
      <c r="S189" s="157" t="str">
        <f>IF(Table44[[#This Row],[Applicable Package?]:[Applicable Package?]]="Y",SUM('Rolled Up Non-Incremental Costs'!O10,'ICE Removal Cost'!O10,'Trans Removal Cost'!O10,'LEV3 Criteria Emissions Cost'!O10,'ZEV Assembly Reductions'!O10,'ACCII Criteria Compliance Cost'!O10,'ACCII GHG Compliance'!O10,'Current GHG Compliance'!O10)+IF(Table44[[#This Row],[Cold]:[Cold]]="Y",'Cold Weather Package'!O10,0)+IF(Table44[[#This Row],[eAWD]:[eAWD]]="Y",'eAWD Package'!O10,0)+IF(Table44[[#This Row],[Towing]:[Towing]]="Y",'Towing Bat Cost'!O10,0),"N/A")</f>
        <v>N/A</v>
      </c>
    </row>
    <row r="190" spans="1:19" hidden="1" x14ac:dyDescent="0.3">
      <c r="A190" t="str">
        <f t="shared" si="5"/>
        <v>SmallSUVPremiumBEV400</v>
      </c>
      <c r="B190" s="90" t="s">
        <v>86</v>
      </c>
      <c r="C190" s="68" t="s">
        <v>75</v>
      </c>
      <c r="D190" s="68" t="str">
        <f>'Vehicle Attributes - Base Year'!D8</f>
        <v>BEV300</v>
      </c>
      <c r="E190" s="124" t="s">
        <v>77</v>
      </c>
      <c r="F190" s="124" t="s">
        <v>76</v>
      </c>
      <c r="G190" s="125" t="s">
        <v>76</v>
      </c>
      <c r="H190" s="156" t="s">
        <v>76</v>
      </c>
      <c r="I190" s="157">
        <f>IF(Table44[[#This Row],[Applicable Package?]:[Applicable Package?]]="Y",SUM('Rolled Up Non-Incremental Costs'!E11,'ICE Removal Cost'!E11,'Trans Removal Cost'!E11,'LEV3 Criteria Emissions Cost'!E11,'ZEV Assembly Reductions'!E11,'ACCII Criteria Compliance Cost'!E11,'ACCII GHG Compliance'!E11,'Current GHG Compliance'!E11)+IF(Table44[[#This Row],[Cold]:[Cold]]="Y",'Cold Weather Package'!E11,0)+IF(Table44[[#This Row],[eAWD]:[eAWD]]="Y",'eAWD Package'!E11,0)+IF(Table44[[#This Row],[Towing]:[Towing]]="Y",'Towing Bat Cost'!E11,0),"N/A")</f>
        <v>15539.810887050971</v>
      </c>
      <c r="J190" s="157">
        <f>IF(Table44[[#This Row],[Applicable Package?]:[Applicable Package?]]="Y",SUM('Rolled Up Non-Incremental Costs'!F11,'ICE Removal Cost'!F11,'Trans Removal Cost'!F11,'LEV3 Criteria Emissions Cost'!F11,'ZEV Assembly Reductions'!F11,'ACCII Criteria Compliance Cost'!F11,'ACCII GHG Compliance'!F11,'Current GHG Compliance'!F11)+IF(Table44[[#This Row],[Cold]:[Cold]]="Y",'Cold Weather Package'!F11,0)+IF(Table44[[#This Row],[eAWD]:[eAWD]]="Y",'eAWD Package'!F11,0)+IF(Table44[[#This Row],[Towing]:[Towing]]="Y",'Towing Bat Cost'!F11,0),"N/A")</f>
        <v>14082.515008082617</v>
      </c>
      <c r="K190" s="157">
        <f>IF(Table44[[#This Row],[Applicable Package?]:[Applicable Package?]]="Y",SUM('Rolled Up Non-Incremental Costs'!G11,'ICE Removal Cost'!G11,'Trans Removal Cost'!G11,'LEV3 Criteria Emissions Cost'!G11,'ZEV Assembly Reductions'!G11,'ACCII Criteria Compliance Cost'!G11,'ACCII GHG Compliance'!G11,'Current GHG Compliance'!G11)+IF(Table44[[#This Row],[Cold]:[Cold]]="Y",'Cold Weather Package'!G11,0)+IF(Table44[[#This Row],[eAWD]:[eAWD]]="Y",'eAWD Package'!G11,0)+IF(Table44[[#This Row],[Towing]:[Towing]]="Y",'Towing Bat Cost'!G11,0),"N/A")</f>
        <v>12730.103491441751</v>
      </c>
      <c r="L190" s="157">
        <f>IF(Table44[[#This Row],[Applicable Package?]:[Applicable Package?]]="Y",SUM('Rolled Up Non-Incremental Costs'!H11,'ICE Removal Cost'!H11,'Trans Removal Cost'!H11,'LEV3 Criteria Emissions Cost'!H11,'ZEV Assembly Reductions'!H11,'ACCII Criteria Compliance Cost'!H11,'ACCII GHG Compliance'!H11,'Current GHG Compliance'!H11)+IF(Table44[[#This Row],[Cold]:[Cold]]="Y",'Cold Weather Package'!H11,0)+IF(Table44[[#This Row],[eAWD]:[eAWD]]="Y",'eAWD Package'!H11,0)+IF(Table44[[#This Row],[Towing]:[Towing]]="Y",'Towing Bat Cost'!H11,0),"N/A")</f>
        <v>11474.785747230999</v>
      </c>
      <c r="M190" s="157">
        <f>IF(Table44[[#This Row],[Applicable Package?]:[Applicable Package?]]="Y",SUM('Rolled Up Non-Incremental Costs'!I11,'ICE Removal Cost'!I11,'Trans Removal Cost'!I11,'LEV3 Criteria Emissions Cost'!I11,'ZEV Assembly Reductions'!I11,'ACCII Criteria Compliance Cost'!I11,'ACCII GHG Compliance'!I11,'Current GHG Compliance'!I11)+IF(Table44[[#This Row],[Cold]:[Cold]]="Y",'Cold Weather Package'!I11,0)+IF(Table44[[#This Row],[eAWD]:[eAWD]]="Y",'eAWD Package'!I11,0)+IF(Table44[[#This Row],[Towing]:[Towing]]="Y",'Towing Bat Cost'!I11,0),"N/A")</f>
        <v>10309.352362811323</v>
      </c>
      <c r="N190" s="157">
        <f>IF(Table44[[#This Row],[Applicable Package?]:[Applicable Package?]]="Y",SUM('Rolled Up Non-Incremental Costs'!J11,'ICE Removal Cost'!J11,'Trans Removal Cost'!J11,'LEV3 Criteria Emissions Cost'!J11,'ZEV Assembly Reductions'!J11,'ACCII Criteria Compliance Cost'!J11,'ACCII GHG Compliance'!J11,'Current GHG Compliance'!J11)+IF(Table44[[#This Row],[Cold]:[Cold]]="Y",'Cold Weather Package'!J11,0)+IF(Table44[[#This Row],[eAWD]:[eAWD]]="Y",'eAWD Package'!J11,0)+IF(Table44[[#This Row],[Towing]:[Towing]]="Y",'Towing Bat Cost'!J11,0),"N/A")</f>
        <v>9439.353996611153</v>
      </c>
      <c r="O190" s="157">
        <f>IF(Table44[[#This Row],[Applicable Package?]:[Applicable Package?]]="Y",SUM('Rolled Up Non-Incremental Costs'!K11,'ICE Removal Cost'!K11,'Trans Removal Cost'!K11,'LEV3 Criteria Emissions Cost'!K11,'ZEV Assembly Reductions'!K11,'ACCII Criteria Compliance Cost'!K11,'ACCII GHG Compliance'!K11,'Current GHG Compliance'!K11)+IF(Table44[[#This Row],[Cold]:[Cold]]="Y",'Cold Weather Package'!K11,0)+IF(Table44[[#This Row],[eAWD]:[eAWD]]="Y",'eAWD Package'!K11,0)+IF(Table44[[#This Row],[Towing]:[Towing]]="Y",'Towing Bat Cost'!K11,0),"N/A")</f>
        <v>8675.2077201888969</v>
      </c>
      <c r="P190" s="157">
        <f>IF(Table44[[#This Row],[Applicable Package?]:[Applicable Package?]]="Y",SUM('Rolled Up Non-Incremental Costs'!L11,'ICE Removal Cost'!L11,'Trans Removal Cost'!L11,'LEV3 Criteria Emissions Cost'!L11,'ZEV Assembly Reductions'!L11,'ACCII Criteria Compliance Cost'!L11,'ACCII GHG Compliance'!L11,'Current GHG Compliance'!L11)+IF(Table44[[#This Row],[Cold]:[Cold]]="Y",'Cold Weather Package'!L11,0)+IF(Table44[[#This Row],[eAWD]:[eAWD]]="Y",'eAWD Package'!L11,0)+IF(Table44[[#This Row],[Towing]:[Towing]]="Y",'Towing Bat Cost'!L11,0),"N/A")</f>
        <v>7950.3293938518391</v>
      </c>
      <c r="Q190" s="157">
        <f>IF(Table44[[#This Row],[Applicable Package?]:[Applicable Package?]]="Y",SUM('Rolled Up Non-Incremental Costs'!M11,'ICE Removal Cost'!M11,'Trans Removal Cost'!M11,'LEV3 Criteria Emissions Cost'!M11,'ZEV Assembly Reductions'!M11,'ACCII Criteria Compliance Cost'!M11,'ACCII GHG Compliance'!M11,'Current GHG Compliance'!M11)+IF(Table44[[#This Row],[Cold]:[Cold]]="Y",'Cold Weather Package'!M11,0)+IF(Table44[[#This Row],[eAWD]:[eAWD]]="Y",'eAWD Package'!M11,0)+IF(Table44[[#This Row],[Towing]:[Towing]]="Y",'Towing Bat Cost'!M11,0),"N/A")</f>
        <v>7262.5947879183041</v>
      </c>
      <c r="R190" s="157">
        <f>IF(Table44[[#This Row],[Applicable Package?]:[Applicable Package?]]="Y",SUM('Rolled Up Non-Incremental Costs'!N11,'ICE Removal Cost'!N11,'Trans Removal Cost'!N11,'LEV3 Criteria Emissions Cost'!N11,'ZEV Assembly Reductions'!N11,'ACCII Criteria Compliance Cost'!N11,'ACCII GHG Compliance'!N11,'Current GHG Compliance'!N11)+IF(Table44[[#This Row],[Cold]:[Cold]]="Y",'Cold Weather Package'!N11,0)+IF(Table44[[#This Row],[eAWD]:[eAWD]]="Y",'eAWD Package'!N11,0)+IF(Table44[[#This Row],[Towing]:[Towing]]="Y",'Towing Bat Cost'!N11,0),"N/A")</f>
        <v>6609.9957173758321</v>
      </c>
      <c r="S190" s="157">
        <f>IF(Table44[[#This Row],[Applicable Package?]:[Applicable Package?]]="Y",SUM('Rolled Up Non-Incremental Costs'!O11,'ICE Removal Cost'!O11,'Trans Removal Cost'!O11,'LEV3 Criteria Emissions Cost'!O11,'ZEV Assembly Reductions'!O11,'ACCII Criteria Compliance Cost'!O11,'ACCII GHG Compliance'!O11,'Current GHG Compliance'!O11)+IF(Table44[[#This Row],[Cold]:[Cold]]="Y",'Cold Weather Package'!O11,0)+IF(Table44[[#This Row],[eAWD]:[eAWD]]="Y",'eAWD Package'!O11,0)+IF(Table44[[#This Row],[Towing]:[Towing]]="Y",'Towing Bat Cost'!O11,0),"N/A")</f>
        <v>5990.6336910045948</v>
      </c>
    </row>
    <row r="191" spans="1:19" hidden="1" x14ac:dyDescent="0.3">
      <c r="A191" s="28" t="str">
        <f t="shared" si="5"/>
        <v>MedSUVBaseBEV300</v>
      </c>
      <c r="B191" s="90" t="s">
        <v>86</v>
      </c>
      <c r="C191" s="68" t="s">
        <v>80</v>
      </c>
      <c r="D191" s="68" t="str">
        <f>'Vehicle Attributes - Base Year'!D9</f>
        <v>BEV400</v>
      </c>
      <c r="E191" s="124" t="s">
        <v>77</v>
      </c>
      <c r="F191" s="124" t="s">
        <v>76</v>
      </c>
      <c r="G191" s="125" t="s">
        <v>76</v>
      </c>
      <c r="H191" s="156" t="s">
        <v>76</v>
      </c>
      <c r="I191" s="157">
        <f>IF(Table44[[#This Row],[Applicable Package?]:[Applicable Package?]]="Y",SUM('Rolled Up Non-Incremental Costs'!E12,'ICE Removal Cost'!E12,'Trans Removal Cost'!E12,'LEV3 Criteria Emissions Cost'!E12,'ZEV Assembly Reductions'!E12,'ACCII Criteria Compliance Cost'!E12,'ACCII GHG Compliance'!E12,'Current GHG Compliance'!E12)+IF(Table44[[#This Row],[Cold]:[Cold]]="Y",'Cold Weather Package'!E12,0)+IF(Table44[[#This Row],[eAWD]:[eAWD]]="Y",'eAWD Package'!E12,0)+IF(Table44[[#This Row],[Towing]:[Towing]]="Y",'Towing Bat Cost'!E12,0),"N/A")</f>
        <v>17528.064724310781</v>
      </c>
      <c r="J191" s="157">
        <f>IF(Table44[[#This Row],[Applicable Package?]:[Applicable Package?]]="Y",SUM('Rolled Up Non-Incremental Costs'!F12,'ICE Removal Cost'!F12,'Trans Removal Cost'!F12,'LEV3 Criteria Emissions Cost'!F12,'ZEV Assembly Reductions'!F12,'ACCII Criteria Compliance Cost'!F12,'ACCII GHG Compliance'!F12,'Current GHG Compliance'!F12)+IF(Table44[[#This Row],[Cold]:[Cold]]="Y",'Cold Weather Package'!F12,0)+IF(Table44[[#This Row],[eAWD]:[eAWD]]="Y",'eAWD Package'!F12,0)+IF(Table44[[#This Row],[Towing]:[Towing]]="Y",'Towing Bat Cost'!F12,0),"N/A")</f>
        <v>15926.383766390982</v>
      </c>
      <c r="K191" s="157">
        <f>IF(Table44[[#This Row],[Applicable Package?]:[Applicable Package?]]="Y",SUM('Rolled Up Non-Incremental Costs'!G12,'ICE Removal Cost'!G12,'Trans Removal Cost'!G12,'LEV3 Criteria Emissions Cost'!G12,'ZEV Assembly Reductions'!G12,'ACCII Criteria Compliance Cost'!G12,'ACCII GHG Compliance'!G12,'Current GHG Compliance'!G12)+IF(Table44[[#This Row],[Cold]:[Cold]]="Y",'Cold Weather Package'!G12,0)+IF(Table44[[#This Row],[eAWD]:[eAWD]]="Y",'eAWD Package'!G12,0)+IF(Table44[[#This Row],[Towing]:[Towing]]="Y",'Towing Bat Cost'!G12,0),"N/A")</f>
        <v>14439.951886242396</v>
      </c>
      <c r="L191" s="157">
        <f>IF(Table44[[#This Row],[Applicable Package?]:[Applicable Package?]]="Y",SUM('Rolled Up Non-Incremental Costs'!H12,'ICE Removal Cost'!H12,'Trans Removal Cost'!H12,'LEV3 Criteria Emissions Cost'!H12,'ZEV Assembly Reductions'!H12,'ACCII Criteria Compliance Cost'!H12,'ACCII GHG Compliance'!H12,'Current GHG Compliance'!H12)+IF(Table44[[#This Row],[Cold]:[Cold]]="Y",'Cold Weather Package'!H12,0)+IF(Table44[[#This Row],[eAWD]:[eAWD]]="Y",'eAWD Package'!H12,0)+IF(Table44[[#This Row],[Towing]:[Towing]]="Y",'Towing Bat Cost'!H12,0),"N/A")</f>
        <v>13060.208904266776</v>
      </c>
      <c r="M191" s="157">
        <f>IF(Table44[[#This Row],[Applicable Package?]:[Applicable Package?]]="Y",SUM('Rolled Up Non-Incremental Costs'!I12,'ICE Removal Cost'!I12,'Trans Removal Cost'!I12,'LEV3 Criteria Emissions Cost'!I12,'ZEV Assembly Reductions'!I12,'ACCII Criteria Compliance Cost'!I12,'ACCII GHG Compliance'!I12,'Current GHG Compliance'!I12)+IF(Table44[[#This Row],[Cold]:[Cold]]="Y",'Cold Weather Package'!I12,0)+IF(Table44[[#This Row],[eAWD]:[eAWD]]="Y",'eAWD Package'!I12,0)+IF(Table44[[#This Row],[Towing]:[Towing]]="Y",'Towing Bat Cost'!I12,0),"N/A")</f>
        <v>11779.23322663231</v>
      </c>
      <c r="N191" s="157">
        <f>IF(Table44[[#This Row],[Applicable Package?]:[Applicable Package?]]="Y",SUM('Rolled Up Non-Incremental Costs'!J12,'ICE Removal Cost'!J12,'Trans Removal Cost'!J12,'LEV3 Criteria Emissions Cost'!J12,'ZEV Assembly Reductions'!J12,'ACCII Criteria Compliance Cost'!J12,'ACCII GHG Compliance'!J12,'Current GHG Compliance'!J12)+IF(Table44[[#This Row],[Cold]:[Cold]]="Y",'Cold Weather Package'!J12,0)+IF(Table44[[#This Row],[eAWD]:[eAWD]]="Y",'eAWD Package'!J12,0)+IF(Table44[[#This Row],[Towing]:[Towing]]="Y",'Towing Bat Cost'!J12,0),"N/A")</f>
        <v>10822.879545164938</v>
      </c>
      <c r="O191" s="157">
        <f>IF(Table44[[#This Row],[Applicable Package?]:[Applicable Package?]]="Y",SUM('Rolled Up Non-Incremental Costs'!K12,'ICE Removal Cost'!K12,'Trans Removal Cost'!K12,'LEV3 Criteria Emissions Cost'!K12,'ZEV Assembly Reductions'!K12,'ACCII Criteria Compliance Cost'!K12,'ACCII GHG Compliance'!K12,'Current GHG Compliance'!K12)+IF(Table44[[#This Row],[Cold]:[Cold]]="Y",'Cold Weather Package'!K12,0)+IF(Table44[[#This Row],[eAWD]:[eAWD]]="Y",'eAWD Package'!K12,0)+IF(Table44[[#This Row],[Towing]:[Towing]]="Y",'Towing Bat Cost'!K12,0),"N/A")</f>
        <v>9982.8380886275536</v>
      </c>
      <c r="P191" s="157">
        <f>IF(Table44[[#This Row],[Applicable Package?]:[Applicable Package?]]="Y",SUM('Rolled Up Non-Incremental Costs'!L12,'ICE Removal Cost'!L12,'Trans Removal Cost'!L12,'LEV3 Criteria Emissions Cost'!L12,'ZEV Assembly Reductions'!L12,'ACCII Criteria Compliance Cost'!L12,'ACCII GHG Compliance'!L12,'Current GHG Compliance'!L12)+IF(Table44[[#This Row],[Cold]:[Cold]]="Y",'Cold Weather Package'!L12,0)+IF(Table44[[#This Row],[eAWD]:[eAWD]]="Y",'eAWD Package'!L12,0)+IF(Table44[[#This Row],[Towing]:[Towing]]="Y",'Towing Bat Cost'!L12,0),"N/A")</f>
        <v>9185.9475648499865</v>
      </c>
      <c r="Q191" s="157">
        <f>IF(Table44[[#This Row],[Applicable Package?]:[Applicable Package?]]="Y",SUM('Rolled Up Non-Incremental Costs'!M12,'ICE Removal Cost'!M12,'Trans Removal Cost'!M12,'LEV3 Criteria Emissions Cost'!M12,'ZEV Assembly Reductions'!M12,'ACCII Criteria Compliance Cost'!M12,'ACCII GHG Compliance'!M12,'Current GHG Compliance'!M12)+IF(Table44[[#This Row],[Cold]:[Cold]]="Y",'Cold Weather Package'!M12,0)+IF(Table44[[#This Row],[eAWD]:[eAWD]]="Y",'eAWD Package'!M12,0)+IF(Table44[[#This Row],[Towing]:[Towing]]="Y",'Towing Bat Cost'!M12,0),"N/A")</f>
        <v>8429.8738736334908</v>
      </c>
      <c r="R191" s="157">
        <f>IF(Table44[[#This Row],[Applicable Package?]:[Applicable Package?]]="Y",SUM('Rolled Up Non-Incremental Costs'!N12,'ICE Removal Cost'!N12,'Trans Removal Cost'!N12,'LEV3 Criteria Emissions Cost'!N12,'ZEV Assembly Reductions'!N12,'ACCII Criteria Compliance Cost'!N12,'ACCII GHG Compliance'!N12,'Current GHG Compliance'!N12)+IF(Table44[[#This Row],[Cold]:[Cold]]="Y",'Cold Weather Package'!N12,0)+IF(Table44[[#This Row],[eAWD]:[eAWD]]="Y",'eAWD Package'!N12,0)+IF(Table44[[#This Row],[Towing]:[Towing]]="Y",'Towing Bat Cost'!N12,0),"N/A")</f>
        <v>7712.4104226315121</v>
      </c>
      <c r="S191" s="157">
        <f>IF(Table44[[#This Row],[Applicable Package?]:[Applicable Package?]]="Y",SUM('Rolled Up Non-Incremental Costs'!O12,'ICE Removal Cost'!O12,'Trans Removal Cost'!O12,'LEV3 Criteria Emissions Cost'!O12,'ZEV Assembly Reductions'!O12,'ACCII Criteria Compliance Cost'!O12,'ACCII GHG Compliance'!O12,'Current GHG Compliance'!O12)+IF(Table44[[#This Row],[Cold]:[Cold]]="Y",'Cold Weather Package'!O12,0)+IF(Table44[[#This Row],[eAWD]:[eAWD]]="Y",'eAWD Package'!O12,0)+IF(Table44[[#This Row],[Towing]:[Towing]]="Y",'Towing Bat Cost'!O12,0),"N/A")</f>
        <v>7031.4711491360949</v>
      </c>
    </row>
    <row r="192" spans="1:19" hidden="1" x14ac:dyDescent="0.3">
      <c r="A192" t="str">
        <f t="shared" si="5"/>
        <v>MedSUVPremiumBEV400</v>
      </c>
      <c r="B192" s="90" t="s">
        <v>89</v>
      </c>
      <c r="C192" s="68" t="s">
        <v>75</v>
      </c>
      <c r="D192" s="68" t="str">
        <f>'Vehicle Attributes - Base Year'!D10</f>
        <v>BEV300</v>
      </c>
      <c r="E192" s="124" t="s">
        <v>77</v>
      </c>
      <c r="F192" s="124" t="s">
        <v>76</v>
      </c>
      <c r="G192" s="125" t="s">
        <v>76</v>
      </c>
      <c r="H192" s="156" t="s">
        <v>76</v>
      </c>
      <c r="I192" s="157">
        <f>IF(Table44[[#This Row],[Applicable Package?]:[Applicable Package?]]="Y",SUM('Rolled Up Non-Incremental Costs'!E13,'ICE Removal Cost'!E13,'Trans Removal Cost'!E13,'LEV3 Criteria Emissions Cost'!E13,'ZEV Assembly Reductions'!E13,'ACCII Criteria Compliance Cost'!E13,'ACCII GHG Compliance'!E13,'Current GHG Compliance'!E13)+IF(Table44[[#This Row],[Cold]:[Cold]]="Y",'Cold Weather Package'!E13,0)+IF(Table44[[#This Row],[eAWD]:[eAWD]]="Y",'eAWD Package'!E13,0)+IF(Table44[[#This Row],[Towing]:[Towing]]="Y",'Towing Bat Cost'!E13,0),"N/A")</f>
        <v>21741.779833467008</v>
      </c>
      <c r="J192" s="157">
        <f>IF(Table44[[#This Row],[Applicable Package?]:[Applicable Package?]]="Y",SUM('Rolled Up Non-Incremental Costs'!F13,'ICE Removal Cost'!F13,'Trans Removal Cost'!F13,'LEV3 Criteria Emissions Cost'!F13,'ZEV Assembly Reductions'!F13,'ACCII Criteria Compliance Cost'!F13,'ACCII GHG Compliance'!F13,'Current GHG Compliance'!F13)+IF(Table44[[#This Row],[Cold]:[Cold]]="Y",'Cold Weather Package'!F13,0)+IF(Table44[[#This Row],[eAWD]:[eAWD]]="Y",'eAWD Package'!F13,0)+IF(Table44[[#This Row],[Towing]:[Towing]]="Y",'Towing Bat Cost'!F13,0),"N/A")</f>
        <v>19813.58254785703</v>
      </c>
      <c r="K192" s="157">
        <f>IF(Table44[[#This Row],[Applicable Package?]:[Applicable Package?]]="Y",SUM('Rolled Up Non-Incremental Costs'!G13,'ICE Removal Cost'!G13,'Trans Removal Cost'!G13,'LEV3 Criteria Emissions Cost'!G13,'ZEV Assembly Reductions'!G13,'ACCII Criteria Compliance Cost'!G13,'ACCII GHG Compliance'!G13,'Current GHG Compliance'!G13)+IF(Table44[[#This Row],[Cold]:[Cold]]="Y",'Cold Weather Package'!G13,0)+IF(Table44[[#This Row],[eAWD]:[eAWD]]="Y",'eAWD Package'!G13,0)+IF(Table44[[#This Row],[Towing]:[Towing]]="Y",'Towing Bat Cost'!G13,0),"N/A")</f>
        <v>18025.128408828255</v>
      </c>
      <c r="L192" s="157">
        <f>IF(Table44[[#This Row],[Applicable Package?]:[Applicable Package?]]="Y",SUM('Rolled Up Non-Incremental Costs'!H13,'ICE Removal Cost'!H13,'Trans Removal Cost'!H13,'LEV3 Criteria Emissions Cost'!H13,'ZEV Assembly Reductions'!H13,'ACCII Criteria Compliance Cost'!H13,'ACCII GHG Compliance'!H13,'Current GHG Compliance'!H13)+IF(Table44[[#This Row],[Cold]:[Cold]]="Y",'Cold Weather Package'!H13,0)+IF(Table44[[#This Row],[eAWD]:[eAWD]]="Y",'eAWD Package'!H13,0)+IF(Table44[[#This Row],[Towing]:[Towing]]="Y",'Towing Bat Cost'!H13,0),"N/A")</f>
        <v>16366.027558296289</v>
      </c>
      <c r="M192" s="157">
        <f>IF(Table44[[#This Row],[Applicable Package?]:[Applicable Package?]]="Y",SUM('Rolled Up Non-Incremental Costs'!I13,'ICE Removal Cost'!I13,'Trans Removal Cost'!I13,'LEV3 Criteria Emissions Cost'!I13,'ZEV Assembly Reductions'!I13,'ACCII Criteria Compliance Cost'!I13,'ACCII GHG Compliance'!I13,'Current GHG Compliance'!I13)+IF(Table44[[#This Row],[Cold]:[Cold]]="Y",'Cold Weather Package'!I13,0)+IF(Table44[[#This Row],[eAWD]:[eAWD]]="Y",'eAWD Package'!I13,0)+IF(Table44[[#This Row],[Towing]:[Towing]]="Y",'Towing Bat Cost'!I13,0),"N/A")</f>
        <v>14826.665321404664</v>
      </c>
      <c r="N192" s="157">
        <f>IF(Table44[[#This Row],[Applicable Package?]:[Applicable Package?]]="Y",SUM('Rolled Up Non-Incremental Costs'!J13,'ICE Removal Cost'!J13,'Trans Removal Cost'!J13,'LEV3 Criteria Emissions Cost'!J13,'ZEV Assembly Reductions'!J13,'ACCII Criteria Compliance Cost'!J13,'ACCII GHG Compliance'!J13,'Current GHG Compliance'!J13)+IF(Table44[[#This Row],[Cold]:[Cold]]="Y",'Cold Weather Package'!J13,0)+IF(Table44[[#This Row],[eAWD]:[eAWD]]="Y",'eAWD Package'!J13,0)+IF(Table44[[#This Row],[Towing]:[Towing]]="Y",'Towing Bat Cost'!J13,0),"N/A")</f>
        <v>13681.215398666571</v>
      </c>
      <c r="O192" s="157">
        <f>IF(Table44[[#This Row],[Applicable Package?]:[Applicable Package?]]="Y",SUM('Rolled Up Non-Incremental Costs'!K13,'ICE Removal Cost'!K13,'Trans Removal Cost'!K13,'LEV3 Criteria Emissions Cost'!K13,'ZEV Assembly Reductions'!K13,'ACCII Criteria Compliance Cost'!K13,'ACCII GHG Compliance'!K13,'Current GHG Compliance'!K13)+IF(Table44[[#This Row],[Cold]:[Cold]]="Y",'Cold Weather Package'!K13,0)+IF(Table44[[#This Row],[eAWD]:[eAWD]]="Y",'eAWD Package'!K13,0)+IF(Table44[[#This Row],[Towing]:[Towing]]="Y",'Towing Bat Cost'!K13,0),"N/A")</f>
        <v>12676.805567607529</v>
      </c>
      <c r="P192" s="157">
        <f>IF(Table44[[#This Row],[Applicable Package?]:[Applicable Package?]]="Y",SUM('Rolled Up Non-Incremental Costs'!L13,'ICE Removal Cost'!L13,'Trans Removal Cost'!L13,'LEV3 Criteria Emissions Cost'!L13,'ZEV Assembly Reductions'!L13,'ACCII Criteria Compliance Cost'!L13,'ACCII GHG Compliance'!L13,'Current GHG Compliance'!L13)+IF(Table44[[#This Row],[Cold]:[Cold]]="Y",'Cold Weather Package'!L13,0)+IF(Table44[[#This Row],[eAWD]:[eAWD]]="Y",'eAWD Package'!L13,0)+IF(Table44[[#This Row],[Towing]:[Towing]]="Y",'Towing Bat Cost'!L13,0),"N/A")</f>
        <v>11724.624582678793</v>
      </c>
      <c r="Q192" s="157">
        <f>IF(Table44[[#This Row],[Applicable Package?]:[Applicable Package?]]="Y",SUM('Rolled Up Non-Incremental Costs'!M13,'ICE Removal Cost'!M13,'Trans Removal Cost'!M13,'LEV3 Criteria Emissions Cost'!M13,'ZEV Assembly Reductions'!M13,'ACCII Criteria Compliance Cost'!M13,'ACCII GHG Compliance'!M13,'Current GHG Compliance'!M13)+IF(Table44[[#This Row],[Cold]:[Cold]]="Y",'Cold Weather Package'!M13,0)+IF(Table44[[#This Row],[eAWD]:[eAWD]]="Y",'eAWD Package'!M13,0)+IF(Table44[[#This Row],[Towing]:[Towing]]="Y",'Towing Bat Cost'!M13,0),"N/A")</f>
        <v>10821.840540475929</v>
      </c>
      <c r="R192" s="157">
        <f>IF(Table44[[#This Row],[Applicable Package?]:[Applicable Package?]]="Y",SUM('Rolled Up Non-Incremental Costs'!N13,'ICE Removal Cost'!N13,'Trans Removal Cost'!N13,'LEV3 Criteria Emissions Cost'!N13,'ZEV Assembly Reductions'!N13,'ACCII Criteria Compliance Cost'!N13,'ACCII GHG Compliance'!N13,'Current GHG Compliance'!N13)+IF(Table44[[#This Row],[Cold]:[Cold]]="Y",'Cold Weather Package'!N13,0)+IF(Table44[[#This Row],[eAWD]:[eAWD]]="Y",'eAWD Package'!N13,0)+IF(Table44[[#This Row],[Towing]:[Towing]]="Y",'Towing Bat Cost'!N13,0),"N/A")</f>
        <v>9965.7763080466793</v>
      </c>
      <c r="S192" s="157">
        <f>IF(Table44[[#This Row],[Applicable Package?]:[Applicable Package?]]="Y",SUM('Rolled Up Non-Incremental Costs'!O13,'ICE Removal Cost'!O13,'Trans Removal Cost'!O13,'LEV3 Criteria Emissions Cost'!O13,'ZEV Assembly Reductions'!O13,'ACCII Criteria Compliance Cost'!O13,'ACCII GHG Compliance'!O13,'Current GHG Compliance'!O13)+IF(Table44[[#This Row],[Cold]:[Cold]]="Y",'Cold Weather Package'!O13,0)+IF(Table44[[#This Row],[eAWD]:[eAWD]]="Y",'eAWD Package'!O13,0)+IF(Table44[[#This Row],[Towing]:[Towing]]="Y",'Towing Bat Cost'!O13,0),"N/A")</f>
        <v>9153.9010519713156</v>
      </c>
    </row>
    <row r="193" spans="1:19" hidden="1" x14ac:dyDescent="0.3">
      <c r="A193" s="28" t="str">
        <f t="shared" si="5"/>
        <v>PickupBaseBEV300</v>
      </c>
      <c r="B193" s="90" t="s">
        <v>89</v>
      </c>
      <c r="C193" s="68" t="s">
        <v>113</v>
      </c>
      <c r="D193" s="68" t="str">
        <f>'Vehicle Attributes - Base Year'!D11</f>
        <v>BEV400</v>
      </c>
      <c r="E193" s="124" t="s">
        <v>77</v>
      </c>
      <c r="F193" s="124" t="s">
        <v>76</v>
      </c>
      <c r="G193" s="125" t="s">
        <v>76</v>
      </c>
      <c r="H193" s="156" t="s">
        <v>76</v>
      </c>
      <c r="I193" s="157">
        <f>IF(Table44[[#This Row],[Applicable Package?]:[Applicable Package?]]="Y",SUM('Rolled Up Non-Incremental Costs'!E14,'ICE Removal Cost'!E14,'Trans Removal Cost'!E14,'LEV3 Criteria Emissions Cost'!E14,'ZEV Assembly Reductions'!E14,'ACCII Criteria Compliance Cost'!E14,'ACCII GHG Compliance'!E14,'Current GHG Compliance'!E14)+IF(Table44[[#This Row],[Cold]:[Cold]]="Y",'Cold Weather Package'!E14,0)+IF(Table44[[#This Row],[eAWD]:[eAWD]]="Y",'eAWD Package'!E14,0)+IF(Table44[[#This Row],[Towing]:[Towing]]="Y",'Towing Bat Cost'!E14,0),"N/A")</f>
        <v>24498.843370927323</v>
      </c>
      <c r="J193" s="157">
        <f>IF(Table44[[#This Row],[Applicable Package?]:[Applicable Package?]]="Y",SUM('Rolled Up Non-Incremental Costs'!F14,'ICE Removal Cost'!F14,'Trans Removal Cost'!F14,'LEV3 Criteria Emissions Cost'!F14,'ZEV Assembly Reductions'!F14,'ACCII Criteria Compliance Cost'!F14,'ACCII GHG Compliance'!F14,'Current GHG Compliance'!F14)+IF(Table44[[#This Row],[Cold]:[Cold]]="Y",'Cold Weather Package'!F14,0)+IF(Table44[[#This Row],[eAWD]:[eAWD]]="Y",'eAWD Package'!F14,0)+IF(Table44[[#This Row],[Towing]:[Towing]]="Y",'Towing Bat Cost'!F14,0),"N/A")</f>
        <v>22399.951417037599</v>
      </c>
      <c r="K193" s="157">
        <f>IF(Table44[[#This Row],[Applicable Package?]:[Applicable Package?]]="Y",SUM('Rolled Up Non-Incremental Costs'!G14,'ICE Removal Cost'!G14,'Trans Removal Cost'!G14,'LEV3 Criteria Emissions Cost'!G14,'ZEV Assembly Reductions'!G14,'ACCII Criteria Compliance Cost'!G14,'ACCII GHG Compliance'!G14,'Current GHG Compliance'!G14)+IF(Table44[[#This Row],[Cold]:[Cold]]="Y",'Cold Weather Package'!G14,0)+IF(Table44[[#This Row],[eAWD]:[eAWD]]="Y",'eAWD Package'!G14,0)+IF(Table44[[#This Row],[Towing]:[Towing]]="Y",'Towing Bat Cost'!G14,0),"N/A")</f>
        <v>20453.193765468244</v>
      </c>
      <c r="L193" s="157">
        <f>IF(Table44[[#This Row],[Applicable Package?]:[Applicable Package?]]="Y",SUM('Rolled Up Non-Incremental Costs'!H14,'ICE Removal Cost'!H14,'Trans Removal Cost'!H14,'LEV3 Criteria Emissions Cost'!H14,'ZEV Assembly Reductions'!H14,'ACCII Criteria Compliance Cost'!H14,'ACCII GHG Compliance'!H14,'Current GHG Compliance'!H14)+IF(Table44[[#This Row],[Cold]:[Cold]]="Y",'Cold Weather Package'!H14,0)+IF(Table44[[#This Row],[eAWD]:[eAWD]]="Y",'eAWD Package'!H14,0)+IF(Table44[[#This Row],[Towing]:[Towing]]="Y",'Towing Bat Cost'!H14,0),"N/A")</f>
        <v>18647.259070371409</v>
      </c>
      <c r="M193" s="157">
        <f>IF(Table44[[#This Row],[Applicable Package?]:[Applicable Package?]]="Y",SUM('Rolled Up Non-Incremental Costs'!I14,'ICE Removal Cost'!I14,'Trans Removal Cost'!I14,'LEV3 Criteria Emissions Cost'!I14,'ZEV Assembly Reductions'!I14,'ACCII Criteria Compliance Cost'!I14,'ACCII GHG Compliance'!I14,'Current GHG Compliance'!I14)+IF(Table44[[#This Row],[Cold]:[Cold]]="Y",'Cold Weather Package'!I14,0)+IF(Table44[[#This Row],[eAWD]:[eAWD]]="Y",'eAWD Package'!I14,0)+IF(Table44[[#This Row],[Towing]:[Towing]]="Y",'Towing Bat Cost'!I14,0),"N/A")</f>
        <v>16971.679923068605</v>
      </c>
      <c r="N193" s="157">
        <f>IF(Table44[[#This Row],[Applicable Package?]:[Applicable Package?]]="Y",SUM('Rolled Up Non-Incremental Costs'!J14,'ICE Removal Cost'!J14,'Trans Removal Cost'!J14,'LEV3 Criteria Emissions Cost'!J14,'ZEV Assembly Reductions'!J14,'ACCII Criteria Compliance Cost'!J14,'ACCII GHG Compliance'!J14,'Current GHG Compliance'!J14)+IF(Table44[[#This Row],[Cold]:[Cold]]="Y",'Cold Weather Package'!J14,0)+IF(Table44[[#This Row],[eAWD]:[eAWD]]="Y",'eAWD Package'!J14,0)+IF(Table44[[#This Row],[Towing]:[Towing]]="Y",'Towing Bat Cost'!J14,0),"N/A")</f>
        <v>15724.947676672298</v>
      </c>
      <c r="O193" s="157">
        <f>IF(Table44[[#This Row],[Applicable Package?]:[Applicable Package?]]="Y",SUM('Rolled Up Non-Incremental Costs'!K14,'ICE Removal Cost'!K14,'Trans Removal Cost'!K14,'LEV3 Criteria Emissions Cost'!K14,'ZEV Assembly Reductions'!K14,'ACCII Criteria Compliance Cost'!K14,'ACCII GHG Compliance'!K14,'Current GHG Compliance'!K14)+IF(Table44[[#This Row],[Cold]:[Cold]]="Y",'Cold Weather Package'!K14,0)+IF(Table44[[#This Row],[eAWD]:[eAWD]]="Y",'eAWD Package'!K14,0)+IF(Table44[[#This Row],[Towing]:[Towing]]="Y",'Towing Bat Cost'!K14,0),"N/A")</f>
        <v>14631.761837390255</v>
      </c>
      <c r="P193" s="157">
        <f>IF(Table44[[#This Row],[Applicable Package?]:[Applicable Package?]]="Y",SUM('Rolled Up Non-Incremental Costs'!L14,'ICE Removal Cost'!L14,'Trans Removal Cost'!L14,'LEV3 Criteria Emissions Cost'!L14,'ZEV Assembly Reductions'!L14,'ACCII Criteria Compliance Cost'!L14,'ACCII GHG Compliance'!L14,'Current GHG Compliance'!L14)+IF(Table44[[#This Row],[Cold]:[Cold]]="Y",'Cold Weather Package'!L14,0)+IF(Table44[[#This Row],[eAWD]:[eAWD]]="Y",'eAWD Package'!L14,0)+IF(Table44[[#This Row],[Towing]:[Towing]]="Y",'Towing Bat Cost'!L14,0),"N/A")</f>
        <v>13595.434147348744</v>
      </c>
      <c r="Q193" s="157">
        <f>IF(Table44[[#This Row],[Applicable Package?]:[Applicable Package?]]="Y",SUM('Rolled Up Non-Incremental Costs'!M14,'ICE Removal Cost'!M14,'Trans Removal Cost'!M14,'LEV3 Criteria Emissions Cost'!M14,'ZEV Assembly Reductions'!M14,'ACCII Criteria Compliance Cost'!M14,'ACCII GHG Compliance'!M14,'Current GHG Compliance'!M14)+IF(Table44[[#This Row],[Cold]:[Cold]]="Y",'Cold Weather Package'!M14,0)+IF(Table44[[#This Row],[eAWD]:[eAWD]]="Y",'eAWD Package'!M14,0)+IF(Table44[[#This Row],[Towing]:[Towing]]="Y",'Towing Bat Cost'!M14,0),"N/A")</f>
        <v>12612.881560631451</v>
      </c>
      <c r="R193" s="157">
        <f>IF(Table44[[#This Row],[Applicable Package?]:[Applicable Package?]]="Y",SUM('Rolled Up Non-Incremental Costs'!N14,'ICE Removal Cost'!N14,'Trans Removal Cost'!N14,'LEV3 Criteria Emissions Cost'!N14,'ZEV Assembly Reductions'!N14,'ACCII Criteria Compliance Cost'!N14,'ACCII GHG Compliance'!N14,'Current GHG Compliance'!N14)+IF(Table44[[#This Row],[Cold]:[Cold]]="Y",'Cold Weather Package'!N14,0)+IF(Table44[[#This Row],[eAWD]:[eAWD]]="Y",'eAWD Package'!N14,0)+IF(Table44[[#This Row],[Towing]:[Towing]]="Y",'Towing Bat Cost'!N14,0),"N/A")</f>
        <v>11681.18952870843</v>
      </c>
      <c r="S193" s="157">
        <f>IF(Table44[[#This Row],[Applicable Package?]:[Applicable Package?]]="Y",SUM('Rolled Up Non-Incremental Costs'!O14,'ICE Removal Cost'!O14,'Trans Removal Cost'!O14,'LEV3 Criteria Emissions Cost'!O14,'ZEV Assembly Reductions'!O14,'ACCII Criteria Compliance Cost'!O14,'ACCII GHG Compliance'!O14,'Current GHG Compliance'!O14)+IF(Table44[[#This Row],[Cold]:[Cold]]="Y",'Cold Weather Package'!O14,0)+IF(Table44[[#This Row],[eAWD]:[eAWD]]="Y",'eAWD Package'!O14,0)+IF(Table44[[#This Row],[Towing]:[Towing]]="Y",'Towing Bat Cost'!O14,0),"N/A")</f>
        <v>10797.602778197979</v>
      </c>
    </row>
    <row r="194" spans="1:19" hidden="1" x14ac:dyDescent="0.3">
      <c r="A194" t="str">
        <f t="shared" si="5"/>
        <v>PickupHTBEV400</v>
      </c>
      <c r="B194" s="90" t="s">
        <v>73</v>
      </c>
      <c r="C194" s="68" t="s">
        <v>75</v>
      </c>
      <c r="D194" s="68" t="str">
        <f>'Vehicle Attributes - Base Year'!D12</f>
        <v>PHEV50</v>
      </c>
      <c r="E194" s="124" t="s">
        <v>77</v>
      </c>
      <c r="F194" s="124" t="s">
        <v>76</v>
      </c>
      <c r="G194" s="125" t="s">
        <v>76</v>
      </c>
      <c r="H194" s="156" t="s">
        <v>77</v>
      </c>
      <c r="I194" s="157" t="str">
        <f>IF(Table44[[#This Row],[Applicable Package?]:[Applicable Package?]]="Y",SUM('Rolled Up Non-Incremental Costs'!E15,'ICE Removal Cost'!E15,'Trans Removal Cost'!E15,'LEV3 Criteria Emissions Cost'!E15,'ZEV Assembly Reductions'!E15,'ACCII Criteria Compliance Cost'!E15,'ACCII GHG Compliance'!E15,'Current GHG Compliance'!E15)+IF(Table44[[#This Row],[Cold]:[Cold]]="Y",'Cold Weather Package'!E15,0)+IF(Table44[[#This Row],[eAWD]:[eAWD]]="Y",'eAWD Package'!E15,0)+IF(Table44[[#This Row],[Towing]:[Towing]]="Y",'Towing Bat Cost'!E15,0),"N/A")</f>
        <v>N/A</v>
      </c>
      <c r="J194" s="157" t="str">
        <f>IF(Table44[[#This Row],[Applicable Package?]:[Applicable Package?]]="Y",SUM('Rolled Up Non-Incremental Costs'!F15,'ICE Removal Cost'!F15,'Trans Removal Cost'!F15,'LEV3 Criteria Emissions Cost'!F15,'ZEV Assembly Reductions'!F15,'ACCII Criteria Compliance Cost'!F15,'ACCII GHG Compliance'!F15,'Current GHG Compliance'!F15)+IF(Table44[[#This Row],[Cold]:[Cold]]="Y",'Cold Weather Package'!F15,0)+IF(Table44[[#This Row],[eAWD]:[eAWD]]="Y",'eAWD Package'!F15,0)+IF(Table44[[#This Row],[Towing]:[Towing]]="Y",'Towing Bat Cost'!F15,0),"N/A")</f>
        <v>N/A</v>
      </c>
      <c r="K194" s="157" t="str">
        <f>IF(Table44[[#This Row],[Applicable Package?]:[Applicable Package?]]="Y",SUM('Rolled Up Non-Incremental Costs'!G15,'ICE Removal Cost'!G15,'Trans Removal Cost'!G15,'LEV3 Criteria Emissions Cost'!G15,'ZEV Assembly Reductions'!G15,'ACCII Criteria Compliance Cost'!G15,'ACCII GHG Compliance'!G15,'Current GHG Compliance'!G15)+IF(Table44[[#This Row],[Cold]:[Cold]]="Y",'Cold Weather Package'!G15,0)+IF(Table44[[#This Row],[eAWD]:[eAWD]]="Y",'eAWD Package'!G15,0)+IF(Table44[[#This Row],[Towing]:[Towing]]="Y",'Towing Bat Cost'!G15,0),"N/A")</f>
        <v>N/A</v>
      </c>
      <c r="L194" s="157" t="str">
        <f>IF(Table44[[#This Row],[Applicable Package?]:[Applicable Package?]]="Y",SUM('Rolled Up Non-Incremental Costs'!H15,'ICE Removal Cost'!H15,'Trans Removal Cost'!H15,'LEV3 Criteria Emissions Cost'!H15,'ZEV Assembly Reductions'!H15,'ACCII Criteria Compliance Cost'!H15,'ACCII GHG Compliance'!H15,'Current GHG Compliance'!H15)+IF(Table44[[#This Row],[Cold]:[Cold]]="Y",'Cold Weather Package'!H15,0)+IF(Table44[[#This Row],[eAWD]:[eAWD]]="Y",'eAWD Package'!H15,0)+IF(Table44[[#This Row],[Towing]:[Towing]]="Y",'Towing Bat Cost'!H15,0),"N/A")</f>
        <v>N/A</v>
      </c>
      <c r="M194" s="157" t="str">
        <f>IF(Table44[[#This Row],[Applicable Package?]:[Applicable Package?]]="Y",SUM('Rolled Up Non-Incremental Costs'!I15,'ICE Removal Cost'!I15,'Trans Removal Cost'!I15,'LEV3 Criteria Emissions Cost'!I15,'ZEV Assembly Reductions'!I15,'ACCII Criteria Compliance Cost'!I15,'ACCII GHG Compliance'!I15,'Current GHG Compliance'!I15)+IF(Table44[[#This Row],[Cold]:[Cold]]="Y",'Cold Weather Package'!I15,0)+IF(Table44[[#This Row],[eAWD]:[eAWD]]="Y",'eAWD Package'!I15,0)+IF(Table44[[#This Row],[Towing]:[Towing]]="Y",'Towing Bat Cost'!I15,0),"N/A")</f>
        <v>N/A</v>
      </c>
      <c r="N194" s="157" t="str">
        <f>IF(Table44[[#This Row],[Applicable Package?]:[Applicable Package?]]="Y",SUM('Rolled Up Non-Incremental Costs'!J15,'ICE Removal Cost'!J15,'Trans Removal Cost'!J15,'LEV3 Criteria Emissions Cost'!J15,'ZEV Assembly Reductions'!J15,'ACCII Criteria Compliance Cost'!J15,'ACCII GHG Compliance'!J15,'Current GHG Compliance'!J15)+IF(Table44[[#This Row],[Cold]:[Cold]]="Y",'Cold Weather Package'!J15,0)+IF(Table44[[#This Row],[eAWD]:[eAWD]]="Y",'eAWD Package'!J15,0)+IF(Table44[[#This Row],[Towing]:[Towing]]="Y",'Towing Bat Cost'!J15,0),"N/A")</f>
        <v>N/A</v>
      </c>
      <c r="O194" s="157" t="str">
        <f>IF(Table44[[#This Row],[Applicable Package?]:[Applicable Package?]]="Y",SUM('Rolled Up Non-Incremental Costs'!K15,'ICE Removal Cost'!K15,'Trans Removal Cost'!K15,'LEV3 Criteria Emissions Cost'!K15,'ZEV Assembly Reductions'!K15,'ACCII Criteria Compliance Cost'!K15,'ACCII GHG Compliance'!K15,'Current GHG Compliance'!K15)+IF(Table44[[#This Row],[Cold]:[Cold]]="Y",'Cold Weather Package'!K15,0)+IF(Table44[[#This Row],[eAWD]:[eAWD]]="Y",'eAWD Package'!K15,0)+IF(Table44[[#This Row],[Towing]:[Towing]]="Y",'Towing Bat Cost'!K15,0),"N/A")</f>
        <v>N/A</v>
      </c>
      <c r="P194" s="157" t="str">
        <f>IF(Table44[[#This Row],[Applicable Package?]:[Applicable Package?]]="Y",SUM('Rolled Up Non-Incremental Costs'!L15,'ICE Removal Cost'!L15,'Trans Removal Cost'!L15,'LEV3 Criteria Emissions Cost'!L15,'ZEV Assembly Reductions'!L15,'ACCII Criteria Compliance Cost'!L15,'ACCII GHG Compliance'!L15,'Current GHG Compliance'!L15)+IF(Table44[[#This Row],[Cold]:[Cold]]="Y",'Cold Weather Package'!L15,0)+IF(Table44[[#This Row],[eAWD]:[eAWD]]="Y",'eAWD Package'!L15,0)+IF(Table44[[#This Row],[Towing]:[Towing]]="Y",'Towing Bat Cost'!L15,0),"N/A")</f>
        <v>N/A</v>
      </c>
      <c r="Q194" s="157" t="str">
        <f>IF(Table44[[#This Row],[Applicable Package?]:[Applicable Package?]]="Y",SUM('Rolled Up Non-Incremental Costs'!M15,'ICE Removal Cost'!M15,'Trans Removal Cost'!M15,'LEV3 Criteria Emissions Cost'!M15,'ZEV Assembly Reductions'!M15,'ACCII Criteria Compliance Cost'!M15,'ACCII GHG Compliance'!M15,'Current GHG Compliance'!M15)+IF(Table44[[#This Row],[Cold]:[Cold]]="Y",'Cold Weather Package'!M15,0)+IF(Table44[[#This Row],[eAWD]:[eAWD]]="Y",'eAWD Package'!M15,0)+IF(Table44[[#This Row],[Towing]:[Towing]]="Y",'Towing Bat Cost'!M15,0),"N/A")</f>
        <v>N/A</v>
      </c>
      <c r="R194" s="157" t="str">
        <f>IF(Table44[[#This Row],[Applicable Package?]:[Applicable Package?]]="Y",SUM('Rolled Up Non-Incremental Costs'!N15,'ICE Removal Cost'!N15,'Trans Removal Cost'!N15,'LEV3 Criteria Emissions Cost'!N15,'ZEV Assembly Reductions'!N15,'ACCII Criteria Compliance Cost'!N15,'ACCII GHG Compliance'!N15,'Current GHG Compliance'!N15)+IF(Table44[[#This Row],[Cold]:[Cold]]="Y",'Cold Weather Package'!N15,0)+IF(Table44[[#This Row],[eAWD]:[eAWD]]="Y",'eAWD Package'!N15,0)+IF(Table44[[#This Row],[Towing]:[Towing]]="Y",'Towing Bat Cost'!N15,0),"N/A")</f>
        <v>N/A</v>
      </c>
      <c r="S194" s="157" t="str">
        <f>IF(Table44[[#This Row],[Applicable Package?]:[Applicable Package?]]="Y",SUM('Rolled Up Non-Incremental Costs'!O15,'ICE Removal Cost'!O15,'Trans Removal Cost'!O15,'LEV3 Criteria Emissions Cost'!O15,'ZEV Assembly Reductions'!O15,'ACCII Criteria Compliance Cost'!O15,'ACCII GHG Compliance'!O15,'Current GHG Compliance'!O15)+IF(Table44[[#This Row],[Cold]:[Cold]]="Y",'Cold Weather Package'!O15,0)+IF(Table44[[#This Row],[eAWD]:[eAWD]]="Y",'eAWD Package'!O15,0)+IF(Table44[[#This Row],[Towing]:[Towing]]="Y",'Towing Bat Cost'!O15,0),"N/A")</f>
        <v>N/A</v>
      </c>
    </row>
    <row r="195" spans="1:19" hidden="1" x14ac:dyDescent="0.3">
      <c r="A195" s="28" t="str">
        <f t="shared" si="5"/>
        <v>SmallCarBasePHEV50</v>
      </c>
      <c r="B195" s="90" t="s">
        <v>73</v>
      </c>
      <c r="C195" s="68" t="s">
        <v>80</v>
      </c>
      <c r="D195" s="68" t="str">
        <f>'Vehicle Attributes - Base Year'!D13</f>
        <v>PHEV50</v>
      </c>
      <c r="E195" s="124" t="s">
        <v>77</v>
      </c>
      <c r="F195" s="124" t="s">
        <v>76</v>
      </c>
      <c r="G195" s="125" t="s">
        <v>76</v>
      </c>
      <c r="H195" s="156" t="s">
        <v>77</v>
      </c>
      <c r="I195" s="157" t="str">
        <f>IF(Table44[[#This Row],[Applicable Package?]:[Applicable Package?]]="Y",SUM('Rolled Up Non-Incremental Costs'!E16,'ICE Removal Cost'!E16,'Trans Removal Cost'!E16,'LEV3 Criteria Emissions Cost'!E16,'ZEV Assembly Reductions'!E16,'ACCII Criteria Compliance Cost'!E16,'ACCII GHG Compliance'!E16,'Current GHG Compliance'!E16)+IF(Table44[[#This Row],[Cold]:[Cold]]="Y",'Cold Weather Package'!E16,0)+IF(Table44[[#This Row],[eAWD]:[eAWD]]="Y",'eAWD Package'!E16,0)+IF(Table44[[#This Row],[Towing]:[Towing]]="Y",'Towing Bat Cost'!E16,0),"N/A")</f>
        <v>N/A</v>
      </c>
      <c r="J195" s="157" t="str">
        <f>IF(Table44[[#This Row],[Applicable Package?]:[Applicable Package?]]="Y",SUM('Rolled Up Non-Incremental Costs'!F16,'ICE Removal Cost'!F16,'Trans Removal Cost'!F16,'LEV3 Criteria Emissions Cost'!F16,'ZEV Assembly Reductions'!F16,'ACCII Criteria Compliance Cost'!F16,'ACCII GHG Compliance'!F16,'Current GHG Compliance'!F16)+IF(Table44[[#This Row],[Cold]:[Cold]]="Y",'Cold Weather Package'!F16,0)+IF(Table44[[#This Row],[eAWD]:[eAWD]]="Y",'eAWD Package'!F16,0)+IF(Table44[[#This Row],[Towing]:[Towing]]="Y",'Towing Bat Cost'!F16,0),"N/A")</f>
        <v>N/A</v>
      </c>
      <c r="K195" s="157" t="str">
        <f>IF(Table44[[#This Row],[Applicable Package?]:[Applicable Package?]]="Y",SUM('Rolled Up Non-Incremental Costs'!G16,'ICE Removal Cost'!G16,'Trans Removal Cost'!G16,'LEV3 Criteria Emissions Cost'!G16,'ZEV Assembly Reductions'!G16,'ACCII Criteria Compliance Cost'!G16,'ACCII GHG Compliance'!G16,'Current GHG Compliance'!G16)+IF(Table44[[#This Row],[Cold]:[Cold]]="Y",'Cold Weather Package'!G16,0)+IF(Table44[[#This Row],[eAWD]:[eAWD]]="Y",'eAWD Package'!G16,0)+IF(Table44[[#This Row],[Towing]:[Towing]]="Y",'Towing Bat Cost'!G16,0),"N/A")</f>
        <v>N/A</v>
      </c>
      <c r="L195" s="157" t="str">
        <f>IF(Table44[[#This Row],[Applicable Package?]:[Applicable Package?]]="Y",SUM('Rolled Up Non-Incremental Costs'!H16,'ICE Removal Cost'!H16,'Trans Removal Cost'!H16,'LEV3 Criteria Emissions Cost'!H16,'ZEV Assembly Reductions'!H16,'ACCII Criteria Compliance Cost'!H16,'ACCII GHG Compliance'!H16,'Current GHG Compliance'!H16)+IF(Table44[[#This Row],[Cold]:[Cold]]="Y",'Cold Weather Package'!H16,0)+IF(Table44[[#This Row],[eAWD]:[eAWD]]="Y",'eAWD Package'!H16,0)+IF(Table44[[#This Row],[Towing]:[Towing]]="Y",'Towing Bat Cost'!H16,0),"N/A")</f>
        <v>N/A</v>
      </c>
      <c r="M195" s="157" t="str">
        <f>IF(Table44[[#This Row],[Applicable Package?]:[Applicable Package?]]="Y",SUM('Rolled Up Non-Incremental Costs'!I16,'ICE Removal Cost'!I16,'Trans Removal Cost'!I16,'LEV3 Criteria Emissions Cost'!I16,'ZEV Assembly Reductions'!I16,'ACCII Criteria Compliance Cost'!I16,'ACCII GHG Compliance'!I16,'Current GHG Compliance'!I16)+IF(Table44[[#This Row],[Cold]:[Cold]]="Y",'Cold Weather Package'!I16,0)+IF(Table44[[#This Row],[eAWD]:[eAWD]]="Y",'eAWD Package'!I16,0)+IF(Table44[[#This Row],[Towing]:[Towing]]="Y",'Towing Bat Cost'!I16,0),"N/A")</f>
        <v>N/A</v>
      </c>
      <c r="N195" s="157" t="str">
        <f>IF(Table44[[#This Row],[Applicable Package?]:[Applicable Package?]]="Y",SUM('Rolled Up Non-Incremental Costs'!J16,'ICE Removal Cost'!J16,'Trans Removal Cost'!J16,'LEV3 Criteria Emissions Cost'!J16,'ZEV Assembly Reductions'!J16,'ACCII Criteria Compliance Cost'!J16,'ACCII GHG Compliance'!J16,'Current GHG Compliance'!J16)+IF(Table44[[#This Row],[Cold]:[Cold]]="Y",'Cold Weather Package'!J16,0)+IF(Table44[[#This Row],[eAWD]:[eAWD]]="Y",'eAWD Package'!J16,0)+IF(Table44[[#This Row],[Towing]:[Towing]]="Y",'Towing Bat Cost'!J16,0),"N/A")</f>
        <v>N/A</v>
      </c>
      <c r="O195" s="157" t="str">
        <f>IF(Table44[[#This Row],[Applicable Package?]:[Applicable Package?]]="Y",SUM('Rolled Up Non-Incremental Costs'!K16,'ICE Removal Cost'!K16,'Trans Removal Cost'!K16,'LEV3 Criteria Emissions Cost'!K16,'ZEV Assembly Reductions'!K16,'ACCII Criteria Compliance Cost'!K16,'ACCII GHG Compliance'!K16,'Current GHG Compliance'!K16)+IF(Table44[[#This Row],[Cold]:[Cold]]="Y",'Cold Weather Package'!K16,0)+IF(Table44[[#This Row],[eAWD]:[eAWD]]="Y",'eAWD Package'!K16,0)+IF(Table44[[#This Row],[Towing]:[Towing]]="Y",'Towing Bat Cost'!K16,0),"N/A")</f>
        <v>N/A</v>
      </c>
      <c r="P195" s="157" t="str">
        <f>IF(Table44[[#This Row],[Applicable Package?]:[Applicable Package?]]="Y",SUM('Rolled Up Non-Incremental Costs'!L16,'ICE Removal Cost'!L16,'Trans Removal Cost'!L16,'LEV3 Criteria Emissions Cost'!L16,'ZEV Assembly Reductions'!L16,'ACCII Criteria Compliance Cost'!L16,'ACCII GHG Compliance'!L16,'Current GHG Compliance'!L16)+IF(Table44[[#This Row],[Cold]:[Cold]]="Y",'Cold Weather Package'!L16,0)+IF(Table44[[#This Row],[eAWD]:[eAWD]]="Y",'eAWD Package'!L16,0)+IF(Table44[[#This Row],[Towing]:[Towing]]="Y",'Towing Bat Cost'!L16,0),"N/A")</f>
        <v>N/A</v>
      </c>
      <c r="Q195" s="157" t="str">
        <f>IF(Table44[[#This Row],[Applicable Package?]:[Applicable Package?]]="Y",SUM('Rolled Up Non-Incremental Costs'!M16,'ICE Removal Cost'!M16,'Trans Removal Cost'!M16,'LEV3 Criteria Emissions Cost'!M16,'ZEV Assembly Reductions'!M16,'ACCII Criteria Compliance Cost'!M16,'ACCII GHG Compliance'!M16,'Current GHG Compliance'!M16)+IF(Table44[[#This Row],[Cold]:[Cold]]="Y",'Cold Weather Package'!M16,0)+IF(Table44[[#This Row],[eAWD]:[eAWD]]="Y",'eAWD Package'!M16,0)+IF(Table44[[#This Row],[Towing]:[Towing]]="Y",'Towing Bat Cost'!M16,0),"N/A")</f>
        <v>N/A</v>
      </c>
      <c r="R195" s="157" t="str">
        <f>IF(Table44[[#This Row],[Applicable Package?]:[Applicable Package?]]="Y",SUM('Rolled Up Non-Incremental Costs'!N16,'ICE Removal Cost'!N16,'Trans Removal Cost'!N16,'LEV3 Criteria Emissions Cost'!N16,'ZEV Assembly Reductions'!N16,'ACCII Criteria Compliance Cost'!N16,'ACCII GHG Compliance'!N16,'Current GHG Compliance'!N16)+IF(Table44[[#This Row],[Cold]:[Cold]]="Y",'Cold Weather Package'!N16,0)+IF(Table44[[#This Row],[eAWD]:[eAWD]]="Y",'eAWD Package'!N16,0)+IF(Table44[[#This Row],[Towing]:[Towing]]="Y",'Towing Bat Cost'!N16,0),"N/A")</f>
        <v>N/A</v>
      </c>
      <c r="S195" s="157" t="str">
        <f>IF(Table44[[#This Row],[Applicable Package?]:[Applicable Package?]]="Y",SUM('Rolled Up Non-Incremental Costs'!O16,'ICE Removal Cost'!O16,'Trans Removal Cost'!O16,'LEV3 Criteria Emissions Cost'!O16,'ZEV Assembly Reductions'!O16,'ACCII Criteria Compliance Cost'!O16,'ACCII GHG Compliance'!O16,'Current GHG Compliance'!O16)+IF(Table44[[#This Row],[Cold]:[Cold]]="Y",'Cold Weather Package'!O16,0)+IF(Table44[[#This Row],[eAWD]:[eAWD]]="Y",'eAWD Package'!O16,0)+IF(Table44[[#This Row],[Towing]:[Towing]]="Y",'Towing Bat Cost'!O16,0),"N/A")</f>
        <v>N/A</v>
      </c>
    </row>
    <row r="196" spans="1:19" hidden="1" x14ac:dyDescent="0.3">
      <c r="A196" t="str">
        <f t="shared" si="5"/>
        <v>SmallCarPremiumPHEV50</v>
      </c>
      <c r="B196" s="90" t="s">
        <v>82</v>
      </c>
      <c r="C196" s="68" t="s">
        <v>75</v>
      </c>
      <c r="D196" s="68" t="str">
        <f>'Vehicle Attributes - Base Year'!D14</f>
        <v>PHEV50</v>
      </c>
      <c r="E196" s="124" t="s">
        <v>77</v>
      </c>
      <c r="F196" s="124" t="s">
        <v>76</v>
      </c>
      <c r="G196" s="125" t="s">
        <v>76</v>
      </c>
      <c r="H196" s="156" t="s">
        <v>77</v>
      </c>
      <c r="I196" s="157" t="str">
        <f>IF(Table44[[#This Row],[Applicable Package?]:[Applicable Package?]]="Y",SUM('Rolled Up Non-Incremental Costs'!E17,'ICE Removal Cost'!E17,'Trans Removal Cost'!E17,'LEV3 Criteria Emissions Cost'!E17,'ZEV Assembly Reductions'!E17,'ACCII Criteria Compliance Cost'!E17,'ACCII GHG Compliance'!E17,'Current GHG Compliance'!E17)+IF(Table44[[#This Row],[Cold]:[Cold]]="Y",'Cold Weather Package'!E17,0)+IF(Table44[[#This Row],[eAWD]:[eAWD]]="Y",'eAWD Package'!E17,0)+IF(Table44[[#This Row],[Towing]:[Towing]]="Y",'Towing Bat Cost'!E17,0),"N/A")</f>
        <v>N/A</v>
      </c>
      <c r="J196" s="157" t="str">
        <f>IF(Table44[[#This Row],[Applicable Package?]:[Applicable Package?]]="Y",SUM('Rolled Up Non-Incremental Costs'!F17,'ICE Removal Cost'!F17,'Trans Removal Cost'!F17,'LEV3 Criteria Emissions Cost'!F17,'ZEV Assembly Reductions'!F17,'ACCII Criteria Compliance Cost'!F17,'ACCII GHG Compliance'!F17,'Current GHG Compliance'!F17)+IF(Table44[[#This Row],[Cold]:[Cold]]="Y",'Cold Weather Package'!F17,0)+IF(Table44[[#This Row],[eAWD]:[eAWD]]="Y",'eAWD Package'!F17,0)+IF(Table44[[#This Row],[Towing]:[Towing]]="Y",'Towing Bat Cost'!F17,0),"N/A")</f>
        <v>N/A</v>
      </c>
      <c r="K196" s="157" t="str">
        <f>IF(Table44[[#This Row],[Applicable Package?]:[Applicable Package?]]="Y",SUM('Rolled Up Non-Incremental Costs'!G17,'ICE Removal Cost'!G17,'Trans Removal Cost'!G17,'LEV3 Criteria Emissions Cost'!G17,'ZEV Assembly Reductions'!G17,'ACCII Criteria Compliance Cost'!G17,'ACCII GHG Compliance'!G17,'Current GHG Compliance'!G17)+IF(Table44[[#This Row],[Cold]:[Cold]]="Y",'Cold Weather Package'!G17,0)+IF(Table44[[#This Row],[eAWD]:[eAWD]]="Y",'eAWD Package'!G17,0)+IF(Table44[[#This Row],[Towing]:[Towing]]="Y",'Towing Bat Cost'!G17,0),"N/A")</f>
        <v>N/A</v>
      </c>
      <c r="L196" s="157" t="str">
        <f>IF(Table44[[#This Row],[Applicable Package?]:[Applicable Package?]]="Y",SUM('Rolled Up Non-Incremental Costs'!H17,'ICE Removal Cost'!H17,'Trans Removal Cost'!H17,'LEV3 Criteria Emissions Cost'!H17,'ZEV Assembly Reductions'!H17,'ACCII Criteria Compliance Cost'!H17,'ACCII GHG Compliance'!H17,'Current GHG Compliance'!H17)+IF(Table44[[#This Row],[Cold]:[Cold]]="Y",'Cold Weather Package'!H17,0)+IF(Table44[[#This Row],[eAWD]:[eAWD]]="Y",'eAWD Package'!H17,0)+IF(Table44[[#This Row],[Towing]:[Towing]]="Y",'Towing Bat Cost'!H17,0),"N/A")</f>
        <v>N/A</v>
      </c>
      <c r="M196" s="157" t="str">
        <f>IF(Table44[[#This Row],[Applicable Package?]:[Applicable Package?]]="Y",SUM('Rolled Up Non-Incremental Costs'!I17,'ICE Removal Cost'!I17,'Trans Removal Cost'!I17,'LEV3 Criteria Emissions Cost'!I17,'ZEV Assembly Reductions'!I17,'ACCII Criteria Compliance Cost'!I17,'ACCII GHG Compliance'!I17,'Current GHG Compliance'!I17)+IF(Table44[[#This Row],[Cold]:[Cold]]="Y",'Cold Weather Package'!I17,0)+IF(Table44[[#This Row],[eAWD]:[eAWD]]="Y",'eAWD Package'!I17,0)+IF(Table44[[#This Row],[Towing]:[Towing]]="Y",'Towing Bat Cost'!I17,0),"N/A")</f>
        <v>N/A</v>
      </c>
      <c r="N196" s="157" t="str">
        <f>IF(Table44[[#This Row],[Applicable Package?]:[Applicable Package?]]="Y",SUM('Rolled Up Non-Incremental Costs'!J17,'ICE Removal Cost'!J17,'Trans Removal Cost'!J17,'LEV3 Criteria Emissions Cost'!J17,'ZEV Assembly Reductions'!J17,'ACCII Criteria Compliance Cost'!J17,'ACCII GHG Compliance'!J17,'Current GHG Compliance'!J17)+IF(Table44[[#This Row],[Cold]:[Cold]]="Y",'Cold Weather Package'!J17,0)+IF(Table44[[#This Row],[eAWD]:[eAWD]]="Y",'eAWD Package'!J17,0)+IF(Table44[[#This Row],[Towing]:[Towing]]="Y",'Towing Bat Cost'!J17,0),"N/A")</f>
        <v>N/A</v>
      </c>
      <c r="O196" s="157" t="str">
        <f>IF(Table44[[#This Row],[Applicable Package?]:[Applicable Package?]]="Y",SUM('Rolled Up Non-Incremental Costs'!K17,'ICE Removal Cost'!K17,'Trans Removal Cost'!K17,'LEV3 Criteria Emissions Cost'!K17,'ZEV Assembly Reductions'!K17,'ACCII Criteria Compliance Cost'!K17,'ACCII GHG Compliance'!K17,'Current GHG Compliance'!K17)+IF(Table44[[#This Row],[Cold]:[Cold]]="Y",'Cold Weather Package'!K17,0)+IF(Table44[[#This Row],[eAWD]:[eAWD]]="Y",'eAWD Package'!K17,0)+IF(Table44[[#This Row],[Towing]:[Towing]]="Y",'Towing Bat Cost'!K17,0),"N/A")</f>
        <v>N/A</v>
      </c>
      <c r="P196" s="157" t="str">
        <f>IF(Table44[[#This Row],[Applicable Package?]:[Applicable Package?]]="Y",SUM('Rolled Up Non-Incremental Costs'!L17,'ICE Removal Cost'!L17,'Trans Removal Cost'!L17,'LEV3 Criteria Emissions Cost'!L17,'ZEV Assembly Reductions'!L17,'ACCII Criteria Compliance Cost'!L17,'ACCII GHG Compliance'!L17,'Current GHG Compliance'!L17)+IF(Table44[[#This Row],[Cold]:[Cold]]="Y",'Cold Weather Package'!L17,0)+IF(Table44[[#This Row],[eAWD]:[eAWD]]="Y",'eAWD Package'!L17,0)+IF(Table44[[#This Row],[Towing]:[Towing]]="Y",'Towing Bat Cost'!L17,0),"N/A")</f>
        <v>N/A</v>
      </c>
      <c r="Q196" s="157" t="str">
        <f>IF(Table44[[#This Row],[Applicable Package?]:[Applicable Package?]]="Y",SUM('Rolled Up Non-Incremental Costs'!M17,'ICE Removal Cost'!M17,'Trans Removal Cost'!M17,'LEV3 Criteria Emissions Cost'!M17,'ZEV Assembly Reductions'!M17,'ACCII Criteria Compliance Cost'!M17,'ACCII GHG Compliance'!M17,'Current GHG Compliance'!M17)+IF(Table44[[#This Row],[Cold]:[Cold]]="Y",'Cold Weather Package'!M17,0)+IF(Table44[[#This Row],[eAWD]:[eAWD]]="Y",'eAWD Package'!M17,0)+IF(Table44[[#This Row],[Towing]:[Towing]]="Y",'Towing Bat Cost'!M17,0),"N/A")</f>
        <v>N/A</v>
      </c>
      <c r="R196" s="157" t="str">
        <f>IF(Table44[[#This Row],[Applicable Package?]:[Applicable Package?]]="Y",SUM('Rolled Up Non-Incremental Costs'!N17,'ICE Removal Cost'!N17,'Trans Removal Cost'!N17,'LEV3 Criteria Emissions Cost'!N17,'ZEV Assembly Reductions'!N17,'ACCII Criteria Compliance Cost'!N17,'ACCII GHG Compliance'!N17,'Current GHG Compliance'!N17)+IF(Table44[[#This Row],[Cold]:[Cold]]="Y",'Cold Weather Package'!N17,0)+IF(Table44[[#This Row],[eAWD]:[eAWD]]="Y",'eAWD Package'!N17,0)+IF(Table44[[#This Row],[Towing]:[Towing]]="Y",'Towing Bat Cost'!N17,0),"N/A")</f>
        <v>N/A</v>
      </c>
      <c r="S196" s="157" t="str">
        <f>IF(Table44[[#This Row],[Applicable Package?]:[Applicable Package?]]="Y",SUM('Rolled Up Non-Incremental Costs'!O17,'ICE Removal Cost'!O17,'Trans Removal Cost'!O17,'LEV3 Criteria Emissions Cost'!O17,'ZEV Assembly Reductions'!O17,'ACCII Criteria Compliance Cost'!O17,'ACCII GHG Compliance'!O17,'Current GHG Compliance'!O17)+IF(Table44[[#This Row],[Cold]:[Cold]]="Y",'Cold Weather Package'!O17,0)+IF(Table44[[#This Row],[eAWD]:[eAWD]]="Y",'eAWD Package'!O17,0)+IF(Table44[[#This Row],[Towing]:[Towing]]="Y",'Towing Bat Cost'!O17,0),"N/A")</f>
        <v>N/A</v>
      </c>
    </row>
    <row r="197" spans="1:19" hidden="1" x14ac:dyDescent="0.3">
      <c r="A197" s="28" t="str">
        <f t="shared" si="5"/>
        <v>MedCarBasePHEV50</v>
      </c>
      <c r="B197" s="90" t="s">
        <v>82</v>
      </c>
      <c r="C197" s="68" t="s">
        <v>80</v>
      </c>
      <c r="D197" s="68" t="str">
        <f>'Vehicle Attributes - Base Year'!D15</f>
        <v>PHEV50</v>
      </c>
      <c r="E197" s="124" t="s">
        <v>77</v>
      </c>
      <c r="F197" s="124" t="s">
        <v>76</v>
      </c>
      <c r="G197" s="125" t="s">
        <v>76</v>
      </c>
      <c r="H197" s="156" t="s">
        <v>77</v>
      </c>
      <c r="I197" s="157" t="str">
        <f>IF(Table44[[#This Row],[Applicable Package?]:[Applicable Package?]]="Y",SUM('Rolled Up Non-Incremental Costs'!E18,'ICE Removal Cost'!E18,'Trans Removal Cost'!E18,'LEV3 Criteria Emissions Cost'!E18,'ZEV Assembly Reductions'!E18,'ACCII Criteria Compliance Cost'!E18,'ACCII GHG Compliance'!E18,'Current GHG Compliance'!E18)+IF(Table44[[#This Row],[Cold]:[Cold]]="Y",'Cold Weather Package'!E18,0)+IF(Table44[[#This Row],[eAWD]:[eAWD]]="Y",'eAWD Package'!E18,0)+IF(Table44[[#This Row],[Towing]:[Towing]]="Y",'Towing Bat Cost'!E18,0),"N/A")</f>
        <v>N/A</v>
      </c>
      <c r="J197" s="157" t="str">
        <f>IF(Table44[[#This Row],[Applicable Package?]:[Applicable Package?]]="Y",SUM('Rolled Up Non-Incremental Costs'!F18,'ICE Removal Cost'!F18,'Trans Removal Cost'!F18,'LEV3 Criteria Emissions Cost'!F18,'ZEV Assembly Reductions'!F18,'ACCII Criteria Compliance Cost'!F18,'ACCII GHG Compliance'!F18,'Current GHG Compliance'!F18)+IF(Table44[[#This Row],[Cold]:[Cold]]="Y",'Cold Weather Package'!F18,0)+IF(Table44[[#This Row],[eAWD]:[eAWD]]="Y",'eAWD Package'!F18,0)+IF(Table44[[#This Row],[Towing]:[Towing]]="Y",'Towing Bat Cost'!F18,0),"N/A")</f>
        <v>N/A</v>
      </c>
      <c r="K197" s="157" t="str">
        <f>IF(Table44[[#This Row],[Applicable Package?]:[Applicable Package?]]="Y",SUM('Rolled Up Non-Incremental Costs'!G18,'ICE Removal Cost'!G18,'Trans Removal Cost'!G18,'LEV3 Criteria Emissions Cost'!G18,'ZEV Assembly Reductions'!G18,'ACCII Criteria Compliance Cost'!G18,'ACCII GHG Compliance'!G18,'Current GHG Compliance'!G18)+IF(Table44[[#This Row],[Cold]:[Cold]]="Y",'Cold Weather Package'!G18,0)+IF(Table44[[#This Row],[eAWD]:[eAWD]]="Y",'eAWD Package'!G18,0)+IF(Table44[[#This Row],[Towing]:[Towing]]="Y",'Towing Bat Cost'!G18,0),"N/A")</f>
        <v>N/A</v>
      </c>
      <c r="L197" s="157" t="str">
        <f>IF(Table44[[#This Row],[Applicable Package?]:[Applicable Package?]]="Y",SUM('Rolled Up Non-Incremental Costs'!H18,'ICE Removal Cost'!H18,'Trans Removal Cost'!H18,'LEV3 Criteria Emissions Cost'!H18,'ZEV Assembly Reductions'!H18,'ACCII Criteria Compliance Cost'!H18,'ACCII GHG Compliance'!H18,'Current GHG Compliance'!H18)+IF(Table44[[#This Row],[Cold]:[Cold]]="Y",'Cold Weather Package'!H18,0)+IF(Table44[[#This Row],[eAWD]:[eAWD]]="Y",'eAWD Package'!H18,0)+IF(Table44[[#This Row],[Towing]:[Towing]]="Y",'Towing Bat Cost'!H18,0),"N/A")</f>
        <v>N/A</v>
      </c>
      <c r="M197" s="157" t="str">
        <f>IF(Table44[[#This Row],[Applicable Package?]:[Applicable Package?]]="Y",SUM('Rolled Up Non-Incremental Costs'!I18,'ICE Removal Cost'!I18,'Trans Removal Cost'!I18,'LEV3 Criteria Emissions Cost'!I18,'ZEV Assembly Reductions'!I18,'ACCII Criteria Compliance Cost'!I18,'ACCII GHG Compliance'!I18,'Current GHG Compliance'!I18)+IF(Table44[[#This Row],[Cold]:[Cold]]="Y",'Cold Weather Package'!I18,0)+IF(Table44[[#This Row],[eAWD]:[eAWD]]="Y",'eAWD Package'!I18,0)+IF(Table44[[#This Row],[Towing]:[Towing]]="Y",'Towing Bat Cost'!I18,0),"N/A")</f>
        <v>N/A</v>
      </c>
      <c r="N197" s="157" t="str">
        <f>IF(Table44[[#This Row],[Applicable Package?]:[Applicable Package?]]="Y",SUM('Rolled Up Non-Incremental Costs'!J18,'ICE Removal Cost'!J18,'Trans Removal Cost'!J18,'LEV3 Criteria Emissions Cost'!J18,'ZEV Assembly Reductions'!J18,'ACCII Criteria Compliance Cost'!J18,'ACCII GHG Compliance'!J18,'Current GHG Compliance'!J18)+IF(Table44[[#This Row],[Cold]:[Cold]]="Y",'Cold Weather Package'!J18,0)+IF(Table44[[#This Row],[eAWD]:[eAWD]]="Y",'eAWD Package'!J18,0)+IF(Table44[[#This Row],[Towing]:[Towing]]="Y",'Towing Bat Cost'!J18,0),"N/A")</f>
        <v>N/A</v>
      </c>
      <c r="O197" s="157" t="str">
        <f>IF(Table44[[#This Row],[Applicable Package?]:[Applicable Package?]]="Y",SUM('Rolled Up Non-Incremental Costs'!K18,'ICE Removal Cost'!K18,'Trans Removal Cost'!K18,'LEV3 Criteria Emissions Cost'!K18,'ZEV Assembly Reductions'!K18,'ACCII Criteria Compliance Cost'!K18,'ACCII GHG Compliance'!K18,'Current GHG Compliance'!K18)+IF(Table44[[#This Row],[Cold]:[Cold]]="Y",'Cold Weather Package'!K18,0)+IF(Table44[[#This Row],[eAWD]:[eAWD]]="Y",'eAWD Package'!K18,0)+IF(Table44[[#This Row],[Towing]:[Towing]]="Y",'Towing Bat Cost'!K18,0),"N/A")</f>
        <v>N/A</v>
      </c>
      <c r="P197" s="157" t="str">
        <f>IF(Table44[[#This Row],[Applicable Package?]:[Applicable Package?]]="Y",SUM('Rolled Up Non-Incremental Costs'!L18,'ICE Removal Cost'!L18,'Trans Removal Cost'!L18,'LEV3 Criteria Emissions Cost'!L18,'ZEV Assembly Reductions'!L18,'ACCII Criteria Compliance Cost'!L18,'ACCII GHG Compliance'!L18,'Current GHG Compliance'!L18)+IF(Table44[[#This Row],[Cold]:[Cold]]="Y",'Cold Weather Package'!L18,0)+IF(Table44[[#This Row],[eAWD]:[eAWD]]="Y",'eAWD Package'!L18,0)+IF(Table44[[#This Row],[Towing]:[Towing]]="Y",'Towing Bat Cost'!L18,0),"N/A")</f>
        <v>N/A</v>
      </c>
      <c r="Q197" s="157" t="str">
        <f>IF(Table44[[#This Row],[Applicable Package?]:[Applicable Package?]]="Y",SUM('Rolled Up Non-Incremental Costs'!M18,'ICE Removal Cost'!M18,'Trans Removal Cost'!M18,'LEV3 Criteria Emissions Cost'!M18,'ZEV Assembly Reductions'!M18,'ACCII Criteria Compliance Cost'!M18,'ACCII GHG Compliance'!M18,'Current GHG Compliance'!M18)+IF(Table44[[#This Row],[Cold]:[Cold]]="Y",'Cold Weather Package'!M18,0)+IF(Table44[[#This Row],[eAWD]:[eAWD]]="Y",'eAWD Package'!M18,0)+IF(Table44[[#This Row],[Towing]:[Towing]]="Y",'Towing Bat Cost'!M18,0),"N/A")</f>
        <v>N/A</v>
      </c>
      <c r="R197" s="157" t="str">
        <f>IF(Table44[[#This Row],[Applicable Package?]:[Applicable Package?]]="Y",SUM('Rolled Up Non-Incremental Costs'!N18,'ICE Removal Cost'!N18,'Trans Removal Cost'!N18,'LEV3 Criteria Emissions Cost'!N18,'ZEV Assembly Reductions'!N18,'ACCII Criteria Compliance Cost'!N18,'ACCII GHG Compliance'!N18,'Current GHG Compliance'!N18)+IF(Table44[[#This Row],[Cold]:[Cold]]="Y",'Cold Weather Package'!N18,0)+IF(Table44[[#This Row],[eAWD]:[eAWD]]="Y",'eAWD Package'!N18,0)+IF(Table44[[#This Row],[Towing]:[Towing]]="Y",'Towing Bat Cost'!N18,0),"N/A")</f>
        <v>N/A</v>
      </c>
      <c r="S197" s="157" t="str">
        <f>IF(Table44[[#This Row],[Applicable Package?]:[Applicable Package?]]="Y",SUM('Rolled Up Non-Incremental Costs'!O18,'ICE Removal Cost'!O18,'Trans Removal Cost'!O18,'LEV3 Criteria Emissions Cost'!O18,'ZEV Assembly Reductions'!O18,'ACCII Criteria Compliance Cost'!O18,'ACCII GHG Compliance'!O18,'Current GHG Compliance'!O18)+IF(Table44[[#This Row],[Cold]:[Cold]]="Y",'Cold Weather Package'!O18,0)+IF(Table44[[#This Row],[eAWD]:[eAWD]]="Y",'eAWD Package'!O18,0)+IF(Table44[[#This Row],[Towing]:[Towing]]="Y",'Towing Bat Cost'!O18,0),"N/A")</f>
        <v>N/A</v>
      </c>
    </row>
    <row r="198" spans="1:19" hidden="1" x14ac:dyDescent="0.3">
      <c r="A198" t="str">
        <f t="shared" si="5"/>
        <v>MedCarPremiumPHEV50</v>
      </c>
      <c r="B198" s="90" t="s">
        <v>83</v>
      </c>
      <c r="C198" s="68" t="s">
        <v>75</v>
      </c>
      <c r="D198" s="68" t="str">
        <f>'Vehicle Attributes - Base Year'!D16</f>
        <v>PHEV50</v>
      </c>
      <c r="E198" s="124" t="s">
        <v>77</v>
      </c>
      <c r="F198" s="124" t="s">
        <v>76</v>
      </c>
      <c r="G198" s="125" t="s">
        <v>76</v>
      </c>
      <c r="H198" s="156" t="s">
        <v>77</v>
      </c>
      <c r="I198" s="157" t="str">
        <f>IF(Table44[[#This Row],[Applicable Package?]:[Applicable Package?]]="Y",SUM('Rolled Up Non-Incremental Costs'!E19,'ICE Removal Cost'!E19,'Trans Removal Cost'!E19,'LEV3 Criteria Emissions Cost'!E19,'ZEV Assembly Reductions'!E19,'ACCII Criteria Compliance Cost'!E19,'ACCII GHG Compliance'!E19,'Current GHG Compliance'!E19)+IF(Table44[[#This Row],[Cold]:[Cold]]="Y",'Cold Weather Package'!E19,0)+IF(Table44[[#This Row],[eAWD]:[eAWD]]="Y",'eAWD Package'!E19,0)+IF(Table44[[#This Row],[Towing]:[Towing]]="Y",'Towing Bat Cost'!E19,0),"N/A")</f>
        <v>N/A</v>
      </c>
      <c r="J198" s="157" t="str">
        <f>IF(Table44[[#This Row],[Applicable Package?]:[Applicable Package?]]="Y",SUM('Rolled Up Non-Incremental Costs'!F19,'ICE Removal Cost'!F19,'Trans Removal Cost'!F19,'LEV3 Criteria Emissions Cost'!F19,'ZEV Assembly Reductions'!F19,'ACCII Criteria Compliance Cost'!F19,'ACCII GHG Compliance'!F19,'Current GHG Compliance'!F19)+IF(Table44[[#This Row],[Cold]:[Cold]]="Y",'Cold Weather Package'!F19,0)+IF(Table44[[#This Row],[eAWD]:[eAWD]]="Y",'eAWD Package'!F19,0)+IF(Table44[[#This Row],[Towing]:[Towing]]="Y",'Towing Bat Cost'!F19,0),"N/A")</f>
        <v>N/A</v>
      </c>
      <c r="K198" s="157" t="str">
        <f>IF(Table44[[#This Row],[Applicable Package?]:[Applicable Package?]]="Y",SUM('Rolled Up Non-Incremental Costs'!G19,'ICE Removal Cost'!G19,'Trans Removal Cost'!G19,'LEV3 Criteria Emissions Cost'!G19,'ZEV Assembly Reductions'!G19,'ACCII Criteria Compliance Cost'!G19,'ACCII GHG Compliance'!G19,'Current GHG Compliance'!G19)+IF(Table44[[#This Row],[Cold]:[Cold]]="Y",'Cold Weather Package'!G19,0)+IF(Table44[[#This Row],[eAWD]:[eAWD]]="Y",'eAWD Package'!G19,0)+IF(Table44[[#This Row],[Towing]:[Towing]]="Y",'Towing Bat Cost'!G19,0),"N/A")</f>
        <v>N/A</v>
      </c>
      <c r="L198" s="157" t="str">
        <f>IF(Table44[[#This Row],[Applicable Package?]:[Applicable Package?]]="Y",SUM('Rolled Up Non-Incremental Costs'!H19,'ICE Removal Cost'!H19,'Trans Removal Cost'!H19,'LEV3 Criteria Emissions Cost'!H19,'ZEV Assembly Reductions'!H19,'ACCII Criteria Compliance Cost'!H19,'ACCII GHG Compliance'!H19,'Current GHG Compliance'!H19)+IF(Table44[[#This Row],[Cold]:[Cold]]="Y",'Cold Weather Package'!H19,0)+IF(Table44[[#This Row],[eAWD]:[eAWD]]="Y",'eAWD Package'!H19,0)+IF(Table44[[#This Row],[Towing]:[Towing]]="Y",'Towing Bat Cost'!H19,0),"N/A")</f>
        <v>N/A</v>
      </c>
      <c r="M198" s="157" t="str">
        <f>IF(Table44[[#This Row],[Applicable Package?]:[Applicable Package?]]="Y",SUM('Rolled Up Non-Incremental Costs'!I19,'ICE Removal Cost'!I19,'Trans Removal Cost'!I19,'LEV3 Criteria Emissions Cost'!I19,'ZEV Assembly Reductions'!I19,'ACCII Criteria Compliance Cost'!I19,'ACCII GHG Compliance'!I19,'Current GHG Compliance'!I19)+IF(Table44[[#This Row],[Cold]:[Cold]]="Y",'Cold Weather Package'!I19,0)+IF(Table44[[#This Row],[eAWD]:[eAWD]]="Y",'eAWD Package'!I19,0)+IF(Table44[[#This Row],[Towing]:[Towing]]="Y",'Towing Bat Cost'!I19,0),"N/A")</f>
        <v>N/A</v>
      </c>
      <c r="N198" s="157" t="str">
        <f>IF(Table44[[#This Row],[Applicable Package?]:[Applicable Package?]]="Y",SUM('Rolled Up Non-Incremental Costs'!J19,'ICE Removal Cost'!J19,'Trans Removal Cost'!J19,'LEV3 Criteria Emissions Cost'!J19,'ZEV Assembly Reductions'!J19,'ACCII Criteria Compliance Cost'!J19,'ACCII GHG Compliance'!J19,'Current GHG Compliance'!J19)+IF(Table44[[#This Row],[Cold]:[Cold]]="Y",'Cold Weather Package'!J19,0)+IF(Table44[[#This Row],[eAWD]:[eAWD]]="Y",'eAWD Package'!J19,0)+IF(Table44[[#This Row],[Towing]:[Towing]]="Y",'Towing Bat Cost'!J19,0),"N/A")</f>
        <v>N/A</v>
      </c>
      <c r="O198" s="157" t="str">
        <f>IF(Table44[[#This Row],[Applicable Package?]:[Applicable Package?]]="Y",SUM('Rolled Up Non-Incremental Costs'!K19,'ICE Removal Cost'!K19,'Trans Removal Cost'!K19,'LEV3 Criteria Emissions Cost'!K19,'ZEV Assembly Reductions'!K19,'ACCII Criteria Compliance Cost'!K19,'ACCII GHG Compliance'!K19,'Current GHG Compliance'!K19)+IF(Table44[[#This Row],[Cold]:[Cold]]="Y",'Cold Weather Package'!K19,0)+IF(Table44[[#This Row],[eAWD]:[eAWD]]="Y",'eAWD Package'!K19,0)+IF(Table44[[#This Row],[Towing]:[Towing]]="Y",'Towing Bat Cost'!K19,0),"N/A")</f>
        <v>N/A</v>
      </c>
      <c r="P198" s="157" t="str">
        <f>IF(Table44[[#This Row],[Applicable Package?]:[Applicable Package?]]="Y",SUM('Rolled Up Non-Incremental Costs'!L19,'ICE Removal Cost'!L19,'Trans Removal Cost'!L19,'LEV3 Criteria Emissions Cost'!L19,'ZEV Assembly Reductions'!L19,'ACCII Criteria Compliance Cost'!L19,'ACCII GHG Compliance'!L19,'Current GHG Compliance'!L19)+IF(Table44[[#This Row],[Cold]:[Cold]]="Y",'Cold Weather Package'!L19,0)+IF(Table44[[#This Row],[eAWD]:[eAWD]]="Y",'eAWD Package'!L19,0)+IF(Table44[[#This Row],[Towing]:[Towing]]="Y",'Towing Bat Cost'!L19,0),"N/A")</f>
        <v>N/A</v>
      </c>
      <c r="Q198" s="157" t="str">
        <f>IF(Table44[[#This Row],[Applicable Package?]:[Applicable Package?]]="Y",SUM('Rolled Up Non-Incremental Costs'!M19,'ICE Removal Cost'!M19,'Trans Removal Cost'!M19,'LEV3 Criteria Emissions Cost'!M19,'ZEV Assembly Reductions'!M19,'ACCII Criteria Compliance Cost'!M19,'ACCII GHG Compliance'!M19,'Current GHG Compliance'!M19)+IF(Table44[[#This Row],[Cold]:[Cold]]="Y",'Cold Weather Package'!M19,0)+IF(Table44[[#This Row],[eAWD]:[eAWD]]="Y",'eAWD Package'!M19,0)+IF(Table44[[#This Row],[Towing]:[Towing]]="Y",'Towing Bat Cost'!M19,0),"N/A")</f>
        <v>N/A</v>
      </c>
      <c r="R198" s="157" t="str">
        <f>IF(Table44[[#This Row],[Applicable Package?]:[Applicable Package?]]="Y",SUM('Rolled Up Non-Incremental Costs'!N19,'ICE Removal Cost'!N19,'Trans Removal Cost'!N19,'LEV3 Criteria Emissions Cost'!N19,'ZEV Assembly Reductions'!N19,'ACCII Criteria Compliance Cost'!N19,'ACCII GHG Compliance'!N19,'Current GHG Compliance'!N19)+IF(Table44[[#This Row],[Cold]:[Cold]]="Y",'Cold Weather Package'!N19,0)+IF(Table44[[#This Row],[eAWD]:[eAWD]]="Y",'eAWD Package'!N19,0)+IF(Table44[[#This Row],[Towing]:[Towing]]="Y",'Towing Bat Cost'!N19,0),"N/A")</f>
        <v>N/A</v>
      </c>
      <c r="S198" s="157" t="str">
        <f>IF(Table44[[#This Row],[Applicable Package?]:[Applicable Package?]]="Y",SUM('Rolled Up Non-Incremental Costs'!O19,'ICE Removal Cost'!O19,'Trans Removal Cost'!O19,'LEV3 Criteria Emissions Cost'!O19,'ZEV Assembly Reductions'!O19,'ACCII Criteria Compliance Cost'!O19,'ACCII GHG Compliance'!O19,'Current GHG Compliance'!O19)+IF(Table44[[#This Row],[Cold]:[Cold]]="Y",'Cold Weather Package'!O19,0)+IF(Table44[[#This Row],[eAWD]:[eAWD]]="Y",'eAWD Package'!O19,0)+IF(Table44[[#This Row],[Towing]:[Towing]]="Y",'Towing Bat Cost'!O19,0),"N/A")</f>
        <v>N/A</v>
      </c>
    </row>
    <row r="199" spans="1:19" hidden="1" x14ac:dyDescent="0.3">
      <c r="A199" s="28" t="str">
        <f t="shared" si="5"/>
        <v>SmallSUVBasePHEV50</v>
      </c>
      <c r="B199" s="90" t="s">
        <v>83</v>
      </c>
      <c r="C199" s="68" t="s">
        <v>80</v>
      </c>
      <c r="D199" s="68" t="str">
        <f>'Vehicle Attributes - Base Year'!D17</f>
        <v>PHEV50</v>
      </c>
      <c r="E199" s="124" t="s">
        <v>77</v>
      </c>
      <c r="F199" s="124" t="s">
        <v>76</v>
      </c>
      <c r="G199" s="125" t="s">
        <v>76</v>
      </c>
      <c r="H199" s="156" t="s">
        <v>77</v>
      </c>
      <c r="I199" s="157" t="str">
        <f>IF(Table44[[#This Row],[Applicable Package?]:[Applicable Package?]]="Y",SUM('Rolled Up Non-Incremental Costs'!E20,'ICE Removal Cost'!E20,'Trans Removal Cost'!E20,'LEV3 Criteria Emissions Cost'!E20,'ZEV Assembly Reductions'!E20,'ACCII Criteria Compliance Cost'!E20,'ACCII GHG Compliance'!E20,'Current GHG Compliance'!E20)+IF(Table44[[#This Row],[Cold]:[Cold]]="Y",'Cold Weather Package'!E20,0)+IF(Table44[[#This Row],[eAWD]:[eAWD]]="Y",'eAWD Package'!E20,0)+IF(Table44[[#This Row],[Towing]:[Towing]]="Y",'Towing Bat Cost'!E20,0),"N/A")</f>
        <v>N/A</v>
      </c>
      <c r="J199" s="157" t="str">
        <f>IF(Table44[[#This Row],[Applicable Package?]:[Applicable Package?]]="Y",SUM('Rolled Up Non-Incremental Costs'!F20,'ICE Removal Cost'!F20,'Trans Removal Cost'!F20,'LEV3 Criteria Emissions Cost'!F20,'ZEV Assembly Reductions'!F20,'ACCII Criteria Compliance Cost'!F20,'ACCII GHG Compliance'!F20,'Current GHG Compliance'!F20)+IF(Table44[[#This Row],[Cold]:[Cold]]="Y",'Cold Weather Package'!F20,0)+IF(Table44[[#This Row],[eAWD]:[eAWD]]="Y",'eAWD Package'!F20,0)+IF(Table44[[#This Row],[Towing]:[Towing]]="Y",'Towing Bat Cost'!F20,0),"N/A")</f>
        <v>N/A</v>
      </c>
      <c r="K199" s="157" t="str">
        <f>IF(Table44[[#This Row],[Applicable Package?]:[Applicable Package?]]="Y",SUM('Rolled Up Non-Incremental Costs'!G20,'ICE Removal Cost'!G20,'Trans Removal Cost'!G20,'LEV3 Criteria Emissions Cost'!G20,'ZEV Assembly Reductions'!G20,'ACCII Criteria Compliance Cost'!G20,'ACCII GHG Compliance'!G20,'Current GHG Compliance'!G20)+IF(Table44[[#This Row],[Cold]:[Cold]]="Y",'Cold Weather Package'!G20,0)+IF(Table44[[#This Row],[eAWD]:[eAWD]]="Y",'eAWD Package'!G20,0)+IF(Table44[[#This Row],[Towing]:[Towing]]="Y",'Towing Bat Cost'!G20,0),"N/A")</f>
        <v>N/A</v>
      </c>
      <c r="L199" s="157" t="str">
        <f>IF(Table44[[#This Row],[Applicable Package?]:[Applicable Package?]]="Y",SUM('Rolled Up Non-Incremental Costs'!H20,'ICE Removal Cost'!H20,'Trans Removal Cost'!H20,'LEV3 Criteria Emissions Cost'!H20,'ZEV Assembly Reductions'!H20,'ACCII Criteria Compliance Cost'!H20,'ACCII GHG Compliance'!H20,'Current GHG Compliance'!H20)+IF(Table44[[#This Row],[Cold]:[Cold]]="Y",'Cold Weather Package'!H20,0)+IF(Table44[[#This Row],[eAWD]:[eAWD]]="Y",'eAWD Package'!H20,0)+IF(Table44[[#This Row],[Towing]:[Towing]]="Y",'Towing Bat Cost'!H20,0),"N/A")</f>
        <v>N/A</v>
      </c>
      <c r="M199" s="157" t="str">
        <f>IF(Table44[[#This Row],[Applicable Package?]:[Applicable Package?]]="Y",SUM('Rolled Up Non-Incremental Costs'!I20,'ICE Removal Cost'!I20,'Trans Removal Cost'!I20,'LEV3 Criteria Emissions Cost'!I20,'ZEV Assembly Reductions'!I20,'ACCII Criteria Compliance Cost'!I20,'ACCII GHG Compliance'!I20,'Current GHG Compliance'!I20)+IF(Table44[[#This Row],[Cold]:[Cold]]="Y",'Cold Weather Package'!I20,0)+IF(Table44[[#This Row],[eAWD]:[eAWD]]="Y",'eAWD Package'!I20,0)+IF(Table44[[#This Row],[Towing]:[Towing]]="Y",'Towing Bat Cost'!I20,0),"N/A")</f>
        <v>N/A</v>
      </c>
      <c r="N199" s="157" t="str">
        <f>IF(Table44[[#This Row],[Applicable Package?]:[Applicable Package?]]="Y",SUM('Rolled Up Non-Incremental Costs'!J20,'ICE Removal Cost'!J20,'Trans Removal Cost'!J20,'LEV3 Criteria Emissions Cost'!J20,'ZEV Assembly Reductions'!J20,'ACCII Criteria Compliance Cost'!J20,'ACCII GHG Compliance'!J20,'Current GHG Compliance'!J20)+IF(Table44[[#This Row],[Cold]:[Cold]]="Y",'Cold Weather Package'!J20,0)+IF(Table44[[#This Row],[eAWD]:[eAWD]]="Y",'eAWD Package'!J20,0)+IF(Table44[[#This Row],[Towing]:[Towing]]="Y",'Towing Bat Cost'!J20,0),"N/A")</f>
        <v>N/A</v>
      </c>
      <c r="O199" s="157" t="str">
        <f>IF(Table44[[#This Row],[Applicable Package?]:[Applicable Package?]]="Y",SUM('Rolled Up Non-Incremental Costs'!K20,'ICE Removal Cost'!K20,'Trans Removal Cost'!K20,'LEV3 Criteria Emissions Cost'!K20,'ZEV Assembly Reductions'!K20,'ACCII Criteria Compliance Cost'!K20,'ACCII GHG Compliance'!K20,'Current GHG Compliance'!K20)+IF(Table44[[#This Row],[Cold]:[Cold]]="Y",'Cold Weather Package'!K20,0)+IF(Table44[[#This Row],[eAWD]:[eAWD]]="Y",'eAWD Package'!K20,0)+IF(Table44[[#This Row],[Towing]:[Towing]]="Y",'Towing Bat Cost'!K20,0),"N/A")</f>
        <v>N/A</v>
      </c>
      <c r="P199" s="157" t="str">
        <f>IF(Table44[[#This Row],[Applicable Package?]:[Applicable Package?]]="Y",SUM('Rolled Up Non-Incremental Costs'!L20,'ICE Removal Cost'!L20,'Trans Removal Cost'!L20,'LEV3 Criteria Emissions Cost'!L20,'ZEV Assembly Reductions'!L20,'ACCII Criteria Compliance Cost'!L20,'ACCII GHG Compliance'!L20,'Current GHG Compliance'!L20)+IF(Table44[[#This Row],[Cold]:[Cold]]="Y",'Cold Weather Package'!L20,0)+IF(Table44[[#This Row],[eAWD]:[eAWD]]="Y",'eAWD Package'!L20,0)+IF(Table44[[#This Row],[Towing]:[Towing]]="Y",'Towing Bat Cost'!L20,0),"N/A")</f>
        <v>N/A</v>
      </c>
      <c r="Q199" s="157" t="str">
        <f>IF(Table44[[#This Row],[Applicable Package?]:[Applicable Package?]]="Y",SUM('Rolled Up Non-Incremental Costs'!M20,'ICE Removal Cost'!M20,'Trans Removal Cost'!M20,'LEV3 Criteria Emissions Cost'!M20,'ZEV Assembly Reductions'!M20,'ACCII Criteria Compliance Cost'!M20,'ACCII GHG Compliance'!M20,'Current GHG Compliance'!M20)+IF(Table44[[#This Row],[Cold]:[Cold]]="Y",'Cold Weather Package'!M20,0)+IF(Table44[[#This Row],[eAWD]:[eAWD]]="Y",'eAWD Package'!M20,0)+IF(Table44[[#This Row],[Towing]:[Towing]]="Y",'Towing Bat Cost'!M20,0),"N/A")</f>
        <v>N/A</v>
      </c>
      <c r="R199" s="157" t="str">
        <f>IF(Table44[[#This Row],[Applicable Package?]:[Applicable Package?]]="Y",SUM('Rolled Up Non-Incremental Costs'!N20,'ICE Removal Cost'!N20,'Trans Removal Cost'!N20,'LEV3 Criteria Emissions Cost'!N20,'ZEV Assembly Reductions'!N20,'ACCII Criteria Compliance Cost'!N20,'ACCII GHG Compliance'!N20,'Current GHG Compliance'!N20)+IF(Table44[[#This Row],[Cold]:[Cold]]="Y",'Cold Weather Package'!N20,0)+IF(Table44[[#This Row],[eAWD]:[eAWD]]="Y",'eAWD Package'!N20,0)+IF(Table44[[#This Row],[Towing]:[Towing]]="Y",'Towing Bat Cost'!N20,0),"N/A")</f>
        <v>N/A</v>
      </c>
      <c r="S199" s="157" t="str">
        <f>IF(Table44[[#This Row],[Applicable Package?]:[Applicable Package?]]="Y",SUM('Rolled Up Non-Incremental Costs'!O20,'ICE Removal Cost'!O20,'Trans Removal Cost'!O20,'LEV3 Criteria Emissions Cost'!O20,'ZEV Assembly Reductions'!O20,'ACCII Criteria Compliance Cost'!O20,'ACCII GHG Compliance'!O20,'Current GHG Compliance'!O20)+IF(Table44[[#This Row],[Cold]:[Cold]]="Y",'Cold Weather Package'!O20,0)+IF(Table44[[#This Row],[eAWD]:[eAWD]]="Y",'eAWD Package'!O20,0)+IF(Table44[[#This Row],[Towing]:[Towing]]="Y",'Towing Bat Cost'!O20,0),"N/A")</f>
        <v>N/A</v>
      </c>
    </row>
    <row r="200" spans="1:19" hidden="1" x14ac:dyDescent="0.3">
      <c r="A200" t="str">
        <f t="shared" si="5"/>
        <v>SmallSUVPremiumPHEV50</v>
      </c>
      <c r="B200" s="90" t="s">
        <v>86</v>
      </c>
      <c r="C200" s="68" t="s">
        <v>75</v>
      </c>
      <c r="D200" s="68" t="str">
        <f>'Vehicle Attributes - Base Year'!D18</f>
        <v>PHEV50</v>
      </c>
      <c r="E200" s="124" t="s">
        <v>77</v>
      </c>
      <c r="F200" s="124" t="s">
        <v>76</v>
      </c>
      <c r="G200" s="125" t="s">
        <v>76</v>
      </c>
      <c r="H200" s="156" t="s">
        <v>76</v>
      </c>
      <c r="I200" s="157">
        <f>IF(Table44[[#This Row],[Applicable Package?]:[Applicable Package?]]="Y",SUM('Rolled Up Non-Incremental Costs'!E21,'ICE Removal Cost'!E21,'Trans Removal Cost'!E21,'LEV3 Criteria Emissions Cost'!E21,'ZEV Assembly Reductions'!E21,'ACCII Criteria Compliance Cost'!E21,'ACCII GHG Compliance'!E21,'Current GHG Compliance'!E21)+IF(Table44[[#This Row],[Cold]:[Cold]]="Y",'Cold Weather Package'!E21,0)+IF(Table44[[#This Row],[eAWD]:[eAWD]]="Y",'eAWD Package'!E21,0)+IF(Table44[[#This Row],[Towing]:[Towing]]="Y",'Towing Bat Cost'!E21,0),"N/A")</f>
        <v>6117.9277144924545</v>
      </c>
      <c r="J200" s="157">
        <f>IF(Table44[[#This Row],[Applicable Package?]:[Applicable Package?]]="Y",SUM('Rolled Up Non-Incremental Costs'!F21,'ICE Removal Cost'!F21,'Trans Removal Cost'!F21,'LEV3 Criteria Emissions Cost'!F21,'ZEV Assembly Reductions'!F21,'ACCII Criteria Compliance Cost'!F21,'ACCII GHG Compliance'!F21,'Current GHG Compliance'!F21)+IF(Table44[[#This Row],[Cold]:[Cold]]="Y",'Cold Weather Package'!F21,0)+IF(Table44[[#This Row],[eAWD]:[eAWD]]="Y",'eAWD Package'!F21,0)+IF(Table44[[#This Row],[Towing]:[Towing]]="Y",'Towing Bat Cost'!F21,0),"N/A")</f>
        <v>5836.449722641647</v>
      </c>
      <c r="K200" s="157">
        <f>IF(Table44[[#This Row],[Applicable Package?]:[Applicable Package?]]="Y",SUM('Rolled Up Non-Incremental Costs'!G21,'ICE Removal Cost'!G21,'Trans Removal Cost'!G21,'LEV3 Criteria Emissions Cost'!G21,'ZEV Assembly Reductions'!G21,'ACCII Criteria Compliance Cost'!G21,'ACCII GHG Compliance'!G21,'Current GHG Compliance'!G21)+IF(Table44[[#This Row],[Cold]:[Cold]]="Y",'Cold Weather Package'!G21,0)+IF(Table44[[#This Row],[eAWD]:[eAWD]]="Y",'eAWD Package'!G21,0)+IF(Table44[[#This Row],[Towing]:[Towing]]="Y",'Towing Bat Cost'!G21,0),"N/A")</f>
        <v>5573.5114372621429</v>
      </c>
      <c r="L200" s="157">
        <f>IF(Table44[[#This Row],[Applicable Package?]:[Applicable Package?]]="Y",SUM('Rolled Up Non-Incremental Costs'!H21,'ICE Removal Cost'!H21,'Trans Removal Cost'!H21,'LEV3 Criteria Emissions Cost'!H21,'ZEV Assembly Reductions'!H21,'ACCII Criteria Compliance Cost'!H21,'ACCII GHG Compliance'!H21,'Current GHG Compliance'!H21)+IF(Table44[[#This Row],[Cold]:[Cold]]="Y",'Cold Weather Package'!H21,0)+IF(Table44[[#This Row],[eAWD]:[eAWD]]="Y",'eAWD Package'!H21,0)+IF(Table44[[#This Row],[Towing]:[Towing]]="Y",'Towing Bat Cost'!H21,0),"N/A")</f>
        <v>5327.753595522061</v>
      </c>
      <c r="M200" s="157">
        <f>IF(Table44[[#This Row],[Applicable Package?]:[Applicable Package?]]="Y",SUM('Rolled Up Non-Incremental Costs'!I21,'ICE Removal Cost'!I21,'Trans Removal Cost'!I21,'LEV3 Criteria Emissions Cost'!I21,'ZEV Assembly Reductions'!I21,'ACCII Criteria Compliance Cost'!I21,'ACCII GHG Compliance'!I21,'Current GHG Compliance'!I21)+IF(Table44[[#This Row],[Cold]:[Cold]]="Y",'Cold Weather Package'!I21,0)+IF(Table44[[#This Row],[eAWD]:[eAWD]]="Y",'eAWD Package'!I21,0)+IF(Table44[[#This Row],[Towing]:[Towing]]="Y",'Towing Bat Cost'!I21,0),"N/A")</f>
        <v>5097.9181562973599</v>
      </c>
      <c r="N200" s="157">
        <f>IF(Table44[[#This Row],[Applicable Package?]:[Applicable Package?]]="Y",SUM('Rolled Up Non-Incremental Costs'!J21,'ICE Removal Cost'!J21,'Trans Removal Cost'!J21,'LEV3 Criteria Emissions Cost'!J21,'ZEV Assembly Reductions'!J21,'ACCII Criteria Compliance Cost'!J21,'ACCII GHG Compliance'!J21,'Current GHG Compliance'!J21)+IF(Table44[[#This Row],[Cold]:[Cold]]="Y",'Cold Weather Package'!J21,0)+IF(Table44[[#This Row],[eAWD]:[eAWD]]="Y",'eAWD Package'!J21,0)+IF(Table44[[#This Row],[Towing]:[Towing]]="Y",'Towing Bat Cost'!J21,0),"N/A")</f>
        <v>4919.7926656168629</v>
      </c>
      <c r="O200" s="157">
        <f>IF(Table44[[#This Row],[Applicable Package?]:[Applicable Package?]]="Y",SUM('Rolled Up Non-Incremental Costs'!K21,'ICE Removal Cost'!K21,'Trans Removal Cost'!K21,'LEV3 Criteria Emissions Cost'!K21,'ZEV Assembly Reductions'!K21,'ACCII Criteria Compliance Cost'!K21,'ACCII GHG Compliance'!K21,'Current GHG Compliance'!K21)+IF(Table44[[#This Row],[Cold]:[Cold]]="Y",'Cold Weather Package'!K21,0)+IF(Table44[[#This Row],[eAWD]:[eAWD]]="Y",'eAWD Package'!K21,0)+IF(Table44[[#This Row],[Towing]:[Towing]]="Y",'Towing Bat Cost'!K21,0),"N/A")</f>
        <v>4760.3644523306557</v>
      </c>
      <c r="P200" s="157">
        <f>IF(Table44[[#This Row],[Applicable Package?]:[Applicable Package?]]="Y",SUM('Rolled Up Non-Incremental Costs'!L21,'ICE Removal Cost'!L21,'Trans Removal Cost'!L21,'LEV3 Criteria Emissions Cost'!L21,'ZEV Assembly Reductions'!L21,'ACCII Criteria Compliance Cost'!L21,'ACCII GHG Compliance'!L21,'Current GHG Compliance'!L21)+IF(Table44[[#This Row],[Cold]:[Cold]]="Y",'Cold Weather Package'!L21,0)+IF(Table44[[#This Row],[eAWD]:[eAWD]]="Y",'eAWD Package'!L21,0)+IF(Table44[[#This Row],[Towing]:[Towing]]="Y",'Towing Bat Cost'!L21,0),"N/A")</f>
        <v>4608.037291870306</v>
      </c>
      <c r="Q200" s="157">
        <f>IF(Table44[[#This Row],[Applicable Package?]:[Applicable Package?]]="Y",SUM('Rolled Up Non-Incremental Costs'!M21,'ICE Removal Cost'!M21,'Trans Removal Cost'!M21,'LEV3 Criteria Emissions Cost'!M21,'ZEV Assembly Reductions'!M21,'ACCII Criteria Compliance Cost'!M21,'ACCII GHG Compliance'!M21,'Current GHG Compliance'!M21)+IF(Table44[[#This Row],[Cold]:[Cold]]="Y",'Cold Weather Package'!M21,0)+IF(Table44[[#This Row],[eAWD]:[eAWD]]="Y",'eAWD Package'!M21,0)+IF(Table44[[#This Row],[Towing]:[Towing]]="Y",'Towing Bat Cost'!M21,0),"N/A")</f>
        <v>4462.4386780121113</v>
      </c>
      <c r="R200" s="157">
        <f>IF(Table44[[#This Row],[Applicable Package?]:[Applicable Package?]]="Y",SUM('Rolled Up Non-Incremental Costs'!N21,'ICE Removal Cost'!N21,'Trans Removal Cost'!N21,'LEV3 Criteria Emissions Cost'!N21,'ZEV Assembly Reductions'!N21,'ACCII Criteria Compliance Cost'!N21,'ACCII GHG Compliance'!N21,'Current GHG Compliance'!N21)+IF(Table44[[#This Row],[Cold]:[Cold]]="Y",'Cold Weather Package'!N21,0)+IF(Table44[[#This Row],[eAWD]:[eAWD]]="Y",'eAWD Package'!N21,0)+IF(Table44[[#This Row],[Towing]:[Towing]]="Y",'Towing Bat Cost'!N21,0),"N/A")</f>
        <v>4323.2163364839371</v>
      </c>
      <c r="S200" s="157">
        <f>IF(Table44[[#This Row],[Applicable Package?]:[Applicable Package?]]="Y",SUM('Rolled Up Non-Incremental Costs'!O21,'ICE Removal Cost'!O21,'Trans Removal Cost'!O21,'LEV3 Criteria Emissions Cost'!O21,'ZEV Assembly Reductions'!O21,'ACCII Criteria Compliance Cost'!O21,'ACCII GHG Compliance'!O21,'Current GHG Compliance'!O21)+IF(Table44[[#This Row],[Cold]:[Cold]]="Y",'Cold Weather Package'!O21,0)+IF(Table44[[#This Row],[eAWD]:[eAWD]]="Y",'eAWD Package'!O21,0)+IF(Table44[[#This Row],[Towing]:[Towing]]="Y",'Towing Bat Cost'!O21,0),"N/A")</f>
        <v>4190.0371188934996</v>
      </c>
    </row>
    <row r="201" spans="1:19" hidden="1" x14ac:dyDescent="0.3">
      <c r="A201" s="28" t="str">
        <f t="shared" si="5"/>
        <v>MedSUVBasePHEV50</v>
      </c>
      <c r="B201" s="90" t="s">
        <v>86</v>
      </c>
      <c r="C201" s="68" t="s">
        <v>80</v>
      </c>
      <c r="D201" s="68" t="str">
        <f>'Vehicle Attributes - Base Year'!D19</f>
        <v>PHEV50</v>
      </c>
      <c r="E201" s="124" t="s">
        <v>77</v>
      </c>
      <c r="F201" s="124" t="s">
        <v>76</v>
      </c>
      <c r="G201" s="125" t="s">
        <v>76</v>
      </c>
      <c r="H201" s="156" t="s">
        <v>76</v>
      </c>
      <c r="I201" s="157">
        <f>IF(Table44[[#This Row],[Applicable Package?]:[Applicable Package?]]="Y",SUM('Rolled Up Non-Incremental Costs'!E22,'ICE Removal Cost'!E22,'Trans Removal Cost'!E22,'LEV3 Criteria Emissions Cost'!E22,'ZEV Assembly Reductions'!E22,'ACCII Criteria Compliance Cost'!E22,'ACCII GHG Compliance'!E22,'Current GHG Compliance'!E22)+IF(Table44[[#This Row],[Cold]:[Cold]]="Y",'Cold Weather Package'!E22,0)+IF(Table44[[#This Row],[eAWD]:[eAWD]]="Y",'eAWD Package'!E22,0)+IF(Table44[[#This Row],[Towing]:[Towing]]="Y",'Towing Bat Cost'!E22,0),"N/A")</f>
        <v>4976.1012098839019</v>
      </c>
      <c r="J201" s="157">
        <f>IF(Table44[[#This Row],[Applicable Package?]:[Applicable Package?]]="Y",SUM('Rolled Up Non-Incremental Costs'!F22,'ICE Removal Cost'!F22,'Trans Removal Cost'!F22,'LEV3 Criteria Emissions Cost'!F22,'ZEV Assembly Reductions'!F22,'ACCII Criteria Compliance Cost'!F22,'ACCII GHG Compliance'!F22,'Current GHG Compliance'!F22)+IF(Table44[[#This Row],[Cold]:[Cold]]="Y",'Cold Weather Package'!F22,0)+IF(Table44[[#This Row],[eAWD]:[eAWD]]="Y",'eAWD Package'!F22,0)+IF(Table44[[#This Row],[Towing]:[Towing]]="Y",'Towing Bat Cost'!F22,0),"N/A")</f>
        <v>4706.0414830791797</v>
      </c>
      <c r="K201" s="157">
        <f>IF(Table44[[#This Row],[Applicable Package?]:[Applicable Package?]]="Y",SUM('Rolled Up Non-Incremental Costs'!G22,'ICE Removal Cost'!G22,'Trans Removal Cost'!G22,'LEV3 Criteria Emissions Cost'!G22,'ZEV Assembly Reductions'!G22,'ACCII Criteria Compliance Cost'!G22,'ACCII GHG Compliance'!G22,'Current GHG Compliance'!G22)+IF(Table44[[#This Row],[Cold]:[Cold]]="Y",'Cold Weather Package'!G22,0)+IF(Table44[[#This Row],[eAWD]:[eAWD]]="Y",'eAWD Package'!G22,0)+IF(Table44[[#This Row],[Towing]:[Towing]]="Y",'Towing Bat Cost'!G22,0),"N/A")</f>
        <v>4454.4072800952999</v>
      </c>
      <c r="L201" s="157">
        <f>IF(Table44[[#This Row],[Applicable Package?]:[Applicable Package?]]="Y",SUM('Rolled Up Non-Incremental Costs'!H22,'ICE Removal Cost'!H22,'Trans Removal Cost'!H22,'LEV3 Criteria Emissions Cost'!H22,'ZEV Assembly Reductions'!H22,'ACCII Criteria Compliance Cost'!H22,'ACCII GHG Compliance'!H22,'Current GHG Compliance'!H22)+IF(Table44[[#This Row],[Cold]:[Cold]]="Y",'Cold Weather Package'!H22,0)+IF(Table44[[#This Row],[eAWD]:[eAWD]]="Y",'eAWD Package'!H22,0)+IF(Table44[[#This Row],[Towing]:[Towing]]="Y",'Towing Bat Cost'!H22,0),"N/A")</f>
        <v>4219.8404799268865</v>
      </c>
      <c r="M201" s="157">
        <f>IF(Table44[[#This Row],[Applicable Package?]:[Applicable Package?]]="Y",SUM('Rolled Up Non-Incremental Costs'!I22,'ICE Removal Cost'!I22,'Trans Removal Cost'!I22,'LEV3 Criteria Emissions Cost'!I22,'ZEV Assembly Reductions'!I22,'ACCII Criteria Compliance Cost'!I22,'ACCII GHG Compliance'!I22,'Current GHG Compliance'!I22)+IF(Table44[[#This Row],[Cold]:[Cold]]="Y",'Cold Weather Package'!I22,0)+IF(Table44[[#This Row],[eAWD]:[eAWD]]="Y",'eAWD Package'!I22,0)+IF(Table44[[#This Row],[Towing]:[Towing]]="Y",'Towing Bat Cost'!I22,0),"N/A")</f>
        <v>4001.0841718581378</v>
      </c>
      <c r="N201" s="157">
        <f>IF(Table44[[#This Row],[Applicable Package?]:[Applicable Package?]]="Y",SUM('Rolled Up Non-Incremental Costs'!J22,'ICE Removal Cost'!J22,'Trans Removal Cost'!J22,'LEV3 Criteria Emissions Cost'!J22,'ZEV Assembly Reductions'!J22,'ACCII Criteria Compliance Cost'!J22,'ACCII GHG Compliance'!J22,'Current GHG Compliance'!J22)+IF(Table44[[#This Row],[Cold]:[Cold]]="Y",'Cold Weather Package'!J22,0)+IF(Table44[[#This Row],[eAWD]:[eAWD]]="Y",'eAWD Package'!J22,0)+IF(Table44[[#This Row],[Towing]:[Towing]]="Y",'Towing Bat Cost'!J22,0),"N/A")</f>
        <v>3833.9270210220329</v>
      </c>
      <c r="O201" s="157">
        <f>IF(Table44[[#This Row],[Applicable Package?]:[Applicable Package?]]="Y",SUM('Rolled Up Non-Incremental Costs'!K22,'ICE Removal Cost'!K22,'Trans Removal Cost'!K22,'LEV3 Criteria Emissions Cost'!K22,'ZEV Assembly Reductions'!K22,'ACCII Criteria Compliance Cost'!K22,'ACCII GHG Compliance'!K22,'Current GHG Compliance'!K22)+IF(Table44[[#This Row],[Cold]:[Cold]]="Y",'Cold Weather Package'!K22,0)+IF(Table44[[#This Row],[eAWD]:[eAWD]]="Y",'eAWD Package'!K22,0)+IF(Table44[[#This Row],[Towing]:[Towing]]="Y",'Towing Bat Cost'!K22,0),"N/A")</f>
        <v>3685.357464181774</v>
      </c>
      <c r="P201" s="157">
        <f>IF(Table44[[#This Row],[Applicable Package?]:[Applicable Package?]]="Y",SUM('Rolled Up Non-Incremental Costs'!L22,'ICE Removal Cost'!L22,'Trans Removal Cost'!L22,'LEV3 Criteria Emissions Cost'!L22,'ZEV Assembly Reductions'!L22,'ACCII Criteria Compliance Cost'!L22,'ACCII GHG Compliance'!L22,'Current GHG Compliance'!L22)+IF(Table44[[#This Row],[Cold]:[Cold]]="Y",'Cold Weather Package'!L22,0)+IF(Table44[[#This Row],[eAWD]:[eAWD]]="Y",'eAWD Package'!L22,0)+IF(Table44[[#This Row],[Towing]:[Towing]]="Y",'Towing Bat Cost'!L22,0),"N/A")</f>
        <v>3543.7803736029127</v>
      </c>
      <c r="Q201" s="157">
        <f>IF(Table44[[#This Row],[Applicable Package?]:[Applicable Package?]]="Y",SUM('Rolled Up Non-Incremental Costs'!M22,'ICE Removal Cost'!M22,'Trans Removal Cost'!M22,'LEV3 Criteria Emissions Cost'!M22,'ZEV Assembly Reductions'!M22,'ACCII Criteria Compliance Cost'!M22,'ACCII GHG Compliance'!M22,'Current GHG Compliance'!M22)+IF(Table44[[#This Row],[Cold]:[Cold]]="Y",'Cold Weather Package'!M22,0)+IF(Table44[[#This Row],[eAWD]:[eAWD]]="Y",'eAWD Package'!M22,0)+IF(Table44[[#This Row],[Towing]:[Towing]]="Y",'Towing Bat Cost'!M22,0),"N/A")</f>
        <v>3408.8243289273923</v>
      </c>
      <c r="R201" s="157">
        <f>IF(Table44[[#This Row],[Applicable Package?]:[Applicable Package?]]="Y",SUM('Rolled Up Non-Incremental Costs'!N22,'ICE Removal Cost'!N22,'Trans Removal Cost'!N22,'LEV3 Criteria Emissions Cost'!N22,'ZEV Assembly Reductions'!N22,'ACCII Criteria Compliance Cost'!N22,'ACCII GHG Compliance'!N22,'Current GHG Compliance'!N22)+IF(Table44[[#This Row],[Cold]:[Cold]]="Y",'Cold Weather Package'!N22,0)+IF(Table44[[#This Row],[eAWD]:[eAWD]]="Y",'eAWD Package'!N22,0)+IF(Table44[[#This Row],[Towing]:[Towing]]="Y",'Towing Bat Cost'!N22,0),"N/A")</f>
        <v>3280.1381308900654</v>
      </c>
      <c r="S201" s="157">
        <f>IF(Table44[[#This Row],[Applicable Package?]:[Applicable Package?]]="Y",SUM('Rolled Up Non-Incremental Costs'!O22,'ICE Removal Cost'!O22,'Trans Removal Cost'!O22,'LEV3 Criteria Emissions Cost'!O22,'ZEV Assembly Reductions'!O22,'ACCII Criteria Compliance Cost'!O22,'ACCII GHG Compliance'!O22,'Current GHG Compliance'!O22)+IF(Table44[[#This Row],[Cold]:[Cold]]="Y",'Cold Weather Package'!O22,0)+IF(Table44[[#This Row],[eAWD]:[eAWD]]="Y",'eAWD Package'!O22,0)+IF(Table44[[#This Row],[Towing]:[Towing]]="Y",'Towing Bat Cost'!O22,0),"N/A")</f>
        <v>3157.3896953555668</v>
      </c>
    </row>
    <row r="202" spans="1:19" hidden="1" x14ac:dyDescent="0.3">
      <c r="A202" t="str">
        <f t="shared" si="5"/>
        <v>MedSUVPremiumPHEV50</v>
      </c>
      <c r="B202" s="90" t="s">
        <v>89</v>
      </c>
      <c r="C202" s="68" t="s">
        <v>75</v>
      </c>
      <c r="D202" s="68" t="str">
        <f>'Vehicle Attributes - Base Year'!D20</f>
        <v>PHEV50</v>
      </c>
      <c r="E202" s="124" t="s">
        <v>77</v>
      </c>
      <c r="F202" s="124" t="s">
        <v>76</v>
      </c>
      <c r="G202" s="125" t="s">
        <v>76</v>
      </c>
      <c r="H202" s="156" t="s">
        <v>76</v>
      </c>
      <c r="I202" s="157">
        <f>IF(Table44[[#This Row],[Applicable Package?]:[Applicable Package?]]="Y",SUM('Rolled Up Non-Incremental Costs'!E23,'ICE Removal Cost'!E23,'Trans Removal Cost'!E23,'LEV3 Criteria Emissions Cost'!E23,'ZEV Assembly Reductions'!E23,'ACCII Criteria Compliance Cost'!E23,'ACCII GHG Compliance'!E23,'Current GHG Compliance'!E23)+IF(Table44[[#This Row],[Cold]:[Cold]]="Y",'Cold Weather Package'!E23,0)+IF(Table44[[#This Row],[eAWD]:[eAWD]]="Y",'eAWD Package'!E23,0)+IF(Table44[[#This Row],[Towing]:[Towing]]="Y",'Towing Bat Cost'!E23,0),"N/A")</f>
        <v>5876.5135809680669</v>
      </c>
      <c r="J202" s="157">
        <f>IF(Table44[[#This Row],[Applicable Package?]:[Applicable Package?]]="Y",SUM('Rolled Up Non-Incremental Costs'!F23,'ICE Removal Cost'!F23,'Trans Removal Cost'!F23,'LEV3 Criteria Emissions Cost'!F23,'ZEV Assembly Reductions'!F23,'ACCII Criteria Compliance Cost'!F23,'ACCII GHG Compliance'!F23,'Current GHG Compliance'!F23)+IF(Table44[[#This Row],[Cold]:[Cold]]="Y",'Cold Weather Package'!F23,0)+IF(Table44[[#This Row],[eAWD]:[eAWD]]="Y",'eAWD Package'!F23,0)+IF(Table44[[#This Row],[Towing]:[Towing]]="Y",'Towing Bat Cost'!F23,0),"N/A")</f>
        <v>5555.4291319230924</v>
      </c>
      <c r="K202" s="157">
        <f>IF(Table44[[#This Row],[Applicable Package?]:[Applicable Package?]]="Y",SUM('Rolled Up Non-Incremental Costs'!G23,'ICE Removal Cost'!G23,'Trans Removal Cost'!G23,'LEV3 Criteria Emissions Cost'!G23,'ZEV Assembly Reductions'!G23,'ACCII Criteria Compliance Cost'!G23,'ACCII GHG Compliance'!G23,'Current GHG Compliance'!G23)+IF(Table44[[#This Row],[Cold]:[Cold]]="Y",'Cold Weather Package'!G23,0)+IF(Table44[[#This Row],[eAWD]:[eAWD]]="Y",'eAWD Package'!G23,0)+IF(Table44[[#This Row],[Towing]:[Towing]]="Y",'Towing Bat Cost'!G23,0),"N/A")</f>
        <v>5256.4172916015823</v>
      </c>
      <c r="L202" s="157">
        <f>IF(Table44[[#This Row],[Applicable Package?]:[Applicable Package?]]="Y",SUM('Rolled Up Non-Incremental Costs'!H23,'ICE Removal Cost'!H23,'Trans Removal Cost'!H23,'LEV3 Criteria Emissions Cost'!H23,'ZEV Assembly Reductions'!H23,'ACCII Criteria Compliance Cost'!H23,'ACCII GHG Compliance'!H23,'Current GHG Compliance'!H23)+IF(Table44[[#This Row],[Cold]:[Cold]]="Y",'Cold Weather Package'!H23,0)+IF(Table44[[#This Row],[eAWD]:[eAWD]]="Y",'eAWD Package'!H23,0)+IF(Table44[[#This Row],[Towing]:[Towing]]="Y",'Towing Bat Cost'!H23,0),"N/A")</f>
        <v>4977.8493032163069</v>
      </c>
      <c r="M202" s="157">
        <f>IF(Table44[[#This Row],[Applicable Package?]:[Applicable Package?]]="Y",SUM('Rolled Up Non-Incremental Costs'!I23,'ICE Removal Cost'!I23,'Trans Removal Cost'!I23,'LEV3 Criteria Emissions Cost'!I23,'ZEV Assembly Reductions'!I23,'ACCII Criteria Compliance Cost'!I23,'ACCII GHG Compliance'!I23,'Current GHG Compliance'!I23)+IF(Table44[[#This Row],[Cold]:[Cold]]="Y",'Cold Weather Package'!I23,0)+IF(Table44[[#This Row],[eAWD]:[eAWD]]="Y",'eAWD Package'!I23,0)+IF(Table44[[#This Row],[Towing]:[Towing]]="Y",'Towing Bat Cost'!I23,0),"N/A")</f>
        <v>4718.2178070396649</v>
      </c>
      <c r="N202" s="157">
        <f>IF(Table44[[#This Row],[Applicable Package?]:[Applicable Package?]]="Y",SUM('Rolled Up Non-Incremental Costs'!J23,'ICE Removal Cost'!J23,'Trans Removal Cost'!J23,'LEV3 Criteria Emissions Cost'!J23,'ZEV Assembly Reductions'!J23,'ACCII Criteria Compliance Cost'!J23,'ACCII GHG Compliance'!J23,'Current GHG Compliance'!J23)+IF(Table44[[#This Row],[Cold]:[Cold]]="Y",'Cold Weather Package'!J23,0)+IF(Table44[[#This Row],[eAWD]:[eAWD]]="Y",'eAWD Package'!J23,0)+IF(Table44[[#This Row],[Towing]:[Towing]]="Y",'Towing Bat Cost'!J23,0),"N/A")</f>
        <v>4520.4509369448788</v>
      </c>
      <c r="O202" s="157">
        <f>IF(Table44[[#This Row],[Applicable Package?]:[Applicable Package?]]="Y",SUM('Rolled Up Non-Incremental Costs'!K23,'ICE Removal Cost'!K23,'Trans Removal Cost'!K23,'LEV3 Criteria Emissions Cost'!K23,'ZEV Assembly Reductions'!K23,'ACCII Criteria Compliance Cost'!K23,'ACCII GHG Compliance'!K23,'Current GHG Compliance'!K23)+IF(Table44[[#This Row],[Cold]:[Cold]]="Y",'Cold Weather Package'!K23,0)+IF(Table44[[#This Row],[eAWD]:[eAWD]]="Y",'eAWD Package'!K23,0)+IF(Table44[[#This Row],[Towing]:[Towing]]="Y",'Towing Bat Cost'!K23,0),"N/A")</f>
        <v>4344.952197757535</v>
      </c>
      <c r="P202" s="157">
        <f>IF(Table44[[#This Row],[Applicable Package?]:[Applicable Package?]]="Y",SUM('Rolled Up Non-Incremental Costs'!L23,'ICE Removal Cost'!L23,'Trans Removal Cost'!L23,'LEV3 Criteria Emissions Cost'!L23,'ZEV Assembly Reductions'!L23,'ACCII Criteria Compliance Cost'!L23,'ACCII GHG Compliance'!L23,'Current GHG Compliance'!L23)+IF(Table44[[#This Row],[Cold]:[Cold]]="Y",'Cold Weather Package'!L23,0)+IF(Table44[[#This Row],[eAWD]:[eAWD]]="Y",'eAWD Package'!L23,0)+IF(Table44[[#This Row],[Towing]:[Towing]]="Y",'Towing Bat Cost'!L23,0),"N/A")</f>
        <v>4177.8137175445936</v>
      </c>
      <c r="Q202" s="157">
        <f>IF(Table44[[#This Row],[Applicable Package?]:[Applicable Package?]]="Y",SUM('Rolled Up Non-Incremental Costs'!M23,'ICE Removal Cost'!M23,'Trans Removal Cost'!M23,'LEV3 Criteria Emissions Cost'!M23,'ZEV Assembly Reductions'!M23,'ACCII Criteria Compliance Cost'!M23,'ACCII GHG Compliance'!M23,'Current GHG Compliance'!M23)+IF(Table44[[#This Row],[Cold]:[Cold]]="Y",'Cold Weather Package'!M23,0)+IF(Table44[[#This Row],[eAWD]:[eAWD]]="Y",'eAWD Package'!M23,0)+IF(Table44[[#This Row],[Towing]:[Towing]]="Y",'Towing Bat Cost'!M23,0),"N/A")</f>
        <v>4018.5902550971678</v>
      </c>
      <c r="R202" s="157">
        <f>IF(Table44[[#This Row],[Applicable Package?]:[Applicable Package?]]="Y",SUM('Rolled Up Non-Incremental Costs'!N23,'ICE Removal Cost'!N23,'Trans Removal Cost'!N23,'LEV3 Criteria Emissions Cost'!N23,'ZEV Assembly Reductions'!N23,'ACCII Criteria Compliance Cost'!N23,'ACCII GHG Compliance'!N23,'Current GHG Compliance'!N23)+IF(Table44[[#This Row],[Cold]:[Cold]]="Y",'Cold Weather Package'!N23,0)+IF(Table44[[#This Row],[eAWD]:[eAWD]]="Y",'eAWD Package'!N23,0)+IF(Table44[[#This Row],[Towing]:[Towing]]="Y",'Towing Bat Cost'!N23,0),"N/A")</f>
        <v>3866.8608213328571</v>
      </c>
      <c r="S202" s="157">
        <f>IF(Table44[[#This Row],[Applicable Package?]:[Applicable Package?]]="Y",SUM('Rolled Up Non-Incremental Costs'!O23,'ICE Removal Cost'!O23,'Trans Removal Cost'!O23,'LEV3 Criteria Emissions Cost'!O23,'ZEV Assembly Reductions'!O23,'ACCII Criteria Compliance Cost'!O23,'ACCII GHG Compliance'!O23,'Current GHG Compliance'!O23)+IF(Table44[[#This Row],[Cold]:[Cold]]="Y",'Cold Weather Package'!O23,0)+IF(Table44[[#This Row],[eAWD]:[eAWD]]="Y",'eAWD Package'!O23,0)+IF(Table44[[#This Row],[Towing]:[Towing]]="Y",'Towing Bat Cost'!O23,0),"N/A")</f>
        <v>3722.2273527401212</v>
      </c>
    </row>
    <row r="203" spans="1:19" hidden="1" x14ac:dyDescent="0.3">
      <c r="A203" s="28" t="str">
        <f t="shared" si="5"/>
        <v>PickupBasePHEV50</v>
      </c>
      <c r="B203" s="90" t="s">
        <v>89</v>
      </c>
      <c r="C203" s="68" t="s">
        <v>113</v>
      </c>
      <c r="D203" s="68" t="str">
        <f>'Vehicle Attributes - Base Year'!D21</f>
        <v>PHEV50</v>
      </c>
      <c r="E203" s="124" t="s">
        <v>77</v>
      </c>
      <c r="F203" s="124" t="s">
        <v>76</v>
      </c>
      <c r="G203" s="125" t="s">
        <v>76</v>
      </c>
      <c r="H203" s="156" t="s">
        <v>76</v>
      </c>
      <c r="I203" s="157">
        <f>IF(Table44[[#This Row],[Applicable Package?]:[Applicable Package?]]="Y",SUM('Rolled Up Non-Incremental Costs'!E24,'ICE Removal Cost'!E24,'Trans Removal Cost'!E24,'LEV3 Criteria Emissions Cost'!E24,'ZEV Assembly Reductions'!E24,'ACCII Criteria Compliance Cost'!E24,'ACCII GHG Compliance'!E24,'Current GHG Compliance'!E24)+IF(Table44[[#This Row],[Cold]:[Cold]]="Y",'Cold Weather Package'!E24,0)+IF(Table44[[#This Row],[eAWD]:[eAWD]]="Y",'eAWD Package'!E24,0)+IF(Table44[[#This Row],[Towing]:[Towing]]="Y",'Towing Bat Cost'!E24,0),"N/A")</f>
        <v>5876.5135809680669</v>
      </c>
      <c r="J203" s="157">
        <f>IF(Table44[[#This Row],[Applicable Package?]:[Applicable Package?]]="Y",SUM('Rolled Up Non-Incremental Costs'!F24,'ICE Removal Cost'!F24,'Trans Removal Cost'!F24,'LEV3 Criteria Emissions Cost'!F24,'ZEV Assembly Reductions'!F24,'ACCII Criteria Compliance Cost'!F24,'ACCII GHG Compliance'!F24,'Current GHG Compliance'!F24)+IF(Table44[[#This Row],[Cold]:[Cold]]="Y",'Cold Weather Package'!F24,0)+IF(Table44[[#This Row],[eAWD]:[eAWD]]="Y",'eAWD Package'!F24,0)+IF(Table44[[#This Row],[Towing]:[Towing]]="Y",'Towing Bat Cost'!F24,0),"N/A")</f>
        <v>5555.4291319230924</v>
      </c>
      <c r="K203" s="157">
        <f>IF(Table44[[#This Row],[Applicable Package?]:[Applicable Package?]]="Y",SUM('Rolled Up Non-Incremental Costs'!G24,'ICE Removal Cost'!G24,'Trans Removal Cost'!G24,'LEV3 Criteria Emissions Cost'!G24,'ZEV Assembly Reductions'!G24,'ACCII Criteria Compliance Cost'!G24,'ACCII GHG Compliance'!G24,'Current GHG Compliance'!G24)+IF(Table44[[#This Row],[Cold]:[Cold]]="Y",'Cold Weather Package'!G24,0)+IF(Table44[[#This Row],[eAWD]:[eAWD]]="Y",'eAWD Package'!G24,0)+IF(Table44[[#This Row],[Towing]:[Towing]]="Y",'Towing Bat Cost'!G24,0),"N/A")</f>
        <v>5256.4172916015823</v>
      </c>
      <c r="L203" s="157">
        <f>IF(Table44[[#This Row],[Applicable Package?]:[Applicable Package?]]="Y",SUM('Rolled Up Non-Incremental Costs'!H24,'ICE Removal Cost'!H24,'Trans Removal Cost'!H24,'LEV3 Criteria Emissions Cost'!H24,'ZEV Assembly Reductions'!H24,'ACCII Criteria Compliance Cost'!H24,'ACCII GHG Compliance'!H24,'Current GHG Compliance'!H24)+IF(Table44[[#This Row],[Cold]:[Cold]]="Y",'Cold Weather Package'!H24,0)+IF(Table44[[#This Row],[eAWD]:[eAWD]]="Y",'eAWD Package'!H24,0)+IF(Table44[[#This Row],[Towing]:[Towing]]="Y",'Towing Bat Cost'!H24,0),"N/A")</f>
        <v>4977.8493032163069</v>
      </c>
      <c r="M203" s="157">
        <f>IF(Table44[[#This Row],[Applicable Package?]:[Applicable Package?]]="Y",SUM('Rolled Up Non-Incremental Costs'!I24,'ICE Removal Cost'!I24,'Trans Removal Cost'!I24,'LEV3 Criteria Emissions Cost'!I24,'ZEV Assembly Reductions'!I24,'ACCII Criteria Compliance Cost'!I24,'ACCII GHG Compliance'!I24,'Current GHG Compliance'!I24)+IF(Table44[[#This Row],[Cold]:[Cold]]="Y",'Cold Weather Package'!I24,0)+IF(Table44[[#This Row],[eAWD]:[eAWD]]="Y",'eAWD Package'!I24,0)+IF(Table44[[#This Row],[Towing]:[Towing]]="Y",'Towing Bat Cost'!I24,0),"N/A")</f>
        <v>4718.2178070396649</v>
      </c>
      <c r="N203" s="157">
        <f>IF(Table44[[#This Row],[Applicable Package?]:[Applicable Package?]]="Y",SUM('Rolled Up Non-Incremental Costs'!J24,'ICE Removal Cost'!J24,'Trans Removal Cost'!J24,'LEV3 Criteria Emissions Cost'!J24,'ZEV Assembly Reductions'!J24,'ACCII Criteria Compliance Cost'!J24,'ACCII GHG Compliance'!J24,'Current GHG Compliance'!J24)+IF(Table44[[#This Row],[Cold]:[Cold]]="Y",'Cold Weather Package'!J24,0)+IF(Table44[[#This Row],[eAWD]:[eAWD]]="Y",'eAWD Package'!J24,0)+IF(Table44[[#This Row],[Towing]:[Towing]]="Y",'Towing Bat Cost'!J24,0),"N/A")</f>
        <v>4520.4509369448788</v>
      </c>
      <c r="O203" s="157">
        <f>IF(Table44[[#This Row],[Applicable Package?]:[Applicable Package?]]="Y",SUM('Rolled Up Non-Incremental Costs'!K24,'ICE Removal Cost'!K24,'Trans Removal Cost'!K24,'LEV3 Criteria Emissions Cost'!K24,'ZEV Assembly Reductions'!K24,'ACCII Criteria Compliance Cost'!K24,'ACCII GHG Compliance'!K24,'Current GHG Compliance'!K24)+IF(Table44[[#This Row],[Cold]:[Cold]]="Y",'Cold Weather Package'!K24,0)+IF(Table44[[#This Row],[eAWD]:[eAWD]]="Y",'eAWD Package'!K24,0)+IF(Table44[[#This Row],[Towing]:[Towing]]="Y",'Towing Bat Cost'!K24,0),"N/A")</f>
        <v>4344.952197757535</v>
      </c>
      <c r="P203" s="157">
        <f>IF(Table44[[#This Row],[Applicable Package?]:[Applicable Package?]]="Y",SUM('Rolled Up Non-Incremental Costs'!L24,'ICE Removal Cost'!L24,'Trans Removal Cost'!L24,'LEV3 Criteria Emissions Cost'!L24,'ZEV Assembly Reductions'!L24,'ACCII Criteria Compliance Cost'!L24,'ACCII GHG Compliance'!L24,'Current GHG Compliance'!L24)+IF(Table44[[#This Row],[Cold]:[Cold]]="Y",'Cold Weather Package'!L24,0)+IF(Table44[[#This Row],[eAWD]:[eAWD]]="Y",'eAWD Package'!L24,0)+IF(Table44[[#This Row],[Towing]:[Towing]]="Y",'Towing Bat Cost'!L24,0),"N/A")</f>
        <v>4177.8137175445936</v>
      </c>
      <c r="Q203" s="157">
        <f>IF(Table44[[#This Row],[Applicable Package?]:[Applicable Package?]]="Y",SUM('Rolled Up Non-Incremental Costs'!M24,'ICE Removal Cost'!M24,'Trans Removal Cost'!M24,'LEV3 Criteria Emissions Cost'!M24,'ZEV Assembly Reductions'!M24,'ACCII Criteria Compliance Cost'!M24,'ACCII GHG Compliance'!M24,'Current GHG Compliance'!M24)+IF(Table44[[#This Row],[Cold]:[Cold]]="Y",'Cold Weather Package'!M24,0)+IF(Table44[[#This Row],[eAWD]:[eAWD]]="Y",'eAWD Package'!M24,0)+IF(Table44[[#This Row],[Towing]:[Towing]]="Y",'Towing Bat Cost'!M24,0),"N/A")</f>
        <v>4018.5902550971678</v>
      </c>
      <c r="R203" s="157">
        <f>IF(Table44[[#This Row],[Applicable Package?]:[Applicable Package?]]="Y",SUM('Rolled Up Non-Incremental Costs'!N24,'ICE Removal Cost'!N24,'Trans Removal Cost'!N24,'LEV3 Criteria Emissions Cost'!N24,'ZEV Assembly Reductions'!N24,'ACCII Criteria Compliance Cost'!N24,'ACCII GHG Compliance'!N24,'Current GHG Compliance'!N24)+IF(Table44[[#This Row],[Cold]:[Cold]]="Y",'Cold Weather Package'!N24,0)+IF(Table44[[#This Row],[eAWD]:[eAWD]]="Y",'eAWD Package'!N24,0)+IF(Table44[[#This Row],[Towing]:[Towing]]="Y",'Towing Bat Cost'!N24,0),"N/A")</f>
        <v>3866.8608213328571</v>
      </c>
      <c r="S203" s="157">
        <f>IF(Table44[[#This Row],[Applicable Package?]:[Applicable Package?]]="Y",SUM('Rolled Up Non-Incremental Costs'!O24,'ICE Removal Cost'!O24,'Trans Removal Cost'!O24,'LEV3 Criteria Emissions Cost'!O24,'ZEV Assembly Reductions'!O24,'ACCII Criteria Compliance Cost'!O24,'ACCII GHG Compliance'!O24,'Current GHG Compliance'!O24)+IF(Table44[[#This Row],[Cold]:[Cold]]="Y",'Cold Weather Package'!O24,0)+IF(Table44[[#This Row],[eAWD]:[eAWD]]="Y",'eAWD Package'!O24,0)+IF(Table44[[#This Row],[Towing]:[Towing]]="Y",'Towing Bat Cost'!O24,0),"N/A")</f>
        <v>3722.2273527401212</v>
      </c>
    </row>
    <row r="204" spans="1:19" hidden="1" x14ac:dyDescent="0.3">
      <c r="A204" t="str">
        <f t="shared" si="5"/>
        <v>PickupHTPHEV50</v>
      </c>
      <c r="B204" s="90" t="s">
        <v>73</v>
      </c>
      <c r="C204" s="68" t="s">
        <v>75</v>
      </c>
      <c r="D204" s="68" t="str">
        <f>'Vehicle Attributes - Base Year'!D22</f>
        <v>FCEV320</v>
      </c>
      <c r="E204" s="124" t="s">
        <v>77</v>
      </c>
      <c r="F204" s="124" t="s">
        <v>76</v>
      </c>
      <c r="G204" s="125" t="s">
        <v>76</v>
      </c>
      <c r="H204" s="156" t="s">
        <v>77</v>
      </c>
      <c r="I204" s="157" t="str">
        <f>IF(Table44[[#This Row],[Applicable Package?]:[Applicable Package?]]="Y",SUM('Rolled Up Non-Incremental Costs'!E25,'ICE Removal Cost'!E25,'Trans Removal Cost'!E25,'LEV3 Criteria Emissions Cost'!E25,'ZEV Assembly Reductions'!E25,'ACCII Criteria Compliance Cost'!E25,'ACCII GHG Compliance'!E25,'Current GHG Compliance'!E25)+IF(Table44[[#This Row],[Cold]:[Cold]]="Y",'Cold Weather Package'!E25,0)+IF(Table44[[#This Row],[eAWD]:[eAWD]]="Y",'eAWD Package'!E25,0)+IF(Table44[[#This Row],[Towing]:[Towing]]="Y",'Towing Bat Cost'!E25,0),"N/A")</f>
        <v>N/A</v>
      </c>
      <c r="J204" s="157" t="str">
        <f>IF(Table44[[#This Row],[Applicable Package?]:[Applicable Package?]]="Y",SUM('Rolled Up Non-Incremental Costs'!F25,'ICE Removal Cost'!F25,'Trans Removal Cost'!F25,'LEV3 Criteria Emissions Cost'!F25,'ZEV Assembly Reductions'!F25,'ACCII Criteria Compliance Cost'!F25,'ACCII GHG Compliance'!F25,'Current GHG Compliance'!F25)+IF(Table44[[#This Row],[Cold]:[Cold]]="Y",'Cold Weather Package'!F25,0)+IF(Table44[[#This Row],[eAWD]:[eAWD]]="Y",'eAWD Package'!F25,0)+IF(Table44[[#This Row],[Towing]:[Towing]]="Y",'Towing Bat Cost'!F25,0),"N/A")</f>
        <v>N/A</v>
      </c>
      <c r="K204" s="157" t="str">
        <f>IF(Table44[[#This Row],[Applicable Package?]:[Applicable Package?]]="Y",SUM('Rolled Up Non-Incremental Costs'!G25,'ICE Removal Cost'!G25,'Trans Removal Cost'!G25,'LEV3 Criteria Emissions Cost'!G25,'ZEV Assembly Reductions'!G25,'ACCII Criteria Compliance Cost'!G25,'ACCII GHG Compliance'!G25,'Current GHG Compliance'!G25)+IF(Table44[[#This Row],[Cold]:[Cold]]="Y",'Cold Weather Package'!G25,0)+IF(Table44[[#This Row],[eAWD]:[eAWD]]="Y",'eAWD Package'!G25,0)+IF(Table44[[#This Row],[Towing]:[Towing]]="Y",'Towing Bat Cost'!G25,0),"N/A")</f>
        <v>N/A</v>
      </c>
      <c r="L204" s="157" t="str">
        <f>IF(Table44[[#This Row],[Applicable Package?]:[Applicable Package?]]="Y",SUM('Rolled Up Non-Incremental Costs'!H25,'ICE Removal Cost'!H25,'Trans Removal Cost'!H25,'LEV3 Criteria Emissions Cost'!H25,'ZEV Assembly Reductions'!H25,'ACCII Criteria Compliance Cost'!H25,'ACCII GHG Compliance'!H25,'Current GHG Compliance'!H25)+IF(Table44[[#This Row],[Cold]:[Cold]]="Y",'Cold Weather Package'!H25,0)+IF(Table44[[#This Row],[eAWD]:[eAWD]]="Y",'eAWD Package'!H25,0)+IF(Table44[[#This Row],[Towing]:[Towing]]="Y",'Towing Bat Cost'!H25,0),"N/A")</f>
        <v>N/A</v>
      </c>
      <c r="M204" s="157" t="str">
        <f>IF(Table44[[#This Row],[Applicable Package?]:[Applicable Package?]]="Y",SUM('Rolled Up Non-Incremental Costs'!I25,'ICE Removal Cost'!I25,'Trans Removal Cost'!I25,'LEV3 Criteria Emissions Cost'!I25,'ZEV Assembly Reductions'!I25,'ACCII Criteria Compliance Cost'!I25,'ACCII GHG Compliance'!I25,'Current GHG Compliance'!I25)+IF(Table44[[#This Row],[Cold]:[Cold]]="Y",'Cold Weather Package'!I25,0)+IF(Table44[[#This Row],[eAWD]:[eAWD]]="Y",'eAWD Package'!I25,0)+IF(Table44[[#This Row],[Towing]:[Towing]]="Y",'Towing Bat Cost'!I25,0),"N/A")</f>
        <v>N/A</v>
      </c>
      <c r="N204" s="157" t="str">
        <f>IF(Table44[[#This Row],[Applicable Package?]:[Applicable Package?]]="Y",SUM('Rolled Up Non-Incremental Costs'!J25,'ICE Removal Cost'!J25,'Trans Removal Cost'!J25,'LEV3 Criteria Emissions Cost'!J25,'ZEV Assembly Reductions'!J25,'ACCII Criteria Compliance Cost'!J25,'ACCII GHG Compliance'!J25,'Current GHG Compliance'!J25)+IF(Table44[[#This Row],[Cold]:[Cold]]="Y",'Cold Weather Package'!J25,0)+IF(Table44[[#This Row],[eAWD]:[eAWD]]="Y",'eAWD Package'!J25,0)+IF(Table44[[#This Row],[Towing]:[Towing]]="Y",'Towing Bat Cost'!J25,0),"N/A")</f>
        <v>N/A</v>
      </c>
      <c r="O204" s="157" t="str">
        <f>IF(Table44[[#This Row],[Applicable Package?]:[Applicable Package?]]="Y",SUM('Rolled Up Non-Incremental Costs'!K25,'ICE Removal Cost'!K25,'Trans Removal Cost'!K25,'LEV3 Criteria Emissions Cost'!K25,'ZEV Assembly Reductions'!K25,'ACCII Criteria Compliance Cost'!K25,'ACCII GHG Compliance'!K25,'Current GHG Compliance'!K25)+IF(Table44[[#This Row],[Cold]:[Cold]]="Y",'Cold Weather Package'!K25,0)+IF(Table44[[#This Row],[eAWD]:[eAWD]]="Y",'eAWD Package'!K25,0)+IF(Table44[[#This Row],[Towing]:[Towing]]="Y",'Towing Bat Cost'!K25,0),"N/A")</f>
        <v>N/A</v>
      </c>
      <c r="P204" s="157" t="str">
        <f>IF(Table44[[#This Row],[Applicable Package?]:[Applicable Package?]]="Y",SUM('Rolled Up Non-Incremental Costs'!L25,'ICE Removal Cost'!L25,'Trans Removal Cost'!L25,'LEV3 Criteria Emissions Cost'!L25,'ZEV Assembly Reductions'!L25,'ACCII Criteria Compliance Cost'!L25,'ACCII GHG Compliance'!L25,'Current GHG Compliance'!L25)+IF(Table44[[#This Row],[Cold]:[Cold]]="Y",'Cold Weather Package'!L25,0)+IF(Table44[[#This Row],[eAWD]:[eAWD]]="Y",'eAWD Package'!L25,0)+IF(Table44[[#This Row],[Towing]:[Towing]]="Y",'Towing Bat Cost'!L25,0),"N/A")</f>
        <v>N/A</v>
      </c>
      <c r="Q204" s="157" t="str">
        <f>IF(Table44[[#This Row],[Applicable Package?]:[Applicable Package?]]="Y",SUM('Rolled Up Non-Incremental Costs'!M25,'ICE Removal Cost'!M25,'Trans Removal Cost'!M25,'LEV3 Criteria Emissions Cost'!M25,'ZEV Assembly Reductions'!M25,'ACCII Criteria Compliance Cost'!M25,'ACCII GHG Compliance'!M25,'Current GHG Compliance'!M25)+IF(Table44[[#This Row],[Cold]:[Cold]]="Y",'Cold Weather Package'!M25,0)+IF(Table44[[#This Row],[eAWD]:[eAWD]]="Y",'eAWD Package'!M25,0)+IF(Table44[[#This Row],[Towing]:[Towing]]="Y",'Towing Bat Cost'!M25,0),"N/A")</f>
        <v>N/A</v>
      </c>
      <c r="R204" s="157" t="str">
        <f>IF(Table44[[#This Row],[Applicable Package?]:[Applicable Package?]]="Y",SUM('Rolled Up Non-Incremental Costs'!N25,'ICE Removal Cost'!N25,'Trans Removal Cost'!N25,'LEV3 Criteria Emissions Cost'!N25,'ZEV Assembly Reductions'!N25,'ACCII Criteria Compliance Cost'!N25,'ACCII GHG Compliance'!N25,'Current GHG Compliance'!N25)+IF(Table44[[#This Row],[Cold]:[Cold]]="Y",'Cold Weather Package'!N25,0)+IF(Table44[[#This Row],[eAWD]:[eAWD]]="Y",'eAWD Package'!N25,0)+IF(Table44[[#This Row],[Towing]:[Towing]]="Y",'Towing Bat Cost'!N25,0),"N/A")</f>
        <v>N/A</v>
      </c>
      <c r="S204" s="157" t="str">
        <f>IF(Table44[[#This Row],[Applicable Package?]:[Applicable Package?]]="Y",SUM('Rolled Up Non-Incremental Costs'!O25,'ICE Removal Cost'!O25,'Trans Removal Cost'!O25,'LEV3 Criteria Emissions Cost'!O25,'ZEV Assembly Reductions'!O25,'ACCII Criteria Compliance Cost'!O25,'ACCII GHG Compliance'!O25,'Current GHG Compliance'!O25)+IF(Table44[[#This Row],[Cold]:[Cold]]="Y",'Cold Weather Package'!O25,0)+IF(Table44[[#This Row],[eAWD]:[eAWD]]="Y",'eAWD Package'!O25,0)+IF(Table44[[#This Row],[Towing]:[Towing]]="Y",'Towing Bat Cost'!O25,0),"N/A")</f>
        <v>N/A</v>
      </c>
    </row>
    <row r="205" spans="1:19" hidden="1" x14ac:dyDescent="0.3">
      <c r="A205" s="28" t="str">
        <f t="shared" si="5"/>
        <v>SmallCarBaseFCEV320</v>
      </c>
      <c r="B205" s="90" t="s">
        <v>73</v>
      </c>
      <c r="C205" s="68" t="s">
        <v>80</v>
      </c>
      <c r="D205" s="68" t="str">
        <f>'Vehicle Attributes - Base Year'!D23</f>
        <v>FCEV320</v>
      </c>
      <c r="E205" s="124" t="s">
        <v>77</v>
      </c>
      <c r="F205" s="124" t="s">
        <v>76</v>
      </c>
      <c r="G205" s="125" t="s">
        <v>76</v>
      </c>
      <c r="H205" s="156" t="s">
        <v>77</v>
      </c>
      <c r="I205" s="157" t="str">
        <f>IF(Table44[[#This Row],[Applicable Package?]:[Applicable Package?]]="Y",SUM('Rolled Up Non-Incremental Costs'!E26,'ICE Removal Cost'!E26,'Trans Removal Cost'!E26,'LEV3 Criteria Emissions Cost'!E26,'ZEV Assembly Reductions'!E26,'ACCII Criteria Compliance Cost'!E26,'ACCII GHG Compliance'!E26,'Current GHG Compliance'!E26)+IF(Table44[[#This Row],[Cold]:[Cold]]="Y",'Cold Weather Package'!E26,0)+IF(Table44[[#This Row],[eAWD]:[eAWD]]="Y",'eAWD Package'!E26,0)+IF(Table44[[#This Row],[Towing]:[Towing]]="Y",'Towing Bat Cost'!E26,0),"N/A")</f>
        <v>N/A</v>
      </c>
      <c r="J205" s="157" t="str">
        <f>IF(Table44[[#This Row],[Applicable Package?]:[Applicable Package?]]="Y",SUM('Rolled Up Non-Incremental Costs'!F26,'ICE Removal Cost'!F26,'Trans Removal Cost'!F26,'LEV3 Criteria Emissions Cost'!F26,'ZEV Assembly Reductions'!F26,'ACCII Criteria Compliance Cost'!F26,'ACCII GHG Compliance'!F26,'Current GHG Compliance'!F26)+IF(Table44[[#This Row],[Cold]:[Cold]]="Y",'Cold Weather Package'!F26,0)+IF(Table44[[#This Row],[eAWD]:[eAWD]]="Y",'eAWD Package'!F26,0)+IF(Table44[[#This Row],[Towing]:[Towing]]="Y",'Towing Bat Cost'!F26,0),"N/A")</f>
        <v>N/A</v>
      </c>
      <c r="K205" s="157" t="str">
        <f>IF(Table44[[#This Row],[Applicable Package?]:[Applicable Package?]]="Y",SUM('Rolled Up Non-Incremental Costs'!G26,'ICE Removal Cost'!G26,'Trans Removal Cost'!G26,'LEV3 Criteria Emissions Cost'!G26,'ZEV Assembly Reductions'!G26,'ACCII Criteria Compliance Cost'!G26,'ACCII GHG Compliance'!G26,'Current GHG Compliance'!G26)+IF(Table44[[#This Row],[Cold]:[Cold]]="Y",'Cold Weather Package'!G26,0)+IF(Table44[[#This Row],[eAWD]:[eAWD]]="Y",'eAWD Package'!G26,0)+IF(Table44[[#This Row],[Towing]:[Towing]]="Y",'Towing Bat Cost'!G26,0),"N/A")</f>
        <v>N/A</v>
      </c>
      <c r="L205" s="157" t="str">
        <f>IF(Table44[[#This Row],[Applicable Package?]:[Applicable Package?]]="Y",SUM('Rolled Up Non-Incremental Costs'!H26,'ICE Removal Cost'!H26,'Trans Removal Cost'!H26,'LEV3 Criteria Emissions Cost'!H26,'ZEV Assembly Reductions'!H26,'ACCII Criteria Compliance Cost'!H26,'ACCII GHG Compliance'!H26,'Current GHG Compliance'!H26)+IF(Table44[[#This Row],[Cold]:[Cold]]="Y",'Cold Weather Package'!H26,0)+IF(Table44[[#This Row],[eAWD]:[eAWD]]="Y",'eAWD Package'!H26,0)+IF(Table44[[#This Row],[Towing]:[Towing]]="Y",'Towing Bat Cost'!H26,0),"N/A")</f>
        <v>N/A</v>
      </c>
      <c r="M205" s="157" t="str">
        <f>IF(Table44[[#This Row],[Applicable Package?]:[Applicable Package?]]="Y",SUM('Rolled Up Non-Incremental Costs'!I26,'ICE Removal Cost'!I26,'Trans Removal Cost'!I26,'LEV3 Criteria Emissions Cost'!I26,'ZEV Assembly Reductions'!I26,'ACCII Criteria Compliance Cost'!I26,'ACCII GHG Compliance'!I26,'Current GHG Compliance'!I26)+IF(Table44[[#This Row],[Cold]:[Cold]]="Y",'Cold Weather Package'!I26,0)+IF(Table44[[#This Row],[eAWD]:[eAWD]]="Y",'eAWD Package'!I26,0)+IF(Table44[[#This Row],[Towing]:[Towing]]="Y",'Towing Bat Cost'!I26,0),"N/A")</f>
        <v>N/A</v>
      </c>
      <c r="N205" s="157" t="str">
        <f>IF(Table44[[#This Row],[Applicable Package?]:[Applicable Package?]]="Y",SUM('Rolled Up Non-Incremental Costs'!J26,'ICE Removal Cost'!J26,'Trans Removal Cost'!J26,'LEV3 Criteria Emissions Cost'!J26,'ZEV Assembly Reductions'!J26,'ACCII Criteria Compliance Cost'!J26,'ACCII GHG Compliance'!J26,'Current GHG Compliance'!J26)+IF(Table44[[#This Row],[Cold]:[Cold]]="Y",'Cold Weather Package'!J26,0)+IF(Table44[[#This Row],[eAWD]:[eAWD]]="Y",'eAWD Package'!J26,0)+IF(Table44[[#This Row],[Towing]:[Towing]]="Y",'Towing Bat Cost'!J26,0),"N/A")</f>
        <v>N/A</v>
      </c>
      <c r="O205" s="157" t="str">
        <f>IF(Table44[[#This Row],[Applicable Package?]:[Applicable Package?]]="Y",SUM('Rolled Up Non-Incremental Costs'!K26,'ICE Removal Cost'!K26,'Trans Removal Cost'!K26,'LEV3 Criteria Emissions Cost'!K26,'ZEV Assembly Reductions'!K26,'ACCII Criteria Compliance Cost'!K26,'ACCII GHG Compliance'!K26,'Current GHG Compliance'!K26)+IF(Table44[[#This Row],[Cold]:[Cold]]="Y",'Cold Weather Package'!K26,0)+IF(Table44[[#This Row],[eAWD]:[eAWD]]="Y",'eAWD Package'!K26,0)+IF(Table44[[#This Row],[Towing]:[Towing]]="Y",'Towing Bat Cost'!K26,0),"N/A")</f>
        <v>N/A</v>
      </c>
      <c r="P205" s="157" t="str">
        <f>IF(Table44[[#This Row],[Applicable Package?]:[Applicable Package?]]="Y",SUM('Rolled Up Non-Incremental Costs'!L26,'ICE Removal Cost'!L26,'Trans Removal Cost'!L26,'LEV3 Criteria Emissions Cost'!L26,'ZEV Assembly Reductions'!L26,'ACCII Criteria Compliance Cost'!L26,'ACCII GHG Compliance'!L26,'Current GHG Compliance'!L26)+IF(Table44[[#This Row],[Cold]:[Cold]]="Y",'Cold Weather Package'!L26,0)+IF(Table44[[#This Row],[eAWD]:[eAWD]]="Y",'eAWD Package'!L26,0)+IF(Table44[[#This Row],[Towing]:[Towing]]="Y",'Towing Bat Cost'!L26,0),"N/A")</f>
        <v>N/A</v>
      </c>
      <c r="Q205" s="157" t="str">
        <f>IF(Table44[[#This Row],[Applicable Package?]:[Applicable Package?]]="Y",SUM('Rolled Up Non-Incremental Costs'!M26,'ICE Removal Cost'!M26,'Trans Removal Cost'!M26,'LEV3 Criteria Emissions Cost'!M26,'ZEV Assembly Reductions'!M26,'ACCII Criteria Compliance Cost'!M26,'ACCII GHG Compliance'!M26,'Current GHG Compliance'!M26)+IF(Table44[[#This Row],[Cold]:[Cold]]="Y",'Cold Weather Package'!M26,0)+IF(Table44[[#This Row],[eAWD]:[eAWD]]="Y",'eAWD Package'!M26,0)+IF(Table44[[#This Row],[Towing]:[Towing]]="Y",'Towing Bat Cost'!M26,0),"N/A")</f>
        <v>N/A</v>
      </c>
      <c r="R205" s="157" t="str">
        <f>IF(Table44[[#This Row],[Applicable Package?]:[Applicable Package?]]="Y",SUM('Rolled Up Non-Incremental Costs'!N26,'ICE Removal Cost'!N26,'Trans Removal Cost'!N26,'LEV3 Criteria Emissions Cost'!N26,'ZEV Assembly Reductions'!N26,'ACCII Criteria Compliance Cost'!N26,'ACCII GHG Compliance'!N26,'Current GHG Compliance'!N26)+IF(Table44[[#This Row],[Cold]:[Cold]]="Y",'Cold Weather Package'!N26,0)+IF(Table44[[#This Row],[eAWD]:[eAWD]]="Y",'eAWD Package'!N26,0)+IF(Table44[[#This Row],[Towing]:[Towing]]="Y",'Towing Bat Cost'!N26,0),"N/A")</f>
        <v>N/A</v>
      </c>
      <c r="S205" s="157" t="str">
        <f>IF(Table44[[#This Row],[Applicable Package?]:[Applicable Package?]]="Y",SUM('Rolled Up Non-Incremental Costs'!O26,'ICE Removal Cost'!O26,'Trans Removal Cost'!O26,'LEV3 Criteria Emissions Cost'!O26,'ZEV Assembly Reductions'!O26,'ACCII Criteria Compliance Cost'!O26,'ACCII GHG Compliance'!O26,'Current GHG Compliance'!O26)+IF(Table44[[#This Row],[Cold]:[Cold]]="Y",'Cold Weather Package'!O26,0)+IF(Table44[[#This Row],[eAWD]:[eAWD]]="Y",'eAWD Package'!O26,0)+IF(Table44[[#This Row],[Towing]:[Towing]]="Y",'Towing Bat Cost'!O26,0),"N/A")</f>
        <v>N/A</v>
      </c>
    </row>
    <row r="206" spans="1:19" hidden="1" x14ac:dyDescent="0.3">
      <c r="A206" t="str">
        <f t="shared" si="5"/>
        <v>SmallCarPremiumFCEV320</v>
      </c>
      <c r="B206" s="90" t="s">
        <v>82</v>
      </c>
      <c r="C206" s="68" t="s">
        <v>75</v>
      </c>
      <c r="D206" s="68" t="str">
        <f>'Vehicle Attributes - Base Year'!D24</f>
        <v>FCEV320</v>
      </c>
      <c r="E206" s="124" t="s">
        <v>77</v>
      </c>
      <c r="F206" s="124" t="s">
        <v>76</v>
      </c>
      <c r="G206" s="125" t="s">
        <v>76</v>
      </c>
      <c r="H206" s="156" t="s">
        <v>77</v>
      </c>
      <c r="I206" s="157" t="str">
        <f>IF(Table44[[#This Row],[Applicable Package?]:[Applicable Package?]]="Y",SUM('Rolled Up Non-Incremental Costs'!E27,'ICE Removal Cost'!E27,'Trans Removal Cost'!E27,'LEV3 Criteria Emissions Cost'!E27,'ZEV Assembly Reductions'!E27,'ACCII Criteria Compliance Cost'!E27,'ACCII GHG Compliance'!E27,'Current GHG Compliance'!E27)+IF(Table44[[#This Row],[Cold]:[Cold]]="Y",'Cold Weather Package'!E27,0)+IF(Table44[[#This Row],[eAWD]:[eAWD]]="Y",'eAWD Package'!E27,0)+IF(Table44[[#This Row],[Towing]:[Towing]]="Y",'Towing Bat Cost'!E27,0),"N/A")</f>
        <v>N/A</v>
      </c>
      <c r="J206" s="157" t="str">
        <f>IF(Table44[[#This Row],[Applicable Package?]:[Applicable Package?]]="Y",SUM('Rolled Up Non-Incremental Costs'!F27,'ICE Removal Cost'!F27,'Trans Removal Cost'!F27,'LEV3 Criteria Emissions Cost'!F27,'ZEV Assembly Reductions'!F27,'ACCII Criteria Compliance Cost'!F27,'ACCII GHG Compliance'!F27,'Current GHG Compliance'!F27)+IF(Table44[[#This Row],[Cold]:[Cold]]="Y",'Cold Weather Package'!F27,0)+IF(Table44[[#This Row],[eAWD]:[eAWD]]="Y",'eAWD Package'!F27,0)+IF(Table44[[#This Row],[Towing]:[Towing]]="Y",'Towing Bat Cost'!F27,0),"N/A")</f>
        <v>N/A</v>
      </c>
      <c r="K206" s="157" t="str">
        <f>IF(Table44[[#This Row],[Applicable Package?]:[Applicable Package?]]="Y",SUM('Rolled Up Non-Incremental Costs'!G27,'ICE Removal Cost'!G27,'Trans Removal Cost'!G27,'LEV3 Criteria Emissions Cost'!G27,'ZEV Assembly Reductions'!G27,'ACCII Criteria Compliance Cost'!G27,'ACCII GHG Compliance'!G27,'Current GHG Compliance'!G27)+IF(Table44[[#This Row],[Cold]:[Cold]]="Y",'Cold Weather Package'!G27,0)+IF(Table44[[#This Row],[eAWD]:[eAWD]]="Y",'eAWD Package'!G27,0)+IF(Table44[[#This Row],[Towing]:[Towing]]="Y",'Towing Bat Cost'!G27,0),"N/A")</f>
        <v>N/A</v>
      </c>
      <c r="L206" s="157" t="str">
        <f>IF(Table44[[#This Row],[Applicable Package?]:[Applicable Package?]]="Y",SUM('Rolled Up Non-Incremental Costs'!H27,'ICE Removal Cost'!H27,'Trans Removal Cost'!H27,'LEV3 Criteria Emissions Cost'!H27,'ZEV Assembly Reductions'!H27,'ACCII Criteria Compliance Cost'!H27,'ACCII GHG Compliance'!H27,'Current GHG Compliance'!H27)+IF(Table44[[#This Row],[Cold]:[Cold]]="Y",'Cold Weather Package'!H27,0)+IF(Table44[[#This Row],[eAWD]:[eAWD]]="Y",'eAWD Package'!H27,0)+IF(Table44[[#This Row],[Towing]:[Towing]]="Y",'Towing Bat Cost'!H27,0),"N/A")</f>
        <v>N/A</v>
      </c>
      <c r="M206" s="157" t="str">
        <f>IF(Table44[[#This Row],[Applicable Package?]:[Applicable Package?]]="Y",SUM('Rolled Up Non-Incremental Costs'!I27,'ICE Removal Cost'!I27,'Trans Removal Cost'!I27,'LEV3 Criteria Emissions Cost'!I27,'ZEV Assembly Reductions'!I27,'ACCII Criteria Compliance Cost'!I27,'ACCII GHG Compliance'!I27,'Current GHG Compliance'!I27)+IF(Table44[[#This Row],[Cold]:[Cold]]="Y",'Cold Weather Package'!I27,0)+IF(Table44[[#This Row],[eAWD]:[eAWD]]="Y",'eAWD Package'!I27,0)+IF(Table44[[#This Row],[Towing]:[Towing]]="Y",'Towing Bat Cost'!I27,0),"N/A")</f>
        <v>N/A</v>
      </c>
      <c r="N206" s="157" t="str">
        <f>IF(Table44[[#This Row],[Applicable Package?]:[Applicable Package?]]="Y",SUM('Rolled Up Non-Incremental Costs'!J27,'ICE Removal Cost'!J27,'Trans Removal Cost'!J27,'LEV3 Criteria Emissions Cost'!J27,'ZEV Assembly Reductions'!J27,'ACCII Criteria Compliance Cost'!J27,'ACCII GHG Compliance'!J27,'Current GHG Compliance'!J27)+IF(Table44[[#This Row],[Cold]:[Cold]]="Y",'Cold Weather Package'!J27,0)+IF(Table44[[#This Row],[eAWD]:[eAWD]]="Y",'eAWD Package'!J27,0)+IF(Table44[[#This Row],[Towing]:[Towing]]="Y",'Towing Bat Cost'!J27,0),"N/A")</f>
        <v>N/A</v>
      </c>
      <c r="O206" s="157" t="str">
        <f>IF(Table44[[#This Row],[Applicable Package?]:[Applicable Package?]]="Y",SUM('Rolled Up Non-Incremental Costs'!K27,'ICE Removal Cost'!K27,'Trans Removal Cost'!K27,'LEV3 Criteria Emissions Cost'!K27,'ZEV Assembly Reductions'!K27,'ACCII Criteria Compliance Cost'!K27,'ACCII GHG Compliance'!K27,'Current GHG Compliance'!K27)+IF(Table44[[#This Row],[Cold]:[Cold]]="Y",'Cold Weather Package'!K27,0)+IF(Table44[[#This Row],[eAWD]:[eAWD]]="Y",'eAWD Package'!K27,0)+IF(Table44[[#This Row],[Towing]:[Towing]]="Y",'Towing Bat Cost'!K27,0),"N/A")</f>
        <v>N/A</v>
      </c>
      <c r="P206" s="157" t="str">
        <f>IF(Table44[[#This Row],[Applicable Package?]:[Applicable Package?]]="Y",SUM('Rolled Up Non-Incremental Costs'!L27,'ICE Removal Cost'!L27,'Trans Removal Cost'!L27,'LEV3 Criteria Emissions Cost'!L27,'ZEV Assembly Reductions'!L27,'ACCII Criteria Compliance Cost'!L27,'ACCII GHG Compliance'!L27,'Current GHG Compliance'!L27)+IF(Table44[[#This Row],[Cold]:[Cold]]="Y",'Cold Weather Package'!L27,0)+IF(Table44[[#This Row],[eAWD]:[eAWD]]="Y",'eAWD Package'!L27,0)+IF(Table44[[#This Row],[Towing]:[Towing]]="Y",'Towing Bat Cost'!L27,0),"N/A")</f>
        <v>N/A</v>
      </c>
      <c r="Q206" s="157" t="str">
        <f>IF(Table44[[#This Row],[Applicable Package?]:[Applicable Package?]]="Y",SUM('Rolled Up Non-Incremental Costs'!M27,'ICE Removal Cost'!M27,'Trans Removal Cost'!M27,'LEV3 Criteria Emissions Cost'!M27,'ZEV Assembly Reductions'!M27,'ACCII Criteria Compliance Cost'!M27,'ACCII GHG Compliance'!M27,'Current GHG Compliance'!M27)+IF(Table44[[#This Row],[Cold]:[Cold]]="Y",'Cold Weather Package'!M27,0)+IF(Table44[[#This Row],[eAWD]:[eAWD]]="Y",'eAWD Package'!M27,0)+IF(Table44[[#This Row],[Towing]:[Towing]]="Y",'Towing Bat Cost'!M27,0),"N/A")</f>
        <v>N/A</v>
      </c>
      <c r="R206" s="157" t="str">
        <f>IF(Table44[[#This Row],[Applicable Package?]:[Applicable Package?]]="Y",SUM('Rolled Up Non-Incremental Costs'!N27,'ICE Removal Cost'!N27,'Trans Removal Cost'!N27,'LEV3 Criteria Emissions Cost'!N27,'ZEV Assembly Reductions'!N27,'ACCII Criteria Compliance Cost'!N27,'ACCII GHG Compliance'!N27,'Current GHG Compliance'!N27)+IF(Table44[[#This Row],[Cold]:[Cold]]="Y",'Cold Weather Package'!N27,0)+IF(Table44[[#This Row],[eAWD]:[eAWD]]="Y",'eAWD Package'!N27,0)+IF(Table44[[#This Row],[Towing]:[Towing]]="Y",'Towing Bat Cost'!N27,0),"N/A")</f>
        <v>N/A</v>
      </c>
      <c r="S206" s="157" t="str">
        <f>IF(Table44[[#This Row],[Applicable Package?]:[Applicable Package?]]="Y",SUM('Rolled Up Non-Incremental Costs'!O27,'ICE Removal Cost'!O27,'Trans Removal Cost'!O27,'LEV3 Criteria Emissions Cost'!O27,'ZEV Assembly Reductions'!O27,'ACCII Criteria Compliance Cost'!O27,'ACCII GHG Compliance'!O27,'Current GHG Compliance'!O27)+IF(Table44[[#This Row],[Cold]:[Cold]]="Y",'Cold Weather Package'!O27,0)+IF(Table44[[#This Row],[eAWD]:[eAWD]]="Y",'eAWD Package'!O27,0)+IF(Table44[[#This Row],[Towing]:[Towing]]="Y",'Towing Bat Cost'!O27,0),"N/A")</f>
        <v>N/A</v>
      </c>
    </row>
    <row r="207" spans="1:19" hidden="1" x14ac:dyDescent="0.3">
      <c r="A207" s="28" t="str">
        <f t="shared" si="5"/>
        <v>MedCarBaseFCEV320</v>
      </c>
      <c r="B207" s="90" t="s">
        <v>82</v>
      </c>
      <c r="C207" s="68" t="s">
        <v>80</v>
      </c>
      <c r="D207" s="68" t="str">
        <f>'Vehicle Attributes - Base Year'!D25</f>
        <v>FCEV320</v>
      </c>
      <c r="E207" s="124" t="s">
        <v>77</v>
      </c>
      <c r="F207" s="124" t="s">
        <v>76</v>
      </c>
      <c r="G207" s="125" t="s">
        <v>76</v>
      </c>
      <c r="H207" s="156" t="s">
        <v>77</v>
      </c>
      <c r="I207" s="157" t="str">
        <f>IF(Table44[[#This Row],[Applicable Package?]:[Applicable Package?]]="Y",SUM('Rolled Up Non-Incremental Costs'!E28,'ICE Removal Cost'!E28,'Trans Removal Cost'!E28,'LEV3 Criteria Emissions Cost'!E28,'ZEV Assembly Reductions'!E28,'ACCII Criteria Compliance Cost'!E28,'ACCII GHG Compliance'!E28,'Current GHG Compliance'!E28)+IF(Table44[[#This Row],[Cold]:[Cold]]="Y",'Cold Weather Package'!E28,0)+IF(Table44[[#This Row],[eAWD]:[eAWD]]="Y",'eAWD Package'!E28,0)+IF(Table44[[#This Row],[Towing]:[Towing]]="Y",'Towing Bat Cost'!E28,0),"N/A")</f>
        <v>N/A</v>
      </c>
      <c r="J207" s="157" t="str">
        <f>IF(Table44[[#This Row],[Applicable Package?]:[Applicable Package?]]="Y",SUM('Rolled Up Non-Incremental Costs'!F28,'ICE Removal Cost'!F28,'Trans Removal Cost'!F28,'LEV3 Criteria Emissions Cost'!F28,'ZEV Assembly Reductions'!F28,'ACCII Criteria Compliance Cost'!F28,'ACCII GHG Compliance'!F28,'Current GHG Compliance'!F28)+IF(Table44[[#This Row],[Cold]:[Cold]]="Y",'Cold Weather Package'!F28,0)+IF(Table44[[#This Row],[eAWD]:[eAWD]]="Y",'eAWD Package'!F28,0)+IF(Table44[[#This Row],[Towing]:[Towing]]="Y",'Towing Bat Cost'!F28,0),"N/A")</f>
        <v>N/A</v>
      </c>
      <c r="K207" s="157" t="str">
        <f>IF(Table44[[#This Row],[Applicable Package?]:[Applicable Package?]]="Y",SUM('Rolled Up Non-Incremental Costs'!G28,'ICE Removal Cost'!G28,'Trans Removal Cost'!G28,'LEV3 Criteria Emissions Cost'!G28,'ZEV Assembly Reductions'!G28,'ACCII Criteria Compliance Cost'!G28,'ACCII GHG Compliance'!G28,'Current GHG Compliance'!G28)+IF(Table44[[#This Row],[Cold]:[Cold]]="Y",'Cold Weather Package'!G28,0)+IF(Table44[[#This Row],[eAWD]:[eAWD]]="Y",'eAWD Package'!G28,0)+IF(Table44[[#This Row],[Towing]:[Towing]]="Y",'Towing Bat Cost'!G28,0),"N/A")</f>
        <v>N/A</v>
      </c>
      <c r="L207" s="157" t="str">
        <f>IF(Table44[[#This Row],[Applicable Package?]:[Applicable Package?]]="Y",SUM('Rolled Up Non-Incremental Costs'!H28,'ICE Removal Cost'!H28,'Trans Removal Cost'!H28,'LEV3 Criteria Emissions Cost'!H28,'ZEV Assembly Reductions'!H28,'ACCII Criteria Compliance Cost'!H28,'ACCII GHG Compliance'!H28,'Current GHG Compliance'!H28)+IF(Table44[[#This Row],[Cold]:[Cold]]="Y",'Cold Weather Package'!H28,0)+IF(Table44[[#This Row],[eAWD]:[eAWD]]="Y",'eAWD Package'!H28,0)+IF(Table44[[#This Row],[Towing]:[Towing]]="Y",'Towing Bat Cost'!H28,0),"N/A")</f>
        <v>N/A</v>
      </c>
      <c r="M207" s="157" t="str">
        <f>IF(Table44[[#This Row],[Applicable Package?]:[Applicable Package?]]="Y",SUM('Rolled Up Non-Incremental Costs'!I28,'ICE Removal Cost'!I28,'Trans Removal Cost'!I28,'LEV3 Criteria Emissions Cost'!I28,'ZEV Assembly Reductions'!I28,'ACCII Criteria Compliance Cost'!I28,'ACCII GHG Compliance'!I28,'Current GHG Compliance'!I28)+IF(Table44[[#This Row],[Cold]:[Cold]]="Y",'Cold Weather Package'!I28,0)+IF(Table44[[#This Row],[eAWD]:[eAWD]]="Y",'eAWD Package'!I28,0)+IF(Table44[[#This Row],[Towing]:[Towing]]="Y",'Towing Bat Cost'!I28,0),"N/A")</f>
        <v>N/A</v>
      </c>
      <c r="N207" s="157" t="str">
        <f>IF(Table44[[#This Row],[Applicable Package?]:[Applicable Package?]]="Y",SUM('Rolled Up Non-Incremental Costs'!J28,'ICE Removal Cost'!J28,'Trans Removal Cost'!J28,'LEV3 Criteria Emissions Cost'!J28,'ZEV Assembly Reductions'!J28,'ACCII Criteria Compliance Cost'!J28,'ACCII GHG Compliance'!J28,'Current GHG Compliance'!J28)+IF(Table44[[#This Row],[Cold]:[Cold]]="Y",'Cold Weather Package'!J28,0)+IF(Table44[[#This Row],[eAWD]:[eAWD]]="Y",'eAWD Package'!J28,0)+IF(Table44[[#This Row],[Towing]:[Towing]]="Y",'Towing Bat Cost'!J28,0),"N/A")</f>
        <v>N/A</v>
      </c>
      <c r="O207" s="157" t="str">
        <f>IF(Table44[[#This Row],[Applicable Package?]:[Applicable Package?]]="Y",SUM('Rolled Up Non-Incremental Costs'!K28,'ICE Removal Cost'!K28,'Trans Removal Cost'!K28,'LEV3 Criteria Emissions Cost'!K28,'ZEV Assembly Reductions'!K28,'ACCII Criteria Compliance Cost'!K28,'ACCII GHG Compliance'!K28,'Current GHG Compliance'!K28)+IF(Table44[[#This Row],[Cold]:[Cold]]="Y",'Cold Weather Package'!K28,0)+IF(Table44[[#This Row],[eAWD]:[eAWD]]="Y",'eAWD Package'!K28,0)+IF(Table44[[#This Row],[Towing]:[Towing]]="Y",'Towing Bat Cost'!K28,0),"N/A")</f>
        <v>N/A</v>
      </c>
      <c r="P207" s="157" t="str">
        <f>IF(Table44[[#This Row],[Applicable Package?]:[Applicable Package?]]="Y",SUM('Rolled Up Non-Incremental Costs'!L28,'ICE Removal Cost'!L28,'Trans Removal Cost'!L28,'LEV3 Criteria Emissions Cost'!L28,'ZEV Assembly Reductions'!L28,'ACCII Criteria Compliance Cost'!L28,'ACCII GHG Compliance'!L28,'Current GHG Compliance'!L28)+IF(Table44[[#This Row],[Cold]:[Cold]]="Y",'Cold Weather Package'!L28,0)+IF(Table44[[#This Row],[eAWD]:[eAWD]]="Y",'eAWD Package'!L28,0)+IF(Table44[[#This Row],[Towing]:[Towing]]="Y",'Towing Bat Cost'!L28,0),"N/A")</f>
        <v>N/A</v>
      </c>
      <c r="Q207" s="157" t="str">
        <f>IF(Table44[[#This Row],[Applicable Package?]:[Applicable Package?]]="Y",SUM('Rolled Up Non-Incremental Costs'!M28,'ICE Removal Cost'!M28,'Trans Removal Cost'!M28,'LEV3 Criteria Emissions Cost'!M28,'ZEV Assembly Reductions'!M28,'ACCII Criteria Compliance Cost'!M28,'ACCII GHG Compliance'!M28,'Current GHG Compliance'!M28)+IF(Table44[[#This Row],[Cold]:[Cold]]="Y",'Cold Weather Package'!M28,0)+IF(Table44[[#This Row],[eAWD]:[eAWD]]="Y",'eAWD Package'!M28,0)+IF(Table44[[#This Row],[Towing]:[Towing]]="Y",'Towing Bat Cost'!M28,0),"N/A")</f>
        <v>N/A</v>
      </c>
      <c r="R207" s="157" t="str">
        <f>IF(Table44[[#This Row],[Applicable Package?]:[Applicable Package?]]="Y",SUM('Rolled Up Non-Incremental Costs'!N28,'ICE Removal Cost'!N28,'Trans Removal Cost'!N28,'LEV3 Criteria Emissions Cost'!N28,'ZEV Assembly Reductions'!N28,'ACCII Criteria Compliance Cost'!N28,'ACCII GHG Compliance'!N28,'Current GHG Compliance'!N28)+IF(Table44[[#This Row],[Cold]:[Cold]]="Y",'Cold Weather Package'!N28,0)+IF(Table44[[#This Row],[eAWD]:[eAWD]]="Y",'eAWD Package'!N28,0)+IF(Table44[[#This Row],[Towing]:[Towing]]="Y",'Towing Bat Cost'!N28,0),"N/A")</f>
        <v>N/A</v>
      </c>
      <c r="S207" s="157" t="str">
        <f>IF(Table44[[#This Row],[Applicable Package?]:[Applicable Package?]]="Y",SUM('Rolled Up Non-Incremental Costs'!O28,'ICE Removal Cost'!O28,'Trans Removal Cost'!O28,'LEV3 Criteria Emissions Cost'!O28,'ZEV Assembly Reductions'!O28,'ACCII Criteria Compliance Cost'!O28,'ACCII GHG Compliance'!O28,'Current GHG Compliance'!O28)+IF(Table44[[#This Row],[Cold]:[Cold]]="Y",'Cold Weather Package'!O28,0)+IF(Table44[[#This Row],[eAWD]:[eAWD]]="Y",'eAWD Package'!O28,0)+IF(Table44[[#This Row],[Towing]:[Towing]]="Y",'Towing Bat Cost'!O28,0),"N/A")</f>
        <v>N/A</v>
      </c>
    </row>
    <row r="208" spans="1:19" hidden="1" x14ac:dyDescent="0.3">
      <c r="A208" t="str">
        <f t="shared" si="5"/>
        <v>MedCarPremiumFCEV320</v>
      </c>
      <c r="B208" s="90" t="s">
        <v>83</v>
      </c>
      <c r="C208" s="68" t="s">
        <v>75</v>
      </c>
      <c r="D208" s="68" t="str">
        <f>'Vehicle Attributes - Base Year'!D26</f>
        <v>FCEV320</v>
      </c>
      <c r="E208" s="124" t="s">
        <v>77</v>
      </c>
      <c r="F208" s="124" t="s">
        <v>76</v>
      </c>
      <c r="G208" s="125" t="s">
        <v>76</v>
      </c>
      <c r="H208" s="156" t="s">
        <v>77</v>
      </c>
      <c r="I208" s="157" t="str">
        <f>IF(Table44[[#This Row],[Applicable Package?]:[Applicable Package?]]="Y",SUM('Rolled Up Non-Incremental Costs'!E29,'ICE Removal Cost'!E29,'Trans Removal Cost'!E29,'LEV3 Criteria Emissions Cost'!E29,'ZEV Assembly Reductions'!E29,'ACCII Criteria Compliance Cost'!E29,'ACCII GHG Compliance'!E29,'Current GHG Compliance'!E29)+IF(Table44[[#This Row],[Cold]:[Cold]]="Y",'Cold Weather Package'!E29,0)+IF(Table44[[#This Row],[eAWD]:[eAWD]]="Y",'eAWD Package'!E29,0)+IF(Table44[[#This Row],[Towing]:[Towing]]="Y",'Towing Bat Cost'!E29,0),"N/A")</f>
        <v>N/A</v>
      </c>
      <c r="J208" s="157" t="str">
        <f>IF(Table44[[#This Row],[Applicable Package?]:[Applicable Package?]]="Y",SUM('Rolled Up Non-Incremental Costs'!F29,'ICE Removal Cost'!F29,'Trans Removal Cost'!F29,'LEV3 Criteria Emissions Cost'!F29,'ZEV Assembly Reductions'!F29,'ACCII Criteria Compliance Cost'!F29,'ACCII GHG Compliance'!F29,'Current GHG Compliance'!F29)+IF(Table44[[#This Row],[Cold]:[Cold]]="Y",'Cold Weather Package'!F29,0)+IF(Table44[[#This Row],[eAWD]:[eAWD]]="Y",'eAWD Package'!F29,0)+IF(Table44[[#This Row],[Towing]:[Towing]]="Y",'Towing Bat Cost'!F29,0),"N/A")</f>
        <v>N/A</v>
      </c>
      <c r="K208" s="157" t="str">
        <f>IF(Table44[[#This Row],[Applicable Package?]:[Applicable Package?]]="Y",SUM('Rolled Up Non-Incremental Costs'!G29,'ICE Removal Cost'!G29,'Trans Removal Cost'!G29,'LEV3 Criteria Emissions Cost'!G29,'ZEV Assembly Reductions'!G29,'ACCII Criteria Compliance Cost'!G29,'ACCII GHG Compliance'!G29,'Current GHG Compliance'!G29)+IF(Table44[[#This Row],[Cold]:[Cold]]="Y",'Cold Weather Package'!G29,0)+IF(Table44[[#This Row],[eAWD]:[eAWD]]="Y",'eAWD Package'!G29,0)+IF(Table44[[#This Row],[Towing]:[Towing]]="Y",'Towing Bat Cost'!G29,0),"N/A")</f>
        <v>N/A</v>
      </c>
      <c r="L208" s="157" t="str">
        <f>IF(Table44[[#This Row],[Applicable Package?]:[Applicable Package?]]="Y",SUM('Rolled Up Non-Incremental Costs'!H29,'ICE Removal Cost'!H29,'Trans Removal Cost'!H29,'LEV3 Criteria Emissions Cost'!H29,'ZEV Assembly Reductions'!H29,'ACCII Criteria Compliance Cost'!H29,'ACCII GHG Compliance'!H29,'Current GHG Compliance'!H29)+IF(Table44[[#This Row],[Cold]:[Cold]]="Y",'Cold Weather Package'!H29,0)+IF(Table44[[#This Row],[eAWD]:[eAWD]]="Y",'eAWD Package'!H29,0)+IF(Table44[[#This Row],[Towing]:[Towing]]="Y",'Towing Bat Cost'!H29,0),"N/A")</f>
        <v>N/A</v>
      </c>
      <c r="M208" s="157" t="str">
        <f>IF(Table44[[#This Row],[Applicable Package?]:[Applicable Package?]]="Y",SUM('Rolled Up Non-Incremental Costs'!I29,'ICE Removal Cost'!I29,'Trans Removal Cost'!I29,'LEV3 Criteria Emissions Cost'!I29,'ZEV Assembly Reductions'!I29,'ACCII Criteria Compliance Cost'!I29,'ACCII GHG Compliance'!I29,'Current GHG Compliance'!I29)+IF(Table44[[#This Row],[Cold]:[Cold]]="Y",'Cold Weather Package'!I29,0)+IF(Table44[[#This Row],[eAWD]:[eAWD]]="Y",'eAWD Package'!I29,0)+IF(Table44[[#This Row],[Towing]:[Towing]]="Y",'Towing Bat Cost'!I29,0),"N/A")</f>
        <v>N/A</v>
      </c>
      <c r="N208" s="157" t="str">
        <f>IF(Table44[[#This Row],[Applicable Package?]:[Applicable Package?]]="Y",SUM('Rolled Up Non-Incremental Costs'!J29,'ICE Removal Cost'!J29,'Trans Removal Cost'!J29,'LEV3 Criteria Emissions Cost'!J29,'ZEV Assembly Reductions'!J29,'ACCII Criteria Compliance Cost'!J29,'ACCII GHG Compliance'!J29,'Current GHG Compliance'!J29)+IF(Table44[[#This Row],[Cold]:[Cold]]="Y",'Cold Weather Package'!J29,0)+IF(Table44[[#This Row],[eAWD]:[eAWD]]="Y",'eAWD Package'!J29,0)+IF(Table44[[#This Row],[Towing]:[Towing]]="Y",'Towing Bat Cost'!J29,0),"N/A")</f>
        <v>N/A</v>
      </c>
      <c r="O208" s="157" t="str">
        <f>IF(Table44[[#This Row],[Applicable Package?]:[Applicable Package?]]="Y",SUM('Rolled Up Non-Incremental Costs'!K29,'ICE Removal Cost'!K29,'Trans Removal Cost'!K29,'LEV3 Criteria Emissions Cost'!K29,'ZEV Assembly Reductions'!K29,'ACCII Criteria Compliance Cost'!K29,'ACCII GHG Compliance'!K29,'Current GHG Compliance'!K29)+IF(Table44[[#This Row],[Cold]:[Cold]]="Y",'Cold Weather Package'!K29,0)+IF(Table44[[#This Row],[eAWD]:[eAWD]]="Y",'eAWD Package'!K29,0)+IF(Table44[[#This Row],[Towing]:[Towing]]="Y",'Towing Bat Cost'!K29,0),"N/A")</f>
        <v>N/A</v>
      </c>
      <c r="P208" s="157" t="str">
        <f>IF(Table44[[#This Row],[Applicable Package?]:[Applicable Package?]]="Y",SUM('Rolled Up Non-Incremental Costs'!L29,'ICE Removal Cost'!L29,'Trans Removal Cost'!L29,'LEV3 Criteria Emissions Cost'!L29,'ZEV Assembly Reductions'!L29,'ACCII Criteria Compliance Cost'!L29,'ACCII GHG Compliance'!L29,'Current GHG Compliance'!L29)+IF(Table44[[#This Row],[Cold]:[Cold]]="Y",'Cold Weather Package'!L29,0)+IF(Table44[[#This Row],[eAWD]:[eAWD]]="Y",'eAWD Package'!L29,0)+IF(Table44[[#This Row],[Towing]:[Towing]]="Y",'Towing Bat Cost'!L29,0),"N/A")</f>
        <v>N/A</v>
      </c>
      <c r="Q208" s="157" t="str">
        <f>IF(Table44[[#This Row],[Applicable Package?]:[Applicable Package?]]="Y",SUM('Rolled Up Non-Incremental Costs'!M29,'ICE Removal Cost'!M29,'Trans Removal Cost'!M29,'LEV3 Criteria Emissions Cost'!M29,'ZEV Assembly Reductions'!M29,'ACCII Criteria Compliance Cost'!M29,'ACCII GHG Compliance'!M29,'Current GHG Compliance'!M29)+IF(Table44[[#This Row],[Cold]:[Cold]]="Y",'Cold Weather Package'!M29,0)+IF(Table44[[#This Row],[eAWD]:[eAWD]]="Y",'eAWD Package'!M29,0)+IF(Table44[[#This Row],[Towing]:[Towing]]="Y",'Towing Bat Cost'!M29,0),"N/A")</f>
        <v>N/A</v>
      </c>
      <c r="R208" s="157" t="str">
        <f>IF(Table44[[#This Row],[Applicable Package?]:[Applicable Package?]]="Y",SUM('Rolled Up Non-Incremental Costs'!N29,'ICE Removal Cost'!N29,'Trans Removal Cost'!N29,'LEV3 Criteria Emissions Cost'!N29,'ZEV Assembly Reductions'!N29,'ACCII Criteria Compliance Cost'!N29,'ACCII GHG Compliance'!N29,'Current GHG Compliance'!N29)+IF(Table44[[#This Row],[Cold]:[Cold]]="Y",'Cold Weather Package'!N29,0)+IF(Table44[[#This Row],[eAWD]:[eAWD]]="Y",'eAWD Package'!N29,0)+IF(Table44[[#This Row],[Towing]:[Towing]]="Y",'Towing Bat Cost'!N29,0),"N/A")</f>
        <v>N/A</v>
      </c>
      <c r="S208" s="157" t="str">
        <f>IF(Table44[[#This Row],[Applicable Package?]:[Applicable Package?]]="Y",SUM('Rolled Up Non-Incremental Costs'!O29,'ICE Removal Cost'!O29,'Trans Removal Cost'!O29,'LEV3 Criteria Emissions Cost'!O29,'ZEV Assembly Reductions'!O29,'ACCII Criteria Compliance Cost'!O29,'ACCII GHG Compliance'!O29,'Current GHG Compliance'!O29)+IF(Table44[[#This Row],[Cold]:[Cold]]="Y",'Cold Weather Package'!O29,0)+IF(Table44[[#This Row],[eAWD]:[eAWD]]="Y",'eAWD Package'!O29,0)+IF(Table44[[#This Row],[Towing]:[Towing]]="Y",'Towing Bat Cost'!O29,0),"N/A")</f>
        <v>N/A</v>
      </c>
    </row>
    <row r="209" spans="1:19" hidden="1" x14ac:dyDescent="0.3">
      <c r="A209" s="28" t="str">
        <f t="shared" si="5"/>
        <v>SmallSUVBaseFCEV320</v>
      </c>
      <c r="B209" s="90" t="s">
        <v>83</v>
      </c>
      <c r="C209" s="68" t="s">
        <v>80</v>
      </c>
      <c r="D209" s="68" t="str">
        <f>'Vehicle Attributes - Base Year'!D27</f>
        <v>FCEV320</v>
      </c>
      <c r="E209" s="124" t="s">
        <v>77</v>
      </c>
      <c r="F209" s="124" t="s">
        <v>76</v>
      </c>
      <c r="G209" s="125" t="s">
        <v>76</v>
      </c>
      <c r="H209" s="156" t="s">
        <v>77</v>
      </c>
      <c r="I209" s="157" t="str">
        <f>IF(Table44[[#This Row],[Applicable Package?]:[Applicable Package?]]="Y",SUM('Rolled Up Non-Incremental Costs'!E30,'ICE Removal Cost'!E30,'Trans Removal Cost'!E30,'LEV3 Criteria Emissions Cost'!E30,'ZEV Assembly Reductions'!E30,'ACCII Criteria Compliance Cost'!E30,'ACCII GHG Compliance'!E30,'Current GHG Compliance'!E30)+IF(Table44[[#This Row],[Cold]:[Cold]]="Y",'Cold Weather Package'!E30,0)+IF(Table44[[#This Row],[eAWD]:[eAWD]]="Y",'eAWD Package'!E30,0)+IF(Table44[[#This Row],[Towing]:[Towing]]="Y",'Towing Bat Cost'!E30,0),"N/A")</f>
        <v>N/A</v>
      </c>
      <c r="J209" s="157" t="str">
        <f>IF(Table44[[#This Row],[Applicable Package?]:[Applicable Package?]]="Y",SUM('Rolled Up Non-Incremental Costs'!F30,'ICE Removal Cost'!F30,'Trans Removal Cost'!F30,'LEV3 Criteria Emissions Cost'!F30,'ZEV Assembly Reductions'!F30,'ACCII Criteria Compliance Cost'!F30,'ACCII GHG Compliance'!F30,'Current GHG Compliance'!F30)+IF(Table44[[#This Row],[Cold]:[Cold]]="Y",'Cold Weather Package'!F30,0)+IF(Table44[[#This Row],[eAWD]:[eAWD]]="Y",'eAWD Package'!F30,0)+IF(Table44[[#This Row],[Towing]:[Towing]]="Y",'Towing Bat Cost'!F30,0),"N/A")</f>
        <v>N/A</v>
      </c>
      <c r="K209" s="157" t="str">
        <f>IF(Table44[[#This Row],[Applicable Package?]:[Applicable Package?]]="Y",SUM('Rolled Up Non-Incremental Costs'!G30,'ICE Removal Cost'!G30,'Trans Removal Cost'!G30,'LEV3 Criteria Emissions Cost'!G30,'ZEV Assembly Reductions'!G30,'ACCII Criteria Compliance Cost'!G30,'ACCII GHG Compliance'!G30,'Current GHG Compliance'!G30)+IF(Table44[[#This Row],[Cold]:[Cold]]="Y",'Cold Weather Package'!G30,0)+IF(Table44[[#This Row],[eAWD]:[eAWD]]="Y",'eAWD Package'!G30,0)+IF(Table44[[#This Row],[Towing]:[Towing]]="Y",'Towing Bat Cost'!G30,0),"N/A")</f>
        <v>N/A</v>
      </c>
      <c r="L209" s="157" t="str">
        <f>IF(Table44[[#This Row],[Applicable Package?]:[Applicable Package?]]="Y",SUM('Rolled Up Non-Incremental Costs'!H30,'ICE Removal Cost'!H30,'Trans Removal Cost'!H30,'LEV3 Criteria Emissions Cost'!H30,'ZEV Assembly Reductions'!H30,'ACCII Criteria Compliance Cost'!H30,'ACCII GHG Compliance'!H30,'Current GHG Compliance'!H30)+IF(Table44[[#This Row],[Cold]:[Cold]]="Y",'Cold Weather Package'!H30,0)+IF(Table44[[#This Row],[eAWD]:[eAWD]]="Y",'eAWD Package'!H30,0)+IF(Table44[[#This Row],[Towing]:[Towing]]="Y",'Towing Bat Cost'!H30,0),"N/A")</f>
        <v>N/A</v>
      </c>
      <c r="M209" s="157" t="str">
        <f>IF(Table44[[#This Row],[Applicable Package?]:[Applicable Package?]]="Y",SUM('Rolled Up Non-Incremental Costs'!I30,'ICE Removal Cost'!I30,'Trans Removal Cost'!I30,'LEV3 Criteria Emissions Cost'!I30,'ZEV Assembly Reductions'!I30,'ACCII Criteria Compliance Cost'!I30,'ACCII GHG Compliance'!I30,'Current GHG Compliance'!I30)+IF(Table44[[#This Row],[Cold]:[Cold]]="Y",'Cold Weather Package'!I30,0)+IF(Table44[[#This Row],[eAWD]:[eAWD]]="Y",'eAWD Package'!I30,0)+IF(Table44[[#This Row],[Towing]:[Towing]]="Y",'Towing Bat Cost'!I30,0),"N/A")</f>
        <v>N/A</v>
      </c>
      <c r="N209" s="157" t="str">
        <f>IF(Table44[[#This Row],[Applicable Package?]:[Applicable Package?]]="Y",SUM('Rolled Up Non-Incremental Costs'!J30,'ICE Removal Cost'!J30,'Trans Removal Cost'!J30,'LEV3 Criteria Emissions Cost'!J30,'ZEV Assembly Reductions'!J30,'ACCII Criteria Compliance Cost'!J30,'ACCII GHG Compliance'!J30,'Current GHG Compliance'!J30)+IF(Table44[[#This Row],[Cold]:[Cold]]="Y",'Cold Weather Package'!J30,0)+IF(Table44[[#This Row],[eAWD]:[eAWD]]="Y",'eAWD Package'!J30,0)+IF(Table44[[#This Row],[Towing]:[Towing]]="Y",'Towing Bat Cost'!J30,0),"N/A")</f>
        <v>N/A</v>
      </c>
      <c r="O209" s="157" t="str">
        <f>IF(Table44[[#This Row],[Applicable Package?]:[Applicable Package?]]="Y",SUM('Rolled Up Non-Incremental Costs'!K30,'ICE Removal Cost'!K30,'Trans Removal Cost'!K30,'LEV3 Criteria Emissions Cost'!K30,'ZEV Assembly Reductions'!K30,'ACCII Criteria Compliance Cost'!K30,'ACCII GHG Compliance'!K30,'Current GHG Compliance'!K30)+IF(Table44[[#This Row],[Cold]:[Cold]]="Y",'Cold Weather Package'!K30,0)+IF(Table44[[#This Row],[eAWD]:[eAWD]]="Y",'eAWD Package'!K30,0)+IF(Table44[[#This Row],[Towing]:[Towing]]="Y",'Towing Bat Cost'!K30,0),"N/A")</f>
        <v>N/A</v>
      </c>
      <c r="P209" s="157" t="str">
        <f>IF(Table44[[#This Row],[Applicable Package?]:[Applicable Package?]]="Y",SUM('Rolled Up Non-Incremental Costs'!L30,'ICE Removal Cost'!L30,'Trans Removal Cost'!L30,'LEV3 Criteria Emissions Cost'!L30,'ZEV Assembly Reductions'!L30,'ACCII Criteria Compliance Cost'!L30,'ACCII GHG Compliance'!L30,'Current GHG Compliance'!L30)+IF(Table44[[#This Row],[Cold]:[Cold]]="Y",'Cold Weather Package'!L30,0)+IF(Table44[[#This Row],[eAWD]:[eAWD]]="Y",'eAWD Package'!L30,0)+IF(Table44[[#This Row],[Towing]:[Towing]]="Y",'Towing Bat Cost'!L30,0),"N/A")</f>
        <v>N/A</v>
      </c>
      <c r="Q209" s="157" t="str">
        <f>IF(Table44[[#This Row],[Applicable Package?]:[Applicable Package?]]="Y",SUM('Rolled Up Non-Incremental Costs'!M30,'ICE Removal Cost'!M30,'Trans Removal Cost'!M30,'LEV3 Criteria Emissions Cost'!M30,'ZEV Assembly Reductions'!M30,'ACCII Criteria Compliance Cost'!M30,'ACCII GHG Compliance'!M30,'Current GHG Compliance'!M30)+IF(Table44[[#This Row],[Cold]:[Cold]]="Y",'Cold Weather Package'!M30,0)+IF(Table44[[#This Row],[eAWD]:[eAWD]]="Y",'eAWD Package'!M30,0)+IF(Table44[[#This Row],[Towing]:[Towing]]="Y",'Towing Bat Cost'!M30,0),"N/A")</f>
        <v>N/A</v>
      </c>
      <c r="R209" s="157" t="str">
        <f>IF(Table44[[#This Row],[Applicable Package?]:[Applicable Package?]]="Y",SUM('Rolled Up Non-Incremental Costs'!N30,'ICE Removal Cost'!N30,'Trans Removal Cost'!N30,'LEV3 Criteria Emissions Cost'!N30,'ZEV Assembly Reductions'!N30,'ACCII Criteria Compliance Cost'!N30,'ACCII GHG Compliance'!N30,'Current GHG Compliance'!N30)+IF(Table44[[#This Row],[Cold]:[Cold]]="Y",'Cold Weather Package'!N30,0)+IF(Table44[[#This Row],[eAWD]:[eAWD]]="Y",'eAWD Package'!N30,0)+IF(Table44[[#This Row],[Towing]:[Towing]]="Y",'Towing Bat Cost'!N30,0),"N/A")</f>
        <v>N/A</v>
      </c>
      <c r="S209" s="157" t="str">
        <f>IF(Table44[[#This Row],[Applicable Package?]:[Applicable Package?]]="Y",SUM('Rolled Up Non-Incremental Costs'!O30,'ICE Removal Cost'!O30,'Trans Removal Cost'!O30,'LEV3 Criteria Emissions Cost'!O30,'ZEV Assembly Reductions'!O30,'ACCII Criteria Compliance Cost'!O30,'ACCII GHG Compliance'!O30,'Current GHG Compliance'!O30)+IF(Table44[[#This Row],[Cold]:[Cold]]="Y",'Cold Weather Package'!O30,0)+IF(Table44[[#This Row],[eAWD]:[eAWD]]="Y",'eAWD Package'!O30,0)+IF(Table44[[#This Row],[Towing]:[Towing]]="Y",'Towing Bat Cost'!O30,0),"N/A")</f>
        <v>N/A</v>
      </c>
    </row>
    <row r="210" spans="1:19" hidden="1" x14ac:dyDescent="0.3">
      <c r="A210" t="str">
        <f t="shared" si="5"/>
        <v>SmallSUVPremiumFCEV320</v>
      </c>
      <c r="B210" s="90" t="s">
        <v>86</v>
      </c>
      <c r="C210" s="68" t="s">
        <v>75</v>
      </c>
      <c r="D210" s="68" t="str">
        <f>'Vehicle Attributes - Base Year'!D28</f>
        <v>FCEV320</v>
      </c>
      <c r="E210" s="124" t="s">
        <v>77</v>
      </c>
      <c r="F210" s="124" t="s">
        <v>76</v>
      </c>
      <c r="G210" s="125" t="s">
        <v>76</v>
      </c>
      <c r="H210" s="156" t="s">
        <v>76</v>
      </c>
      <c r="I210" s="157">
        <f>IF(Table44[[#This Row],[Applicable Package?]:[Applicable Package?]]="Y",SUM('Rolled Up Non-Incremental Costs'!E31,'ICE Removal Cost'!E31,'Trans Removal Cost'!E31,'LEV3 Criteria Emissions Cost'!E31,'ZEV Assembly Reductions'!E31,'ACCII Criteria Compliance Cost'!E31,'ACCII GHG Compliance'!E31,'Current GHG Compliance'!E31)+IF(Table44[[#This Row],[Cold]:[Cold]]="Y",'Cold Weather Package'!E31,0)+IF(Table44[[#This Row],[eAWD]:[eAWD]]="Y",'eAWD Package'!E31,0)+IF(Table44[[#This Row],[Towing]:[Towing]]="Y",'Towing Bat Cost'!E31,0),"N/A")</f>
        <v>12246.594013309834</v>
      </c>
      <c r="J210" s="157">
        <f>IF(Table44[[#This Row],[Applicable Package?]:[Applicable Package?]]="Y",SUM('Rolled Up Non-Incremental Costs'!F31,'ICE Removal Cost'!F31,'Trans Removal Cost'!F31,'LEV3 Criteria Emissions Cost'!F31,'ZEV Assembly Reductions'!F31,'ACCII Criteria Compliance Cost'!F31,'ACCII GHG Compliance'!F31,'Current GHG Compliance'!F31)+IF(Table44[[#This Row],[Cold]:[Cold]]="Y",'Cold Weather Package'!F31,0)+IF(Table44[[#This Row],[eAWD]:[eAWD]]="Y",'eAWD Package'!F31,0)+IF(Table44[[#This Row],[Towing]:[Towing]]="Y",'Towing Bat Cost'!F31,0),"N/A")</f>
        <v>10973.12163232256</v>
      </c>
      <c r="K210" s="157">
        <f>IF(Table44[[#This Row],[Applicable Package?]:[Applicable Package?]]="Y",SUM('Rolled Up Non-Incremental Costs'!G31,'ICE Removal Cost'!G31,'Trans Removal Cost'!G31,'LEV3 Criteria Emissions Cost'!G31,'ZEV Assembly Reductions'!G31,'ACCII Criteria Compliance Cost'!G31,'ACCII GHG Compliance'!G31,'Current GHG Compliance'!G31)+IF(Table44[[#This Row],[Cold]:[Cold]]="Y",'Cold Weather Package'!G31,0)+IF(Table44[[#This Row],[eAWD]:[eAWD]]="Y",'eAWD Package'!G31,0)+IF(Table44[[#This Row],[Towing]:[Towing]]="Y",'Towing Bat Cost'!G31,0),"N/A")</f>
        <v>9721.6955610059631</v>
      </c>
      <c r="L210" s="157">
        <f>IF(Table44[[#This Row],[Applicable Package?]:[Applicable Package?]]="Y",SUM('Rolled Up Non-Incremental Costs'!H31,'ICE Removal Cost'!H31,'Trans Removal Cost'!H31,'LEV3 Criteria Emissions Cost'!H31,'ZEV Assembly Reductions'!H31,'ACCII Criteria Compliance Cost'!H31,'ACCII GHG Compliance'!H31,'Current GHG Compliance'!H31)+IF(Table44[[#This Row],[Cold]:[Cold]]="Y",'Cold Weather Package'!H31,0)+IF(Table44[[#This Row],[eAWD]:[eAWD]]="Y",'eAWD Package'!H31,0)+IF(Table44[[#This Row],[Towing]:[Towing]]="Y",'Towing Bat Cost'!H31,0),"N/A")</f>
        <v>8492.3032377423951</v>
      </c>
      <c r="M210" s="157">
        <f>IF(Table44[[#This Row],[Applicable Package?]:[Applicable Package?]]="Y",SUM('Rolled Up Non-Incremental Costs'!I31,'ICE Removal Cost'!I31,'Trans Removal Cost'!I31,'LEV3 Criteria Emissions Cost'!I31,'ZEV Assembly Reductions'!I31,'ACCII Criteria Compliance Cost'!I31,'ACCII GHG Compliance'!I31,'Current GHG Compliance'!I31)+IF(Table44[[#This Row],[Cold]:[Cold]]="Y",'Cold Weather Package'!I31,0)+IF(Table44[[#This Row],[eAWD]:[eAWD]]="Y",'eAWD Package'!I31,0)+IF(Table44[[#This Row],[Towing]:[Towing]]="Y",'Towing Bat Cost'!I31,0),"N/A")</f>
        <v>7284.9322499158916</v>
      </c>
      <c r="N210" s="157">
        <f>IF(Table44[[#This Row],[Applicable Package?]:[Applicable Package?]]="Y",SUM('Rolled Up Non-Incremental Costs'!J31,'ICE Removal Cost'!J31,'Trans Removal Cost'!J31,'LEV3 Criteria Emissions Cost'!J31,'ZEV Assembly Reductions'!J31,'ACCII Criteria Compliance Cost'!J31,'ACCII GHG Compliance'!J31,'Current GHG Compliance'!J31)+IF(Table44[[#This Row],[Cold]:[Cold]]="Y",'Cold Weather Package'!J31,0)+IF(Table44[[#This Row],[eAWD]:[eAWD]]="Y",'eAWD Package'!J31,0)+IF(Table44[[#This Row],[Towing]:[Towing]]="Y",'Towing Bat Cost'!J31,0),"N/A")</f>
        <v>6099.5703321882584</v>
      </c>
      <c r="O210" s="157">
        <f>IF(Table44[[#This Row],[Applicable Package?]:[Applicable Package?]]="Y",SUM('Rolled Up Non-Incremental Costs'!K31,'ICE Removal Cost'!K31,'Trans Removal Cost'!K31,'LEV3 Criteria Emissions Cost'!K31,'ZEV Assembly Reductions'!K31,'ACCII Criteria Compliance Cost'!K31,'ACCII GHG Compliance'!K31,'Current GHG Compliance'!K31)+IF(Table44[[#This Row],[Cold]:[Cold]]="Y",'Cold Weather Package'!K31,0)+IF(Table44[[#This Row],[eAWD]:[eAWD]]="Y",'eAWD Package'!K31,0)+IF(Table44[[#This Row],[Towing]:[Towing]]="Y",'Towing Bat Cost'!K31,0),"N/A")</f>
        <v>5672.5716833393435</v>
      </c>
      <c r="P210" s="157">
        <f>IF(Table44[[#This Row],[Applicable Package?]:[Applicable Package?]]="Y",SUM('Rolled Up Non-Incremental Costs'!L31,'ICE Removal Cost'!L31,'Trans Removal Cost'!L31,'LEV3 Criteria Emissions Cost'!L31,'ZEV Assembly Reductions'!L31,'ACCII Criteria Compliance Cost'!L31,'ACCII GHG Compliance'!L31,'Current GHG Compliance'!L31)+IF(Table44[[#This Row],[Cold]:[Cold]]="Y",'Cold Weather Package'!L31,0)+IF(Table44[[#This Row],[eAWD]:[eAWD]]="Y",'eAWD Package'!L31,0)+IF(Table44[[#This Row],[Towing]:[Towing]]="Y",'Towing Bat Cost'!L31,0),"N/A")</f>
        <v>5251.2238127538776</v>
      </c>
      <c r="Q210" s="157">
        <f>IF(Table44[[#This Row],[Applicable Package?]:[Applicable Package?]]="Y",SUM('Rolled Up Non-Incremental Costs'!M31,'ICE Removal Cost'!M31,'Trans Removal Cost'!M31,'LEV3 Criteria Emissions Cost'!M31,'ZEV Assembly Reductions'!M31,'ACCII Criteria Compliance Cost'!M31,'ACCII GHG Compliance'!M31,'Current GHG Compliance'!M31)+IF(Table44[[#This Row],[Cold]:[Cold]]="Y",'Cold Weather Package'!M31,0)+IF(Table44[[#This Row],[eAWD]:[eAWD]]="Y",'eAWD Package'!M31,0)+IF(Table44[[#This Row],[Towing]:[Towing]]="Y",'Towing Bat Cost'!M31,0),"N/A")</f>
        <v>4835.5148867784756</v>
      </c>
      <c r="R210" s="157">
        <f>IF(Table44[[#This Row],[Applicable Package?]:[Applicable Package?]]="Y",SUM('Rolled Up Non-Incremental Costs'!N31,'ICE Removal Cost'!N31,'Trans Removal Cost'!N31,'LEV3 Criteria Emissions Cost'!N31,'ZEV Assembly Reductions'!N31,'ACCII Criteria Compliance Cost'!N31,'ACCII GHG Compliance'!N31,'Current GHG Compliance'!N31)+IF(Table44[[#This Row],[Cold]:[Cold]]="Y",'Cold Weather Package'!N31,0)+IF(Table44[[#This Row],[eAWD]:[eAWD]]="Y",'eAWD Package'!N31,0)+IF(Table44[[#This Row],[Towing]:[Towing]]="Y",'Towing Bat Cost'!N31,0),"N/A")</f>
        <v>4425.4332123356535</v>
      </c>
      <c r="S210" s="157">
        <f>IF(Table44[[#This Row],[Applicable Package?]:[Applicable Package?]]="Y",SUM('Rolled Up Non-Incremental Costs'!O31,'ICE Removal Cost'!O31,'Trans Removal Cost'!O31,'LEV3 Criteria Emissions Cost'!O31,'ZEV Assembly Reductions'!O31,'ACCII Criteria Compliance Cost'!O31,'ACCII GHG Compliance'!O31,'Current GHG Compliance'!O31)+IF(Table44[[#This Row],[Cold]:[Cold]]="Y",'Cold Weather Package'!O31,0)+IF(Table44[[#This Row],[eAWD]:[eAWD]]="Y",'eAWD Package'!O31,0)+IF(Table44[[#This Row],[Towing]:[Towing]]="Y",'Towing Bat Cost'!O31,0),"N/A")</f>
        <v>4020.9672352956641</v>
      </c>
    </row>
    <row r="211" spans="1:19" hidden="1" x14ac:dyDescent="0.3">
      <c r="A211" s="28" t="str">
        <f t="shared" si="5"/>
        <v>MedSUVBaseFCEV320</v>
      </c>
      <c r="B211" s="90" t="s">
        <v>86</v>
      </c>
      <c r="C211" s="68" t="s">
        <v>80</v>
      </c>
      <c r="D211" s="68" t="str">
        <f>'Vehicle Attributes - Base Year'!D29</f>
        <v>FCEV320</v>
      </c>
      <c r="E211" s="124" t="s">
        <v>77</v>
      </c>
      <c r="F211" s="124" t="s">
        <v>76</v>
      </c>
      <c r="G211" s="125" t="s">
        <v>76</v>
      </c>
      <c r="H211" s="156" t="s">
        <v>76</v>
      </c>
      <c r="I211" s="157">
        <f>IF(Table44[[#This Row],[Applicable Package?]:[Applicable Package?]]="Y",SUM('Rolled Up Non-Incremental Costs'!E32,'ICE Removal Cost'!E32,'Trans Removal Cost'!E32,'LEV3 Criteria Emissions Cost'!E32,'ZEV Assembly Reductions'!E32,'ACCII Criteria Compliance Cost'!E32,'ACCII GHG Compliance'!E32,'Current GHG Compliance'!E32)+IF(Table44[[#This Row],[Cold]:[Cold]]="Y",'Cold Weather Package'!E32,0)+IF(Table44[[#This Row],[eAWD]:[eAWD]]="Y",'eAWD Package'!E32,0)+IF(Table44[[#This Row],[Towing]:[Towing]]="Y",'Towing Bat Cost'!E32,0),"N/A")</f>
        <v>11746.594013309834</v>
      </c>
      <c r="J211" s="157">
        <f>IF(Table44[[#This Row],[Applicable Package?]:[Applicable Package?]]="Y",SUM('Rolled Up Non-Incremental Costs'!F32,'ICE Removal Cost'!F32,'Trans Removal Cost'!F32,'LEV3 Criteria Emissions Cost'!F32,'ZEV Assembly Reductions'!F32,'ACCII Criteria Compliance Cost'!F32,'ACCII GHG Compliance'!F32,'Current GHG Compliance'!F32)+IF(Table44[[#This Row],[Cold]:[Cold]]="Y",'Cold Weather Package'!F32,0)+IF(Table44[[#This Row],[eAWD]:[eAWD]]="Y",'eAWD Package'!F32,0)+IF(Table44[[#This Row],[Towing]:[Towing]]="Y",'Towing Bat Cost'!F32,0),"N/A")</f>
        <v>10473.12163232256</v>
      </c>
      <c r="K211" s="157">
        <f>IF(Table44[[#This Row],[Applicable Package?]:[Applicable Package?]]="Y",SUM('Rolled Up Non-Incremental Costs'!G32,'ICE Removal Cost'!G32,'Trans Removal Cost'!G32,'LEV3 Criteria Emissions Cost'!G32,'ZEV Assembly Reductions'!G32,'ACCII Criteria Compliance Cost'!G32,'ACCII GHG Compliance'!G32,'Current GHG Compliance'!G32)+IF(Table44[[#This Row],[Cold]:[Cold]]="Y",'Cold Weather Package'!G32,0)+IF(Table44[[#This Row],[eAWD]:[eAWD]]="Y",'eAWD Package'!G32,0)+IF(Table44[[#This Row],[Towing]:[Towing]]="Y",'Towing Bat Cost'!G32,0),"N/A")</f>
        <v>9221.6955610059631</v>
      </c>
      <c r="L211" s="157">
        <f>IF(Table44[[#This Row],[Applicable Package?]:[Applicable Package?]]="Y",SUM('Rolled Up Non-Incremental Costs'!H32,'ICE Removal Cost'!H32,'Trans Removal Cost'!H32,'LEV3 Criteria Emissions Cost'!H32,'ZEV Assembly Reductions'!H32,'ACCII Criteria Compliance Cost'!H32,'ACCII GHG Compliance'!H32,'Current GHG Compliance'!H32)+IF(Table44[[#This Row],[Cold]:[Cold]]="Y",'Cold Weather Package'!H32,0)+IF(Table44[[#This Row],[eAWD]:[eAWD]]="Y",'eAWD Package'!H32,0)+IF(Table44[[#This Row],[Towing]:[Towing]]="Y",'Towing Bat Cost'!H32,0),"N/A")</f>
        <v>7992.3032377423951</v>
      </c>
      <c r="M211" s="157">
        <f>IF(Table44[[#This Row],[Applicable Package?]:[Applicable Package?]]="Y",SUM('Rolled Up Non-Incremental Costs'!I32,'ICE Removal Cost'!I32,'Trans Removal Cost'!I32,'LEV3 Criteria Emissions Cost'!I32,'ZEV Assembly Reductions'!I32,'ACCII Criteria Compliance Cost'!I32,'ACCII GHG Compliance'!I32,'Current GHG Compliance'!I32)+IF(Table44[[#This Row],[Cold]:[Cold]]="Y",'Cold Weather Package'!I32,0)+IF(Table44[[#This Row],[eAWD]:[eAWD]]="Y",'eAWD Package'!I32,0)+IF(Table44[[#This Row],[Towing]:[Towing]]="Y",'Towing Bat Cost'!I32,0),"N/A")</f>
        <v>6784.9322499158916</v>
      </c>
      <c r="N211" s="157">
        <f>IF(Table44[[#This Row],[Applicable Package?]:[Applicable Package?]]="Y",SUM('Rolled Up Non-Incremental Costs'!J32,'ICE Removal Cost'!J32,'Trans Removal Cost'!J32,'LEV3 Criteria Emissions Cost'!J32,'ZEV Assembly Reductions'!J32,'ACCII Criteria Compliance Cost'!J32,'ACCII GHG Compliance'!J32,'Current GHG Compliance'!J32)+IF(Table44[[#This Row],[Cold]:[Cold]]="Y",'Cold Weather Package'!J32,0)+IF(Table44[[#This Row],[eAWD]:[eAWD]]="Y",'eAWD Package'!J32,0)+IF(Table44[[#This Row],[Towing]:[Towing]]="Y",'Towing Bat Cost'!J32,0),"N/A")</f>
        <v>5599.5703321882584</v>
      </c>
      <c r="O211" s="157">
        <f>IF(Table44[[#This Row],[Applicable Package?]:[Applicable Package?]]="Y",SUM('Rolled Up Non-Incremental Costs'!K32,'ICE Removal Cost'!K32,'Trans Removal Cost'!K32,'LEV3 Criteria Emissions Cost'!K32,'ZEV Assembly Reductions'!K32,'ACCII Criteria Compliance Cost'!K32,'ACCII GHG Compliance'!K32,'Current GHG Compliance'!K32)+IF(Table44[[#This Row],[Cold]:[Cold]]="Y",'Cold Weather Package'!K32,0)+IF(Table44[[#This Row],[eAWD]:[eAWD]]="Y",'eAWD Package'!K32,0)+IF(Table44[[#This Row],[Towing]:[Towing]]="Y",'Towing Bat Cost'!K32,0),"N/A")</f>
        <v>5172.5716833393435</v>
      </c>
      <c r="P211" s="157">
        <f>IF(Table44[[#This Row],[Applicable Package?]:[Applicable Package?]]="Y",SUM('Rolled Up Non-Incremental Costs'!L32,'ICE Removal Cost'!L32,'Trans Removal Cost'!L32,'LEV3 Criteria Emissions Cost'!L32,'ZEV Assembly Reductions'!L32,'ACCII Criteria Compliance Cost'!L32,'ACCII GHG Compliance'!L32,'Current GHG Compliance'!L32)+IF(Table44[[#This Row],[Cold]:[Cold]]="Y",'Cold Weather Package'!L32,0)+IF(Table44[[#This Row],[eAWD]:[eAWD]]="Y",'eAWD Package'!L32,0)+IF(Table44[[#This Row],[Towing]:[Towing]]="Y",'Towing Bat Cost'!L32,0),"N/A")</f>
        <v>4751.2238127538776</v>
      </c>
      <c r="Q211" s="157">
        <f>IF(Table44[[#This Row],[Applicable Package?]:[Applicable Package?]]="Y",SUM('Rolled Up Non-Incremental Costs'!M32,'ICE Removal Cost'!M32,'Trans Removal Cost'!M32,'LEV3 Criteria Emissions Cost'!M32,'ZEV Assembly Reductions'!M32,'ACCII Criteria Compliance Cost'!M32,'ACCII GHG Compliance'!M32,'Current GHG Compliance'!M32)+IF(Table44[[#This Row],[Cold]:[Cold]]="Y",'Cold Weather Package'!M32,0)+IF(Table44[[#This Row],[eAWD]:[eAWD]]="Y",'eAWD Package'!M32,0)+IF(Table44[[#This Row],[Towing]:[Towing]]="Y",'Towing Bat Cost'!M32,0),"N/A")</f>
        <v>4335.5148867784756</v>
      </c>
      <c r="R211" s="157">
        <f>IF(Table44[[#This Row],[Applicable Package?]:[Applicable Package?]]="Y",SUM('Rolled Up Non-Incremental Costs'!N32,'ICE Removal Cost'!N32,'Trans Removal Cost'!N32,'LEV3 Criteria Emissions Cost'!N32,'ZEV Assembly Reductions'!N32,'ACCII Criteria Compliance Cost'!N32,'ACCII GHG Compliance'!N32,'Current GHG Compliance'!N32)+IF(Table44[[#This Row],[Cold]:[Cold]]="Y",'Cold Weather Package'!N32,0)+IF(Table44[[#This Row],[eAWD]:[eAWD]]="Y",'eAWD Package'!N32,0)+IF(Table44[[#This Row],[Towing]:[Towing]]="Y",'Towing Bat Cost'!N32,0),"N/A")</f>
        <v>3925.4332123356535</v>
      </c>
      <c r="S211" s="157">
        <f>IF(Table44[[#This Row],[Applicable Package?]:[Applicable Package?]]="Y",SUM('Rolled Up Non-Incremental Costs'!O32,'ICE Removal Cost'!O32,'Trans Removal Cost'!O32,'LEV3 Criteria Emissions Cost'!O32,'ZEV Assembly Reductions'!O32,'ACCII Criteria Compliance Cost'!O32,'ACCII GHG Compliance'!O32,'Current GHG Compliance'!O32)+IF(Table44[[#This Row],[Cold]:[Cold]]="Y",'Cold Weather Package'!O32,0)+IF(Table44[[#This Row],[eAWD]:[eAWD]]="Y",'eAWD Package'!O32,0)+IF(Table44[[#This Row],[Towing]:[Towing]]="Y",'Towing Bat Cost'!O32,0),"N/A")</f>
        <v>3520.9672352956641</v>
      </c>
    </row>
    <row r="212" spans="1:19" hidden="1" x14ac:dyDescent="0.3">
      <c r="A212" t="str">
        <f t="shared" si="5"/>
        <v>MedSUVPremiumFCEV320</v>
      </c>
      <c r="B212" s="90" t="s">
        <v>89</v>
      </c>
      <c r="C212" s="68" t="s">
        <v>75</v>
      </c>
      <c r="D212" s="68" t="str">
        <f>'Vehicle Attributes - Base Year'!D30</f>
        <v>FCEV320</v>
      </c>
      <c r="E212" s="124" t="s">
        <v>77</v>
      </c>
      <c r="F212" s="124" t="s">
        <v>76</v>
      </c>
      <c r="G212" s="125" t="s">
        <v>76</v>
      </c>
      <c r="H212" s="156" t="s">
        <v>76</v>
      </c>
      <c r="I212" s="157">
        <f>IF(Table44[[#This Row],[Applicable Package?]:[Applicable Package?]]="Y",SUM('Rolled Up Non-Incremental Costs'!E33,'ICE Removal Cost'!E33,'Trans Removal Cost'!E33,'LEV3 Criteria Emissions Cost'!E33,'ZEV Assembly Reductions'!E33,'ACCII Criteria Compliance Cost'!E33,'ACCII GHG Compliance'!E33,'Current GHG Compliance'!E33)+IF(Table44[[#This Row],[Cold]:[Cold]]="Y",'Cold Weather Package'!E33,0)+IF(Table44[[#This Row],[eAWD]:[eAWD]]="Y",'eAWD Package'!E33,0)+IF(Table44[[#This Row],[Towing]:[Towing]]="Y",'Towing Bat Cost'!E33,0),"N/A")</f>
        <v>16410.07337363714</v>
      </c>
      <c r="J212" s="157">
        <f>IF(Table44[[#This Row],[Applicable Package?]:[Applicable Package?]]="Y",SUM('Rolled Up Non-Incremental Costs'!F33,'ICE Removal Cost'!F33,'Trans Removal Cost'!F33,'LEV3 Criteria Emissions Cost'!F33,'ZEV Assembly Reductions'!F33,'ACCII Criteria Compliance Cost'!F33,'ACCII GHG Compliance'!F33,'Current GHG Compliance'!F33)+IF(Table44[[#This Row],[Cold]:[Cold]]="Y",'Cold Weather Package'!F33,0)+IF(Table44[[#This Row],[eAWD]:[eAWD]]="Y",'eAWD Package'!F33,0)+IF(Table44[[#This Row],[Towing]:[Towing]]="Y",'Towing Bat Cost'!F33,0),"N/A")</f>
        <v>14848.697640580682</v>
      </c>
      <c r="K212" s="157">
        <f>IF(Table44[[#This Row],[Applicable Package?]:[Applicable Package?]]="Y",SUM('Rolled Up Non-Incremental Costs'!G33,'ICE Removal Cost'!G33,'Trans Removal Cost'!G33,'LEV3 Criteria Emissions Cost'!G33,'ZEV Assembly Reductions'!G33,'ACCII Criteria Compliance Cost'!G33,'ACCII GHG Compliance'!G33,'Current GHG Compliance'!G33)+IF(Table44[[#This Row],[Cold]:[Cold]]="Y",'Cold Weather Package'!G33,0)+IF(Table44[[#This Row],[eAWD]:[eAWD]]="Y",'eAWD Package'!G33,0)+IF(Table44[[#This Row],[Towing]:[Towing]]="Y",'Towing Bat Cost'!G33,0),"N/A")</f>
        <v>13318.441879758549</v>
      </c>
      <c r="L212" s="157">
        <f>IF(Table44[[#This Row],[Applicable Package?]:[Applicable Package?]]="Y",SUM('Rolled Up Non-Incremental Costs'!H33,'ICE Removal Cost'!H33,'Trans Removal Cost'!H33,'LEV3 Criteria Emissions Cost'!H33,'ZEV Assembly Reductions'!H33,'ACCII Criteria Compliance Cost'!H33,'ACCII GHG Compliance'!H33,'Current GHG Compliance'!H33)+IF(Table44[[#This Row],[Cold]:[Cold]]="Y",'Cold Weather Package'!H33,0)+IF(Table44[[#This Row],[eAWD]:[eAWD]]="Y",'eAWD Package'!H33,0)+IF(Table44[[#This Row],[Towing]:[Towing]]="Y",'Towing Bat Cost'!H33,0),"N/A")</f>
        <v>11819.285983705739</v>
      </c>
      <c r="M212" s="157">
        <f>IF(Table44[[#This Row],[Applicable Package?]:[Applicable Package?]]="Y",SUM('Rolled Up Non-Incremental Costs'!I33,'ICE Removal Cost'!I33,'Trans Removal Cost'!I33,'LEV3 Criteria Emissions Cost'!I33,'ZEV Assembly Reductions'!I33,'ACCII Criteria Compliance Cost'!I33,'ACCII GHG Compliance'!I33,'Current GHG Compliance'!I33)+IF(Table44[[#This Row],[Cold]:[Cold]]="Y",'Cold Weather Package'!I33,0)+IF(Table44[[#This Row],[eAWD]:[eAWD]]="Y",'eAWD Package'!I33,0)+IF(Table44[[#This Row],[Towing]:[Towing]]="Y",'Towing Bat Cost'!I33,0),"N/A")</f>
        <v>10351.210092802874</v>
      </c>
      <c r="N212" s="157">
        <f>IF(Table44[[#This Row],[Applicable Package?]:[Applicable Package?]]="Y",SUM('Rolled Up Non-Incremental Costs'!J33,'ICE Removal Cost'!J33,'Trans Removal Cost'!J33,'LEV3 Criteria Emissions Cost'!J33,'ZEV Assembly Reductions'!J33,'ACCII Criteria Compliance Cost'!J33,'ACCII GHG Compliance'!J33,'Current GHG Compliance'!J33)+IF(Table44[[#This Row],[Cold]:[Cold]]="Y",'Cold Weather Package'!J33,0)+IF(Table44[[#This Row],[eAWD]:[eAWD]]="Y",'eAWD Package'!J33,0)+IF(Table44[[#This Row],[Towing]:[Towing]]="Y",'Towing Bat Cost'!J33,0),"N/A")</f>
        <v>8914.1945923300191</v>
      </c>
      <c r="O212" s="157">
        <f>IF(Table44[[#This Row],[Applicable Package?]:[Applicable Package?]]="Y",SUM('Rolled Up Non-Incremental Costs'!K33,'ICE Removal Cost'!K33,'Trans Removal Cost'!K33,'LEV3 Criteria Emissions Cost'!K33,'ZEV Assembly Reductions'!K33,'ACCII Criteria Compliance Cost'!K33,'ACCII GHG Compliance'!K33,'Current GHG Compliance'!K33)+IF(Table44[[#This Row],[Cold]:[Cold]]="Y",'Cold Weather Package'!K33,0)+IF(Table44[[#This Row],[eAWD]:[eAWD]]="Y",'eAWD Package'!K33,0)+IF(Table44[[#This Row],[Towing]:[Towing]]="Y",'Towing Bat Cost'!K33,0),"N/A")</f>
        <v>8338.7990408796431</v>
      </c>
      <c r="P212" s="157">
        <f>IF(Table44[[#This Row],[Applicable Package?]:[Applicable Package?]]="Y",SUM('Rolled Up Non-Incremental Costs'!L33,'ICE Removal Cost'!L33,'Trans Removal Cost'!L33,'LEV3 Criteria Emissions Cost'!L33,'ZEV Assembly Reductions'!L33,'ACCII Criteria Compliance Cost'!L33,'ACCII GHG Compliance'!L33,'Current GHG Compliance'!L33)+IF(Table44[[#This Row],[Cold]:[Cold]]="Y",'Cold Weather Package'!L33,0)+IF(Table44[[#This Row],[eAWD]:[eAWD]]="Y",'eAWD Package'!L33,0)+IF(Table44[[#This Row],[Towing]:[Towing]]="Y",'Towing Bat Cost'!L33,0),"N/A")</f>
        <v>7771.6647440792003</v>
      </c>
      <c r="Q212" s="157">
        <f>IF(Table44[[#This Row],[Applicable Package?]:[Applicable Package?]]="Y",SUM('Rolled Up Non-Incremental Costs'!M33,'ICE Removal Cost'!M33,'Trans Removal Cost'!M33,'LEV3 Criteria Emissions Cost'!M33,'ZEV Assembly Reductions'!M33,'ACCII Criteria Compliance Cost'!M33,'ACCII GHG Compliance'!M33,'Current GHG Compliance'!M33)+IF(Table44[[#This Row],[Cold]:[Cold]]="Y",'Cold Weather Package'!M33,0)+IF(Table44[[#This Row],[eAWD]:[eAWD]]="Y",'eAWD Package'!M33,0)+IF(Table44[[#This Row],[Towing]:[Towing]]="Y",'Towing Bat Cost'!M33,0),"N/A")</f>
        <v>7212.7861481855534</v>
      </c>
      <c r="R212" s="157">
        <f>IF(Table44[[#This Row],[Applicable Package?]:[Applicable Package?]]="Y",SUM('Rolled Up Non-Incremental Costs'!N33,'ICE Removal Cost'!N33,'Trans Removal Cost'!N33,'LEV3 Criteria Emissions Cost'!N33,'ZEV Assembly Reductions'!N33,'ACCII Criteria Compliance Cost'!N33,'ACCII GHG Compliance'!N33,'Current GHG Compliance'!N33)+IF(Table44[[#This Row],[Cold]:[Cold]]="Y",'Cold Weather Package'!N33,0)+IF(Table44[[#This Row],[eAWD]:[eAWD]]="Y",'eAWD Package'!N33,0)+IF(Table44[[#This Row],[Towing]:[Towing]]="Y",'Towing Bat Cost'!N33,0),"N/A")</f>
        <v>6662.1577549929916</v>
      </c>
      <c r="S212" s="157">
        <f>IF(Table44[[#This Row],[Applicable Package?]:[Applicable Package?]]="Y",SUM('Rolled Up Non-Incremental Costs'!O33,'ICE Removal Cost'!O33,'Trans Removal Cost'!O33,'LEV3 Criteria Emissions Cost'!O33,'ZEV Assembly Reductions'!O33,'ACCII Criteria Compliance Cost'!O33,'ACCII GHG Compliance'!O33,'Current GHG Compliance'!O33)+IF(Table44[[#This Row],[Cold]:[Cold]]="Y",'Cold Weather Package'!O33,0)+IF(Table44[[#This Row],[eAWD]:[eAWD]]="Y",'eAWD Package'!O33,0)+IF(Table44[[#This Row],[Towing]:[Towing]]="Y",'Towing Bat Cost'!O33,0),"N/A")</f>
        <v>6119.7741212778601</v>
      </c>
    </row>
    <row r="213" spans="1:19" hidden="1" x14ac:dyDescent="0.3">
      <c r="A213" s="28" t="str">
        <f t="shared" si="5"/>
        <v>PickupBaseFCEV320</v>
      </c>
      <c r="B213" s="90" t="s">
        <v>89</v>
      </c>
      <c r="C213" s="68" t="s">
        <v>113</v>
      </c>
      <c r="D213" s="68" t="str">
        <f>'Vehicle Attributes - Base Year'!D31</f>
        <v>FCEV320</v>
      </c>
      <c r="E213" s="124" t="s">
        <v>77</v>
      </c>
      <c r="F213" s="124" t="s">
        <v>76</v>
      </c>
      <c r="G213" s="125" t="s">
        <v>76</v>
      </c>
      <c r="H213" s="156" t="s">
        <v>76</v>
      </c>
      <c r="I213" s="157">
        <f>IF(Table44[[#This Row],[Applicable Package?]:[Applicable Package?]]="Y",SUM('Rolled Up Non-Incremental Costs'!E34,'ICE Removal Cost'!E34,'Trans Removal Cost'!E34,'LEV3 Criteria Emissions Cost'!E34,'ZEV Assembly Reductions'!E34,'ACCII Criteria Compliance Cost'!E34,'ACCII GHG Compliance'!E34,'Current GHG Compliance'!E34)+IF(Table44[[#This Row],[Cold]:[Cold]]="Y",'Cold Weather Package'!E34,0)+IF(Table44[[#This Row],[eAWD]:[eAWD]]="Y",'eAWD Package'!E34,0)+IF(Table44[[#This Row],[Towing]:[Towing]]="Y",'Towing Bat Cost'!E34,0),"N/A")</f>
        <v>16410.07337363714</v>
      </c>
      <c r="J213" s="157">
        <f>IF(Table44[[#This Row],[Applicable Package?]:[Applicable Package?]]="Y",SUM('Rolled Up Non-Incremental Costs'!F34,'ICE Removal Cost'!F34,'Trans Removal Cost'!F34,'LEV3 Criteria Emissions Cost'!F34,'ZEV Assembly Reductions'!F34,'ACCII Criteria Compliance Cost'!F34,'ACCII GHG Compliance'!F34,'Current GHG Compliance'!F34)+IF(Table44[[#This Row],[Cold]:[Cold]]="Y",'Cold Weather Package'!F34,0)+IF(Table44[[#This Row],[eAWD]:[eAWD]]="Y",'eAWD Package'!F34,0)+IF(Table44[[#This Row],[Towing]:[Towing]]="Y",'Towing Bat Cost'!F34,0),"N/A")</f>
        <v>14848.697640580682</v>
      </c>
      <c r="K213" s="157">
        <f>IF(Table44[[#This Row],[Applicable Package?]:[Applicable Package?]]="Y",SUM('Rolled Up Non-Incremental Costs'!G34,'ICE Removal Cost'!G34,'Trans Removal Cost'!G34,'LEV3 Criteria Emissions Cost'!G34,'ZEV Assembly Reductions'!G34,'ACCII Criteria Compliance Cost'!G34,'ACCII GHG Compliance'!G34,'Current GHG Compliance'!G34)+IF(Table44[[#This Row],[Cold]:[Cold]]="Y",'Cold Weather Package'!G34,0)+IF(Table44[[#This Row],[eAWD]:[eAWD]]="Y",'eAWD Package'!G34,0)+IF(Table44[[#This Row],[Towing]:[Towing]]="Y",'Towing Bat Cost'!G34,0),"N/A")</f>
        <v>13318.441879758549</v>
      </c>
      <c r="L213" s="157">
        <f>IF(Table44[[#This Row],[Applicable Package?]:[Applicable Package?]]="Y",SUM('Rolled Up Non-Incremental Costs'!H34,'ICE Removal Cost'!H34,'Trans Removal Cost'!H34,'LEV3 Criteria Emissions Cost'!H34,'ZEV Assembly Reductions'!H34,'ACCII Criteria Compliance Cost'!H34,'ACCII GHG Compliance'!H34,'Current GHG Compliance'!H34)+IF(Table44[[#This Row],[Cold]:[Cold]]="Y",'Cold Weather Package'!H34,0)+IF(Table44[[#This Row],[eAWD]:[eAWD]]="Y",'eAWD Package'!H34,0)+IF(Table44[[#This Row],[Towing]:[Towing]]="Y",'Towing Bat Cost'!H34,0),"N/A")</f>
        <v>11819.285983705739</v>
      </c>
      <c r="M213" s="157">
        <f>IF(Table44[[#This Row],[Applicable Package?]:[Applicable Package?]]="Y",SUM('Rolled Up Non-Incremental Costs'!I34,'ICE Removal Cost'!I34,'Trans Removal Cost'!I34,'LEV3 Criteria Emissions Cost'!I34,'ZEV Assembly Reductions'!I34,'ACCII Criteria Compliance Cost'!I34,'ACCII GHG Compliance'!I34,'Current GHG Compliance'!I34)+IF(Table44[[#This Row],[Cold]:[Cold]]="Y",'Cold Weather Package'!I34,0)+IF(Table44[[#This Row],[eAWD]:[eAWD]]="Y",'eAWD Package'!I34,0)+IF(Table44[[#This Row],[Towing]:[Towing]]="Y",'Towing Bat Cost'!I34,0),"N/A")</f>
        <v>10351.210092802874</v>
      </c>
      <c r="N213" s="157">
        <f>IF(Table44[[#This Row],[Applicable Package?]:[Applicable Package?]]="Y",SUM('Rolled Up Non-Incremental Costs'!J34,'ICE Removal Cost'!J34,'Trans Removal Cost'!J34,'LEV3 Criteria Emissions Cost'!J34,'ZEV Assembly Reductions'!J34,'ACCII Criteria Compliance Cost'!J34,'ACCII GHG Compliance'!J34,'Current GHG Compliance'!J34)+IF(Table44[[#This Row],[Cold]:[Cold]]="Y",'Cold Weather Package'!J34,0)+IF(Table44[[#This Row],[eAWD]:[eAWD]]="Y",'eAWD Package'!J34,0)+IF(Table44[[#This Row],[Towing]:[Towing]]="Y",'Towing Bat Cost'!J34,0),"N/A")</f>
        <v>8914.1945923300191</v>
      </c>
      <c r="O213" s="157">
        <f>IF(Table44[[#This Row],[Applicable Package?]:[Applicable Package?]]="Y",SUM('Rolled Up Non-Incremental Costs'!K34,'ICE Removal Cost'!K34,'Trans Removal Cost'!K34,'LEV3 Criteria Emissions Cost'!K34,'ZEV Assembly Reductions'!K34,'ACCII Criteria Compliance Cost'!K34,'ACCII GHG Compliance'!K34,'Current GHG Compliance'!K34)+IF(Table44[[#This Row],[Cold]:[Cold]]="Y",'Cold Weather Package'!K34,0)+IF(Table44[[#This Row],[eAWD]:[eAWD]]="Y",'eAWD Package'!K34,0)+IF(Table44[[#This Row],[Towing]:[Towing]]="Y",'Towing Bat Cost'!K34,0),"N/A")</f>
        <v>8338.7990408796431</v>
      </c>
      <c r="P213" s="157">
        <f>IF(Table44[[#This Row],[Applicable Package?]:[Applicable Package?]]="Y",SUM('Rolled Up Non-Incremental Costs'!L34,'ICE Removal Cost'!L34,'Trans Removal Cost'!L34,'LEV3 Criteria Emissions Cost'!L34,'ZEV Assembly Reductions'!L34,'ACCII Criteria Compliance Cost'!L34,'ACCII GHG Compliance'!L34,'Current GHG Compliance'!L34)+IF(Table44[[#This Row],[Cold]:[Cold]]="Y",'Cold Weather Package'!L34,0)+IF(Table44[[#This Row],[eAWD]:[eAWD]]="Y",'eAWD Package'!L34,0)+IF(Table44[[#This Row],[Towing]:[Towing]]="Y",'Towing Bat Cost'!L34,0),"N/A")</f>
        <v>7771.6647440792003</v>
      </c>
      <c r="Q213" s="157">
        <f>IF(Table44[[#This Row],[Applicable Package?]:[Applicable Package?]]="Y",SUM('Rolled Up Non-Incremental Costs'!M34,'ICE Removal Cost'!M34,'Trans Removal Cost'!M34,'LEV3 Criteria Emissions Cost'!M34,'ZEV Assembly Reductions'!M34,'ACCII Criteria Compliance Cost'!M34,'ACCII GHG Compliance'!M34,'Current GHG Compliance'!M34)+IF(Table44[[#This Row],[Cold]:[Cold]]="Y",'Cold Weather Package'!M34,0)+IF(Table44[[#This Row],[eAWD]:[eAWD]]="Y",'eAWD Package'!M34,0)+IF(Table44[[#This Row],[Towing]:[Towing]]="Y",'Towing Bat Cost'!M34,0),"N/A")</f>
        <v>7212.7861481855534</v>
      </c>
      <c r="R213" s="157">
        <f>IF(Table44[[#This Row],[Applicable Package?]:[Applicable Package?]]="Y",SUM('Rolled Up Non-Incremental Costs'!N34,'ICE Removal Cost'!N34,'Trans Removal Cost'!N34,'LEV3 Criteria Emissions Cost'!N34,'ZEV Assembly Reductions'!N34,'ACCII Criteria Compliance Cost'!N34,'ACCII GHG Compliance'!N34,'Current GHG Compliance'!N34)+IF(Table44[[#This Row],[Cold]:[Cold]]="Y",'Cold Weather Package'!N34,0)+IF(Table44[[#This Row],[eAWD]:[eAWD]]="Y",'eAWD Package'!N34,0)+IF(Table44[[#This Row],[Towing]:[Towing]]="Y",'Towing Bat Cost'!N34,0),"N/A")</f>
        <v>6662.1577549929916</v>
      </c>
      <c r="S213" s="157">
        <f>IF(Table44[[#This Row],[Applicable Package?]:[Applicable Package?]]="Y",SUM('Rolled Up Non-Incremental Costs'!O34,'ICE Removal Cost'!O34,'Trans Removal Cost'!O34,'LEV3 Criteria Emissions Cost'!O34,'ZEV Assembly Reductions'!O34,'ACCII Criteria Compliance Cost'!O34,'ACCII GHG Compliance'!O34,'Current GHG Compliance'!O34)+IF(Table44[[#This Row],[Cold]:[Cold]]="Y",'Cold Weather Package'!O34,0)+IF(Table44[[#This Row],[eAWD]:[eAWD]]="Y",'eAWD Package'!O34,0)+IF(Table44[[#This Row],[Towing]:[Towing]]="Y",'Towing Bat Cost'!O34,0),"N/A")</f>
        <v>6119.7741212778601</v>
      </c>
    </row>
    <row r="214" spans="1:19" hidden="1" x14ac:dyDescent="0.3">
      <c r="A214" t="str">
        <f t="shared" si="5"/>
        <v>PickupHTFCEV320</v>
      </c>
      <c r="B214" s="90" t="s">
        <v>73</v>
      </c>
      <c r="C214" s="68" t="s">
        <v>75</v>
      </c>
      <c r="D214" s="68" t="str">
        <f>'Vehicle Attributes - Base Year'!D2</f>
        <v>BEV300</v>
      </c>
      <c r="E214" s="124" t="s">
        <v>76</v>
      </c>
      <c r="F214" s="124" t="s">
        <v>76</v>
      </c>
      <c r="G214" s="125" t="s">
        <v>76</v>
      </c>
      <c r="H214" s="156" t="s">
        <v>77</v>
      </c>
      <c r="I214" s="157" t="str">
        <f>IF(Table44[[#This Row],[Applicable Package?]:[Applicable Package?]]="Y",SUM('Rolled Up Non-Incremental Costs'!E5,'ICE Removal Cost'!E5,'Trans Removal Cost'!E5,'LEV3 Criteria Emissions Cost'!E5,'ZEV Assembly Reductions'!E5,'ACCII Criteria Compliance Cost'!E5,'ACCII GHG Compliance'!E5,'Current GHG Compliance'!E5)+IF(Table44[[#This Row],[Cold]:[Cold]]="Y",'Cold Weather Package'!E5,0)+IF(Table44[[#This Row],[eAWD]:[eAWD]]="Y",'eAWD Package'!E5,0)+IF(Table44[[#This Row],[Towing]:[Towing]]="Y",'Towing Bat Cost'!E5,0),"N/A")</f>
        <v>N/A</v>
      </c>
      <c r="J214" s="157" t="str">
        <f>IF(Table44[[#This Row],[Applicable Package?]:[Applicable Package?]]="Y",SUM('Rolled Up Non-Incremental Costs'!F5,'ICE Removal Cost'!F5,'Trans Removal Cost'!F5,'LEV3 Criteria Emissions Cost'!F5,'ZEV Assembly Reductions'!F5,'ACCII Criteria Compliance Cost'!F5,'ACCII GHG Compliance'!F5,'Current GHG Compliance'!F5)+IF(Table44[[#This Row],[Cold]:[Cold]]="Y",'Cold Weather Package'!F5,0)+IF(Table44[[#This Row],[eAWD]:[eAWD]]="Y",'eAWD Package'!F5,0)+IF(Table44[[#This Row],[Towing]:[Towing]]="Y",'Towing Bat Cost'!F5,0),"N/A")</f>
        <v>N/A</v>
      </c>
      <c r="K214" s="157" t="str">
        <f>IF(Table44[[#This Row],[Applicable Package?]:[Applicable Package?]]="Y",SUM('Rolled Up Non-Incremental Costs'!G5,'ICE Removal Cost'!G5,'Trans Removal Cost'!G5,'LEV3 Criteria Emissions Cost'!G5,'ZEV Assembly Reductions'!G5,'ACCII Criteria Compliance Cost'!G5,'ACCII GHG Compliance'!G5,'Current GHG Compliance'!G5)+IF(Table44[[#This Row],[Cold]:[Cold]]="Y",'Cold Weather Package'!G5,0)+IF(Table44[[#This Row],[eAWD]:[eAWD]]="Y",'eAWD Package'!G5,0)+IF(Table44[[#This Row],[Towing]:[Towing]]="Y",'Towing Bat Cost'!G5,0),"N/A")</f>
        <v>N/A</v>
      </c>
      <c r="L214" s="157" t="str">
        <f>IF(Table44[[#This Row],[Applicable Package?]:[Applicable Package?]]="Y",SUM('Rolled Up Non-Incremental Costs'!H5,'ICE Removal Cost'!H5,'Trans Removal Cost'!H5,'LEV3 Criteria Emissions Cost'!H5,'ZEV Assembly Reductions'!H5,'ACCII Criteria Compliance Cost'!H5,'ACCII GHG Compliance'!H5,'Current GHG Compliance'!H5)+IF(Table44[[#This Row],[Cold]:[Cold]]="Y",'Cold Weather Package'!H5,0)+IF(Table44[[#This Row],[eAWD]:[eAWD]]="Y",'eAWD Package'!H5,0)+IF(Table44[[#This Row],[Towing]:[Towing]]="Y",'Towing Bat Cost'!H5,0),"N/A")</f>
        <v>N/A</v>
      </c>
      <c r="M214" s="157" t="str">
        <f>IF(Table44[[#This Row],[Applicable Package?]:[Applicable Package?]]="Y",SUM('Rolled Up Non-Incremental Costs'!I5,'ICE Removal Cost'!I5,'Trans Removal Cost'!I5,'LEV3 Criteria Emissions Cost'!I5,'ZEV Assembly Reductions'!I5,'ACCII Criteria Compliance Cost'!I5,'ACCII GHG Compliance'!I5,'Current GHG Compliance'!I5)+IF(Table44[[#This Row],[Cold]:[Cold]]="Y",'Cold Weather Package'!I5,0)+IF(Table44[[#This Row],[eAWD]:[eAWD]]="Y",'eAWD Package'!I5,0)+IF(Table44[[#This Row],[Towing]:[Towing]]="Y",'Towing Bat Cost'!I5,0),"N/A")</f>
        <v>N/A</v>
      </c>
      <c r="N214" s="157" t="str">
        <f>IF(Table44[[#This Row],[Applicable Package?]:[Applicable Package?]]="Y",SUM('Rolled Up Non-Incremental Costs'!J5,'ICE Removal Cost'!J5,'Trans Removal Cost'!J5,'LEV3 Criteria Emissions Cost'!J5,'ZEV Assembly Reductions'!J5,'ACCII Criteria Compliance Cost'!J5,'ACCII GHG Compliance'!J5,'Current GHG Compliance'!J5)+IF(Table44[[#This Row],[Cold]:[Cold]]="Y",'Cold Weather Package'!J5,0)+IF(Table44[[#This Row],[eAWD]:[eAWD]]="Y",'eAWD Package'!J5,0)+IF(Table44[[#This Row],[Towing]:[Towing]]="Y",'Towing Bat Cost'!J5,0),"N/A")</f>
        <v>N/A</v>
      </c>
      <c r="O214" s="157" t="str">
        <f>IF(Table44[[#This Row],[Applicable Package?]:[Applicable Package?]]="Y",SUM('Rolled Up Non-Incremental Costs'!K5,'ICE Removal Cost'!K5,'Trans Removal Cost'!K5,'LEV3 Criteria Emissions Cost'!K5,'ZEV Assembly Reductions'!K5,'ACCII Criteria Compliance Cost'!K5,'ACCII GHG Compliance'!K5,'Current GHG Compliance'!K5)+IF(Table44[[#This Row],[Cold]:[Cold]]="Y",'Cold Weather Package'!K5,0)+IF(Table44[[#This Row],[eAWD]:[eAWD]]="Y",'eAWD Package'!K5,0)+IF(Table44[[#This Row],[Towing]:[Towing]]="Y",'Towing Bat Cost'!K5,0),"N/A")</f>
        <v>N/A</v>
      </c>
      <c r="P214" s="157" t="str">
        <f>IF(Table44[[#This Row],[Applicable Package?]:[Applicable Package?]]="Y",SUM('Rolled Up Non-Incremental Costs'!L5,'ICE Removal Cost'!L5,'Trans Removal Cost'!L5,'LEV3 Criteria Emissions Cost'!L5,'ZEV Assembly Reductions'!L5,'ACCII Criteria Compliance Cost'!L5,'ACCII GHG Compliance'!L5,'Current GHG Compliance'!L5)+IF(Table44[[#This Row],[Cold]:[Cold]]="Y",'Cold Weather Package'!L5,0)+IF(Table44[[#This Row],[eAWD]:[eAWD]]="Y",'eAWD Package'!L5,0)+IF(Table44[[#This Row],[Towing]:[Towing]]="Y",'Towing Bat Cost'!L5,0),"N/A")</f>
        <v>N/A</v>
      </c>
      <c r="Q214" s="157" t="str">
        <f>IF(Table44[[#This Row],[Applicable Package?]:[Applicable Package?]]="Y",SUM('Rolled Up Non-Incremental Costs'!M5,'ICE Removal Cost'!M5,'Trans Removal Cost'!M5,'LEV3 Criteria Emissions Cost'!M5,'ZEV Assembly Reductions'!M5,'ACCII Criteria Compliance Cost'!M5,'ACCII GHG Compliance'!M5,'Current GHG Compliance'!M5)+IF(Table44[[#This Row],[Cold]:[Cold]]="Y",'Cold Weather Package'!M5,0)+IF(Table44[[#This Row],[eAWD]:[eAWD]]="Y",'eAWD Package'!M5,0)+IF(Table44[[#This Row],[Towing]:[Towing]]="Y",'Towing Bat Cost'!M5,0),"N/A")</f>
        <v>N/A</v>
      </c>
      <c r="R214" s="157" t="str">
        <f>IF(Table44[[#This Row],[Applicable Package?]:[Applicable Package?]]="Y",SUM('Rolled Up Non-Incremental Costs'!N5,'ICE Removal Cost'!N5,'Trans Removal Cost'!N5,'LEV3 Criteria Emissions Cost'!N5,'ZEV Assembly Reductions'!N5,'ACCII Criteria Compliance Cost'!N5,'ACCII GHG Compliance'!N5,'Current GHG Compliance'!N5)+IF(Table44[[#This Row],[Cold]:[Cold]]="Y",'Cold Weather Package'!N5,0)+IF(Table44[[#This Row],[eAWD]:[eAWD]]="Y",'eAWD Package'!N5,0)+IF(Table44[[#This Row],[Towing]:[Towing]]="Y",'Towing Bat Cost'!N5,0),"N/A")</f>
        <v>N/A</v>
      </c>
      <c r="S214" s="157" t="str">
        <f>IF(Table44[[#This Row],[Applicable Package?]:[Applicable Package?]]="Y",SUM('Rolled Up Non-Incremental Costs'!O5,'ICE Removal Cost'!O5,'Trans Removal Cost'!O5,'LEV3 Criteria Emissions Cost'!O5,'ZEV Assembly Reductions'!O5,'ACCII Criteria Compliance Cost'!O5,'ACCII GHG Compliance'!O5,'Current GHG Compliance'!O5)+IF(Table44[[#This Row],[Cold]:[Cold]]="Y",'Cold Weather Package'!O5,0)+IF(Table44[[#This Row],[eAWD]:[eAWD]]="Y",'eAWD Package'!O5,0)+IF(Table44[[#This Row],[Towing]:[Towing]]="Y",'Towing Bat Cost'!O5,0),"N/A")</f>
        <v>N/A</v>
      </c>
    </row>
    <row r="215" spans="1:19" hidden="1" x14ac:dyDescent="0.3">
      <c r="B215" s="90" t="s">
        <v>73</v>
      </c>
      <c r="C215" s="68" t="s">
        <v>80</v>
      </c>
      <c r="D215" s="68" t="str">
        <f>'Vehicle Attributes - Base Year'!D3</f>
        <v>BEV400</v>
      </c>
      <c r="E215" s="124" t="s">
        <v>76</v>
      </c>
      <c r="F215" s="124" t="s">
        <v>76</v>
      </c>
      <c r="G215" s="125" t="s">
        <v>76</v>
      </c>
      <c r="H215" s="156" t="s">
        <v>77</v>
      </c>
      <c r="I215" s="157" t="str">
        <f>IF(Table44[[#This Row],[Applicable Package?]:[Applicable Package?]]="Y",SUM('Rolled Up Non-Incremental Costs'!E6,'ICE Removal Cost'!E6,'Trans Removal Cost'!E6,'LEV3 Criteria Emissions Cost'!E6,'ZEV Assembly Reductions'!E6,'ACCII Criteria Compliance Cost'!E6,'ACCII GHG Compliance'!E6,'Current GHG Compliance'!E6)+IF(Table44[[#This Row],[Cold]:[Cold]]="Y",'Cold Weather Package'!E6,0)+IF(Table44[[#This Row],[eAWD]:[eAWD]]="Y",'eAWD Package'!E6,0)+IF(Table44[[#This Row],[Towing]:[Towing]]="Y",'Towing Bat Cost'!E6,0),"N/A")</f>
        <v>N/A</v>
      </c>
      <c r="J215" s="157" t="str">
        <f>IF(Table44[[#This Row],[Applicable Package?]:[Applicable Package?]]="Y",SUM('Rolled Up Non-Incremental Costs'!F6,'ICE Removal Cost'!F6,'Trans Removal Cost'!F6,'LEV3 Criteria Emissions Cost'!F6,'ZEV Assembly Reductions'!F6,'ACCII Criteria Compliance Cost'!F6,'ACCII GHG Compliance'!F6,'Current GHG Compliance'!F6)+IF(Table44[[#This Row],[Cold]:[Cold]]="Y",'Cold Weather Package'!F6,0)+IF(Table44[[#This Row],[eAWD]:[eAWD]]="Y",'eAWD Package'!F6,0)+IF(Table44[[#This Row],[Towing]:[Towing]]="Y",'Towing Bat Cost'!F6,0),"N/A")</f>
        <v>N/A</v>
      </c>
      <c r="K215" s="157" t="str">
        <f>IF(Table44[[#This Row],[Applicable Package?]:[Applicable Package?]]="Y",SUM('Rolled Up Non-Incremental Costs'!G6,'ICE Removal Cost'!G6,'Trans Removal Cost'!G6,'LEV3 Criteria Emissions Cost'!G6,'ZEV Assembly Reductions'!G6,'ACCII Criteria Compliance Cost'!G6,'ACCII GHG Compliance'!G6,'Current GHG Compliance'!G6)+IF(Table44[[#This Row],[Cold]:[Cold]]="Y",'Cold Weather Package'!G6,0)+IF(Table44[[#This Row],[eAWD]:[eAWD]]="Y",'eAWD Package'!G6,0)+IF(Table44[[#This Row],[Towing]:[Towing]]="Y",'Towing Bat Cost'!G6,0),"N/A")</f>
        <v>N/A</v>
      </c>
      <c r="L215" s="157" t="str">
        <f>IF(Table44[[#This Row],[Applicable Package?]:[Applicable Package?]]="Y",SUM('Rolled Up Non-Incremental Costs'!H6,'ICE Removal Cost'!H6,'Trans Removal Cost'!H6,'LEV3 Criteria Emissions Cost'!H6,'ZEV Assembly Reductions'!H6,'ACCII Criteria Compliance Cost'!H6,'ACCII GHG Compliance'!H6,'Current GHG Compliance'!H6)+IF(Table44[[#This Row],[Cold]:[Cold]]="Y",'Cold Weather Package'!H6,0)+IF(Table44[[#This Row],[eAWD]:[eAWD]]="Y",'eAWD Package'!H6,0)+IF(Table44[[#This Row],[Towing]:[Towing]]="Y",'Towing Bat Cost'!H6,0),"N/A")</f>
        <v>N/A</v>
      </c>
      <c r="M215" s="157" t="str">
        <f>IF(Table44[[#This Row],[Applicable Package?]:[Applicable Package?]]="Y",SUM('Rolled Up Non-Incremental Costs'!I6,'ICE Removal Cost'!I6,'Trans Removal Cost'!I6,'LEV3 Criteria Emissions Cost'!I6,'ZEV Assembly Reductions'!I6,'ACCII Criteria Compliance Cost'!I6,'ACCII GHG Compliance'!I6,'Current GHG Compliance'!I6)+IF(Table44[[#This Row],[Cold]:[Cold]]="Y",'Cold Weather Package'!I6,0)+IF(Table44[[#This Row],[eAWD]:[eAWD]]="Y",'eAWD Package'!I6,0)+IF(Table44[[#This Row],[Towing]:[Towing]]="Y",'Towing Bat Cost'!I6,0),"N/A")</f>
        <v>N/A</v>
      </c>
      <c r="N215" s="157" t="str">
        <f>IF(Table44[[#This Row],[Applicable Package?]:[Applicable Package?]]="Y",SUM('Rolled Up Non-Incremental Costs'!J6,'ICE Removal Cost'!J6,'Trans Removal Cost'!J6,'LEV3 Criteria Emissions Cost'!J6,'ZEV Assembly Reductions'!J6,'ACCII Criteria Compliance Cost'!J6,'ACCII GHG Compliance'!J6,'Current GHG Compliance'!J6)+IF(Table44[[#This Row],[Cold]:[Cold]]="Y",'Cold Weather Package'!J6,0)+IF(Table44[[#This Row],[eAWD]:[eAWD]]="Y",'eAWD Package'!J6,0)+IF(Table44[[#This Row],[Towing]:[Towing]]="Y",'Towing Bat Cost'!J6,0),"N/A")</f>
        <v>N/A</v>
      </c>
      <c r="O215" s="157" t="str">
        <f>IF(Table44[[#This Row],[Applicable Package?]:[Applicable Package?]]="Y",SUM('Rolled Up Non-Incremental Costs'!K6,'ICE Removal Cost'!K6,'Trans Removal Cost'!K6,'LEV3 Criteria Emissions Cost'!K6,'ZEV Assembly Reductions'!K6,'ACCII Criteria Compliance Cost'!K6,'ACCII GHG Compliance'!K6,'Current GHG Compliance'!K6)+IF(Table44[[#This Row],[Cold]:[Cold]]="Y",'Cold Weather Package'!K6,0)+IF(Table44[[#This Row],[eAWD]:[eAWD]]="Y",'eAWD Package'!K6,0)+IF(Table44[[#This Row],[Towing]:[Towing]]="Y",'Towing Bat Cost'!K6,0),"N/A")</f>
        <v>N/A</v>
      </c>
      <c r="P215" s="157" t="str">
        <f>IF(Table44[[#This Row],[Applicable Package?]:[Applicable Package?]]="Y",SUM('Rolled Up Non-Incremental Costs'!L6,'ICE Removal Cost'!L6,'Trans Removal Cost'!L6,'LEV3 Criteria Emissions Cost'!L6,'ZEV Assembly Reductions'!L6,'ACCII Criteria Compliance Cost'!L6,'ACCII GHG Compliance'!L6,'Current GHG Compliance'!L6)+IF(Table44[[#This Row],[Cold]:[Cold]]="Y",'Cold Weather Package'!L6,0)+IF(Table44[[#This Row],[eAWD]:[eAWD]]="Y",'eAWD Package'!L6,0)+IF(Table44[[#This Row],[Towing]:[Towing]]="Y",'Towing Bat Cost'!L6,0),"N/A")</f>
        <v>N/A</v>
      </c>
      <c r="Q215" s="157" t="str">
        <f>IF(Table44[[#This Row],[Applicable Package?]:[Applicable Package?]]="Y",SUM('Rolled Up Non-Incremental Costs'!M6,'ICE Removal Cost'!M6,'Trans Removal Cost'!M6,'LEV3 Criteria Emissions Cost'!M6,'ZEV Assembly Reductions'!M6,'ACCII Criteria Compliance Cost'!M6,'ACCII GHG Compliance'!M6,'Current GHG Compliance'!M6)+IF(Table44[[#This Row],[Cold]:[Cold]]="Y",'Cold Weather Package'!M6,0)+IF(Table44[[#This Row],[eAWD]:[eAWD]]="Y",'eAWD Package'!M6,0)+IF(Table44[[#This Row],[Towing]:[Towing]]="Y",'Towing Bat Cost'!M6,0),"N/A")</f>
        <v>N/A</v>
      </c>
      <c r="R215" s="157" t="str">
        <f>IF(Table44[[#This Row],[Applicable Package?]:[Applicable Package?]]="Y",SUM('Rolled Up Non-Incremental Costs'!N6,'ICE Removal Cost'!N6,'Trans Removal Cost'!N6,'LEV3 Criteria Emissions Cost'!N6,'ZEV Assembly Reductions'!N6,'ACCII Criteria Compliance Cost'!N6,'ACCII GHG Compliance'!N6,'Current GHG Compliance'!N6)+IF(Table44[[#This Row],[Cold]:[Cold]]="Y",'Cold Weather Package'!N6,0)+IF(Table44[[#This Row],[eAWD]:[eAWD]]="Y",'eAWD Package'!N6,0)+IF(Table44[[#This Row],[Towing]:[Towing]]="Y",'Towing Bat Cost'!N6,0),"N/A")</f>
        <v>N/A</v>
      </c>
      <c r="S215" s="157" t="str">
        <f>IF(Table44[[#This Row],[Applicable Package?]:[Applicable Package?]]="Y",SUM('Rolled Up Non-Incremental Costs'!O6,'ICE Removal Cost'!O6,'Trans Removal Cost'!O6,'LEV3 Criteria Emissions Cost'!O6,'ZEV Assembly Reductions'!O6,'ACCII Criteria Compliance Cost'!O6,'ACCII GHG Compliance'!O6,'Current GHG Compliance'!O6)+IF(Table44[[#This Row],[Cold]:[Cold]]="Y",'Cold Weather Package'!O6,0)+IF(Table44[[#This Row],[eAWD]:[eAWD]]="Y",'eAWD Package'!O6,0)+IF(Table44[[#This Row],[Towing]:[Towing]]="Y",'Towing Bat Cost'!O6,0),"N/A")</f>
        <v>N/A</v>
      </c>
    </row>
    <row r="216" spans="1:19" hidden="1" x14ac:dyDescent="0.3">
      <c r="B216" s="90" t="s">
        <v>82</v>
      </c>
      <c r="C216" s="68" t="s">
        <v>75</v>
      </c>
      <c r="D216" s="68" t="str">
        <f>'Vehicle Attributes - Base Year'!D4</f>
        <v>BEV300</v>
      </c>
      <c r="E216" s="124" t="s">
        <v>76</v>
      </c>
      <c r="F216" s="124" t="s">
        <v>76</v>
      </c>
      <c r="G216" s="125" t="s">
        <v>76</v>
      </c>
      <c r="H216" s="156" t="s">
        <v>77</v>
      </c>
      <c r="I216" s="157" t="str">
        <f>IF(Table44[[#This Row],[Applicable Package?]:[Applicable Package?]]="Y",SUM('Rolled Up Non-Incremental Costs'!E7,'ICE Removal Cost'!E7,'Trans Removal Cost'!E7,'LEV3 Criteria Emissions Cost'!E7,'ZEV Assembly Reductions'!E7,'ACCII Criteria Compliance Cost'!E7,'ACCII GHG Compliance'!E7,'Current GHG Compliance'!E7)+IF(Table44[[#This Row],[Cold]:[Cold]]="Y",'Cold Weather Package'!E7,0)+IF(Table44[[#This Row],[eAWD]:[eAWD]]="Y",'eAWD Package'!E7,0)+IF(Table44[[#This Row],[Towing]:[Towing]]="Y",'Towing Bat Cost'!E7,0),"N/A")</f>
        <v>N/A</v>
      </c>
      <c r="J216" s="157" t="str">
        <f>IF(Table44[[#This Row],[Applicable Package?]:[Applicable Package?]]="Y",SUM('Rolled Up Non-Incremental Costs'!F7,'ICE Removal Cost'!F7,'Trans Removal Cost'!F7,'LEV3 Criteria Emissions Cost'!F7,'ZEV Assembly Reductions'!F7,'ACCII Criteria Compliance Cost'!F7,'ACCII GHG Compliance'!F7,'Current GHG Compliance'!F7)+IF(Table44[[#This Row],[Cold]:[Cold]]="Y",'Cold Weather Package'!F7,0)+IF(Table44[[#This Row],[eAWD]:[eAWD]]="Y",'eAWD Package'!F7,0)+IF(Table44[[#This Row],[Towing]:[Towing]]="Y",'Towing Bat Cost'!F7,0),"N/A")</f>
        <v>N/A</v>
      </c>
      <c r="K216" s="157" t="str">
        <f>IF(Table44[[#This Row],[Applicable Package?]:[Applicable Package?]]="Y",SUM('Rolled Up Non-Incremental Costs'!G7,'ICE Removal Cost'!G7,'Trans Removal Cost'!G7,'LEV3 Criteria Emissions Cost'!G7,'ZEV Assembly Reductions'!G7,'ACCII Criteria Compliance Cost'!G7,'ACCII GHG Compliance'!G7,'Current GHG Compliance'!G7)+IF(Table44[[#This Row],[Cold]:[Cold]]="Y",'Cold Weather Package'!G7,0)+IF(Table44[[#This Row],[eAWD]:[eAWD]]="Y",'eAWD Package'!G7,0)+IF(Table44[[#This Row],[Towing]:[Towing]]="Y",'Towing Bat Cost'!G7,0),"N/A")</f>
        <v>N/A</v>
      </c>
      <c r="L216" s="157" t="str">
        <f>IF(Table44[[#This Row],[Applicable Package?]:[Applicable Package?]]="Y",SUM('Rolled Up Non-Incremental Costs'!H7,'ICE Removal Cost'!H7,'Trans Removal Cost'!H7,'LEV3 Criteria Emissions Cost'!H7,'ZEV Assembly Reductions'!H7,'ACCII Criteria Compliance Cost'!H7,'ACCII GHG Compliance'!H7,'Current GHG Compliance'!H7)+IF(Table44[[#This Row],[Cold]:[Cold]]="Y",'Cold Weather Package'!H7,0)+IF(Table44[[#This Row],[eAWD]:[eAWD]]="Y",'eAWD Package'!H7,0)+IF(Table44[[#This Row],[Towing]:[Towing]]="Y",'Towing Bat Cost'!H7,0),"N/A")</f>
        <v>N/A</v>
      </c>
      <c r="M216" s="157" t="str">
        <f>IF(Table44[[#This Row],[Applicable Package?]:[Applicable Package?]]="Y",SUM('Rolled Up Non-Incremental Costs'!I7,'ICE Removal Cost'!I7,'Trans Removal Cost'!I7,'LEV3 Criteria Emissions Cost'!I7,'ZEV Assembly Reductions'!I7,'ACCII Criteria Compliance Cost'!I7,'ACCII GHG Compliance'!I7,'Current GHG Compliance'!I7)+IF(Table44[[#This Row],[Cold]:[Cold]]="Y",'Cold Weather Package'!I7,0)+IF(Table44[[#This Row],[eAWD]:[eAWD]]="Y",'eAWD Package'!I7,0)+IF(Table44[[#This Row],[Towing]:[Towing]]="Y",'Towing Bat Cost'!I7,0),"N/A")</f>
        <v>N/A</v>
      </c>
      <c r="N216" s="157" t="str">
        <f>IF(Table44[[#This Row],[Applicable Package?]:[Applicable Package?]]="Y",SUM('Rolled Up Non-Incremental Costs'!J7,'ICE Removal Cost'!J7,'Trans Removal Cost'!J7,'LEV3 Criteria Emissions Cost'!J7,'ZEV Assembly Reductions'!J7,'ACCII Criteria Compliance Cost'!J7,'ACCII GHG Compliance'!J7,'Current GHG Compliance'!J7)+IF(Table44[[#This Row],[Cold]:[Cold]]="Y",'Cold Weather Package'!J7,0)+IF(Table44[[#This Row],[eAWD]:[eAWD]]="Y",'eAWD Package'!J7,0)+IF(Table44[[#This Row],[Towing]:[Towing]]="Y",'Towing Bat Cost'!J7,0),"N/A")</f>
        <v>N/A</v>
      </c>
      <c r="O216" s="157" t="str">
        <f>IF(Table44[[#This Row],[Applicable Package?]:[Applicable Package?]]="Y",SUM('Rolled Up Non-Incremental Costs'!K7,'ICE Removal Cost'!K7,'Trans Removal Cost'!K7,'LEV3 Criteria Emissions Cost'!K7,'ZEV Assembly Reductions'!K7,'ACCII Criteria Compliance Cost'!K7,'ACCII GHG Compliance'!K7,'Current GHG Compliance'!K7)+IF(Table44[[#This Row],[Cold]:[Cold]]="Y",'Cold Weather Package'!K7,0)+IF(Table44[[#This Row],[eAWD]:[eAWD]]="Y",'eAWD Package'!K7,0)+IF(Table44[[#This Row],[Towing]:[Towing]]="Y",'Towing Bat Cost'!K7,0),"N/A")</f>
        <v>N/A</v>
      </c>
      <c r="P216" s="157" t="str">
        <f>IF(Table44[[#This Row],[Applicable Package?]:[Applicable Package?]]="Y",SUM('Rolled Up Non-Incremental Costs'!L7,'ICE Removal Cost'!L7,'Trans Removal Cost'!L7,'LEV3 Criteria Emissions Cost'!L7,'ZEV Assembly Reductions'!L7,'ACCII Criteria Compliance Cost'!L7,'ACCII GHG Compliance'!L7,'Current GHG Compliance'!L7)+IF(Table44[[#This Row],[Cold]:[Cold]]="Y",'Cold Weather Package'!L7,0)+IF(Table44[[#This Row],[eAWD]:[eAWD]]="Y",'eAWD Package'!L7,0)+IF(Table44[[#This Row],[Towing]:[Towing]]="Y",'Towing Bat Cost'!L7,0),"N/A")</f>
        <v>N/A</v>
      </c>
      <c r="Q216" s="157" t="str">
        <f>IF(Table44[[#This Row],[Applicable Package?]:[Applicable Package?]]="Y",SUM('Rolled Up Non-Incremental Costs'!M7,'ICE Removal Cost'!M7,'Trans Removal Cost'!M7,'LEV3 Criteria Emissions Cost'!M7,'ZEV Assembly Reductions'!M7,'ACCII Criteria Compliance Cost'!M7,'ACCII GHG Compliance'!M7,'Current GHG Compliance'!M7)+IF(Table44[[#This Row],[Cold]:[Cold]]="Y",'Cold Weather Package'!M7,0)+IF(Table44[[#This Row],[eAWD]:[eAWD]]="Y",'eAWD Package'!M7,0)+IF(Table44[[#This Row],[Towing]:[Towing]]="Y",'Towing Bat Cost'!M7,0),"N/A")</f>
        <v>N/A</v>
      </c>
      <c r="R216" s="157" t="str">
        <f>IF(Table44[[#This Row],[Applicable Package?]:[Applicable Package?]]="Y",SUM('Rolled Up Non-Incremental Costs'!N7,'ICE Removal Cost'!N7,'Trans Removal Cost'!N7,'LEV3 Criteria Emissions Cost'!N7,'ZEV Assembly Reductions'!N7,'ACCII Criteria Compliance Cost'!N7,'ACCII GHG Compliance'!N7,'Current GHG Compliance'!N7)+IF(Table44[[#This Row],[Cold]:[Cold]]="Y",'Cold Weather Package'!N7,0)+IF(Table44[[#This Row],[eAWD]:[eAWD]]="Y",'eAWD Package'!N7,0)+IF(Table44[[#This Row],[Towing]:[Towing]]="Y",'Towing Bat Cost'!N7,0),"N/A")</f>
        <v>N/A</v>
      </c>
      <c r="S216" s="157" t="str">
        <f>IF(Table44[[#This Row],[Applicable Package?]:[Applicable Package?]]="Y",SUM('Rolled Up Non-Incremental Costs'!O7,'ICE Removal Cost'!O7,'Trans Removal Cost'!O7,'LEV3 Criteria Emissions Cost'!O7,'ZEV Assembly Reductions'!O7,'ACCII Criteria Compliance Cost'!O7,'ACCII GHG Compliance'!O7,'Current GHG Compliance'!O7)+IF(Table44[[#This Row],[Cold]:[Cold]]="Y",'Cold Weather Package'!O7,0)+IF(Table44[[#This Row],[eAWD]:[eAWD]]="Y",'eAWD Package'!O7,0)+IF(Table44[[#This Row],[Towing]:[Towing]]="Y",'Towing Bat Cost'!O7,0),"N/A")</f>
        <v>N/A</v>
      </c>
    </row>
    <row r="217" spans="1:19" hidden="1" x14ac:dyDescent="0.3">
      <c r="B217" s="90" t="s">
        <v>82</v>
      </c>
      <c r="C217" s="68" t="s">
        <v>80</v>
      </c>
      <c r="D217" s="68" t="str">
        <f>'Vehicle Attributes - Base Year'!D5</f>
        <v>BEV400</v>
      </c>
      <c r="E217" s="124" t="s">
        <v>76</v>
      </c>
      <c r="F217" s="124" t="s">
        <v>76</v>
      </c>
      <c r="G217" s="125" t="s">
        <v>76</v>
      </c>
      <c r="H217" s="156" t="s">
        <v>77</v>
      </c>
      <c r="I217" s="157" t="str">
        <f>IF(Table44[[#This Row],[Applicable Package?]:[Applicable Package?]]="Y",SUM('Rolled Up Non-Incremental Costs'!E8,'ICE Removal Cost'!E8,'Trans Removal Cost'!E8,'LEV3 Criteria Emissions Cost'!E8,'ZEV Assembly Reductions'!E8,'ACCII Criteria Compliance Cost'!E8,'ACCII GHG Compliance'!E8,'Current GHG Compliance'!E8)+IF(Table44[[#This Row],[Cold]:[Cold]]="Y",'Cold Weather Package'!E8,0)+IF(Table44[[#This Row],[eAWD]:[eAWD]]="Y",'eAWD Package'!E8,0)+IF(Table44[[#This Row],[Towing]:[Towing]]="Y",'Towing Bat Cost'!E8,0),"N/A")</f>
        <v>N/A</v>
      </c>
      <c r="J217" s="157" t="str">
        <f>IF(Table44[[#This Row],[Applicable Package?]:[Applicable Package?]]="Y",SUM('Rolled Up Non-Incremental Costs'!F8,'ICE Removal Cost'!F8,'Trans Removal Cost'!F8,'LEV3 Criteria Emissions Cost'!F8,'ZEV Assembly Reductions'!F8,'ACCII Criteria Compliance Cost'!F8,'ACCII GHG Compliance'!F8,'Current GHG Compliance'!F8)+IF(Table44[[#This Row],[Cold]:[Cold]]="Y",'Cold Weather Package'!F8,0)+IF(Table44[[#This Row],[eAWD]:[eAWD]]="Y",'eAWD Package'!F8,0)+IF(Table44[[#This Row],[Towing]:[Towing]]="Y",'Towing Bat Cost'!F8,0),"N/A")</f>
        <v>N/A</v>
      </c>
      <c r="K217" s="157" t="str">
        <f>IF(Table44[[#This Row],[Applicable Package?]:[Applicable Package?]]="Y",SUM('Rolled Up Non-Incremental Costs'!G8,'ICE Removal Cost'!G8,'Trans Removal Cost'!G8,'LEV3 Criteria Emissions Cost'!G8,'ZEV Assembly Reductions'!G8,'ACCII Criteria Compliance Cost'!G8,'ACCII GHG Compliance'!G8,'Current GHG Compliance'!G8)+IF(Table44[[#This Row],[Cold]:[Cold]]="Y",'Cold Weather Package'!G8,0)+IF(Table44[[#This Row],[eAWD]:[eAWD]]="Y",'eAWD Package'!G8,0)+IF(Table44[[#This Row],[Towing]:[Towing]]="Y",'Towing Bat Cost'!G8,0),"N/A")</f>
        <v>N/A</v>
      </c>
      <c r="L217" s="157" t="str">
        <f>IF(Table44[[#This Row],[Applicable Package?]:[Applicable Package?]]="Y",SUM('Rolled Up Non-Incremental Costs'!H8,'ICE Removal Cost'!H8,'Trans Removal Cost'!H8,'LEV3 Criteria Emissions Cost'!H8,'ZEV Assembly Reductions'!H8,'ACCII Criteria Compliance Cost'!H8,'ACCII GHG Compliance'!H8,'Current GHG Compliance'!H8)+IF(Table44[[#This Row],[Cold]:[Cold]]="Y",'Cold Weather Package'!H8,0)+IF(Table44[[#This Row],[eAWD]:[eAWD]]="Y",'eAWD Package'!H8,0)+IF(Table44[[#This Row],[Towing]:[Towing]]="Y",'Towing Bat Cost'!H8,0),"N/A")</f>
        <v>N/A</v>
      </c>
      <c r="M217" s="157" t="str">
        <f>IF(Table44[[#This Row],[Applicable Package?]:[Applicable Package?]]="Y",SUM('Rolled Up Non-Incremental Costs'!I8,'ICE Removal Cost'!I8,'Trans Removal Cost'!I8,'LEV3 Criteria Emissions Cost'!I8,'ZEV Assembly Reductions'!I8,'ACCII Criteria Compliance Cost'!I8,'ACCII GHG Compliance'!I8,'Current GHG Compliance'!I8)+IF(Table44[[#This Row],[Cold]:[Cold]]="Y",'Cold Weather Package'!I8,0)+IF(Table44[[#This Row],[eAWD]:[eAWD]]="Y",'eAWD Package'!I8,0)+IF(Table44[[#This Row],[Towing]:[Towing]]="Y",'Towing Bat Cost'!I8,0),"N/A")</f>
        <v>N/A</v>
      </c>
      <c r="N217" s="157" t="str">
        <f>IF(Table44[[#This Row],[Applicable Package?]:[Applicable Package?]]="Y",SUM('Rolled Up Non-Incremental Costs'!J8,'ICE Removal Cost'!J8,'Trans Removal Cost'!J8,'LEV3 Criteria Emissions Cost'!J8,'ZEV Assembly Reductions'!J8,'ACCII Criteria Compliance Cost'!J8,'ACCII GHG Compliance'!J8,'Current GHG Compliance'!J8)+IF(Table44[[#This Row],[Cold]:[Cold]]="Y",'Cold Weather Package'!J8,0)+IF(Table44[[#This Row],[eAWD]:[eAWD]]="Y",'eAWD Package'!J8,0)+IF(Table44[[#This Row],[Towing]:[Towing]]="Y",'Towing Bat Cost'!J8,0),"N/A")</f>
        <v>N/A</v>
      </c>
      <c r="O217" s="157" t="str">
        <f>IF(Table44[[#This Row],[Applicable Package?]:[Applicable Package?]]="Y",SUM('Rolled Up Non-Incremental Costs'!K8,'ICE Removal Cost'!K8,'Trans Removal Cost'!K8,'LEV3 Criteria Emissions Cost'!K8,'ZEV Assembly Reductions'!K8,'ACCII Criteria Compliance Cost'!K8,'ACCII GHG Compliance'!K8,'Current GHG Compliance'!K8)+IF(Table44[[#This Row],[Cold]:[Cold]]="Y",'Cold Weather Package'!K8,0)+IF(Table44[[#This Row],[eAWD]:[eAWD]]="Y",'eAWD Package'!K8,0)+IF(Table44[[#This Row],[Towing]:[Towing]]="Y",'Towing Bat Cost'!K8,0),"N/A")</f>
        <v>N/A</v>
      </c>
      <c r="P217" s="157" t="str">
        <f>IF(Table44[[#This Row],[Applicable Package?]:[Applicable Package?]]="Y",SUM('Rolled Up Non-Incremental Costs'!L8,'ICE Removal Cost'!L8,'Trans Removal Cost'!L8,'LEV3 Criteria Emissions Cost'!L8,'ZEV Assembly Reductions'!L8,'ACCII Criteria Compliance Cost'!L8,'ACCII GHG Compliance'!L8,'Current GHG Compliance'!L8)+IF(Table44[[#This Row],[Cold]:[Cold]]="Y",'Cold Weather Package'!L8,0)+IF(Table44[[#This Row],[eAWD]:[eAWD]]="Y",'eAWD Package'!L8,0)+IF(Table44[[#This Row],[Towing]:[Towing]]="Y",'Towing Bat Cost'!L8,0),"N/A")</f>
        <v>N/A</v>
      </c>
      <c r="Q217" s="157" t="str">
        <f>IF(Table44[[#This Row],[Applicable Package?]:[Applicable Package?]]="Y",SUM('Rolled Up Non-Incremental Costs'!M8,'ICE Removal Cost'!M8,'Trans Removal Cost'!M8,'LEV3 Criteria Emissions Cost'!M8,'ZEV Assembly Reductions'!M8,'ACCII Criteria Compliance Cost'!M8,'ACCII GHG Compliance'!M8,'Current GHG Compliance'!M8)+IF(Table44[[#This Row],[Cold]:[Cold]]="Y",'Cold Weather Package'!M8,0)+IF(Table44[[#This Row],[eAWD]:[eAWD]]="Y",'eAWD Package'!M8,0)+IF(Table44[[#This Row],[Towing]:[Towing]]="Y",'Towing Bat Cost'!M8,0),"N/A")</f>
        <v>N/A</v>
      </c>
      <c r="R217" s="157" t="str">
        <f>IF(Table44[[#This Row],[Applicable Package?]:[Applicable Package?]]="Y",SUM('Rolled Up Non-Incremental Costs'!N8,'ICE Removal Cost'!N8,'Trans Removal Cost'!N8,'LEV3 Criteria Emissions Cost'!N8,'ZEV Assembly Reductions'!N8,'ACCII Criteria Compliance Cost'!N8,'ACCII GHG Compliance'!N8,'Current GHG Compliance'!N8)+IF(Table44[[#This Row],[Cold]:[Cold]]="Y",'Cold Weather Package'!N8,0)+IF(Table44[[#This Row],[eAWD]:[eAWD]]="Y",'eAWD Package'!N8,0)+IF(Table44[[#This Row],[Towing]:[Towing]]="Y",'Towing Bat Cost'!N8,0),"N/A")</f>
        <v>N/A</v>
      </c>
      <c r="S217" s="157" t="str">
        <f>IF(Table44[[#This Row],[Applicable Package?]:[Applicable Package?]]="Y",SUM('Rolled Up Non-Incremental Costs'!O8,'ICE Removal Cost'!O8,'Trans Removal Cost'!O8,'LEV3 Criteria Emissions Cost'!O8,'ZEV Assembly Reductions'!O8,'ACCII Criteria Compliance Cost'!O8,'ACCII GHG Compliance'!O8,'Current GHG Compliance'!O8)+IF(Table44[[#This Row],[Cold]:[Cold]]="Y",'Cold Weather Package'!O8,0)+IF(Table44[[#This Row],[eAWD]:[eAWD]]="Y",'eAWD Package'!O8,0)+IF(Table44[[#This Row],[Towing]:[Towing]]="Y",'Towing Bat Cost'!O8,0),"N/A")</f>
        <v>N/A</v>
      </c>
    </row>
    <row r="218" spans="1:19" hidden="1" x14ac:dyDescent="0.3">
      <c r="B218" s="90" t="s">
        <v>83</v>
      </c>
      <c r="C218" s="68" t="s">
        <v>75</v>
      </c>
      <c r="D218" s="68" t="str">
        <f>'Vehicle Attributes - Base Year'!D6</f>
        <v>BEV300</v>
      </c>
      <c r="E218" s="124" t="s">
        <v>76</v>
      </c>
      <c r="F218" s="124" t="s">
        <v>76</v>
      </c>
      <c r="G218" s="125" t="s">
        <v>76</v>
      </c>
      <c r="H218" s="156" t="s">
        <v>77</v>
      </c>
      <c r="I218" s="157" t="str">
        <f>IF(Table44[[#This Row],[Applicable Package?]:[Applicable Package?]]="Y",SUM('Rolled Up Non-Incremental Costs'!E9,'ICE Removal Cost'!E9,'Trans Removal Cost'!E9,'LEV3 Criteria Emissions Cost'!E9,'ZEV Assembly Reductions'!E9,'ACCII Criteria Compliance Cost'!E9,'ACCII GHG Compliance'!E9,'Current GHG Compliance'!E9)+IF(Table44[[#This Row],[Cold]:[Cold]]="Y",'Cold Weather Package'!E9,0)+IF(Table44[[#This Row],[eAWD]:[eAWD]]="Y",'eAWD Package'!E9,0)+IF(Table44[[#This Row],[Towing]:[Towing]]="Y",'Towing Bat Cost'!E9,0),"N/A")</f>
        <v>N/A</v>
      </c>
      <c r="J218" s="157" t="str">
        <f>IF(Table44[[#This Row],[Applicable Package?]:[Applicable Package?]]="Y",SUM('Rolled Up Non-Incremental Costs'!F9,'ICE Removal Cost'!F9,'Trans Removal Cost'!F9,'LEV3 Criteria Emissions Cost'!F9,'ZEV Assembly Reductions'!F9,'ACCII Criteria Compliance Cost'!F9,'ACCII GHG Compliance'!F9,'Current GHG Compliance'!F9)+IF(Table44[[#This Row],[Cold]:[Cold]]="Y",'Cold Weather Package'!F9,0)+IF(Table44[[#This Row],[eAWD]:[eAWD]]="Y",'eAWD Package'!F9,0)+IF(Table44[[#This Row],[Towing]:[Towing]]="Y",'Towing Bat Cost'!F9,0),"N/A")</f>
        <v>N/A</v>
      </c>
      <c r="K218" s="157" t="str">
        <f>IF(Table44[[#This Row],[Applicable Package?]:[Applicable Package?]]="Y",SUM('Rolled Up Non-Incremental Costs'!G9,'ICE Removal Cost'!G9,'Trans Removal Cost'!G9,'LEV3 Criteria Emissions Cost'!G9,'ZEV Assembly Reductions'!G9,'ACCII Criteria Compliance Cost'!G9,'ACCII GHG Compliance'!G9,'Current GHG Compliance'!G9)+IF(Table44[[#This Row],[Cold]:[Cold]]="Y",'Cold Weather Package'!G9,0)+IF(Table44[[#This Row],[eAWD]:[eAWD]]="Y",'eAWD Package'!G9,0)+IF(Table44[[#This Row],[Towing]:[Towing]]="Y",'Towing Bat Cost'!G9,0),"N/A")</f>
        <v>N/A</v>
      </c>
      <c r="L218" s="157" t="str">
        <f>IF(Table44[[#This Row],[Applicable Package?]:[Applicable Package?]]="Y",SUM('Rolled Up Non-Incremental Costs'!H9,'ICE Removal Cost'!H9,'Trans Removal Cost'!H9,'LEV3 Criteria Emissions Cost'!H9,'ZEV Assembly Reductions'!H9,'ACCII Criteria Compliance Cost'!H9,'ACCII GHG Compliance'!H9,'Current GHG Compliance'!H9)+IF(Table44[[#This Row],[Cold]:[Cold]]="Y",'Cold Weather Package'!H9,0)+IF(Table44[[#This Row],[eAWD]:[eAWD]]="Y",'eAWD Package'!H9,0)+IF(Table44[[#This Row],[Towing]:[Towing]]="Y",'Towing Bat Cost'!H9,0),"N/A")</f>
        <v>N/A</v>
      </c>
      <c r="M218" s="157" t="str">
        <f>IF(Table44[[#This Row],[Applicable Package?]:[Applicable Package?]]="Y",SUM('Rolled Up Non-Incremental Costs'!I9,'ICE Removal Cost'!I9,'Trans Removal Cost'!I9,'LEV3 Criteria Emissions Cost'!I9,'ZEV Assembly Reductions'!I9,'ACCII Criteria Compliance Cost'!I9,'ACCII GHG Compliance'!I9,'Current GHG Compliance'!I9)+IF(Table44[[#This Row],[Cold]:[Cold]]="Y",'Cold Weather Package'!I9,0)+IF(Table44[[#This Row],[eAWD]:[eAWD]]="Y",'eAWD Package'!I9,0)+IF(Table44[[#This Row],[Towing]:[Towing]]="Y",'Towing Bat Cost'!I9,0),"N/A")</f>
        <v>N/A</v>
      </c>
      <c r="N218" s="157" t="str">
        <f>IF(Table44[[#This Row],[Applicable Package?]:[Applicable Package?]]="Y",SUM('Rolled Up Non-Incremental Costs'!J9,'ICE Removal Cost'!J9,'Trans Removal Cost'!J9,'LEV3 Criteria Emissions Cost'!J9,'ZEV Assembly Reductions'!J9,'ACCII Criteria Compliance Cost'!J9,'ACCII GHG Compliance'!J9,'Current GHG Compliance'!J9)+IF(Table44[[#This Row],[Cold]:[Cold]]="Y",'Cold Weather Package'!J9,0)+IF(Table44[[#This Row],[eAWD]:[eAWD]]="Y",'eAWD Package'!J9,0)+IF(Table44[[#This Row],[Towing]:[Towing]]="Y",'Towing Bat Cost'!J9,0),"N/A")</f>
        <v>N/A</v>
      </c>
      <c r="O218" s="157" t="str">
        <f>IF(Table44[[#This Row],[Applicable Package?]:[Applicable Package?]]="Y",SUM('Rolled Up Non-Incremental Costs'!K9,'ICE Removal Cost'!K9,'Trans Removal Cost'!K9,'LEV3 Criteria Emissions Cost'!K9,'ZEV Assembly Reductions'!K9,'ACCII Criteria Compliance Cost'!K9,'ACCII GHG Compliance'!K9,'Current GHG Compliance'!K9)+IF(Table44[[#This Row],[Cold]:[Cold]]="Y",'Cold Weather Package'!K9,0)+IF(Table44[[#This Row],[eAWD]:[eAWD]]="Y",'eAWD Package'!K9,0)+IF(Table44[[#This Row],[Towing]:[Towing]]="Y",'Towing Bat Cost'!K9,0),"N/A")</f>
        <v>N/A</v>
      </c>
      <c r="P218" s="157" t="str">
        <f>IF(Table44[[#This Row],[Applicable Package?]:[Applicable Package?]]="Y",SUM('Rolled Up Non-Incremental Costs'!L9,'ICE Removal Cost'!L9,'Trans Removal Cost'!L9,'LEV3 Criteria Emissions Cost'!L9,'ZEV Assembly Reductions'!L9,'ACCII Criteria Compliance Cost'!L9,'ACCII GHG Compliance'!L9,'Current GHG Compliance'!L9)+IF(Table44[[#This Row],[Cold]:[Cold]]="Y",'Cold Weather Package'!L9,0)+IF(Table44[[#This Row],[eAWD]:[eAWD]]="Y",'eAWD Package'!L9,0)+IF(Table44[[#This Row],[Towing]:[Towing]]="Y",'Towing Bat Cost'!L9,0),"N/A")</f>
        <v>N/A</v>
      </c>
      <c r="Q218" s="157" t="str">
        <f>IF(Table44[[#This Row],[Applicable Package?]:[Applicable Package?]]="Y",SUM('Rolled Up Non-Incremental Costs'!M9,'ICE Removal Cost'!M9,'Trans Removal Cost'!M9,'LEV3 Criteria Emissions Cost'!M9,'ZEV Assembly Reductions'!M9,'ACCII Criteria Compliance Cost'!M9,'ACCII GHG Compliance'!M9,'Current GHG Compliance'!M9)+IF(Table44[[#This Row],[Cold]:[Cold]]="Y",'Cold Weather Package'!M9,0)+IF(Table44[[#This Row],[eAWD]:[eAWD]]="Y",'eAWD Package'!M9,0)+IF(Table44[[#This Row],[Towing]:[Towing]]="Y",'Towing Bat Cost'!M9,0),"N/A")</f>
        <v>N/A</v>
      </c>
      <c r="R218" s="157" t="str">
        <f>IF(Table44[[#This Row],[Applicable Package?]:[Applicable Package?]]="Y",SUM('Rolled Up Non-Incremental Costs'!N9,'ICE Removal Cost'!N9,'Trans Removal Cost'!N9,'LEV3 Criteria Emissions Cost'!N9,'ZEV Assembly Reductions'!N9,'ACCII Criteria Compliance Cost'!N9,'ACCII GHG Compliance'!N9,'Current GHG Compliance'!N9)+IF(Table44[[#This Row],[Cold]:[Cold]]="Y",'Cold Weather Package'!N9,0)+IF(Table44[[#This Row],[eAWD]:[eAWD]]="Y",'eAWD Package'!N9,0)+IF(Table44[[#This Row],[Towing]:[Towing]]="Y",'Towing Bat Cost'!N9,0),"N/A")</f>
        <v>N/A</v>
      </c>
      <c r="S218" s="157" t="str">
        <f>IF(Table44[[#This Row],[Applicable Package?]:[Applicable Package?]]="Y",SUM('Rolled Up Non-Incremental Costs'!O9,'ICE Removal Cost'!O9,'Trans Removal Cost'!O9,'LEV3 Criteria Emissions Cost'!O9,'ZEV Assembly Reductions'!O9,'ACCII Criteria Compliance Cost'!O9,'ACCII GHG Compliance'!O9,'Current GHG Compliance'!O9)+IF(Table44[[#This Row],[Cold]:[Cold]]="Y",'Cold Weather Package'!O9,0)+IF(Table44[[#This Row],[eAWD]:[eAWD]]="Y",'eAWD Package'!O9,0)+IF(Table44[[#This Row],[Towing]:[Towing]]="Y",'Towing Bat Cost'!O9,0),"N/A")</f>
        <v>N/A</v>
      </c>
    </row>
    <row r="219" spans="1:19" hidden="1" x14ac:dyDescent="0.3">
      <c r="B219" s="90" t="s">
        <v>83</v>
      </c>
      <c r="C219" s="68" t="s">
        <v>80</v>
      </c>
      <c r="D219" s="68" t="str">
        <f>'Vehicle Attributes - Base Year'!D7</f>
        <v>BEV400</v>
      </c>
      <c r="E219" s="124" t="s">
        <v>76</v>
      </c>
      <c r="F219" s="124" t="s">
        <v>76</v>
      </c>
      <c r="G219" s="125" t="s">
        <v>76</v>
      </c>
      <c r="H219" s="156" t="s">
        <v>77</v>
      </c>
      <c r="I219" s="157" t="str">
        <f>IF(Table44[[#This Row],[Applicable Package?]:[Applicable Package?]]="Y",SUM('Rolled Up Non-Incremental Costs'!E10,'ICE Removal Cost'!E10,'Trans Removal Cost'!E10,'LEV3 Criteria Emissions Cost'!E10,'ZEV Assembly Reductions'!E10,'ACCII Criteria Compliance Cost'!E10,'ACCII GHG Compliance'!E10,'Current GHG Compliance'!E10)+IF(Table44[[#This Row],[Cold]:[Cold]]="Y",'Cold Weather Package'!E10,0)+IF(Table44[[#This Row],[eAWD]:[eAWD]]="Y",'eAWD Package'!E10,0)+IF(Table44[[#This Row],[Towing]:[Towing]]="Y",'Towing Bat Cost'!E10,0),"N/A")</f>
        <v>N/A</v>
      </c>
      <c r="J219" s="157" t="str">
        <f>IF(Table44[[#This Row],[Applicable Package?]:[Applicable Package?]]="Y",SUM('Rolled Up Non-Incremental Costs'!F10,'ICE Removal Cost'!F10,'Trans Removal Cost'!F10,'LEV3 Criteria Emissions Cost'!F10,'ZEV Assembly Reductions'!F10,'ACCII Criteria Compliance Cost'!F10,'ACCII GHG Compliance'!F10,'Current GHG Compliance'!F10)+IF(Table44[[#This Row],[Cold]:[Cold]]="Y",'Cold Weather Package'!F10,0)+IF(Table44[[#This Row],[eAWD]:[eAWD]]="Y",'eAWD Package'!F10,0)+IF(Table44[[#This Row],[Towing]:[Towing]]="Y",'Towing Bat Cost'!F10,0),"N/A")</f>
        <v>N/A</v>
      </c>
      <c r="K219" s="157" t="str">
        <f>IF(Table44[[#This Row],[Applicable Package?]:[Applicable Package?]]="Y",SUM('Rolled Up Non-Incremental Costs'!G10,'ICE Removal Cost'!G10,'Trans Removal Cost'!G10,'LEV3 Criteria Emissions Cost'!G10,'ZEV Assembly Reductions'!G10,'ACCII Criteria Compliance Cost'!G10,'ACCII GHG Compliance'!G10,'Current GHG Compliance'!G10)+IF(Table44[[#This Row],[Cold]:[Cold]]="Y",'Cold Weather Package'!G10,0)+IF(Table44[[#This Row],[eAWD]:[eAWD]]="Y",'eAWD Package'!G10,0)+IF(Table44[[#This Row],[Towing]:[Towing]]="Y",'Towing Bat Cost'!G10,0),"N/A")</f>
        <v>N/A</v>
      </c>
      <c r="L219" s="157" t="str">
        <f>IF(Table44[[#This Row],[Applicable Package?]:[Applicable Package?]]="Y",SUM('Rolled Up Non-Incremental Costs'!H10,'ICE Removal Cost'!H10,'Trans Removal Cost'!H10,'LEV3 Criteria Emissions Cost'!H10,'ZEV Assembly Reductions'!H10,'ACCII Criteria Compliance Cost'!H10,'ACCII GHG Compliance'!H10,'Current GHG Compliance'!H10)+IF(Table44[[#This Row],[Cold]:[Cold]]="Y",'Cold Weather Package'!H10,0)+IF(Table44[[#This Row],[eAWD]:[eAWD]]="Y",'eAWD Package'!H10,0)+IF(Table44[[#This Row],[Towing]:[Towing]]="Y",'Towing Bat Cost'!H10,0),"N/A")</f>
        <v>N/A</v>
      </c>
      <c r="M219" s="157" t="str">
        <f>IF(Table44[[#This Row],[Applicable Package?]:[Applicable Package?]]="Y",SUM('Rolled Up Non-Incremental Costs'!I10,'ICE Removal Cost'!I10,'Trans Removal Cost'!I10,'LEV3 Criteria Emissions Cost'!I10,'ZEV Assembly Reductions'!I10,'ACCII Criteria Compliance Cost'!I10,'ACCII GHG Compliance'!I10,'Current GHG Compliance'!I10)+IF(Table44[[#This Row],[Cold]:[Cold]]="Y",'Cold Weather Package'!I10,0)+IF(Table44[[#This Row],[eAWD]:[eAWD]]="Y",'eAWD Package'!I10,0)+IF(Table44[[#This Row],[Towing]:[Towing]]="Y",'Towing Bat Cost'!I10,0),"N/A")</f>
        <v>N/A</v>
      </c>
      <c r="N219" s="157" t="str">
        <f>IF(Table44[[#This Row],[Applicable Package?]:[Applicable Package?]]="Y",SUM('Rolled Up Non-Incremental Costs'!J10,'ICE Removal Cost'!J10,'Trans Removal Cost'!J10,'LEV3 Criteria Emissions Cost'!J10,'ZEV Assembly Reductions'!J10,'ACCII Criteria Compliance Cost'!J10,'ACCII GHG Compliance'!J10,'Current GHG Compliance'!J10)+IF(Table44[[#This Row],[Cold]:[Cold]]="Y",'Cold Weather Package'!J10,0)+IF(Table44[[#This Row],[eAWD]:[eAWD]]="Y",'eAWD Package'!J10,0)+IF(Table44[[#This Row],[Towing]:[Towing]]="Y",'Towing Bat Cost'!J10,0),"N/A")</f>
        <v>N/A</v>
      </c>
      <c r="O219" s="157" t="str">
        <f>IF(Table44[[#This Row],[Applicable Package?]:[Applicable Package?]]="Y",SUM('Rolled Up Non-Incremental Costs'!K10,'ICE Removal Cost'!K10,'Trans Removal Cost'!K10,'LEV3 Criteria Emissions Cost'!K10,'ZEV Assembly Reductions'!K10,'ACCII Criteria Compliance Cost'!K10,'ACCII GHG Compliance'!K10,'Current GHG Compliance'!K10)+IF(Table44[[#This Row],[Cold]:[Cold]]="Y",'Cold Weather Package'!K10,0)+IF(Table44[[#This Row],[eAWD]:[eAWD]]="Y",'eAWD Package'!K10,0)+IF(Table44[[#This Row],[Towing]:[Towing]]="Y",'Towing Bat Cost'!K10,0),"N/A")</f>
        <v>N/A</v>
      </c>
      <c r="P219" s="157" t="str">
        <f>IF(Table44[[#This Row],[Applicable Package?]:[Applicable Package?]]="Y",SUM('Rolled Up Non-Incremental Costs'!L10,'ICE Removal Cost'!L10,'Trans Removal Cost'!L10,'LEV3 Criteria Emissions Cost'!L10,'ZEV Assembly Reductions'!L10,'ACCII Criteria Compliance Cost'!L10,'ACCII GHG Compliance'!L10,'Current GHG Compliance'!L10)+IF(Table44[[#This Row],[Cold]:[Cold]]="Y",'Cold Weather Package'!L10,0)+IF(Table44[[#This Row],[eAWD]:[eAWD]]="Y",'eAWD Package'!L10,0)+IF(Table44[[#This Row],[Towing]:[Towing]]="Y",'Towing Bat Cost'!L10,0),"N/A")</f>
        <v>N/A</v>
      </c>
      <c r="Q219" s="157" t="str">
        <f>IF(Table44[[#This Row],[Applicable Package?]:[Applicable Package?]]="Y",SUM('Rolled Up Non-Incremental Costs'!M10,'ICE Removal Cost'!M10,'Trans Removal Cost'!M10,'LEV3 Criteria Emissions Cost'!M10,'ZEV Assembly Reductions'!M10,'ACCII Criteria Compliance Cost'!M10,'ACCII GHG Compliance'!M10,'Current GHG Compliance'!M10)+IF(Table44[[#This Row],[Cold]:[Cold]]="Y",'Cold Weather Package'!M10,0)+IF(Table44[[#This Row],[eAWD]:[eAWD]]="Y",'eAWD Package'!M10,0)+IF(Table44[[#This Row],[Towing]:[Towing]]="Y",'Towing Bat Cost'!M10,0),"N/A")</f>
        <v>N/A</v>
      </c>
      <c r="R219" s="157" t="str">
        <f>IF(Table44[[#This Row],[Applicable Package?]:[Applicable Package?]]="Y",SUM('Rolled Up Non-Incremental Costs'!N10,'ICE Removal Cost'!N10,'Trans Removal Cost'!N10,'LEV3 Criteria Emissions Cost'!N10,'ZEV Assembly Reductions'!N10,'ACCII Criteria Compliance Cost'!N10,'ACCII GHG Compliance'!N10,'Current GHG Compliance'!N10)+IF(Table44[[#This Row],[Cold]:[Cold]]="Y",'Cold Weather Package'!N10,0)+IF(Table44[[#This Row],[eAWD]:[eAWD]]="Y",'eAWD Package'!N10,0)+IF(Table44[[#This Row],[Towing]:[Towing]]="Y",'Towing Bat Cost'!N10,0),"N/A")</f>
        <v>N/A</v>
      </c>
      <c r="S219" s="157" t="str">
        <f>IF(Table44[[#This Row],[Applicable Package?]:[Applicable Package?]]="Y",SUM('Rolled Up Non-Incremental Costs'!O10,'ICE Removal Cost'!O10,'Trans Removal Cost'!O10,'LEV3 Criteria Emissions Cost'!O10,'ZEV Assembly Reductions'!O10,'ACCII Criteria Compliance Cost'!O10,'ACCII GHG Compliance'!O10,'Current GHG Compliance'!O10)+IF(Table44[[#This Row],[Cold]:[Cold]]="Y",'Cold Weather Package'!O10,0)+IF(Table44[[#This Row],[eAWD]:[eAWD]]="Y",'eAWD Package'!O10,0)+IF(Table44[[#This Row],[Towing]:[Towing]]="Y",'Towing Bat Cost'!O10,0),"N/A")</f>
        <v>N/A</v>
      </c>
    </row>
    <row r="220" spans="1:19" hidden="1" x14ac:dyDescent="0.3">
      <c r="B220" s="90" t="s">
        <v>86</v>
      </c>
      <c r="C220" s="68" t="s">
        <v>75</v>
      </c>
      <c r="D220" s="68" t="str">
        <f>'Vehicle Attributes - Base Year'!D8</f>
        <v>BEV300</v>
      </c>
      <c r="E220" s="124" t="s">
        <v>76</v>
      </c>
      <c r="F220" s="124" t="s">
        <v>76</v>
      </c>
      <c r="G220" s="125" t="s">
        <v>76</v>
      </c>
      <c r="H220" s="156" t="s">
        <v>76</v>
      </c>
      <c r="I220" s="157">
        <f>IF(Table44[[#This Row],[Applicable Package?]:[Applicable Package?]]="Y",SUM('Rolled Up Non-Incremental Costs'!E11,'ICE Removal Cost'!E11,'Trans Removal Cost'!E11,'LEV3 Criteria Emissions Cost'!E11,'ZEV Assembly Reductions'!E11,'ACCII Criteria Compliance Cost'!E11,'ACCII GHG Compliance'!E11,'Current GHG Compliance'!E11)+IF(Table44[[#This Row],[Cold]:[Cold]]="Y",'Cold Weather Package'!E11,0)+IF(Table44[[#This Row],[eAWD]:[eAWD]]="Y",'eAWD Package'!E11,0)+IF(Table44[[#This Row],[Towing]:[Towing]]="Y",'Towing Bat Cost'!E11,0),"N/A")</f>
        <v>16139.810887050971</v>
      </c>
      <c r="J220" s="157">
        <f>IF(Table44[[#This Row],[Applicable Package?]:[Applicable Package?]]="Y",SUM('Rolled Up Non-Incremental Costs'!F11,'ICE Removal Cost'!F11,'Trans Removal Cost'!F11,'LEV3 Criteria Emissions Cost'!F11,'ZEV Assembly Reductions'!F11,'ACCII Criteria Compliance Cost'!F11,'ACCII GHG Compliance'!F11,'Current GHG Compliance'!F11)+IF(Table44[[#This Row],[Cold]:[Cold]]="Y",'Cold Weather Package'!F11,0)+IF(Table44[[#This Row],[eAWD]:[eAWD]]="Y",'eAWD Package'!F11,0)+IF(Table44[[#This Row],[Towing]:[Towing]]="Y",'Towing Bat Cost'!F11,0),"N/A")</f>
        <v>14676.515008082617</v>
      </c>
      <c r="K220" s="157">
        <f>IF(Table44[[#This Row],[Applicable Package?]:[Applicable Package?]]="Y",SUM('Rolled Up Non-Incremental Costs'!G11,'ICE Removal Cost'!G11,'Trans Removal Cost'!G11,'LEV3 Criteria Emissions Cost'!G11,'ZEV Assembly Reductions'!G11,'ACCII Criteria Compliance Cost'!G11,'ACCII GHG Compliance'!G11,'Current GHG Compliance'!G11)+IF(Table44[[#This Row],[Cold]:[Cold]]="Y",'Cold Weather Package'!G11,0)+IF(Table44[[#This Row],[eAWD]:[eAWD]]="Y",'eAWD Package'!G11,0)+IF(Table44[[#This Row],[Towing]:[Towing]]="Y",'Towing Bat Cost'!G11,0),"N/A")</f>
        <v>13318.16349144175</v>
      </c>
      <c r="L220" s="157">
        <f>IF(Table44[[#This Row],[Applicable Package?]:[Applicable Package?]]="Y",SUM('Rolled Up Non-Incremental Costs'!H11,'ICE Removal Cost'!H11,'Trans Removal Cost'!H11,'LEV3 Criteria Emissions Cost'!H11,'ZEV Assembly Reductions'!H11,'ACCII Criteria Compliance Cost'!H11,'ACCII GHG Compliance'!H11,'Current GHG Compliance'!H11)+IF(Table44[[#This Row],[Cold]:[Cold]]="Y",'Cold Weather Package'!H11,0)+IF(Table44[[#This Row],[eAWD]:[eAWD]]="Y",'eAWD Package'!H11,0)+IF(Table44[[#This Row],[Towing]:[Towing]]="Y",'Towing Bat Cost'!H11,0),"N/A")</f>
        <v>12056.965147231</v>
      </c>
      <c r="M220" s="157">
        <f>IF(Table44[[#This Row],[Applicable Package?]:[Applicable Package?]]="Y",SUM('Rolled Up Non-Incremental Costs'!I11,'ICE Removal Cost'!I11,'Trans Removal Cost'!I11,'LEV3 Criteria Emissions Cost'!I11,'ZEV Assembly Reductions'!I11,'ACCII Criteria Compliance Cost'!I11,'ACCII GHG Compliance'!I11,'Current GHG Compliance'!I11)+IF(Table44[[#This Row],[Cold]:[Cold]]="Y",'Cold Weather Package'!I11,0)+IF(Table44[[#This Row],[eAWD]:[eAWD]]="Y",'eAWD Package'!I11,0)+IF(Table44[[#This Row],[Towing]:[Towing]]="Y",'Towing Bat Cost'!I11,0),"N/A")</f>
        <v>10885.709968811323</v>
      </c>
      <c r="N220" s="157">
        <f>IF(Table44[[#This Row],[Applicable Package?]:[Applicable Package?]]="Y",SUM('Rolled Up Non-Incremental Costs'!J11,'ICE Removal Cost'!J11,'Trans Removal Cost'!J11,'LEV3 Criteria Emissions Cost'!J11,'ZEV Assembly Reductions'!J11,'ACCII Criteria Compliance Cost'!J11,'ACCII GHG Compliance'!J11,'Current GHG Compliance'!J11)+IF(Table44[[#This Row],[Cold]:[Cold]]="Y",'Cold Weather Package'!J11,0)+IF(Table44[[#This Row],[eAWD]:[eAWD]]="Y",'eAWD Package'!J11,0)+IF(Table44[[#This Row],[Towing]:[Towing]]="Y",'Towing Bat Cost'!J11,0),"N/A")</f>
        <v>10009.948026551152</v>
      </c>
      <c r="O220" s="157">
        <f>IF(Table44[[#This Row],[Applicable Package?]:[Applicable Package?]]="Y",SUM('Rolled Up Non-Incremental Costs'!K11,'ICE Removal Cost'!K11,'Trans Removal Cost'!K11,'LEV3 Criteria Emissions Cost'!K11,'ZEV Assembly Reductions'!K11,'ACCII Criteria Compliance Cost'!K11,'ACCII GHG Compliance'!K11,'Current GHG Compliance'!K11)+IF(Table44[[#This Row],[Cold]:[Cold]]="Y",'Cold Weather Package'!K11,0)+IF(Table44[[#This Row],[eAWD]:[eAWD]]="Y",'eAWD Package'!K11,0)+IF(Table44[[#This Row],[Towing]:[Towing]]="Y",'Towing Bat Cost'!K11,0),"N/A")</f>
        <v>9240.0958098294977</v>
      </c>
      <c r="P220" s="157">
        <f>IF(Table44[[#This Row],[Applicable Package?]:[Applicable Package?]]="Y",SUM('Rolled Up Non-Incremental Costs'!L11,'ICE Removal Cost'!L11,'Trans Removal Cost'!L11,'LEV3 Criteria Emissions Cost'!L11,'ZEV Assembly Reductions'!L11,'ACCII Criteria Compliance Cost'!L11,'ACCII GHG Compliance'!L11,'Current GHG Compliance'!L11)+IF(Table44[[#This Row],[Cold]:[Cold]]="Y",'Cold Weather Package'!L11,0)+IF(Table44[[#This Row],[eAWD]:[eAWD]]="Y",'eAWD Package'!L11,0)+IF(Table44[[#This Row],[Towing]:[Towing]]="Y",'Towing Bat Cost'!L11,0),"N/A")</f>
        <v>8509.5686025960331</v>
      </c>
      <c r="Q220" s="157">
        <f>IF(Table44[[#This Row],[Applicable Package?]:[Applicable Package?]]="Y",SUM('Rolled Up Non-Incremental Costs'!M11,'ICE Removal Cost'!M11,'Trans Removal Cost'!M11,'LEV3 Criteria Emissions Cost'!M11,'ZEV Assembly Reductions'!M11,'ACCII Criteria Compliance Cost'!M11,'ACCII GHG Compliance'!M11,'Current GHG Compliance'!M11)+IF(Table44[[#This Row],[Cold]:[Cold]]="Y",'Cold Weather Package'!M11,0)+IF(Table44[[#This Row],[eAWD]:[eAWD]]="Y",'eAWD Package'!M11,0)+IF(Table44[[#This Row],[Towing]:[Towing]]="Y",'Towing Bat Cost'!M11,0),"N/A")</f>
        <v>7816.241604575056</v>
      </c>
      <c r="R220" s="157">
        <f>IF(Table44[[#This Row],[Applicable Package?]:[Applicable Package?]]="Y",SUM('Rolled Up Non-Incremental Costs'!N11,'ICE Removal Cost'!N11,'Trans Removal Cost'!N11,'LEV3 Criteria Emissions Cost'!N11,'ZEV Assembly Reductions'!N11,'ACCII Criteria Compliance Cost'!N11,'ACCII GHG Compliance'!N11,'Current GHG Compliance'!N11)+IF(Table44[[#This Row],[Cold]:[Cold]]="Y",'Cold Weather Package'!N11,0)+IF(Table44[[#This Row],[eAWD]:[eAWD]]="Y",'eAWD Package'!N11,0)+IF(Table44[[#This Row],[Towing]:[Towing]]="Y",'Towing Bat Cost'!N11,0),"N/A")</f>
        <v>7158.1060658660163</v>
      </c>
      <c r="S220" s="157">
        <f>IF(Table44[[#This Row],[Applicable Package?]:[Applicable Package?]]="Y",SUM('Rolled Up Non-Incremental Costs'!O11,'ICE Removal Cost'!O11,'Trans Removal Cost'!O11,'LEV3 Criteria Emissions Cost'!O11,'ZEV Assembly Reductions'!O11,'ACCII Criteria Compliance Cost'!O11,'ACCII GHG Compliance'!O11,'Current GHG Compliance'!O11)+IF(Table44[[#This Row],[Cold]:[Cold]]="Y",'Cold Weather Package'!O11,0)+IF(Table44[[#This Row],[eAWD]:[eAWD]]="Y",'eAWD Package'!O11,0)+IF(Table44[[#This Row],[Towing]:[Towing]]="Y",'Towing Bat Cost'!O11,0),"N/A")</f>
        <v>6533.2629360098781</v>
      </c>
    </row>
    <row r="221" spans="1:19" hidden="1" x14ac:dyDescent="0.3">
      <c r="B221" s="90" t="s">
        <v>86</v>
      </c>
      <c r="C221" s="68" t="s">
        <v>80</v>
      </c>
      <c r="D221" s="68" t="str">
        <f>'Vehicle Attributes - Base Year'!D9</f>
        <v>BEV400</v>
      </c>
      <c r="E221" s="124" t="s">
        <v>76</v>
      </c>
      <c r="F221" s="124" t="s">
        <v>76</v>
      </c>
      <c r="G221" s="125" t="s">
        <v>76</v>
      </c>
      <c r="H221" s="156" t="s">
        <v>76</v>
      </c>
      <c r="I221" s="157">
        <f>IF(Table44[[#This Row],[Applicable Package?]:[Applicable Package?]]="Y",SUM('Rolled Up Non-Incremental Costs'!E12,'ICE Removal Cost'!E12,'Trans Removal Cost'!E12,'LEV3 Criteria Emissions Cost'!E12,'ZEV Assembly Reductions'!E12,'ACCII Criteria Compliance Cost'!E12,'ACCII GHG Compliance'!E12,'Current GHG Compliance'!E12)+IF(Table44[[#This Row],[Cold]:[Cold]]="Y",'Cold Weather Package'!E12,0)+IF(Table44[[#This Row],[eAWD]:[eAWD]]="Y",'eAWD Package'!E12,0)+IF(Table44[[#This Row],[Towing]:[Towing]]="Y",'Towing Bat Cost'!E12,0),"N/A")</f>
        <v>18128.064724310781</v>
      </c>
      <c r="J221" s="157">
        <f>IF(Table44[[#This Row],[Applicable Package?]:[Applicable Package?]]="Y",SUM('Rolled Up Non-Incremental Costs'!F12,'ICE Removal Cost'!F12,'Trans Removal Cost'!F12,'LEV3 Criteria Emissions Cost'!F12,'ZEV Assembly Reductions'!F12,'ACCII Criteria Compliance Cost'!F12,'ACCII GHG Compliance'!F12,'Current GHG Compliance'!F12)+IF(Table44[[#This Row],[Cold]:[Cold]]="Y",'Cold Weather Package'!F12,0)+IF(Table44[[#This Row],[eAWD]:[eAWD]]="Y",'eAWD Package'!F12,0)+IF(Table44[[#This Row],[Towing]:[Towing]]="Y",'Towing Bat Cost'!F12,0),"N/A")</f>
        <v>16520.38376639098</v>
      </c>
      <c r="K221" s="157">
        <f>IF(Table44[[#This Row],[Applicable Package?]:[Applicable Package?]]="Y",SUM('Rolled Up Non-Incremental Costs'!G12,'ICE Removal Cost'!G12,'Trans Removal Cost'!G12,'LEV3 Criteria Emissions Cost'!G12,'ZEV Assembly Reductions'!G12,'ACCII Criteria Compliance Cost'!G12,'ACCII GHG Compliance'!G12,'Current GHG Compliance'!G12)+IF(Table44[[#This Row],[Cold]:[Cold]]="Y",'Cold Weather Package'!G12,0)+IF(Table44[[#This Row],[eAWD]:[eAWD]]="Y",'eAWD Package'!G12,0)+IF(Table44[[#This Row],[Towing]:[Towing]]="Y",'Towing Bat Cost'!G12,0),"N/A")</f>
        <v>15028.011886242393</v>
      </c>
      <c r="L221" s="157">
        <f>IF(Table44[[#This Row],[Applicable Package?]:[Applicable Package?]]="Y",SUM('Rolled Up Non-Incremental Costs'!H12,'ICE Removal Cost'!H12,'Trans Removal Cost'!H12,'LEV3 Criteria Emissions Cost'!H12,'ZEV Assembly Reductions'!H12,'ACCII Criteria Compliance Cost'!H12,'ACCII GHG Compliance'!H12,'Current GHG Compliance'!H12)+IF(Table44[[#This Row],[Cold]:[Cold]]="Y",'Cold Weather Package'!H12,0)+IF(Table44[[#This Row],[eAWD]:[eAWD]]="Y",'eAWD Package'!H12,0)+IF(Table44[[#This Row],[Towing]:[Towing]]="Y",'Towing Bat Cost'!H12,0),"N/A")</f>
        <v>13642.388304266777</v>
      </c>
      <c r="M221" s="157">
        <f>IF(Table44[[#This Row],[Applicable Package?]:[Applicable Package?]]="Y",SUM('Rolled Up Non-Incremental Costs'!I12,'ICE Removal Cost'!I12,'Trans Removal Cost'!I12,'LEV3 Criteria Emissions Cost'!I12,'ZEV Assembly Reductions'!I12,'ACCII Criteria Compliance Cost'!I12,'ACCII GHG Compliance'!I12,'Current GHG Compliance'!I12)+IF(Table44[[#This Row],[Cold]:[Cold]]="Y",'Cold Weather Package'!I12,0)+IF(Table44[[#This Row],[eAWD]:[eAWD]]="Y",'eAWD Package'!I12,0)+IF(Table44[[#This Row],[Towing]:[Towing]]="Y",'Towing Bat Cost'!I12,0),"N/A")</f>
        <v>12355.590832632308</v>
      </c>
      <c r="N221" s="157">
        <f>IF(Table44[[#This Row],[Applicable Package?]:[Applicable Package?]]="Y",SUM('Rolled Up Non-Incremental Costs'!J12,'ICE Removal Cost'!J12,'Trans Removal Cost'!J12,'LEV3 Criteria Emissions Cost'!J12,'ZEV Assembly Reductions'!J12,'ACCII Criteria Compliance Cost'!J12,'ACCII GHG Compliance'!J12,'Current GHG Compliance'!J12)+IF(Table44[[#This Row],[Cold]:[Cold]]="Y",'Cold Weather Package'!J12,0)+IF(Table44[[#This Row],[eAWD]:[eAWD]]="Y",'eAWD Package'!J12,0)+IF(Table44[[#This Row],[Towing]:[Towing]]="Y",'Towing Bat Cost'!J12,0),"N/A")</f>
        <v>11393.473575104937</v>
      </c>
      <c r="O221" s="157">
        <f>IF(Table44[[#This Row],[Applicable Package?]:[Applicable Package?]]="Y",SUM('Rolled Up Non-Incremental Costs'!K12,'ICE Removal Cost'!K12,'Trans Removal Cost'!K12,'LEV3 Criteria Emissions Cost'!K12,'ZEV Assembly Reductions'!K12,'ACCII Criteria Compliance Cost'!K12,'ACCII GHG Compliance'!K12,'Current GHG Compliance'!K12)+IF(Table44[[#This Row],[Cold]:[Cold]]="Y",'Cold Weather Package'!K12,0)+IF(Table44[[#This Row],[eAWD]:[eAWD]]="Y",'eAWD Package'!K12,0)+IF(Table44[[#This Row],[Towing]:[Towing]]="Y",'Towing Bat Cost'!K12,0),"N/A")</f>
        <v>10547.726178268153</v>
      </c>
      <c r="P221" s="157">
        <f>IF(Table44[[#This Row],[Applicable Package?]:[Applicable Package?]]="Y",SUM('Rolled Up Non-Incremental Costs'!L12,'ICE Removal Cost'!L12,'Trans Removal Cost'!L12,'LEV3 Criteria Emissions Cost'!L12,'ZEV Assembly Reductions'!L12,'ACCII Criteria Compliance Cost'!L12,'ACCII GHG Compliance'!L12,'Current GHG Compliance'!L12)+IF(Table44[[#This Row],[Cold]:[Cold]]="Y",'Cold Weather Package'!L12,0)+IF(Table44[[#This Row],[eAWD]:[eAWD]]="Y",'eAWD Package'!L12,0)+IF(Table44[[#This Row],[Towing]:[Towing]]="Y",'Towing Bat Cost'!L12,0),"N/A")</f>
        <v>9745.1867735941796</v>
      </c>
      <c r="Q221" s="157">
        <f>IF(Table44[[#This Row],[Applicable Package?]:[Applicable Package?]]="Y",SUM('Rolled Up Non-Incremental Costs'!M12,'ICE Removal Cost'!M12,'Trans Removal Cost'!M12,'LEV3 Criteria Emissions Cost'!M12,'ZEV Assembly Reductions'!M12,'ACCII Criteria Compliance Cost'!M12,'ACCII GHG Compliance'!M12,'Current GHG Compliance'!M12)+IF(Table44[[#This Row],[Cold]:[Cold]]="Y",'Cold Weather Package'!M12,0)+IF(Table44[[#This Row],[eAWD]:[eAWD]]="Y",'eAWD Package'!M12,0)+IF(Table44[[#This Row],[Towing]:[Towing]]="Y",'Towing Bat Cost'!M12,0),"N/A")</f>
        <v>8983.5206902902428</v>
      </c>
      <c r="R221" s="157">
        <f>IF(Table44[[#This Row],[Applicable Package?]:[Applicable Package?]]="Y",SUM('Rolled Up Non-Incremental Costs'!N12,'ICE Removal Cost'!N12,'Trans Removal Cost'!N12,'LEV3 Criteria Emissions Cost'!N12,'ZEV Assembly Reductions'!N12,'ACCII Criteria Compliance Cost'!N12,'ACCII GHG Compliance'!N12,'Current GHG Compliance'!N12)+IF(Table44[[#This Row],[Cold]:[Cold]]="Y",'Cold Weather Package'!N12,0)+IF(Table44[[#This Row],[eAWD]:[eAWD]]="Y",'eAWD Package'!N12,0)+IF(Table44[[#This Row],[Towing]:[Towing]]="Y",'Towing Bat Cost'!N12,0),"N/A")</f>
        <v>8260.5207711216972</v>
      </c>
      <c r="S221" s="157">
        <f>IF(Table44[[#This Row],[Applicable Package?]:[Applicable Package?]]="Y",SUM('Rolled Up Non-Incremental Costs'!O12,'ICE Removal Cost'!O12,'Trans Removal Cost'!O12,'LEV3 Criteria Emissions Cost'!O12,'ZEV Assembly Reductions'!O12,'ACCII Criteria Compliance Cost'!O12,'ACCII GHG Compliance'!O12,'Current GHG Compliance'!O12)+IF(Table44[[#This Row],[Cold]:[Cold]]="Y",'Cold Weather Package'!O12,0)+IF(Table44[[#This Row],[eAWD]:[eAWD]]="Y",'eAWD Package'!O12,0)+IF(Table44[[#This Row],[Towing]:[Towing]]="Y",'Towing Bat Cost'!O12,0),"N/A")</f>
        <v>7574.1003941413783</v>
      </c>
    </row>
    <row r="222" spans="1:19" hidden="1" x14ac:dyDescent="0.3">
      <c r="B222" s="90" t="s">
        <v>89</v>
      </c>
      <c r="C222" s="68" t="s">
        <v>75</v>
      </c>
      <c r="D222" s="68" t="str">
        <f>'Vehicle Attributes - Base Year'!D10</f>
        <v>BEV300</v>
      </c>
      <c r="E222" s="124" t="s">
        <v>76</v>
      </c>
      <c r="F222" s="124" t="s">
        <v>76</v>
      </c>
      <c r="G222" s="125" t="s">
        <v>76</v>
      </c>
      <c r="H222" s="156" t="s">
        <v>76</v>
      </c>
      <c r="I222" s="157">
        <f>IF(Table44[[#This Row],[Applicable Package?]:[Applicable Package?]]="Y",SUM('Rolled Up Non-Incremental Costs'!E13,'ICE Removal Cost'!E13,'Trans Removal Cost'!E13,'LEV3 Criteria Emissions Cost'!E13,'ZEV Assembly Reductions'!E13,'ACCII Criteria Compliance Cost'!E13,'ACCII GHG Compliance'!E13,'Current GHG Compliance'!E13)+IF(Table44[[#This Row],[Cold]:[Cold]]="Y",'Cold Weather Package'!E13,0)+IF(Table44[[#This Row],[eAWD]:[eAWD]]="Y",'eAWD Package'!E13,0)+IF(Table44[[#This Row],[Towing]:[Towing]]="Y",'Towing Bat Cost'!E13,0),"N/A")</f>
        <v>22341.779833467008</v>
      </c>
      <c r="J222" s="157">
        <f>IF(Table44[[#This Row],[Applicable Package?]:[Applicable Package?]]="Y",SUM('Rolled Up Non-Incremental Costs'!F13,'ICE Removal Cost'!F13,'Trans Removal Cost'!F13,'LEV3 Criteria Emissions Cost'!F13,'ZEV Assembly Reductions'!F13,'ACCII Criteria Compliance Cost'!F13,'ACCII GHG Compliance'!F13,'Current GHG Compliance'!F13)+IF(Table44[[#This Row],[Cold]:[Cold]]="Y",'Cold Weather Package'!F13,0)+IF(Table44[[#This Row],[eAWD]:[eAWD]]="Y",'eAWD Package'!F13,0)+IF(Table44[[#This Row],[Towing]:[Towing]]="Y",'Towing Bat Cost'!F13,0),"N/A")</f>
        <v>20407.58254785703</v>
      </c>
      <c r="K222" s="157">
        <f>IF(Table44[[#This Row],[Applicable Package?]:[Applicable Package?]]="Y",SUM('Rolled Up Non-Incremental Costs'!G13,'ICE Removal Cost'!G13,'Trans Removal Cost'!G13,'LEV3 Criteria Emissions Cost'!G13,'ZEV Assembly Reductions'!G13,'ACCII Criteria Compliance Cost'!G13,'ACCII GHG Compliance'!G13,'Current GHG Compliance'!G13)+IF(Table44[[#This Row],[Cold]:[Cold]]="Y",'Cold Weather Package'!G13,0)+IF(Table44[[#This Row],[eAWD]:[eAWD]]="Y",'eAWD Package'!G13,0)+IF(Table44[[#This Row],[Towing]:[Towing]]="Y",'Towing Bat Cost'!G13,0),"N/A")</f>
        <v>18613.188408828257</v>
      </c>
      <c r="L222" s="157">
        <f>IF(Table44[[#This Row],[Applicable Package?]:[Applicable Package?]]="Y",SUM('Rolled Up Non-Incremental Costs'!H13,'ICE Removal Cost'!H13,'Trans Removal Cost'!H13,'LEV3 Criteria Emissions Cost'!H13,'ZEV Assembly Reductions'!H13,'ACCII Criteria Compliance Cost'!H13,'ACCII GHG Compliance'!H13,'Current GHG Compliance'!H13)+IF(Table44[[#This Row],[Cold]:[Cold]]="Y",'Cold Weather Package'!H13,0)+IF(Table44[[#This Row],[eAWD]:[eAWD]]="Y",'eAWD Package'!H13,0)+IF(Table44[[#This Row],[Towing]:[Towing]]="Y",'Towing Bat Cost'!H13,0),"N/A")</f>
        <v>16948.20695829629</v>
      </c>
      <c r="M222" s="157">
        <f>IF(Table44[[#This Row],[Applicable Package?]:[Applicable Package?]]="Y",SUM('Rolled Up Non-Incremental Costs'!I13,'ICE Removal Cost'!I13,'Trans Removal Cost'!I13,'LEV3 Criteria Emissions Cost'!I13,'ZEV Assembly Reductions'!I13,'ACCII Criteria Compliance Cost'!I13,'ACCII GHG Compliance'!I13,'Current GHG Compliance'!I13)+IF(Table44[[#This Row],[Cold]:[Cold]]="Y",'Cold Weather Package'!I13,0)+IF(Table44[[#This Row],[eAWD]:[eAWD]]="Y",'eAWD Package'!I13,0)+IF(Table44[[#This Row],[Towing]:[Towing]]="Y",'Towing Bat Cost'!I13,0),"N/A")</f>
        <v>15403.022927404665</v>
      </c>
      <c r="N222" s="157">
        <f>IF(Table44[[#This Row],[Applicable Package?]:[Applicable Package?]]="Y",SUM('Rolled Up Non-Incremental Costs'!J13,'ICE Removal Cost'!J13,'Trans Removal Cost'!J13,'LEV3 Criteria Emissions Cost'!J13,'ZEV Assembly Reductions'!J13,'ACCII Criteria Compliance Cost'!J13,'ACCII GHG Compliance'!J13,'Current GHG Compliance'!J13)+IF(Table44[[#This Row],[Cold]:[Cold]]="Y",'Cold Weather Package'!J13,0)+IF(Table44[[#This Row],[eAWD]:[eAWD]]="Y",'eAWD Package'!J13,0)+IF(Table44[[#This Row],[Towing]:[Towing]]="Y",'Towing Bat Cost'!J13,0),"N/A")</f>
        <v>14251.809428606572</v>
      </c>
      <c r="O222" s="157">
        <f>IF(Table44[[#This Row],[Applicable Package?]:[Applicable Package?]]="Y",SUM('Rolled Up Non-Incremental Costs'!K13,'ICE Removal Cost'!K13,'Trans Removal Cost'!K13,'LEV3 Criteria Emissions Cost'!K13,'ZEV Assembly Reductions'!K13,'ACCII Criteria Compliance Cost'!K13,'ACCII GHG Compliance'!K13,'Current GHG Compliance'!K13)+IF(Table44[[#This Row],[Cold]:[Cold]]="Y",'Cold Weather Package'!K13,0)+IF(Table44[[#This Row],[eAWD]:[eAWD]]="Y",'eAWD Package'!K13,0)+IF(Table44[[#This Row],[Towing]:[Towing]]="Y",'Towing Bat Cost'!K13,0),"N/A")</f>
        <v>13241.69365724813</v>
      </c>
      <c r="P222" s="157">
        <f>IF(Table44[[#This Row],[Applicable Package?]:[Applicable Package?]]="Y",SUM('Rolled Up Non-Incremental Costs'!L13,'ICE Removal Cost'!L13,'Trans Removal Cost'!L13,'LEV3 Criteria Emissions Cost'!L13,'ZEV Assembly Reductions'!L13,'ACCII Criteria Compliance Cost'!L13,'ACCII GHG Compliance'!L13,'Current GHG Compliance'!L13)+IF(Table44[[#This Row],[Cold]:[Cold]]="Y",'Cold Weather Package'!L13,0)+IF(Table44[[#This Row],[eAWD]:[eAWD]]="Y",'eAWD Package'!L13,0)+IF(Table44[[#This Row],[Towing]:[Towing]]="Y",'Towing Bat Cost'!L13,0),"N/A")</f>
        <v>12283.863791422986</v>
      </c>
      <c r="Q222" s="157">
        <f>IF(Table44[[#This Row],[Applicable Package?]:[Applicable Package?]]="Y",SUM('Rolled Up Non-Incremental Costs'!M13,'ICE Removal Cost'!M13,'Trans Removal Cost'!M13,'LEV3 Criteria Emissions Cost'!M13,'ZEV Assembly Reductions'!M13,'ACCII Criteria Compliance Cost'!M13,'ACCII GHG Compliance'!M13,'Current GHG Compliance'!M13)+IF(Table44[[#This Row],[Cold]:[Cold]]="Y",'Cold Weather Package'!M13,0)+IF(Table44[[#This Row],[eAWD]:[eAWD]]="Y",'eAWD Package'!M13,0)+IF(Table44[[#This Row],[Towing]:[Towing]]="Y",'Towing Bat Cost'!M13,0),"N/A")</f>
        <v>11375.487357132679</v>
      </c>
      <c r="R222" s="157">
        <f>IF(Table44[[#This Row],[Applicable Package?]:[Applicable Package?]]="Y",SUM('Rolled Up Non-Incremental Costs'!N13,'ICE Removal Cost'!N13,'Trans Removal Cost'!N13,'LEV3 Criteria Emissions Cost'!N13,'ZEV Assembly Reductions'!N13,'ACCII Criteria Compliance Cost'!N13,'ACCII GHG Compliance'!N13,'Current GHG Compliance'!N13)+IF(Table44[[#This Row],[Cold]:[Cold]]="Y",'Cold Weather Package'!N13,0)+IF(Table44[[#This Row],[eAWD]:[eAWD]]="Y",'eAWD Package'!N13,0)+IF(Table44[[#This Row],[Towing]:[Towing]]="Y",'Towing Bat Cost'!N13,0),"N/A")</f>
        <v>10513.886656536863</v>
      </c>
      <c r="S222" s="157">
        <f>IF(Table44[[#This Row],[Applicable Package?]:[Applicable Package?]]="Y",SUM('Rolled Up Non-Incremental Costs'!O13,'ICE Removal Cost'!O13,'Trans Removal Cost'!O13,'LEV3 Criteria Emissions Cost'!O13,'ZEV Assembly Reductions'!O13,'ACCII Criteria Compliance Cost'!O13,'ACCII GHG Compliance'!O13,'Current GHG Compliance'!O13)+IF(Table44[[#This Row],[Cold]:[Cold]]="Y",'Cold Weather Package'!O13,0)+IF(Table44[[#This Row],[eAWD]:[eAWD]]="Y",'eAWD Package'!O13,0)+IF(Table44[[#This Row],[Towing]:[Towing]]="Y",'Towing Bat Cost'!O13,0),"N/A")</f>
        <v>9696.5302969765999</v>
      </c>
    </row>
    <row r="223" spans="1:19" hidden="1" x14ac:dyDescent="0.3">
      <c r="B223" s="90" t="s">
        <v>89</v>
      </c>
      <c r="C223" s="68" t="s">
        <v>113</v>
      </c>
      <c r="D223" s="68" t="str">
        <f>'Vehicle Attributes - Base Year'!D11</f>
        <v>BEV400</v>
      </c>
      <c r="E223" s="124" t="s">
        <v>76</v>
      </c>
      <c r="F223" s="124" t="s">
        <v>76</v>
      </c>
      <c r="G223" s="125" t="s">
        <v>76</v>
      </c>
      <c r="H223" s="156" t="s">
        <v>76</v>
      </c>
      <c r="I223" s="157">
        <f>IF(Table44[[#This Row],[Applicable Package?]:[Applicable Package?]]="Y",SUM('Rolled Up Non-Incremental Costs'!E14,'ICE Removal Cost'!E14,'Trans Removal Cost'!E14,'LEV3 Criteria Emissions Cost'!E14,'ZEV Assembly Reductions'!E14,'ACCII Criteria Compliance Cost'!E14,'ACCII GHG Compliance'!E14,'Current GHG Compliance'!E14)+IF(Table44[[#This Row],[Cold]:[Cold]]="Y",'Cold Weather Package'!E14,0)+IF(Table44[[#This Row],[eAWD]:[eAWD]]="Y",'eAWD Package'!E14,0)+IF(Table44[[#This Row],[Towing]:[Towing]]="Y",'Towing Bat Cost'!E14,0),"N/A")</f>
        <v>25098.843370927323</v>
      </c>
      <c r="J223" s="157">
        <f>IF(Table44[[#This Row],[Applicable Package?]:[Applicable Package?]]="Y",SUM('Rolled Up Non-Incremental Costs'!F14,'ICE Removal Cost'!F14,'Trans Removal Cost'!F14,'LEV3 Criteria Emissions Cost'!F14,'ZEV Assembly Reductions'!F14,'ACCII Criteria Compliance Cost'!F14,'ACCII GHG Compliance'!F14,'Current GHG Compliance'!F14)+IF(Table44[[#This Row],[Cold]:[Cold]]="Y",'Cold Weather Package'!F14,0)+IF(Table44[[#This Row],[eAWD]:[eAWD]]="Y",'eAWD Package'!F14,0)+IF(Table44[[#This Row],[Towing]:[Towing]]="Y",'Towing Bat Cost'!F14,0),"N/A")</f>
        <v>22993.951417037599</v>
      </c>
      <c r="K223" s="157">
        <f>IF(Table44[[#This Row],[Applicable Package?]:[Applicable Package?]]="Y",SUM('Rolled Up Non-Incremental Costs'!G14,'ICE Removal Cost'!G14,'Trans Removal Cost'!G14,'LEV3 Criteria Emissions Cost'!G14,'ZEV Assembly Reductions'!G14,'ACCII Criteria Compliance Cost'!G14,'ACCII GHG Compliance'!G14,'Current GHG Compliance'!G14)+IF(Table44[[#This Row],[Cold]:[Cold]]="Y",'Cold Weather Package'!G14,0)+IF(Table44[[#This Row],[eAWD]:[eAWD]]="Y",'eAWD Package'!G14,0)+IF(Table44[[#This Row],[Towing]:[Towing]]="Y",'Towing Bat Cost'!G14,0),"N/A")</f>
        <v>21041.253765468246</v>
      </c>
      <c r="L223" s="157">
        <f>IF(Table44[[#This Row],[Applicable Package?]:[Applicable Package?]]="Y",SUM('Rolled Up Non-Incremental Costs'!H14,'ICE Removal Cost'!H14,'Trans Removal Cost'!H14,'LEV3 Criteria Emissions Cost'!H14,'ZEV Assembly Reductions'!H14,'ACCII Criteria Compliance Cost'!H14,'ACCII GHG Compliance'!H14,'Current GHG Compliance'!H14)+IF(Table44[[#This Row],[Cold]:[Cold]]="Y",'Cold Weather Package'!H14,0)+IF(Table44[[#This Row],[eAWD]:[eAWD]]="Y",'eAWD Package'!H14,0)+IF(Table44[[#This Row],[Towing]:[Towing]]="Y",'Towing Bat Cost'!H14,0),"N/A")</f>
        <v>19229.438470371409</v>
      </c>
      <c r="M223" s="157">
        <f>IF(Table44[[#This Row],[Applicable Package?]:[Applicable Package?]]="Y",SUM('Rolled Up Non-Incremental Costs'!I14,'ICE Removal Cost'!I14,'Trans Removal Cost'!I14,'LEV3 Criteria Emissions Cost'!I14,'ZEV Assembly Reductions'!I14,'ACCII Criteria Compliance Cost'!I14,'ACCII GHG Compliance'!I14,'Current GHG Compliance'!I14)+IF(Table44[[#This Row],[Cold]:[Cold]]="Y",'Cold Weather Package'!I14,0)+IF(Table44[[#This Row],[eAWD]:[eAWD]]="Y",'eAWD Package'!I14,0)+IF(Table44[[#This Row],[Towing]:[Towing]]="Y",'Towing Bat Cost'!I14,0),"N/A")</f>
        <v>17548.037529068606</v>
      </c>
      <c r="N223" s="157">
        <f>IF(Table44[[#This Row],[Applicable Package?]:[Applicable Package?]]="Y",SUM('Rolled Up Non-Incremental Costs'!J14,'ICE Removal Cost'!J14,'Trans Removal Cost'!J14,'LEV3 Criteria Emissions Cost'!J14,'ZEV Assembly Reductions'!J14,'ACCII Criteria Compliance Cost'!J14,'ACCII GHG Compliance'!J14,'Current GHG Compliance'!J14)+IF(Table44[[#This Row],[Cold]:[Cold]]="Y",'Cold Weather Package'!J14,0)+IF(Table44[[#This Row],[eAWD]:[eAWD]]="Y",'eAWD Package'!J14,0)+IF(Table44[[#This Row],[Towing]:[Towing]]="Y",'Towing Bat Cost'!J14,0),"N/A")</f>
        <v>16295.541706612301</v>
      </c>
      <c r="O223" s="157">
        <f>IF(Table44[[#This Row],[Applicable Package?]:[Applicable Package?]]="Y",SUM('Rolled Up Non-Incremental Costs'!K14,'ICE Removal Cost'!K14,'Trans Removal Cost'!K14,'LEV3 Criteria Emissions Cost'!K14,'ZEV Assembly Reductions'!K14,'ACCII Criteria Compliance Cost'!K14,'ACCII GHG Compliance'!K14,'Current GHG Compliance'!K14)+IF(Table44[[#This Row],[Cold]:[Cold]]="Y",'Cold Weather Package'!K14,0)+IF(Table44[[#This Row],[eAWD]:[eAWD]]="Y",'eAWD Package'!K14,0)+IF(Table44[[#This Row],[Towing]:[Towing]]="Y",'Towing Bat Cost'!K14,0),"N/A")</f>
        <v>15196.649927030854</v>
      </c>
      <c r="P223" s="157">
        <f>IF(Table44[[#This Row],[Applicable Package?]:[Applicable Package?]]="Y",SUM('Rolled Up Non-Incremental Costs'!L14,'ICE Removal Cost'!L14,'Trans Removal Cost'!L14,'LEV3 Criteria Emissions Cost'!L14,'ZEV Assembly Reductions'!L14,'ACCII Criteria Compliance Cost'!L14,'ACCII GHG Compliance'!L14,'Current GHG Compliance'!L14)+IF(Table44[[#This Row],[Cold]:[Cold]]="Y",'Cold Weather Package'!L14,0)+IF(Table44[[#This Row],[eAWD]:[eAWD]]="Y",'eAWD Package'!L14,0)+IF(Table44[[#This Row],[Towing]:[Towing]]="Y",'Towing Bat Cost'!L14,0),"N/A")</f>
        <v>14154.673356092939</v>
      </c>
      <c r="Q223" s="157">
        <f>IF(Table44[[#This Row],[Applicable Package?]:[Applicable Package?]]="Y",SUM('Rolled Up Non-Incremental Costs'!M14,'ICE Removal Cost'!M14,'Trans Removal Cost'!M14,'LEV3 Criteria Emissions Cost'!M14,'ZEV Assembly Reductions'!M14,'ACCII Criteria Compliance Cost'!M14,'ACCII GHG Compliance'!M14,'Current GHG Compliance'!M14)+IF(Table44[[#This Row],[Cold]:[Cold]]="Y",'Cold Weather Package'!M14,0)+IF(Table44[[#This Row],[eAWD]:[eAWD]]="Y",'eAWD Package'!M14,0)+IF(Table44[[#This Row],[Towing]:[Towing]]="Y",'Towing Bat Cost'!M14,0),"N/A")</f>
        <v>13166.528377288203</v>
      </c>
      <c r="R223" s="157">
        <f>IF(Table44[[#This Row],[Applicable Package?]:[Applicable Package?]]="Y",SUM('Rolled Up Non-Incremental Costs'!N14,'ICE Removal Cost'!N14,'Trans Removal Cost'!N14,'LEV3 Criteria Emissions Cost'!N14,'ZEV Assembly Reductions'!N14,'ACCII Criteria Compliance Cost'!N14,'ACCII GHG Compliance'!N14,'Current GHG Compliance'!N14)+IF(Table44[[#This Row],[Cold]:[Cold]]="Y",'Cold Weather Package'!N14,0)+IF(Table44[[#This Row],[eAWD]:[eAWD]]="Y",'eAWD Package'!N14,0)+IF(Table44[[#This Row],[Towing]:[Towing]]="Y",'Towing Bat Cost'!N14,0),"N/A")</f>
        <v>12229.299877198617</v>
      </c>
      <c r="S223" s="157">
        <f>IF(Table44[[#This Row],[Applicable Package?]:[Applicable Package?]]="Y",SUM('Rolled Up Non-Incremental Costs'!O14,'ICE Removal Cost'!O14,'Trans Removal Cost'!O14,'LEV3 Criteria Emissions Cost'!O14,'ZEV Assembly Reductions'!O14,'ACCII Criteria Compliance Cost'!O14,'ACCII GHG Compliance'!O14,'Current GHG Compliance'!O14)+IF(Table44[[#This Row],[Cold]:[Cold]]="Y",'Cold Weather Package'!O14,0)+IF(Table44[[#This Row],[eAWD]:[eAWD]]="Y",'eAWD Package'!O14,0)+IF(Table44[[#This Row],[Towing]:[Towing]]="Y",'Towing Bat Cost'!O14,0),"N/A")</f>
        <v>11340.232023203262</v>
      </c>
    </row>
    <row r="224" spans="1:19" hidden="1" x14ac:dyDescent="0.3">
      <c r="B224" s="90" t="s">
        <v>73</v>
      </c>
      <c r="C224" s="68" t="s">
        <v>75</v>
      </c>
      <c r="D224" s="68" t="str">
        <f>'Vehicle Attributes - Base Year'!D12</f>
        <v>PHEV50</v>
      </c>
      <c r="E224" s="124" t="s">
        <v>76</v>
      </c>
      <c r="F224" s="124" t="s">
        <v>76</v>
      </c>
      <c r="G224" s="125" t="s">
        <v>76</v>
      </c>
      <c r="H224" s="156" t="s">
        <v>77</v>
      </c>
      <c r="I224" s="157" t="str">
        <f>IF(Table44[[#This Row],[Applicable Package?]:[Applicable Package?]]="Y",SUM('Rolled Up Non-Incremental Costs'!E15,'ICE Removal Cost'!E15,'Trans Removal Cost'!E15,'LEV3 Criteria Emissions Cost'!E15,'ZEV Assembly Reductions'!E15,'ACCII Criteria Compliance Cost'!E15,'ACCII GHG Compliance'!E15,'Current GHG Compliance'!E15)+IF(Table44[[#This Row],[Cold]:[Cold]]="Y",'Cold Weather Package'!E15,0)+IF(Table44[[#This Row],[eAWD]:[eAWD]]="Y",'eAWD Package'!E15,0)+IF(Table44[[#This Row],[Towing]:[Towing]]="Y",'Towing Bat Cost'!E15,0),"N/A")</f>
        <v>N/A</v>
      </c>
      <c r="J224" s="157" t="str">
        <f>IF(Table44[[#This Row],[Applicable Package?]:[Applicable Package?]]="Y",SUM('Rolled Up Non-Incremental Costs'!F15,'ICE Removal Cost'!F15,'Trans Removal Cost'!F15,'LEV3 Criteria Emissions Cost'!F15,'ZEV Assembly Reductions'!F15,'ACCII Criteria Compliance Cost'!F15,'ACCII GHG Compliance'!F15,'Current GHG Compliance'!F15)+IF(Table44[[#This Row],[Cold]:[Cold]]="Y",'Cold Weather Package'!F15,0)+IF(Table44[[#This Row],[eAWD]:[eAWD]]="Y",'eAWD Package'!F15,0)+IF(Table44[[#This Row],[Towing]:[Towing]]="Y",'Towing Bat Cost'!F15,0),"N/A")</f>
        <v>N/A</v>
      </c>
      <c r="K224" s="157" t="str">
        <f>IF(Table44[[#This Row],[Applicable Package?]:[Applicable Package?]]="Y",SUM('Rolled Up Non-Incremental Costs'!G15,'ICE Removal Cost'!G15,'Trans Removal Cost'!G15,'LEV3 Criteria Emissions Cost'!G15,'ZEV Assembly Reductions'!G15,'ACCII Criteria Compliance Cost'!G15,'ACCII GHG Compliance'!G15,'Current GHG Compliance'!G15)+IF(Table44[[#This Row],[Cold]:[Cold]]="Y",'Cold Weather Package'!G15,0)+IF(Table44[[#This Row],[eAWD]:[eAWD]]="Y",'eAWD Package'!G15,0)+IF(Table44[[#This Row],[Towing]:[Towing]]="Y",'Towing Bat Cost'!G15,0),"N/A")</f>
        <v>N/A</v>
      </c>
      <c r="L224" s="157" t="str">
        <f>IF(Table44[[#This Row],[Applicable Package?]:[Applicable Package?]]="Y",SUM('Rolled Up Non-Incremental Costs'!H15,'ICE Removal Cost'!H15,'Trans Removal Cost'!H15,'LEV3 Criteria Emissions Cost'!H15,'ZEV Assembly Reductions'!H15,'ACCII Criteria Compliance Cost'!H15,'ACCII GHG Compliance'!H15,'Current GHG Compliance'!H15)+IF(Table44[[#This Row],[Cold]:[Cold]]="Y",'Cold Weather Package'!H15,0)+IF(Table44[[#This Row],[eAWD]:[eAWD]]="Y",'eAWD Package'!H15,0)+IF(Table44[[#This Row],[Towing]:[Towing]]="Y",'Towing Bat Cost'!H15,0),"N/A")</f>
        <v>N/A</v>
      </c>
      <c r="M224" s="157" t="str">
        <f>IF(Table44[[#This Row],[Applicable Package?]:[Applicable Package?]]="Y",SUM('Rolled Up Non-Incremental Costs'!I15,'ICE Removal Cost'!I15,'Trans Removal Cost'!I15,'LEV3 Criteria Emissions Cost'!I15,'ZEV Assembly Reductions'!I15,'ACCII Criteria Compliance Cost'!I15,'ACCII GHG Compliance'!I15,'Current GHG Compliance'!I15)+IF(Table44[[#This Row],[Cold]:[Cold]]="Y",'Cold Weather Package'!I15,0)+IF(Table44[[#This Row],[eAWD]:[eAWD]]="Y",'eAWD Package'!I15,0)+IF(Table44[[#This Row],[Towing]:[Towing]]="Y",'Towing Bat Cost'!I15,0),"N/A")</f>
        <v>N/A</v>
      </c>
      <c r="N224" s="157" t="str">
        <f>IF(Table44[[#This Row],[Applicable Package?]:[Applicable Package?]]="Y",SUM('Rolled Up Non-Incremental Costs'!J15,'ICE Removal Cost'!J15,'Trans Removal Cost'!J15,'LEV3 Criteria Emissions Cost'!J15,'ZEV Assembly Reductions'!J15,'ACCII Criteria Compliance Cost'!J15,'ACCII GHG Compliance'!J15,'Current GHG Compliance'!J15)+IF(Table44[[#This Row],[Cold]:[Cold]]="Y",'Cold Weather Package'!J15,0)+IF(Table44[[#This Row],[eAWD]:[eAWD]]="Y",'eAWD Package'!J15,0)+IF(Table44[[#This Row],[Towing]:[Towing]]="Y",'Towing Bat Cost'!J15,0),"N/A")</f>
        <v>N/A</v>
      </c>
      <c r="O224" s="157" t="str">
        <f>IF(Table44[[#This Row],[Applicable Package?]:[Applicable Package?]]="Y",SUM('Rolled Up Non-Incremental Costs'!K15,'ICE Removal Cost'!K15,'Trans Removal Cost'!K15,'LEV3 Criteria Emissions Cost'!K15,'ZEV Assembly Reductions'!K15,'ACCII Criteria Compliance Cost'!K15,'ACCII GHG Compliance'!K15,'Current GHG Compliance'!K15)+IF(Table44[[#This Row],[Cold]:[Cold]]="Y",'Cold Weather Package'!K15,0)+IF(Table44[[#This Row],[eAWD]:[eAWD]]="Y",'eAWD Package'!K15,0)+IF(Table44[[#This Row],[Towing]:[Towing]]="Y",'Towing Bat Cost'!K15,0),"N/A")</f>
        <v>N/A</v>
      </c>
      <c r="P224" s="157" t="str">
        <f>IF(Table44[[#This Row],[Applicable Package?]:[Applicable Package?]]="Y",SUM('Rolled Up Non-Incremental Costs'!L15,'ICE Removal Cost'!L15,'Trans Removal Cost'!L15,'LEV3 Criteria Emissions Cost'!L15,'ZEV Assembly Reductions'!L15,'ACCII Criteria Compliance Cost'!L15,'ACCII GHG Compliance'!L15,'Current GHG Compliance'!L15)+IF(Table44[[#This Row],[Cold]:[Cold]]="Y",'Cold Weather Package'!L15,0)+IF(Table44[[#This Row],[eAWD]:[eAWD]]="Y",'eAWD Package'!L15,0)+IF(Table44[[#This Row],[Towing]:[Towing]]="Y",'Towing Bat Cost'!L15,0),"N/A")</f>
        <v>N/A</v>
      </c>
      <c r="Q224" s="157" t="str">
        <f>IF(Table44[[#This Row],[Applicable Package?]:[Applicable Package?]]="Y",SUM('Rolled Up Non-Incremental Costs'!M15,'ICE Removal Cost'!M15,'Trans Removal Cost'!M15,'LEV3 Criteria Emissions Cost'!M15,'ZEV Assembly Reductions'!M15,'ACCII Criteria Compliance Cost'!M15,'ACCII GHG Compliance'!M15,'Current GHG Compliance'!M15)+IF(Table44[[#This Row],[Cold]:[Cold]]="Y",'Cold Weather Package'!M15,0)+IF(Table44[[#This Row],[eAWD]:[eAWD]]="Y",'eAWD Package'!M15,0)+IF(Table44[[#This Row],[Towing]:[Towing]]="Y",'Towing Bat Cost'!M15,0),"N/A")</f>
        <v>N/A</v>
      </c>
      <c r="R224" s="157" t="str">
        <f>IF(Table44[[#This Row],[Applicable Package?]:[Applicable Package?]]="Y",SUM('Rolled Up Non-Incremental Costs'!N15,'ICE Removal Cost'!N15,'Trans Removal Cost'!N15,'LEV3 Criteria Emissions Cost'!N15,'ZEV Assembly Reductions'!N15,'ACCII Criteria Compliance Cost'!N15,'ACCII GHG Compliance'!N15,'Current GHG Compliance'!N15)+IF(Table44[[#This Row],[Cold]:[Cold]]="Y",'Cold Weather Package'!N15,0)+IF(Table44[[#This Row],[eAWD]:[eAWD]]="Y",'eAWD Package'!N15,0)+IF(Table44[[#This Row],[Towing]:[Towing]]="Y",'Towing Bat Cost'!N15,0),"N/A")</f>
        <v>N/A</v>
      </c>
      <c r="S224" s="157" t="str">
        <f>IF(Table44[[#This Row],[Applicable Package?]:[Applicable Package?]]="Y",SUM('Rolled Up Non-Incremental Costs'!O15,'ICE Removal Cost'!O15,'Trans Removal Cost'!O15,'LEV3 Criteria Emissions Cost'!O15,'ZEV Assembly Reductions'!O15,'ACCII Criteria Compliance Cost'!O15,'ACCII GHG Compliance'!O15,'Current GHG Compliance'!O15)+IF(Table44[[#This Row],[Cold]:[Cold]]="Y",'Cold Weather Package'!O15,0)+IF(Table44[[#This Row],[eAWD]:[eAWD]]="Y",'eAWD Package'!O15,0)+IF(Table44[[#This Row],[Towing]:[Towing]]="Y",'Towing Bat Cost'!O15,0),"N/A")</f>
        <v>N/A</v>
      </c>
    </row>
    <row r="225" spans="2:19" hidden="1" x14ac:dyDescent="0.3">
      <c r="B225" s="90" t="s">
        <v>73</v>
      </c>
      <c r="C225" s="68" t="s">
        <v>80</v>
      </c>
      <c r="D225" s="68" t="str">
        <f>'Vehicle Attributes - Base Year'!D13</f>
        <v>PHEV50</v>
      </c>
      <c r="E225" s="124" t="s">
        <v>76</v>
      </c>
      <c r="F225" s="124" t="s">
        <v>76</v>
      </c>
      <c r="G225" s="125" t="s">
        <v>76</v>
      </c>
      <c r="H225" s="156" t="s">
        <v>77</v>
      </c>
      <c r="I225" s="157" t="str">
        <f>IF(Table44[[#This Row],[Applicable Package?]:[Applicable Package?]]="Y",SUM('Rolled Up Non-Incremental Costs'!E16,'ICE Removal Cost'!E16,'Trans Removal Cost'!E16,'LEV3 Criteria Emissions Cost'!E16,'ZEV Assembly Reductions'!E16,'ACCII Criteria Compliance Cost'!E16,'ACCII GHG Compliance'!E16,'Current GHG Compliance'!E16)+IF(Table44[[#This Row],[Cold]:[Cold]]="Y",'Cold Weather Package'!E16,0)+IF(Table44[[#This Row],[eAWD]:[eAWD]]="Y",'eAWD Package'!E16,0)+IF(Table44[[#This Row],[Towing]:[Towing]]="Y",'Towing Bat Cost'!E16,0),"N/A")</f>
        <v>N/A</v>
      </c>
      <c r="J225" s="157" t="str">
        <f>IF(Table44[[#This Row],[Applicable Package?]:[Applicable Package?]]="Y",SUM('Rolled Up Non-Incremental Costs'!F16,'ICE Removal Cost'!F16,'Trans Removal Cost'!F16,'LEV3 Criteria Emissions Cost'!F16,'ZEV Assembly Reductions'!F16,'ACCII Criteria Compliance Cost'!F16,'ACCII GHG Compliance'!F16,'Current GHG Compliance'!F16)+IF(Table44[[#This Row],[Cold]:[Cold]]="Y",'Cold Weather Package'!F16,0)+IF(Table44[[#This Row],[eAWD]:[eAWD]]="Y",'eAWD Package'!F16,0)+IF(Table44[[#This Row],[Towing]:[Towing]]="Y",'Towing Bat Cost'!F16,0),"N/A")</f>
        <v>N/A</v>
      </c>
      <c r="K225" s="157" t="str">
        <f>IF(Table44[[#This Row],[Applicable Package?]:[Applicable Package?]]="Y",SUM('Rolled Up Non-Incremental Costs'!G16,'ICE Removal Cost'!G16,'Trans Removal Cost'!G16,'LEV3 Criteria Emissions Cost'!G16,'ZEV Assembly Reductions'!G16,'ACCII Criteria Compliance Cost'!G16,'ACCII GHG Compliance'!G16,'Current GHG Compliance'!G16)+IF(Table44[[#This Row],[Cold]:[Cold]]="Y",'Cold Weather Package'!G16,0)+IF(Table44[[#This Row],[eAWD]:[eAWD]]="Y",'eAWD Package'!G16,0)+IF(Table44[[#This Row],[Towing]:[Towing]]="Y",'Towing Bat Cost'!G16,0),"N/A")</f>
        <v>N/A</v>
      </c>
      <c r="L225" s="157" t="str">
        <f>IF(Table44[[#This Row],[Applicable Package?]:[Applicable Package?]]="Y",SUM('Rolled Up Non-Incremental Costs'!H16,'ICE Removal Cost'!H16,'Trans Removal Cost'!H16,'LEV3 Criteria Emissions Cost'!H16,'ZEV Assembly Reductions'!H16,'ACCII Criteria Compliance Cost'!H16,'ACCII GHG Compliance'!H16,'Current GHG Compliance'!H16)+IF(Table44[[#This Row],[Cold]:[Cold]]="Y",'Cold Weather Package'!H16,0)+IF(Table44[[#This Row],[eAWD]:[eAWD]]="Y",'eAWD Package'!H16,0)+IF(Table44[[#This Row],[Towing]:[Towing]]="Y",'Towing Bat Cost'!H16,0),"N/A")</f>
        <v>N/A</v>
      </c>
      <c r="M225" s="157" t="str">
        <f>IF(Table44[[#This Row],[Applicable Package?]:[Applicable Package?]]="Y",SUM('Rolled Up Non-Incremental Costs'!I16,'ICE Removal Cost'!I16,'Trans Removal Cost'!I16,'LEV3 Criteria Emissions Cost'!I16,'ZEV Assembly Reductions'!I16,'ACCII Criteria Compliance Cost'!I16,'ACCII GHG Compliance'!I16,'Current GHG Compliance'!I16)+IF(Table44[[#This Row],[Cold]:[Cold]]="Y",'Cold Weather Package'!I16,0)+IF(Table44[[#This Row],[eAWD]:[eAWD]]="Y",'eAWD Package'!I16,0)+IF(Table44[[#This Row],[Towing]:[Towing]]="Y",'Towing Bat Cost'!I16,0),"N/A")</f>
        <v>N/A</v>
      </c>
      <c r="N225" s="157" t="str">
        <f>IF(Table44[[#This Row],[Applicable Package?]:[Applicable Package?]]="Y",SUM('Rolled Up Non-Incremental Costs'!J16,'ICE Removal Cost'!J16,'Trans Removal Cost'!J16,'LEV3 Criteria Emissions Cost'!J16,'ZEV Assembly Reductions'!J16,'ACCII Criteria Compliance Cost'!J16,'ACCII GHG Compliance'!J16,'Current GHG Compliance'!J16)+IF(Table44[[#This Row],[Cold]:[Cold]]="Y",'Cold Weather Package'!J16,0)+IF(Table44[[#This Row],[eAWD]:[eAWD]]="Y",'eAWD Package'!J16,0)+IF(Table44[[#This Row],[Towing]:[Towing]]="Y",'Towing Bat Cost'!J16,0),"N/A")</f>
        <v>N/A</v>
      </c>
      <c r="O225" s="157" t="str">
        <f>IF(Table44[[#This Row],[Applicable Package?]:[Applicable Package?]]="Y",SUM('Rolled Up Non-Incremental Costs'!K16,'ICE Removal Cost'!K16,'Trans Removal Cost'!K16,'LEV3 Criteria Emissions Cost'!K16,'ZEV Assembly Reductions'!K16,'ACCII Criteria Compliance Cost'!K16,'ACCII GHG Compliance'!K16,'Current GHG Compliance'!K16)+IF(Table44[[#This Row],[Cold]:[Cold]]="Y",'Cold Weather Package'!K16,0)+IF(Table44[[#This Row],[eAWD]:[eAWD]]="Y",'eAWD Package'!K16,0)+IF(Table44[[#This Row],[Towing]:[Towing]]="Y",'Towing Bat Cost'!K16,0),"N/A")</f>
        <v>N/A</v>
      </c>
      <c r="P225" s="157" t="str">
        <f>IF(Table44[[#This Row],[Applicable Package?]:[Applicable Package?]]="Y",SUM('Rolled Up Non-Incremental Costs'!L16,'ICE Removal Cost'!L16,'Trans Removal Cost'!L16,'LEV3 Criteria Emissions Cost'!L16,'ZEV Assembly Reductions'!L16,'ACCII Criteria Compliance Cost'!L16,'ACCII GHG Compliance'!L16,'Current GHG Compliance'!L16)+IF(Table44[[#This Row],[Cold]:[Cold]]="Y",'Cold Weather Package'!L16,0)+IF(Table44[[#This Row],[eAWD]:[eAWD]]="Y",'eAWD Package'!L16,0)+IF(Table44[[#This Row],[Towing]:[Towing]]="Y",'Towing Bat Cost'!L16,0),"N/A")</f>
        <v>N/A</v>
      </c>
      <c r="Q225" s="157" t="str">
        <f>IF(Table44[[#This Row],[Applicable Package?]:[Applicable Package?]]="Y",SUM('Rolled Up Non-Incremental Costs'!M16,'ICE Removal Cost'!M16,'Trans Removal Cost'!M16,'LEV3 Criteria Emissions Cost'!M16,'ZEV Assembly Reductions'!M16,'ACCII Criteria Compliance Cost'!M16,'ACCII GHG Compliance'!M16,'Current GHG Compliance'!M16)+IF(Table44[[#This Row],[Cold]:[Cold]]="Y",'Cold Weather Package'!M16,0)+IF(Table44[[#This Row],[eAWD]:[eAWD]]="Y",'eAWD Package'!M16,0)+IF(Table44[[#This Row],[Towing]:[Towing]]="Y",'Towing Bat Cost'!M16,0),"N/A")</f>
        <v>N/A</v>
      </c>
      <c r="R225" s="157" t="str">
        <f>IF(Table44[[#This Row],[Applicable Package?]:[Applicable Package?]]="Y",SUM('Rolled Up Non-Incremental Costs'!N16,'ICE Removal Cost'!N16,'Trans Removal Cost'!N16,'LEV3 Criteria Emissions Cost'!N16,'ZEV Assembly Reductions'!N16,'ACCII Criteria Compliance Cost'!N16,'ACCII GHG Compliance'!N16,'Current GHG Compliance'!N16)+IF(Table44[[#This Row],[Cold]:[Cold]]="Y",'Cold Weather Package'!N16,0)+IF(Table44[[#This Row],[eAWD]:[eAWD]]="Y",'eAWD Package'!N16,0)+IF(Table44[[#This Row],[Towing]:[Towing]]="Y",'Towing Bat Cost'!N16,0),"N/A")</f>
        <v>N/A</v>
      </c>
      <c r="S225" s="157" t="str">
        <f>IF(Table44[[#This Row],[Applicable Package?]:[Applicable Package?]]="Y",SUM('Rolled Up Non-Incremental Costs'!O16,'ICE Removal Cost'!O16,'Trans Removal Cost'!O16,'LEV3 Criteria Emissions Cost'!O16,'ZEV Assembly Reductions'!O16,'ACCII Criteria Compliance Cost'!O16,'ACCII GHG Compliance'!O16,'Current GHG Compliance'!O16)+IF(Table44[[#This Row],[Cold]:[Cold]]="Y",'Cold Weather Package'!O16,0)+IF(Table44[[#This Row],[eAWD]:[eAWD]]="Y",'eAWD Package'!O16,0)+IF(Table44[[#This Row],[Towing]:[Towing]]="Y",'Towing Bat Cost'!O16,0),"N/A")</f>
        <v>N/A</v>
      </c>
    </row>
    <row r="226" spans="2:19" hidden="1" x14ac:dyDescent="0.3">
      <c r="B226" s="90" t="s">
        <v>82</v>
      </c>
      <c r="C226" s="68" t="s">
        <v>75</v>
      </c>
      <c r="D226" s="68" t="str">
        <f>'Vehicle Attributes - Base Year'!D14</f>
        <v>PHEV50</v>
      </c>
      <c r="E226" s="124" t="s">
        <v>76</v>
      </c>
      <c r="F226" s="124" t="s">
        <v>76</v>
      </c>
      <c r="G226" s="125" t="s">
        <v>76</v>
      </c>
      <c r="H226" s="156" t="s">
        <v>77</v>
      </c>
      <c r="I226" s="157" t="str">
        <f>IF(Table44[[#This Row],[Applicable Package?]:[Applicable Package?]]="Y",SUM('Rolled Up Non-Incremental Costs'!E17,'ICE Removal Cost'!E17,'Trans Removal Cost'!E17,'LEV3 Criteria Emissions Cost'!E17,'ZEV Assembly Reductions'!E17,'ACCII Criteria Compliance Cost'!E17,'ACCII GHG Compliance'!E17,'Current GHG Compliance'!E17)+IF(Table44[[#This Row],[Cold]:[Cold]]="Y",'Cold Weather Package'!E17,0)+IF(Table44[[#This Row],[eAWD]:[eAWD]]="Y",'eAWD Package'!E17,0)+IF(Table44[[#This Row],[Towing]:[Towing]]="Y",'Towing Bat Cost'!E17,0),"N/A")</f>
        <v>N/A</v>
      </c>
      <c r="J226" s="157" t="str">
        <f>IF(Table44[[#This Row],[Applicable Package?]:[Applicable Package?]]="Y",SUM('Rolled Up Non-Incremental Costs'!F17,'ICE Removal Cost'!F17,'Trans Removal Cost'!F17,'LEV3 Criteria Emissions Cost'!F17,'ZEV Assembly Reductions'!F17,'ACCII Criteria Compliance Cost'!F17,'ACCII GHG Compliance'!F17,'Current GHG Compliance'!F17)+IF(Table44[[#This Row],[Cold]:[Cold]]="Y",'Cold Weather Package'!F17,0)+IF(Table44[[#This Row],[eAWD]:[eAWD]]="Y",'eAWD Package'!F17,0)+IF(Table44[[#This Row],[Towing]:[Towing]]="Y",'Towing Bat Cost'!F17,0),"N/A")</f>
        <v>N/A</v>
      </c>
      <c r="K226" s="157" t="str">
        <f>IF(Table44[[#This Row],[Applicable Package?]:[Applicable Package?]]="Y",SUM('Rolled Up Non-Incremental Costs'!G17,'ICE Removal Cost'!G17,'Trans Removal Cost'!G17,'LEV3 Criteria Emissions Cost'!G17,'ZEV Assembly Reductions'!G17,'ACCII Criteria Compliance Cost'!G17,'ACCII GHG Compliance'!G17,'Current GHG Compliance'!G17)+IF(Table44[[#This Row],[Cold]:[Cold]]="Y",'Cold Weather Package'!G17,0)+IF(Table44[[#This Row],[eAWD]:[eAWD]]="Y",'eAWD Package'!G17,0)+IF(Table44[[#This Row],[Towing]:[Towing]]="Y",'Towing Bat Cost'!G17,0),"N/A")</f>
        <v>N/A</v>
      </c>
      <c r="L226" s="157" t="str">
        <f>IF(Table44[[#This Row],[Applicable Package?]:[Applicable Package?]]="Y",SUM('Rolled Up Non-Incremental Costs'!H17,'ICE Removal Cost'!H17,'Trans Removal Cost'!H17,'LEV3 Criteria Emissions Cost'!H17,'ZEV Assembly Reductions'!H17,'ACCII Criteria Compliance Cost'!H17,'ACCII GHG Compliance'!H17,'Current GHG Compliance'!H17)+IF(Table44[[#This Row],[Cold]:[Cold]]="Y",'Cold Weather Package'!H17,0)+IF(Table44[[#This Row],[eAWD]:[eAWD]]="Y",'eAWD Package'!H17,0)+IF(Table44[[#This Row],[Towing]:[Towing]]="Y",'Towing Bat Cost'!H17,0),"N/A")</f>
        <v>N/A</v>
      </c>
      <c r="M226" s="157" t="str">
        <f>IF(Table44[[#This Row],[Applicable Package?]:[Applicable Package?]]="Y",SUM('Rolled Up Non-Incremental Costs'!I17,'ICE Removal Cost'!I17,'Trans Removal Cost'!I17,'LEV3 Criteria Emissions Cost'!I17,'ZEV Assembly Reductions'!I17,'ACCII Criteria Compliance Cost'!I17,'ACCII GHG Compliance'!I17,'Current GHG Compliance'!I17)+IF(Table44[[#This Row],[Cold]:[Cold]]="Y",'Cold Weather Package'!I17,0)+IF(Table44[[#This Row],[eAWD]:[eAWD]]="Y",'eAWD Package'!I17,0)+IF(Table44[[#This Row],[Towing]:[Towing]]="Y",'Towing Bat Cost'!I17,0),"N/A")</f>
        <v>N/A</v>
      </c>
      <c r="N226" s="157" t="str">
        <f>IF(Table44[[#This Row],[Applicable Package?]:[Applicable Package?]]="Y",SUM('Rolled Up Non-Incremental Costs'!J17,'ICE Removal Cost'!J17,'Trans Removal Cost'!J17,'LEV3 Criteria Emissions Cost'!J17,'ZEV Assembly Reductions'!J17,'ACCII Criteria Compliance Cost'!J17,'ACCII GHG Compliance'!J17,'Current GHG Compliance'!J17)+IF(Table44[[#This Row],[Cold]:[Cold]]="Y",'Cold Weather Package'!J17,0)+IF(Table44[[#This Row],[eAWD]:[eAWD]]="Y",'eAWD Package'!J17,0)+IF(Table44[[#This Row],[Towing]:[Towing]]="Y",'Towing Bat Cost'!J17,0),"N/A")</f>
        <v>N/A</v>
      </c>
      <c r="O226" s="157" t="str">
        <f>IF(Table44[[#This Row],[Applicable Package?]:[Applicable Package?]]="Y",SUM('Rolled Up Non-Incremental Costs'!K17,'ICE Removal Cost'!K17,'Trans Removal Cost'!K17,'LEV3 Criteria Emissions Cost'!K17,'ZEV Assembly Reductions'!K17,'ACCII Criteria Compliance Cost'!K17,'ACCII GHG Compliance'!K17,'Current GHG Compliance'!K17)+IF(Table44[[#This Row],[Cold]:[Cold]]="Y",'Cold Weather Package'!K17,0)+IF(Table44[[#This Row],[eAWD]:[eAWD]]="Y",'eAWD Package'!K17,0)+IF(Table44[[#This Row],[Towing]:[Towing]]="Y",'Towing Bat Cost'!K17,0),"N/A")</f>
        <v>N/A</v>
      </c>
      <c r="P226" s="157" t="str">
        <f>IF(Table44[[#This Row],[Applicable Package?]:[Applicable Package?]]="Y",SUM('Rolled Up Non-Incremental Costs'!L17,'ICE Removal Cost'!L17,'Trans Removal Cost'!L17,'LEV3 Criteria Emissions Cost'!L17,'ZEV Assembly Reductions'!L17,'ACCII Criteria Compliance Cost'!L17,'ACCII GHG Compliance'!L17,'Current GHG Compliance'!L17)+IF(Table44[[#This Row],[Cold]:[Cold]]="Y",'Cold Weather Package'!L17,0)+IF(Table44[[#This Row],[eAWD]:[eAWD]]="Y",'eAWD Package'!L17,0)+IF(Table44[[#This Row],[Towing]:[Towing]]="Y",'Towing Bat Cost'!L17,0),"N/A")</f>
        <v>N/A</v>
      </c>
      <c r="Q226" s="157" t="str">
        <f>IF(Table44[[#This Row],[Applicable Package?]:[Applicable Package?]]="Y",SUM('Rolled Up Non-Incremental Costs'!M17,'ICE Removal Cost'!M17,'Trans Removal Cost'!M17,'LEV3 Criteria Emissions Cost'!M17,'ZEV Assembly Reductions'!M17,'ACCII Criteria Compliance Cost'!M17,'ACCII GHG Compliance'!M17,'Current GHG Compliance'!M17)+IF(Table44[[#This Row],[Cold]:[Cold]]="Y",'Cold Weather Package'!M17,0)+IF(Table44[[#This Row],[eAWD]:[eAWD]]="Y",'eAWD Package'!M17,0)+IF(Table44[[#This Row],[Towing]:[Towing]]="Y",'Towing Bat Cost'!M17,0),"N/A")</f>
        <v>N/A</v>
      </c>
      <c r="R226" s="157" t="str">
        <f>IF(Table44[[#This Row],[Applicable Package?]:[Applicable Package?]]="Y",SUM('Rolled Up Non-Incremental Costs'!N17,'ICE Removal Cost'!N17,'Trans Removal Cost'!N17,'LEV3 Criteria Emissions Cost'!N17,'ZEV Assembly Reductions'!N17,'ACCII Criteria Compliance Cost'!N17,'ACCII GHG Compliance'!N17,'Current GHG Compliance'!N17)+IF(Table44[[#This Row],[Cold]:[Cold]]="Y",'Cold Weather Package'!N17,0)+IF(Table44[[#This Row],[eAWD]:[eAWD]]="Y",'eAWD Package'!N17,0)+IF(Table44[[#This Row],[Towing]:[Towing]]="Y",'Towing Bat Cost'!N17,0),"N/A")</f>
        <v>N/A</v>
      </c>
      <c r="S226" s="157" t="str">
        <f>IF(Table44[[#This Row],[Applicable Package?]:[Applicable Package?]]="Y",SUM('Rolled Up Non-Incremental Costs'!O17,'ICE Removal Cost'!O17,'Trans Removal Cost'!O17,'LEV3 Criteria Emissions Cost'!O17,'ZEV Assembly Reductions'!O17,'ACCII Criteria Compliance Cost'!O17,'ACCII GHG Compliance'!O17,'Current GHG Compliance'!O17)+IF(Table44[[#This Row],[Cold]:[Cold]]="Y",'Cold Weather Package'!O17,0)+IF(Table44[[#This Row],[eAWD]:[eAWD]]="Y",'eAWD Package'!O17,0)+IF(Table44[[#This Row],[Towing]:[Towing]]="Y",'Towing Bat Cost'!O17,0),"N/A")</f>
        <v>N/A</v>
      </c>
    </row>
    <row r="227" spans="2:19" hidden="1" x14ac:dyDescent="0.3">
      <c r="B227" s="90" t="s">
        <v>82</v>
      </c>
      <c r="C227" s="68" t="s">
        <v>80</v>
      </c>
      <c r="D227" s="68" t="str">
        <f>'Vehicle Attributes - Base Year'!D15</f>
        <v>PHEV50</v>
      </c>
      <c r="E227" s="124" t="s">
        <v>76</v>
      </c>
      <c r="F227" s="124" t="s">
        <v>76</v>
      </c>
      <c r="G227" s="125" t="s">
        <v>76</v>
      </c>
      <c r="H227" s="156" t="s">
        <v>77</v>
      </c>
      <c r="I227" s="157" t="str">
        <f>IF(Table44[[#This Row],[Applicable Package?]:[Applicable Package?]]="Y",SUM('Rolled Up Non-Incremental Costs'!E18,'ICE Removal Cost'!E18,'Trans Removal Cost'!E18,'LEV3 Criteria Emissions Cost'!E18,'ZEV Assembly Reductions'!E18,'ACCII Criteria Compliance Cost'!E18,'ACCII GHG Compliance'!E18,'Current GHG Compliance'!E18)+IF(Table44[[#This Row],[Cold]:[Cold]]="Y",'Cold Weather Package'!E18,0)+IF(Table44[[#This Row],[eAWD]:[eAWD]]="Y",'eAWD Package'!E18,0)+IF(Table44[[#This Row],[Towing]:[Towing]]="Y",'Towing Bat Cost'!E18,0),"N/A")</f>
        <v>N/A</v>
      </c>
      <c r="J227" s="157" t="str">
        <f>IF(Table44[[#This Row],[Applicable Package?]:[Applicable Package?]]="Y",SUM('Rolled Up Non-Incremental Costs'!F18,'ICE Removal Cost'!F18,'Trans Removal Cost'!F18,'LEV3 Criteria Emissions Cost'!F18,'ZEV Assembly Reductions'!F18,'ACCII Criteria Compliance Cost'!F18,'ACCII GHG Compliance'!F18,'Current GHG Compliance'!F18)+IF(Table44[[#This Row],[Cold]:[Cold]]="Y",'Cold Weather Package'!F18,0)+IF(Table44[[#This Row],[eAWD]:[eAWD]]="Y",'eAWD Package'!F18,0)+IF(Table44[[#This Row],[Towing]:[Towing]]="Y",'Towing Bat Cost'!F18,0),"N/A")</f>
        <v>N/A</v>
      </c>
      <c r="K227" s="157" t="str">
        <f>IF(Table44[[#This Row],[Applicable Package?]:[Applicable Package?]]="Y",SUM('Rolled Up Non-Incremental Costs'!G18,'ICE Removal Cost'!G18,'Trans Removal Cost'!G18,'LEV3 Criteria Emissions Cost'!G18,'ZEV Assembly Reductions'!G18,'ACCII Criteria Compliance Cost'!G18,'ACCII GHG Compliance'!G18,'Current GHG Compliance'!G18)+IF(Table44[[#This Row],[Cold]:[Cold]]="Y",'Cold Weather Package'!G18,0)+IF(Table44[[#This Row],[eAWD]:[eAWD]]="Y",'eAWD Package'!G18,0)+IF(Table44[[#This Row],[Towing]:[Towing]]="Y",'Towing Bat Cost'!G18,0),"N/A")</f>
        <v>N/A</v>
      </c>
      <c r="L227" s="157" t="str">
        <f>IF(Table44[[#This Row],[Applicable Package?]:[Applicable Package?]]="Y",SUM('Rolled Up Non-Incremental Costs'!H18,'ICE Removal Cost'!H18,'Trans Removal Cost'!H18,'LEV3 Criteria Emissions Cost'!H18,'ZEV Assembly Reductions'!H18,'ACCII Criteria Compliance Cost'!H18,'ACCII GHG Compliance'!H18,'Current GHG Compliance'!H18)+IF(Table44[[#This Row],[Cold]:[Cold]]="Y",'Cold Weather Package'!H18,0)+IF(Table44[[#This Row],[eAWD]:[eAWD]]="Y",'eAWD Package'!H18,0)+IF(Table44[[#This Row],[Towing]:[Towing]]="Y",'Towing Bat Cost'!H18,0),"N/A")</f>
        <v>N/A</v>
      </c>
      <c r="M227" s="157" t="str">
        <f>IF(Table44[[#This Row],[Applicable Package?]:[Applicable Package?]]="Y",SUM('Rolled Up Non-Incremental Costs'!I18,'ICE Removal Cost'!I18,'Trans Removal Cost'!I18,'LEV3 Criteria Emissions Cost'!I18,'ZEV Assembly Reductions'!I18,'ACCII Criteria Compliance Cost'!I18,'ACCII GHG Compliance'!I18,'Current GHG Compliance'!I18)+IF(Table44[[#This Row],[Cold]:[Cold]]="Y",'Cold Weather Package'!I18,0)+IF(Table44[[#This Row],[eAWD]:[eAWD]]="Y",'eAWD Package'!I18,0)+IF(Table44[[#This Row],[Towing]:[Towing]]="Y",'Towing Bat Cost'!I18,0),"N/A")</f>
        <v>N/A</v>
      </c>
      <c r="N227" s="157" t="str">
        <f>IF(Table44[[#This Row],[Applicable Package?]:[Applicable Package?]]="Y",SUM('Rolled Up Non-Incremental Costs'!J18,'ICE Removal Cost'!J18,'Trans Removal Cost'!J18,'LEV3 Criteria Emissions Cost'!J18,'ZEV Assembly Reductions'!J18,'ACCII Criteria Compliance Cost'!J18,'ACCII GHG Compliance'!J18,'Current GHG Compliance'!J18)+IF(Table44[[#This Row],[Cold]:[Cold]]="Y",'Cold Weather Package'!J18,0)+IF(Table44[[#This Row],[eAWD]:[eAWD]]="Y",'eAWD Package'!J18,0)+IF(Table44[[#This Row],[Towing]:[Towing]]="Y",'Towing Bat Cost'!J18,0),"N/A")</f>
        <v>N/A</v>
      </c>
      <c r="O227" s="157" t="str">
        <f>IF(Table44[[#This Row],[Applicable Package?]:[Applicable Package?]]="Y",SUM('Rolled Up Non-Incremental Costs'!K18,'ICE Removal Cost'!K18,'Trans Removal Cost'!K18,'LEV3 Criteria Emissions Cost'!K18,'ZEV Assembly Reductions'!K18,'ACCII Criteria Compliance Cost'!K18,'ACCII GHG Compliance'!K18,'Current GHG Compliance'!K18)+IF(Table44[[#This Row],[Cold]:[Cold]]="Y",'Cold Weather Package'!K18,0)+IF(Table44[[#This Row],[eAWD]:[eAWD]]="Y",'eAWD Package'!K18,0)+IF(Table44[[#This Row],[Towing]:[Towing]]="Y",'Towing Bat Cost'!K18,0),"N/A")</f>
        <v>N/A</v>
      </c>
      <c r="P227" s="157" t="str">
        <f>IF(Table44[[#This Row],[Applicable Package?]:[Applicable Package?]]="Y",SUM('Rolled Up Non-Incremental Costs'!L18,'ICE Removal Cost'!L18,'Trans Removal Cost'!L18,'LEV3 Criteria Emissions Cost'!L18,'ZEV Assembly Reductions'!L18,'ACCII Criteria Compliance Cost'!L18,'ACCII GHG Compliance'!L18,'Current GHG Compliance'!L18)+IF(Table44[[#This Row],[Cold]:[Cold]]="Y",'Cold Weather Package'!L18,0)+IF(Table44[[#This Row],[eAWD]:[eAWD]]="Y",'eAWD Package'!L18,0)+IF(Table44[[#This Row],[Towing]:[Towing]]="Y",'Towing Bat Cost'!L18,0),"N/A")</f>
        <v>N/A</v>
      </c>
      <c r="Q227" s="157" t="str">
        <f>IF(Table44[[#This Row],[Applicable Package?]:[Applicable Package?]]="Y",SUM('Rolled Up Non-Incremental Costs'!M18,'ICE Removal Cost'!M18,'Trans Removal Cost'!M18,'LEV3 Criteria Emissions Cost'!M18,'ZEV Assembly Reductions'!M18,'ACCII Criteria Compliance Cost'!M18,'ACCII GHG Compliance'!M18,'Current GHG Compliance'!M18)+IF(Table44[[#This Row],[Cold]:[Cold]]="Y",'Cold Weather Package'!M18,0)+IF(Table44[[#This Row],[eAWD]:[eAWD]]="Y",'eAWD Package'!M18,0)+IF(Table44[[#This Row],[Towing]:[Towing]]="Y",'Towing Bat Cost'!M18,0),"N/A")</f>
        <v>N/A</v>
      </c>
      <c r="R227" s="157" t="str">
        <f>IF(Table44[[#This Row],[Applicable Package?]:[Applicable Package?]]="Y",SUM('Rolled Up Non-Incremental Costs'!N18,'ICE Removal Cost'!N18,'Trans Removal Cost'!N18,'LEV3 Criteria Emissions Cost'!N18,'ZEV Assembly Reductions'!N18,'ACCII Criteria Compliance Cost'!N18,'ACCII GHG Compliance'!N18,'Current GHG Compliance'!N18)+IF(Table44[[#This Row],[Cold]:[Cold]]="Y",'Cold Weather Package'!N18,0)+IF(Table44[[#This Row],[eAWD]:[eAWD]]="Y",'eAWD Package'!N18,0)+IF(Table44[[#This Row],[Towing]:[Towing]]="Y",'Towing Bat Cost'!N18,0),"N/A")</f>
        <v>N/A</v>
      </c>
      <c r="S227" s="157" t="str">
        <f>IF(Table44[[#This Row],[Applicable Package?]:[Applicable Package?]]="Y",SUM('Rolled Up Non-Incremental Costs'!O18,'ICE Removal Cost'!O18,'Trans Removal Cost'!O18,'LEV3 Criteria Emissions Cost'!O18,'ZEV Assembly Reductions'!O18,'ACCII Criteria Compliance Cost'!O18,'ACCII GHG Compliance'!O18,'Current GHG Compliance'!O18)+IF(Table44[[#This Row],[Cold]:[Cold]]="Y",'Cold Weather Package'!O18,0)+IF(Table44[[#This Row],[eAWD]:[eAWD]]="Y",'eAWD Package'!O18,0)+IF(Table44[[#This Row],[Towing]:[Towing]]="Y",'Towing Bat Cost'!O18,0),"N/A")</f>
        <v>N/A</v>
      </c>
    </row>
    <row r="228" spans="2:19" hidden="1" x14ac:dyDescent="0.3">
      <c r="B228" s="90" t="s">
        <v>83</v>
      </c>
      <c r="C228" s="68" t="s">
        <v>75</v>
      </c>
      <c r="D228" s="68" t="str">
        <f>'Vehicle Attributes - Base Year'!D16</f>
        <v>PHEV50</v>
      </c>
      <c r="E228" s="124" t="s">
        <v>76</v>
      </c>
      <c r="F228" s="124" t="s">
        <v>76</v>
      </c>
      <c r="G228" s="125" t="s">
        <v>76</v>
      </c>
      <c r="H228" s="156" t="s">
        <v>77</v>
      </c>
      <c r="I228" s="157" t="str">
        <f>IF(Table44[[#This Row],[Applicable Package?]:[Applicable Package?]]="Y",SUM('Rolled Up Non-Incremental Costs'!E19,'ICE Removal Cost'!E19,'Trans Removal Cost'!E19,'LEV3 Criteria Emissions Cost'!E19,'ZEV Assembly Reductions'!E19,'ACCII Criteria Compliance Cost'!E19,'ACCII GHG Compliance'!E19,'Current GHG Compliance'!E19)+IF(Table44[[#This Row],[Cold]:[Cold]]="Y",'Cold Weather Package'!E19,0)+IF(Table44[[#This Row],[eAWD]:[eAWD]]="Y",'eAWD Package'!E19,0)+IF(Table44[[#This Row],[Towing]:[Towing]]="Y",'Towing Bat Cost'!E19,0),"N/A")</f>
        <v>N/A</v>
      </c>
      <c r="J228" s="157" t="str">
        <f>IF(Table44[[#This Row],[Applicable Package?]:[Applicable Package?]]="Y",SUM('Rolled Up Non-Incremental Costs'!F19,'ICE Removal Cost'!F19,'Trans Removal Cost'!F19,'LEV3 Criteria Emissions Cost'!F19,'ZEV Assembly Reductions'!F19,'ACCII Criteria Compliance Cost'!F19,'ACCII GHG Compliance'!F19,'Current GHG Compliance'!F19)+IF(Table44[[#This Row],[Cold]:[Cold]]="Y",'Cold Weather Package'!F19,0)+IF(Table44[[#This Row],[eAWD]:[eAWD]]="Y",'eAWD Package'!F19,0)+IF(Table44[[#This Row],[Towing]:[Towing]]="Y",'Towing Bat Cost'!F19,0),"N/A")</f>
        <v>N/A</v>
      </c>
      <c r="K228" s="157" t="str">
        <f>IF(Table44[[#This Row],[Applicable Package?]:[Applicable Package?]]="Y",SUM('Rolled Up Non-Incremental Costs'!G19,'ICE Removal Cost'!G19,'Trans Removal Cost'!G19,'LEV3 Criteria Emissions Cost'!G19,'ZEV Assembly Reductions'!G19,'ACCII Criteria Compliance Cost'!G19,'ACCII GHG Compliance'!G19,'Current GHG Compliance'!G19)+IF(Table44[[#This Row],[Cold]:[Cold]]="Y",'Cold Weather Package'!G19,0)+IF(Table44[[#This Row],[eAWD]:[eAWD]]="Y",'eAWD Package'!G19,0)+IF(Table44[[#This Row],[Towing]:[Towing]]="Y",'Towing Bat Cost'!G19,0),"N/A")</f>
        <v>N/A</v>
      </c>
      <c r="L228" s="157" t="str">
        <f>IF(Table44[[#This Row],[Applicable Package?]:[Applicable Package?]]="Y",SUM('Rolled Up Non-Incremental Costs'!H19,'ICE Removal Cost'!H19,'Trans Removal Cost'!H19,'LEV3 Criteria Emissions Cost'!H19,'ZEV Assembly Reductions'!H19,'ACCII Criteria Compliance Cost'!H19,'ACCII GHG Compliance'!H19,'Current GHG Compliance'!H19)+IF(Table44[[#This Row],[Cold]:[Cold]]="Y",'Cold Weather Package'!H19,0)+IF(Table44[[#This Row],[eAWD]:[eAWD]]="Y",'eAWD Package'!H19,0)+IF(Table44[[#This Row],[Towing]:[Towing]]="Y",'Towing Bat Cost'!H19,0),"N/A")</f>
        <v>N/A</v>
      </c>
      <c r="M228" s="157" t="str">
        <f>IF(Table44[[#This Row],[Applicable Package?]:[Applicable Package?]]="Y",SUM('Rolled Up Non-Incremental Costs'!I19,'ICE Removal Cost'!I19,'Trans Removal Cost'!I19,'LEV3 Criteria Emissions Cost'!I19,'ZEV Assembly Reductions'!I19,'ACCII Criteria Compliance Cost'!I19,'ACCII GHG Compliance'!I19,'Current GHG Compliance'!I19)+IF(Table44[[#This Row],[Cold]:[Cold]]="Y",'Cold Weather Package'!I19,0)+IF(Table44[[#This Row],[eAWD]:[eAWD]]="Y",'eAWD Package'!I19,0)+IF(Table44[[#This Row],[Towing]:[Towing]]="Y",'Towing Bat Cost'!I19,0),"N/A")</f>
        <v>N/A</v>
      </c>
      <c r="N228" s="157" t="str">
        <f>IF(Table44[[#This Row],[Applicable Package?]:[Applicable Package?]]="Y",SUM('Rolled Up Non-Incremental Costs'!J19,'ICE Removal Cost'!J19,'Trans Removal Cost'!J19,'LEV3 Criteria Emissions Cost'!J19,'ZEV Assembly Reductions'!J19,'ACCII Criteria Compliance Cost'!J19,'ACCII GHG Compliance'!J19,'Current GHG Compliance'!J19)+IF(Table44[[#This Row],[Cold]:[Cold]]="Y",'Cold Weather Package'!J19,0)+IF(Table44[[#This Row],[eAWD]:[eAWD]]="Y",'eAWD Package'!J19,0)+IF(Table44[[#This Row],[Towing]:[Towing]]="Y",'Towing Bat Cost'!J19,0),"N/A")</f>
        <v>N/A</v>
      </c>
      <c r="O228" s="157" t="str">
        <f>IF(Table44[[#This Row],[Applicable Package?]:[Applicable Package?]]="Y",SUM('Rolled Up Non-Incremental Costs'!K19,'ICE Removal Cost'!K19,'Trans Removal Cost'!K19,'LEV3 Criteria Emissions Cost'!K19,'ZEV Assembly Reductions'!K19,'ACCII Criteria Compliance Cost'!K19,'ACCII GHG Compliance'!K19,'Current GHG Compliance'!K19)+IF(Table44[[#This Row],[Cold]:[Cold]]="Y",'Cold Weather Package'!K19,0)+IF(Table44[[#This Row],[eAWD]:[eAWD]]="Y",'eAWD Package'!K19,0)+IF(Table44[[#This Row],[Towing]:[Towing]]="Y",'Towing Bat Cost'!K19,0),"N/A")</f>
        <v>N/A</v>
      </c>
      <c r="P228" s="157" t="str">
        <f>IF(Table44[[#This Row],[Applicable Package?]:[Applicable Package?]]="Y",SUM('Rolled Up Non-Incremental Costs'!L19,'ICE Removal Cost'!L19,'Trans Removal Cost'!L19,'LEV3 Criteria Emissions Cost'!L19,'ZEV Assembly Reductions'!L19,'ACCII Criteria Compliance Cost'!L19,'ACCII GHG Compliance'!L19,'Current GHG Compliance'!L19)+IF(Table44[[#This Row],[Cold]:[Cold]]="Y",'Cold Weather Package'!L19,0)+IF(Table44[[#This Row],[eAWD]:[eAWD]]="Y",'eAWD Package'!L19,0)+IF(Table44[[#This Row],[Towing]:[Towing]]="Y",'Towing Bat Cost'!L19,0),"N/A")</f>
        <v>N/A</v>
      </c>
      <c r="Q228" s="157" t="str">
        <f>IF(Table44[[#This Row],[Applicable Package?]:[Applicable Package?]]="Y",SUM('Rolled Up Non-Incremental Costs'!M19,'ICE Removal Cost'!M19,'Trans Removal Cost'!M19,'LEV3 Criteria Emissions Cost'!M19,'ZEV Assembly Reductions'!M19,'ACCII Criteria Compliance Cost'!M19,'ACCII GHG Compliance'!M19,'Current GHG Compliance'!M19)+IF(Table44[[#This Row],[Cold]:[Cold]]="Y",'Cold Weather Package'!M19,0)+IF(Table44[[#This Row],[eAWD]:[eAWD]]="Y",'eAWD Package'!M19,0)+IF(Table44[[#This Row],[Towing]:[Towing]]="Y",'Towing Bat Cost'!M19,0),"N/A")</f>
        <v>N/A</v>
      </c>
      <c r="R228" s="157" t="str">
        <f>IF(Table44[[#This Row],[Applicable Package?]:[Applicable Package?]]="Y",SUM('Rolled Up Non-Incremental Costs'!N19,'ICE Removal Cost'!N19,'Trans Removal Cost'!N19,'LEV3 Criteria Emissions Cost'!N19,'ZEV Assembly Reductions'!N19,'ACCII Criteria Compliance Cost'!N19,'ACCII GHG Compliance'!N19,'Current GHG Compliance'!N19)+IF(Table44[[#This Row],[Cold]:[Cold]]="Y",'Cold Weather Package'!N19,0)+IF(Table44[[#This Row],[eAWD]:[eAWD]]="Y",'eAWD Package'!N19,0)+IF(Table44[[#This Row],[Towing]:[Towing]]="Y",'Towing Bat Cost'!N19,0),"N/A")</f>
        <v>N/A</v>
      </c>
      <c r="S228" s="157" t="str">
        <f>IF(Table44[[#This Row],[Applicable Package?]:[Applicable Package?]]="Y",SUM('Rolled Up Non-Incremental Costs'!O19,'ICE Removal Cost'!O19,'Trans Removal Cost'!O19,'LEV3 Criteria Emissions Cost'!O19,'ZEV Assembly Reductions'!O19,'ACCII Criteria Compliance Cost'!O19,'ACCII GHG Compliance'!O19,'Current GHG Compliance'!O19)+IF(Table44[[#This Row],[Cold]:[Cold]]="Y",'Cold Weather Package'!O19,0)+IF(Table44[[#This Row],[eAWD]:[eAWD]]="Y",'eAWD Package'!O19,0)+IF(Table44[[#This Row],[Towing]:[Towing]]="Y",'Towing Bat Cost'!O19,0),"N/A")</f>
        <v>N/A</v>
      </c>
    </row>
    <row r="229" spans="2:19" hidden="1" x14ac:dyDescent="0.3">
      <c r="B229" s="90" t="s">
        <v>83</v>
      </c>
      <c r="C229" s="68" t="s">
        <v>80</v>
      </c>
      <c r="D229" s="68" t="str">
        <f>'Vehicle Attributes - Base Year'!D17</f>
        <v>PHEV50</v>
      </c>
      <c r="E229" s="124" t="s">
        <v>76</v>
      </c>
      <c r="F229" s="124" t="s">
        <v>76</v>
      </c>
      <c r="G229" s="125" t="s">
        <v>76</v>
      </c>
      <c r="H229" s="156" t="s">
        <v>77</v>
      </c>
      <c r="I229" s="157" t="str">
        <f>IF(Table44[[#This Row],[Applicable Package?]:[Applicable Package?]]="Y",SUM('Rolled Up Non-Incremental Costs'!E20,'ICE Removal Cost'!E20,'Trans Removal Cost'!E20,'LEV3 Criteria Emissions Cost'!E20,'ZEV Assembly Reductions'!E20,'ACCII Criteria Compliance Cost'!E20,'ACCII GHG Compliance'!E20,'Current GHG Compliance'!E20)+IF(Table44[[#This Row],[Cold]:[Cold]]="Y",'Cold Weather Package'!E20,0)+IF(Table44[[#This Row],[eAWD]:[eAWD]]="Y",'eAWD Package'!E20,0)+IF(Table44[[#This Row],[Towing]:[Towing]]="Y",'Towing Bat Cost'!E20,0),"N/A")</f>
        <v>N/A</v>
      </c>
      <c r="J229" s="157" t="str">
        <f>IF(Table44[[#This Row],[Applicable Package?]:[Applicable Package?]]="Y",SUM('Rolled Up Non-Incremental Costs'!F20,'ICE Removal Cost'!F20,'Trans Removal Cost'!F20,'LEV3 Criteria Emissions Cost'!F20,'ZEV Assembly Reductions'!F20,'ACCII Criteria Compliance Cost'!F20,'ACCII GHG Compliance'!F20,'Current GHG Compliance'!F20)+IF(Table44[[#This Row],[Cold]:[Cold]]="Y",'Cold Weather Package'!F20,0)+IF(Table44[[#This Row],[eAWD]:[eAWD]]="Y",'eAWD Package'!F20,0)+IF(Table44[[#This Row],[Towing]:[Towing]]="Y",'Towing Bat Cost'!F20,0),"N/A")</f>
        <v>N/A</v>
      </c>
      <c r="K229" s="157" t="str">
        <f>IF(Table44[[#This Row],[Applicable Package?]:[Applicable Package?]]="Y",SUM('Rolled Up Non-Incremental Costs'!G20,'ICE Removal Cost'!G20,'Trans Removal Cost'!G20,'LEV3 Criteria Emissions Cost'!G20,'ZEV Assembly Reductions'!G20,'ACCII Criteria Compliance Cost'!G20,'ACCII GHG Compliance'!G20,'Current GHG Compliance'!G20)+IF(Table44[[#This Row],[Cold]:[Cold]]="Y",'Cold Weather Package'!G20,0)+IF(Table44[[#This Row],[eAWD]:[eAWD]]="Y",'eAWD Package'!G20,0)+IF(Table44[[#This Row],[Towing]:[Towing]]="Y",'Towing Bat Cost'!G20,0),"N/A")</f>
        <v>N/A</v>
      </c>
      <c r="L229" s="157" t="str">
        <f>IF(Table44[[#This Row],[Applicable Package?]:[Applicable Package?]]="Y",SUM('Rolled Up Non-Incremental Costs'!H20,'ICE Removal Cost'!H20,'Trans Removal Cost'!H20,'LEV3 Criteria Emissions Cost'!H20,'ZEV Assembly Reductions'!H20,'ACCII Criteria Compliance Cost'!H20,'ACCII GHG Compliance'!H20,'Current GHG Compliance'!H20)+IF(Table44[[#This Row],[Cold]:[Cold]]="Y",'Cold Weather Package'!H20,0)+IF(Table44[[#This Row],[eAWD]:[eAWD]]="Y",'eAWD Package'!H20,0)+IF(Table44[[#This Row],[Towing]:[Towing]]="Y",'Towing Bat Cost'!H20,0),"N/A")</f>
        <v>N/A</v>
      </c>
      <c r="M229" s="157" t="str">
        <f>IF(Table44[[#This Row],[Applicable Package?]:[Applicable Package?]]="Y",SUM('Rolled Up Non-Incremental Costs'!I20,'ICE Removal Cost'!I20,'Trans Removal Cost'!I20,'LEV3 Criteria Emissions Cost'!I20,'ZEV Assembly Reductions'!I20,'ACCII Criteria Compliance Cost'!I20,'ACCII GHG Compliance'!I20,'Current GHG Compliance'!I20)+IF(Table44[[#This Row],[Cold]:[Cold]]="Y",'Cold Weather Package'!I20,0)+IF(Table44[[#This Row],[eAWD]:[eAWD]]="Y",'eAWD Package'!I20,0)+IF(Table44[[#This Row],[Towing]:[Towing]]="Y",'Towing Bat Cost'!I20,0),"N/A")</f>
        <v>N/A</v>
      </c>
      <c r="N229" s="157" t="str">
        <f>IF(Table44[[#This Row],[Applicable Package?]:[Applicable Package?]]="Y",SUM('Rolled Up Non-Incremental Costs'!J20,'ICE Removal Cost'!J20,'Trans Removal Cost'!J20,'LEV3 Criteria Emissions Cost'!J20,'ZEV Assembly Reductions'!J20,'ACCII Criteria Compliance Cost'!J20,'ACCII GHG Compliance'!J20,'Current GHG Compliance'!J20)+IF(Table44[[#This Row],[Cold]:[Cold]]="Y",'Cold Weather Package'!J20,0)+IF(Table44[[#This Row],[eAWD]:[eAWD]]="Y",'eAWD Package'!J20,0)+IF(Table44[[#This Row],[Towing]:[Towing]]="Y",'Towing Bat Cost'!J20,0),"N/A")</f>
        <v>N/A</v>
      </c>
      <c r="O229" s="157" t="str">
        <f>IF(Table44[[#This Row],[Applicable Package?]:[Applicable Package?]]="Y",SUM('Rolled Up Non-Incremental Costs'!K20,'ICE Removal Cost'!K20,'Trans Removal Cost'!K20,'LEV3 Criteria Emissions Cost'!K20,'ZEV Assembly Reductions'!K20,'ACCII Criteria Compliance Cost'!K20,'ACCII GHG Compliance'!K20,'Current GHG Compliance'!K20)+IF(Table44[[#This Row],[Cold]:[Cold]]="Y",'Cold Weather Package'!K20,0)+IF(Table44[[#This Row],[eAWD]:[eAWD]]="Y",'eAWD Package'!K20,0)+IF(Table44[[#This Row],[Towing]:[Towing]]="Y",'Towing Bat Cost'!K20,0),"N/A")</f>
        <v>N/A</v>
      </c>
      <c r="P229" s="157" t="str">
        <f>IF(Table44[[#This Row],[Applicable Package?]:[Applicable Package?]]="Y",SUM('Rolled Up Non-Incremental Costs'!L20,'ICE Removal Cost'!L20,'Trans Removal Cost'!L20,'LEV3 Criteria Emissions Cost'!L20,'ZEV Assembly Reductions'!L20,'ACCII Criteria Compliance Cost'!L20,'ACCII GHG Compliance'!L20,'Current GHG Compliance'!L20)+IF(Table44[[#This Row],[Cold]:[Cold]]="Y",'Cold Weather Package'!L20,0)+IF(Table44[[#This Row],[eAWD]:[eAWD]]="Y",'eAWD Package'!L20,0)+IF(Table44[[#This Row],[Towing]:[Towing]]="Y",'Towing Bat Cost'!L20,0),"N/A")</f>
        <v>N/A</v>
      </c>
      <c r="Q229" s="157" t="str">
        <f>IF(Table44[[#This Row],[Applicable Package?]:[Applicable Package?]]="Y",SUM('Rolled Up Non-Incremental Costs'!M20,'ICE Removal Cost'!M20,'Trans Removal Cost'!M20,'LEV3 Criteria Emissions Cost'!M20,'ZEV Assembly Reductions'!M20,'ACCII Criteria Compliance Cost'!M20,'ACCII GHG Compliance'!M20,'Current GHG Compliance'!M20)+IF(Table44[[#This Row],[Cold]:[Cold]]="Y",'Cold Weather Package'!M20,0)+IF(Table44[[#This Row],[eAWD]:[eAWD]]="Y",'eAWD Package'!M20,0)+IF(Table44[[#This Row],[Towing]:[Towing]]="Y",'Towing Bat Cost'!M20,0),"N/A")</f>
        <v>N/A</v>
      </c>
      <c r="R229" s="157" t="str">
        <f>IF(Table44[[#This Row],[Applicable Package?]:[Applicable Package?]]="Y",SUM('Rolled Up Non-Incremental Costs'!N20,'ICE Removal Cost'!N20,'Trans Removal Cost'!N20,'LEV3 Criteria Emissions Cost'!N20,'ZEV Assembly Reductions'!N20,'ACCII Criteria Compliance Cost'!N20,'ACCII GHG Compliance'!N20,'Current GHG Compliance'!N20)+IF(Table44[[#This Row],[Cold]:[Cold]]="Y",'Cold Weather Package'!N20,0)+IF(Table44[[#This Row],[eAWD]:[eAWD]]="Y",'eAWD Package'!N20,0)+IF(Table44[[#This Row],[Towing]:[Towing]]="Y",'Towing Bat Cost'!N20,0),"N/A")</f>
        <v>N/A</v>
      </c>
      <c r="S229" s="157" t="str">
        <f>IF(Table44[[#This Row],[Applicable Package?]:[Applicable Package?]]="Y",SUM('Rolled Up Non-Incremental Costs'!O20,'ICE Removal Cost'!O20,'Trans Removal Cost'!O20,'LEV3 Criteria Emissions Cost'!O20,'ZEV Assembly Reductions'!O20,'ACCII Criteria Compliance Cost'!O20,'ACCII GHG Compliance'!O20,'Current GHG Compliance'!O20)+IF(Table44[[#This Row],[Cold]:[Cold]]="Y",'Cold Weather Package'!O20,0)+IF(Table44[[#This Row],[eAWD]:[eAWD]]="Y",'eAWD Package'!O20,0)+IF(Table44[[#This Row],[Towing]:[Towing]]="Y",'Towing Bat Cost'!O20,0),"N/A")</f>
        <v>N/A</v>
      </c>
    </row>
    <row r="230" spans="2:19" hidden="1" x14ac:dyDescent="0.3">
      <c r="B230" s="90" t="s">
        <v>86</v>
      </c>
      <c r="C230" s="68" t="s">
        <v>75</v>
      </c>
      <c r="D230" s="68" t="str">
        <f>'Vehicle Attributes - Base Year'!D18</f>
        <v>PHEV50</v>
      </c>
      <c r="E230" s="124" t="s">
        <v>76</v>
      </c>
      <c r="F230" s="124" t="s">
        <v>76</v>
      </c>
      <c r="G230" s="125" t="s">
        <v>76</v>
      </c>
      <c r="H230" s="156" t="s">
        <v>76</v>
      </c>
      <c r="I230" s="157">
        <f>IF(Table44[[#This Row],[Applicable Package?]:[Applicable Package?]]="Y",SUM('Rolled Up Non-Incremental Costs'!E21,'ICE Removal Cost'!E21,'Trans Removal Cost'!E21,'LEV3 Criteria Emissions Cost'!E21,'ZEV Assembly Reductions'!E21,'ACCII Criteria Compliance Cost'!E21,'ACCII GHG Compliance'!E21,'Current GHG Compliance'!E21)+IF(Table44[[#This Row],[Cold]:[Cold]]="Y",'Cold Weather Package'!E21,0)+IF(Table44[[#This Row],[eAWD]:[eAWD]]="Y",'eAWD Package'!E21,0)+IF(Table44[[#This Row],[Towing]:[Towing]]="Y",'Towing Bat Cost'!E21,0),"N/A")</f>
        <v>6117.9277144924545</v>
      </c>
      <c r="J230" s="157">
        <f>IF(Table44[[#This Row],[Applicable Package?]:[Applicable Package?]]="Y",SUM('Rolled Up Non-Incremental Costs'!F21,'ICE Removal Cost'!F21,'Trans Removal Cost'!F21,'LEV3 Criteria Emissions Cost'!F21,'ZEV Assembly Reductions'!F21,'ACCII Criteria Compliance Cost'!F21,'ACCII GHG Compliance'!F21,'Current GHG Compliance'!F21)+IF(Table44[[#This Row],[Cold]:[Cold]]="Y",'Cold Weather Package'!F21,0)+IF(Table44[[#This Row],[eAWD]:[eAWD]]="Y",'eAWD Package'!F21,0)+IF(Table44[[#This Row],[Towing]:[Towing]]="Y",'Towing Bat Cost'!F21,0),"N/A")</f>
        <v>5836.449722641647</v>
      </c>
      <c r="K230" s="157">
        <f>IF(Table44[[#This Row],[Applicable Package?]:[Applicable Package?]]="Y",SUM('Rolled Up Non-Incremental Costs'!G21,'ICE Removal Cost'!G21,'Trans Removal Cost'!G21,'LEV3 Criteria Emissions Cost'!G21,'ZEV Assembly Reductions'!G21,'ACCII Criteria Compliance Cost'!G21,'ACCII GHG Compliance'!G21,'Current GHG Compliance'!G21)+IF(Table44[[#This Row],[Cold]:[Cold]]="Y",'Cold Weather Package'!G21,0)+IF(Table44[[#This Row],[eAWD]:[eAWD]]="Y",'eAWD Package'!G21,0)+IF(Table44[[#This Row],[Towing]:[Towing]]="Y",'Towing Bat Cost'!G21,0),"N/A")</f>
        <v>5573.5114372621429</v>
      </c>
      <c r="L230" s="157">
        <f>IF(Table44[[#This Row],[Applicable Package?]:[Applicable Package?]]="Y",SUM('Rolled Up Non-Incremental Costs'!H21,'ICE Removal Cost'!H21,'Trans Removal Cost'!H21,'LEV3 Criteria Emissions Cost'!H21,'ZEV Assembly Reductions'!H21,'ACCII Criteria Compliance Cost'!H21,'ACCII GHG Compliance'!H21,'Current GHG Compliance'!H21)+IF(Table44[[#This Row],[Cold]:[Cold]]="Y",'Cold Weather Package'!H21,0)+IF(Table44[[#This Row],[eAWD]:[eAWD]]="Y",'eAWD Package'!H21,0)+IF(Table44[[#This Row],[Towing]:[Towing]]="Y",'Towing Bat Cost'!H21,0),"N/A")</f>
        <v>5327.753595522061</v>
      </c>
      <c r="M230" s="157">
        <f>IF(Table44[[#This Row],[Applicable Package?]:[Applicable Package?]]="Y",SUM('Rolled Up Non-Incremental Costs'!I21,'ICE Removal Cost'!I21,'Trans Removal Cost'!I21,'LEV3 Criteria Emissions Cost'!I21,'ZEV Assembly Reductions'!I21,'ACCII Criteria Compliance Cost'!I21,'ACCII GHG Compliance'!I21,'Current GHG Compliance'!I21)+IF(Table44[[#This Row],[Cold]:[Cold]]="Y",'Cold Weather Package'!I21,0)+IF(Table44[[#This Row],[eAWD]:[eAWD]]="Y",'eAWD Package'!I21,0)+IF(Table44[[#This Row],[Towing]:[Towing]]="Y",'Towing Bat Cost'!I21,0),"N/A")</f>
        <v>5097.9181562973599</v>
      </c>
      <c r="N230" s="157">
        <f>IF(Table44[[#This Row],[Applicable Package?]:[Applicable Package?]]="Y",SUM('Rolled Up Non-Incremental Costs'!J21,'ICE Removal Cost'!J21,'Trans Removal Cost'!J21,'LEV3 Criteria Emissions Cost'!J21,'ZEV Assembly Reductions'!J21,'ACCII Criteria Compliance Cost'!J21,'ACCII GHG Compliance'!J21,'Current GHG Compliance'!J21)+IF(Table44[[#This Row],[Cold]:[Cold]]="Y",'Cold Weather Package'!J21,0)+IF(Table44[[#This Row],[eAWD]:[eAWD]]="Y",'eAWD Package'!J21,0)+IF(Table44[[#This Row],[Towing]:[Towing]]="Y",'Towing Bat Cost'!J21,0),"N/A")</f>
        <v>4919.7926656168629</v>
      </c>
      <c r="O230" s="157">
        <f>IF(Table44[[#This Row],[Applicable Package?]:[Applicable Package?]]="Y",SUM('Rolled Up Non-Incremental Costs'!K21,'ICE Removal Cost'!K21,'Trans Removal Cost'!K21,'LEV3 Criteria Emissions Cost'!K21,'ZEV Assembly Reductions'!K21,'ACCII Criteria Compliance Cost'!K21,'ACCII GHG Compliance'!K21,'Current GHG Compliance'!K21)+IF(Table44[[#This Row],[Cold]:[Cold]]="Y",'Cold Weather Package'!K21,0)+IF(Table44[[#This Row],[eAWD]:[eAWD]]="Y",'eAWD Package'!K21,0)+IF(Table44[[#This Row],[Towing]:[Towing]]="Y",'Towing Bat Cost'!K21,0),"N/A")</f>
        <v>4760.3644523306557</v>
      </c>
      <c r="P230" s="157">
        <f>IF(Table44[[#This Row],[Applicable Package?]:[Applicable Package?]]="Y",SUM('Rolled Up Non-Incremental Costs'!L21,'ICE Removal Cost'!L21,'Trans Removal Cost'!L21,'LEV3 Criteria Emissions Cost'!L21,'ZEV Assembly Reductions'!L21,'ACCII Criteria Compliance Cost'!L21,'ACCII GHG Compliance'!L21,'Current GHG Compliance'!L21)+IF(Table44[[#This Row],[Cold]:[Cold]]="Y",'Cold Weather Package'!L21,0)+IF(Table44[[#This Row],[eAWD]:[eAWD]]="Y",'eAWD Package'!L21,0)+IF(Table44[[#This Row],[Towing]:[Towing]]="Y",'Towing Bat Cost'!L21,0),"N/A")</f>
        <v>4608.037291870306</v>
      </c>
      <c r="Q230" s="157">
        <f>IF(Table44[[#This Row],[Applicable Package?]:[Applicable Package?]]="Y",SUM('Rolled Up Non-Incremental Costs'!M21,'ICE Removal Cost'!M21,'Trans Removal Cost'!M21,'LEV3 Criteria Emissions Cost'!M21,'ZEV Assembly Reductions'!M21,'ACCII Criteria Compliance Cost'!M21,'ACCII GHG Compliance'!M21,'Current GHG Compliance'!M21)+IF(Table44[[#This Row],[Cold]:[Cold]]="Y",'Cold Weather Package'!M21,0)+IF(Table44[[#This Row],[eAWD]:[eAWD]]="Y",'eAWD Package'!M21,0)+IF(Table44[[#This Row],[Towing]:[Towing]]="Y",'Towing Bat Cost'!M21,0),"N/A")</f>
        <v>4462.4386780121113</v>
      </c>
      <c r="R230" s="157">
        <f>IF(Table44[[#This Row],[Applicable Package?]:[Applicable Package?]]="Y",SUM('Rolled Up Non-Incremental Costs'!N21,'ICE Removal Cost'!N21,'Trans Removal Cost'!N21,'LEV3 Criteria Emissions Cost'!N21,'ZEV Assembly Reductions'!N21,'ACCII Criteria Compliance Cost'!N21,'ACCII GHG Compliance'!N21,'Current GHG Compliance'!N21)+IF(Table44[[#This Row],[Cold]:[Cold]]="Y",'Cold Weather Package'!N21,0)+IF(Table44[[#This Row],[eAWD]:[eAWD]]="Y",'eAWD Package'!N21,0)+IF(Table44[[#This Row],[Towing]:[Towing]]="Y",'Towing Bat Cost'!N21,0),"N/A")</f>
        <v>4323.2163364839371</v>
      </c>
      <c r="S230" s="157">
        <f>IF(Table44[[#This Row],[Applicable Package?]:[Applicable Package?]]="Y",SUM('Rolled Up Non-Incremental Costs'!O21,'ICE Removal Cost'!O21,'Trans Removal Cost'!O21,'LEV3 Criteria Emissions Cost'!O21,'ZEV Assembly Reductions'!O21,'ACCII Criteria Compliance Cost'!O21,'ACCII GHG Compliance'!O21,'Current GHG Compliance'!O21)+IF(Table44[[#This Row],[Cold]:[Cold]]="Y",'Cold Weather Package'!O21,0)+IF(Table44[[#This Row],[eAWD]:[eAWD]]="Y",'eAWD Package'!O21,0)+IF(Table44[[#This Row],[Towing]:[Towing]]="Y",'Towing Bat Cost'!O21,0),"N/A")</f>
        <v>4190.0371188934996</v>
      </c>
    </row>
    <row r="231" spans="2:19" hidden="1" x14ac:dyDescent="0.3">
      <c r="B231" s="90" t="s">
        <v>86</v>
      </c>
      <c r="C231" s="68" t="s">
        <v>80</v>
      </c>
      <c r="D231" s="68" t="str">
        <f>'Vehicle Attributes - Base Year'!D19</f>
        <v>PHEV50</v>
      </c>
      <c r="E231" s="124" t="s">
        <v>76</v>
      </c>
      <c r="F231" s="124" t="s">
        <v>76</v>
      </c>
      <c r="G231" s="125" t="s">
        <v>76</v>
      </c>
      <c r="H231" s="156" t="s">
        <v>76</v>
      </c>
      <c r="I231" s="157">
        <f>IF(Table44[[#This Row],[Applicable Package?]:[Applicable Package?]]="Y",SUM('Rolled Up Non-Incremental Costs'!E22,'ICE Removal Cost'!E22,'Trans Removal Cost'!E22,'LEV3 Criteria Emissions Cost'!E22,'ZEV Assembly Reductions'!E22,'ACCII Criteria Compliance Cost'!E22,'ACCII GHG Compliance'!E22,'Current GHG Compliance'!E22)+IF(Table44[[#This Row],[Cold]:[Cold]]="Y",'Cold Weather Package'!E22,0)+IF(Table44[[#This Row],[eAWD]:[eAWD]]="Y",'eAWD Package'!E22,0)+IF(Table44[[#This Row],[Towing]:[Towing]]="Y",'Towing Bat Cost'!E22,0),"N/A")</f>
        <v>4976.1012098839019</v>
      </c>
      <c r="J231" s="157">
        <f>IF(Table44[[#This Row],[Applicable Package?]:[Applicable Package?]]="Y",SUM('Rolled Up Non-Incremental Costs'!F22,'ICE Removal Cost'!F22,'Trans Removal Cost'!F22,'LEV3 Criteria Emissions Cost'!F22,'ZEV Assembly Reductions'!F22,'ACCII Criteria Compliance Cost'!F22,'ACCII GHG Compliance'!F22,'Current GHG Compliance'!F22)+IF(Table44[[#This Row],[Cold]:[Cold]]="Y",'Cold Weather Package'!F22,0)+IF(Table44[[#This Row],[eAWD]:[eAWD]]="Y",'eAWD Package'!F22,0)+IF(Table44[[#This Row],[Towing]:[Towing]]="Y",'Towing Bat Cost'!F22,0),"N/A")</f>
        <v>4706.0414830791797</v>
      </c>
      <c r="K231" s="157">
        <f>IF(Table44[[#This Row],[Applicable Package?]:[Applicable Package?]]="Y",SUM('Rolled Up Non-Incremental Costs'!G22,'ICE Removal Cost'!G22,'Trans Removal Cost'!G22,'LEV3 Criteria Emissions Cost'!G22,'ZEV Assembly Reductions'!G22,'ACCII Criteria Compliance Cost'!G22,'ACCII GHG Compliance'!G22,'Current GHG Compliance'!G22)+IF(Table44[[#This Row],[Cold]:[Cold]]="Y",'Cold Weather Package'!G22,0)+IF(Table44[[#This Row],[eAWD]:[eAWD]]="Y",'eAWD Package'!G22,0)+IF(Table44[[#This Row],[Towing]:[Towing]]="Y",'Towing Bat Cost'!G22,0),"N/A")</f>
        <v>4454.4072800952999</v>
      </c>
      <c r="L231" s="157">
        <f>IF(Table44[[#This Row],[Applicable Package?]:[Applicable Package?]]="Y",SUM('Rolled Up Non-Incremental Costs'!H22,'ICE Removal Cost'!H22,'Trans Removal Cost'!H22,'LEV3 Criteria Emissions Cost'!H22,'ZEV Assembly Reductions'!H22,'ACCII Criteria Compliance Cost'!H22,'ACCII GHG Compliance'!H22,'Current GHG Compliance'!H22)+IF(Table44[[#This Row],[Cold]:[Cold]]="Y",'Cold Weather Package'!H22,0)+IF(Table44[[#This Row],[eAWD]:[eAWD]]="Y",'eAWD Package'!H22,0)+IF(Table44[[#This Row],[Towing]:[Towing]]="Y",'Towing Bat Cost'!H22,0),"N/A")</f>
        <v>4219.8404799268865</v>
      </c>
      <c r="M231" s="157">
        <f>IF(Table44[[#This Row],[Applicable Package?]:[Applicable Package?]]="Y",SUM('Rolled Up Non-Incremental Costs'!I22,'ICE Removal Cost'!I22,'Trans Removal Cost'!I22,'LEV3 Criteria Emissions Cost'!I22,'ZEV Assembly Reductions'!I22,'ACCII Criteria Compliance Cost'!I22,'ACCII GHG Compliance'!I22,'Current GHG Compliance'!I22)+IF(Table44[[#This Row],[Cold]:[Cold]]="Y",'Cold Weather Package'!I22,0)+IF(Table44[[#This Row],[eAWD]:[eAWD]]="Y",'eAWD Package'!I22,0)+IF(Table44[[#This Row],[Towing]:[Towing]]="Y",'Towing Bat Cost'!I22,0),"N/A")</f>
        <v>4001.0841718581378</v>
      </c>
      <c r="N231" s="157">
        <f>IF(Table44[[#This Row],[Applicable Package?]:[Applicable Package?]]="Y",SUM('Rolled Up Non-Incremental Costs'!J22,'ICE Removal Cost'!J22,'Trans Removal Cost'!J22,'LEV3 Criteria Emissions Cost'!J22,'ZEV Assembly Reductions'!J22,'ACCII Criteria Compliance Cost'!J22,'ACCII GHG Compliance'!J22,'Current GHG Compliance'!J22)+IF(Table44[[#This Row],[Cold]:[Cold]]="Y",'Cold Weather Package'!J22,0)+IF(Table44[[#This Row],[eAWD]:[eAWD]]="Y",'eAWD Package'!J22,0)+IF(Table44[[#This Row],[Towing]:[Towing]]="Y",'Towing Bat Cost'!J22,0),"N/A")</f>
        <v>3833.9270210220329</v>
      </c>
      <c r="O231" s="157">
        <f>IF(Table44[[#This Row],[Applicable Package?]:[Applicable Package?]]="Y",SUM('Rolled Up Non-Incremental Costs'!K22,'ICE Removal Cost'!K22,'Trans Removal Cost'!K22,'LEV3 Criteria Emissions Cost'!K22,'ZEV Assembly Reductions'!K22,'ACCII Criteria Compliance Cost'!K22,'ACCII GHG Compliance'!K22,'Current GHG Compliance'!K22)+IF(Table44[[#This Row],[Cold]:[Cold]]="Y",'Cold Weather Package'!K22,0)+IF(Table44[[#This Row],[eAWD]:[eAWD]]="Y",'eAWD Package'!K22,0)+IF(Table44[[#This Row],[Towing]:[Towing]]="Y",'Towing Bat Cost'!K22,0),"N/A")</f>
        <v>3685.357464181774</v>
      </c>
      <c r="P231" s="157">
        <f>IF(Table44[[#This Row],[Applicable Package?]:[Applicable Package?]]="Y",SUM('Rolled Up Non-Incremental Costs'!L22,'ICE Removal Cost'!L22,'Trans Removal Cost'!L22,'LEV3 Criteria Emissions Cost'!L22,'ZEV Assembly Reductions'!L22,'ACCII Criteria Compliance Cost'!L22,'ACCII GHG Compliance'!L22,'Current GHG Compliance'!L22)+IF(Table44[[#This Row],[Cold]:[Cold]]="Y",'Cold Weather Package'!L22,0)+IF(Table44[[#This Row],[eAWD]:[eAWD]]="Y",'eAWD Package'!L22,0)+IF(Table44[[#This Row],[Towing]:[Towing]]="Y",'Towing Bat Cost'!L22,0),"N/A")</f>
        <v>3543.7803736029127</v>
      </c>
      <c r="Q231" s="157">
        <f>IF(Table44[[#This Row],[Applicable Package?]:[Applicable Package?]]="Y",SUM('Rolled Up Non-Incremental Costs'!M22,'ICE Removal Cost'!M22,'Trans Removal Cost'!M22,'LEV3 Criteria Emissions Cost'!M22,'ZEV Assembly Reductions'!M22,'ACCII Criteria Compliance Cost'!M22,'ACCII GHG Compliance'!M22,'Current GHG Compliance'!M22)+IF(Table44[[#This Row],[Cold]:[Cold]]="Y",'Cold Weather Package'!M22,0)+IF(Table44[[#This Row],[eAWD]:[eAWD]]="Y",'eAWD Package'!M22,0)+IF(Table44[[#This Row],[Towing]:[Towing]]="Y",'Towing Bat Cost'!M22,0),"N/A")</f>
        <v>3408.8243289273923</v>
      </c>
      <c r="R231" s="157">
        <f>IF(Table44[[#This Row],[Applicable Package?]:[Applicable Package?]]="Y",SUM('Rolled Up Non-Incremental Costs'!N22,'ICE Removal Cost'!N22,'Trans Removal Cost'!N22,'LEV3 Criteria Emissions Cost'!N22,'ZEV Assembly Reductions'!N22,'ACCII Criteria Compliance Cost'!N22,'ACCII GHG Compliance'!N22,'Current GHG Compliance'!N22)+IF(Table44[[#This Row],[Cold]:[Cold]]="Y",'Cold Weather Package'!N22,0)+IF(Table44[[#This Row],[eAWD]:[eAWD]]="Y",'eAWD Package'!N22,0)+IF(Table44[[#This Row],[Towing]:[Towing]]="Y",'Towing Bat Cost'!N22,0),"N/A")</f>
        <v>3280.1381308900654</v>
      </c>
      <c r="S231" s="157">
        <f>IF(Table44[[#This Row],[Applicable Package?]:[Applicable Package?]]="Y",SUM('Rolled Up Non-Incremental Costs'!O22,'ICE Removal Cost'!O22,'Trans Removal Cost'!O22,'LEV3 Criteria Emissions Cost'!O22,'ZEV Assembly Reductions'!O22,'ACCII Criteria Compliance Cost'!O22,'ACCII GHG Compliance'!O22,'Current GHG Compliance'!O22)+IF(Table44[[#This Row],[Cold]:[Cold]]="Y",'Cold Weather Package'!O22,0)+IF(Table44[[#This Row],[eAWD]:[eAWD]]="Y",'eAWD Package'!O22,0)+IF(Table44[[#This Row],[Towing]:[Towing]]="Y",'Towing Bat Cost'!O22,0),"N/A")</f>
        <v>3157.3896953555668</v>
      </c>
    </row>
    <row r="232" spans="2:19" hidden="1" x14ac:dyDescent="0.3">
      <c r="B232" s="90" t="s">
        <v>89</v>
      </c>
      <c r="C232" s="68" t="s">
        <v>75</v>
      </c>
      <c r="D232" s="68" t="str">
        <f>'Vehicle Attributes - Base Year'!D20</f>
        <v>PHEV50</v>
      </c>
      <c r="E232" s="124" t="s">
        <v>76</v>
      </c>
      <c r="F232" s="124" t="s">
        <v>76</v>
      </c>
      <c r="G232" s="125" t="s">
        <v>76</v>
      </c>
      <c r="H232" s="156" t="s">
        <v>76</v>
      </c>
      <c r="I232" s="157">
        <f>IF(Table44[[#This Row],[Applicable Package?]:[Applicable Package?]]="Y",SUM('Rolled Up Non-Incremental Costs'!E23,'ICE Removal Cost'!E23,'Trans Removal Cost'!E23,'LEV3 Criteria Emissions Cost'!E23,'ZEV Assembly Reductions'!E23,'ACCII Criteria Compliance Cost'!E23,'ACCII GHG Compliance'!E23,'Current GHG Compliance'!E23)+IF(Table44[[#This Row],[Cold]:[Cold]]="Y",'Cold Weather Package'!E23,0)+IF(Table44[[#This Row],[eAWD]:[eAWD]]="Y",'eAWD Package'!E23,0)+IF(Table44[[#This Row],[Towing]:[Towing]]="Y",'Towing Bat Cost'!E23,0),"N/A")</f>
        <v>5876.5135809680669</v>
      </c>
      <c r="J232" s="157">
        <f>IF(Table44[[#This Row],[Applicable Package?]:[Applicable Package?]]="Y",SUM('Rolled Up Non-Incremental Costs'!F23,'ICE Removal Cost'!F23,'Trans Removal Cost'!F23,'LEV3 Criteria Emissions Cost'!F23,'ZEV Assembly Reductions'!F23,'ACCII Criteria Compliance Cost'!F23,'ACCII GHG Compliance'!F23,'Current GHG Compliance'!F23)+IF(Table44[[#This Row],[Cold]:[Cold]]="Y",'Cold Weather Package'!F23,0)+IF(Table44[[#This Row],[eAWD]:[eAWD]]="Y",'eAWD Package'!F23,0)+IF(Table44[[#This Row],[Towing]:[Towing]]="Y",'Towing Bat Cost'!F23,0),"N/A")</f>
        <v>5555.4291319230924</v>
      </c>
      <c r="K232" s="157">
        <f>IF(Table44[[#This Row],[Applicable Package?]:[Applicable Package?]]="Y",SUM('Rolled Up Non-Incremental Costs'!G23,'ICE Removal Cost'!G23,'Trans Removal Cost'!G23,'LEV3 Criteria Emissions Cost'!G23,'ZEV Assembly Reductions'!G23,'ACCII Criteria Compliance Cost'!G23,'ACCII GHG Compliance'!G23,'Current GHG Compliance'!G23)+IF(Table44[[#This Row],[Cold]:[Cold]]="Y",'Cold Weather Package'!G23,0)+IF(Table44[[#This Row],[eAWD]:[eAWD]]="Y",'eAWD Package'!G23,0)+IF(Table44[[#This Row],[Towing]:[Towing]]="Y",'Towing Bat Cost'!G23,0),"N/A")</f>
        <v>5256.4172916015823</v>
      </c>
      <c r="L232" s="157">
        <f>IF(Table44[[#This Row],[Applicable Package?]:[Applicable Package?]]="Y",SUM('Rolled Up Non-Incremental Costs'!H23,'ICE Removal Cost'!H23,'Trans Removal Cost'!H23,'LEV3 Criteria Emissions Cost'!H23,'ZEV Assembly Reductions'!H23,'ACCII Criteria Compliance Cost'!H23,'ACCII GHG Compliance'!H23,'Current GHG Compliance'!H23)+IF(Table44[[#This Row],[Cold]:[Cold]]="Y",'Cold Weather Package'!H23,0)+IF(Table44[[#This Row],[eAWD]:[eAWD]]="Y",'eAWD Package'!H23,0)+IF(Table44[[#This Row],[Towing]:[Towing]]="Y",'Towing Bat Cost'!H23,0),"N/A")</f>
        <v>4977.8493032163069</v>
      </c>
      <c r="M232" s="157">
        <f>IF(Table44[[#This Row],[Applicable Package?]:[Applicable Package?]]="Y",SUM('Rolled Up Non-Incremental Costs'!I23,'ICE Removal Cost'!I23,'Trans Removal Cost'!I23,'LEV3 Criteria Emissions Cost'!I23,'ZEV Assembly Reductions'!I23,'ACCII Criteria Compliance Cost'!I23,'ACCII GHG Compliance'!I23,'Current GHG Compliance'!I23)+IF(Table44[[#This Row],[Cold]:[Cold]]="Y",'Cold Weather Package'!I23,0)+IF(Table44[[#This Row],[eAWD]:[eAWD]]="Y",'eAWD Package'!I23,0)+IF(Table44[[#This Row],[Towing]:[Towing]]="Y",'Towing Bat Cost'!I23,0),"N/A")</f>
        <v>4718.2178070396649</v>
      </c>
      <c r="N232" s="157">
        <f>IF(Table44[[#This Row],[Applicable Package?]:[Applicable Package?]]="Y",SUM('Rolled Up Non-Incremental Costs'!J23,'ICE Removal Cost'!J23,'Trans Removal Cost'!J23,'LEV3 Criteria Emissions Cost'!J23,'ZEV Assembly Reductions'!J23,'ACCII Criteria Compliance Cost'!J23,'ACCII GHG Compliance'!J23,'Current GHG Compliance'!J23)+IF(Table44[[#This Row],[Cold]:[Cold]]="Y",'Cold Weather Package'!J23,0)+IF(Table44[[#This Row],[eAWD]:[eAWD]]="Y",'eAWD Package'!J23,0)+IF(Table44[[#This Row],[Towing]:[Towing]]="Y",'Towing Bat Cost'!J23,0),"N/A")</f>
        <v>4520.4509369448788</v>
      </c>
      <c r="O232" s="157">
        <f>IF(Table44[[#This Row],[Applicable Package?]:[Applicable Package?]]="Y",SUM('Rolled Up Non-Incremental Costs'!K23,'ICE Removal Cost'!K23,'Trans Removal Cost'!K23,'LEV3 Criteria Emissions Cost'!K23,'ZEV Assembly Reductions'!K23,'ACCII Criteria Compliance Cost'!K23,'ACCII GHG Compliance'!K23,'Current GHG Compliance'!K23)+IF(Table44[[#This Row],[Cold]:[Cold]]="Y",'Cold Weather Package'!K23,0)+IF(Table44[[#This Row],[eAWD]:[eAWD]]="Y",'eAWD Package'!K23,0)+IF(Table44[[#This Row],[Towing]:[Towing]]="Y",'Towing Bat Cost'!K23,0),"N/A")</f>
        <v>4344.952197757535</v>
      </c>
      <c r="P232" s="157">
        <f>IF(Table44[[#This Row],[Applicable Package?]:[Applicable Package?]]="Y",SUM('Rolled Up Non-Incremental Costs'!L23,'ICE Removal Cost'!L23,'Trans Removal Cost'!L23,'LEV3 Criteria Emissions Cost'!L23,'ZEV Assembly Reductions'!L23,'ACCII Criteria Compliance Cost'!L23,'ACCII GHG Compliance'!L23,'Current GHG Compliance'!L23)+IF(Table44[[#This Row],[Cold]:[Cold]]="Y",'Cold Weather Package'!L23,0)+IF(Table44[[#This Row],[eAWD]:[eAWD]]="Y",'eAWD Package'!L23,0)+IF(Table44[[#This Row],[Towing]:[Towing]]="Y",'Towing Bat Cost'!L23,0),"N/A")</f>
        <v>4177.8137175445936</v>
      </c>
      <c r="Q232" s="157">
        <f>IF(Table44[[#This Row],[Applicable Package?]:[Applicable Package?]]="Y",SUM('Rolled Up Non-Incremental Costs'!M23,'ICE Removal Cost'!M23,'Trans Removal Cost'!M23,'LEV3 Criteria Emissions Cost'!M23,'ZEV Assembly Reductions'!M23,'ACCII Criteria Compliance Cost'!M23,'ACCII GHG Compliance'!M23,'Current GHG Compliance'!M23)+IF(Table44[[#This Row],[Cold]:[Cold]]="Y",'Cold Weather Package'!M23,0)+IF(Table44[[#This Row],[eAWD]:[eAWD]]="Y",'eAWD Package'!M23,0)+IF(Table44[[#This Row],[Towing]:[Towing]]="Y",'Towing Bat Cost'!M23,0),"N/A")</f>
        <v>4018.5902550971678</v>
      </c>
      <c r="R232" s="157">
        <f>IF(Table44[[#This Row],[Applicable Package?]:[Applicable Package?]]="Y",SUM('Rolled Up Non-Incremental Costs'!N23,'ICE Removal Cost'!N23,'Trans Removal Cost'!N23,'LEV3 Criteria Emissions Cost'!N23,'ZEV Assembly Reductions'!N23,'ACCII Criteria Compliance Cost'!N23,'ACCII GHG Compliance'!N23,'Current GHG Compliance'!N23)+IF(Table44[[#This Row],[Cold]:[Cold]]="Y",'Cold Weather Package'!N23,0)+IF(Table44[[#This Row],[eAWD]:[eAWD]]="Y",'eAWD Package'!N23,0)+IF(Table44[[#This Row],[Towing]:[Towing]]="Y",'Towing Bat Cost'!N23,0),"N/A")</f>
        <v>3866.8608213328571</v>
      </c>
      <c r="S232" s="157">
        <f>IF(Table44[[#This Row],[Applicable Package?]:[Applicable Package?]]="Y",SUM('Rolled Up Non-Incremental Costs'!O23,'ICE Removal Cost'!O23,'Trans Removal Cost'!O23,'LEV3 Criteria Emissions Cost'!O23,'ZEV Assembly Reductions'!O23,'ACCII Criteria Compliance Cost'!O23,'ACCII GHG Compliance'!O23,'Current GHG Compliance'!O23)+IF(Table44[[#This Row],[Cold]:[Cold]]="Y",'Cold Weather Package'!O23,0)+IF(Table44[[#This Row],[eAWD]:[eAWD]]="Y",'eAWD Package'!O23,0)+IF(Table44[[#This Row],[Towing]:[Towing]]="Y",'Towing Bat Cost'!O23,0),"N/A")</f>
        <v>3722.2273527401212</v>
      </c>
    </row>
    <row r="233" spans="2:19" hidden="1" x14ac:dyDescent="0.3">
      <c r="B233" s="90" t="s">
        <v>89</v>
      </c>
      <c r="C233" s="68" t="s">
        <v>113</v>
      </c>
      <c r="D233" s="68" t="str">
        <f>'Vehicle Attributes - Base Year'!D21</f>
        <v>PHEV50</v>
      </c>
      <c r="E233" s="124" t="s">
        <v>76</v>
      </c>
      <c r="F233" s="124" t="s">
        <v>76</v>
      </c>
      <c r="G233" s="125" t="s">
        <v>76</v>
      </c>
      <c r="H233" s="156" t="s">
        <v>76</v>
      </c>
      <c r="I233" s="157">
        <f>IF(Table44[[#This Row],[Applicable Package?]:[Applicable Package?]]="Y",SUM('Rolled Up Non-Incremental Costs'!E24,'ICE Removal Cost'!E24,'Trans Removal Cost'!E24,'LEV3 Criteria Emissions Cost'!E24,'ZEV Assembly Reductions'!E24,'ACCII Criteria Compliance Cost'!E24,'ACCII GHG Compliance'!E24,'Current GHG Compliance'!E24)+IF(Table44[[#This Row],[Cold]:[Cold]]="Y",'Cold Weather Package'!E24,0)+IF(Table44[[#This Row],[eAWD]:[eAWD]]="Y",'eAWD Package'!E24,0)+IF(Table44[[#This Row],[Towing]:[Towing]]="Y",'Towing Bat Cost'!E24,0),"N/A")</f>
        <v>5876.5135809680669</v>
      </c>
      <c r="J233" s="157">
        <f>IF(Table44[[#This Row],[Applicable Package?]:[Applicable Package?]]="Y",SUM('Rolled Up Non-Incremental Costs'!F24,'ICE Removal Cost'!F24,'Trans Removal Cost'!F24,'LEV3 Criteria Emissions Cost'!F24,'ZEV Assembly Reductions'!F24,'ACCII Criteria Compliance Cost'!F24,'ACCII GHG Compliance'!F24,'Current GHG Compliance'!F24)+IF(Table44[[#This Row],[Cold]:[Cold]]="Y",'Cold Weather Package'!F24,0)+IF(Table44[[#This Row],[eAWD]:[eAWD]]="Y",'eAWD Package'!F24,0)+IF(Table44[[#This Row],[Towing]:[Towing]]="Y",'Towing Bat Cost'!F24,0),"N/A")</f>
        <v>5555.4291319230924</v>
      </c>
      <c r="K233" s="157">
        <f>IF(Table44[[#This Row],[Applicable Package?]:[Applicable Package?]]="Y",SUM('Rolled Up Non-Incremental Costs'!G24,'ICE Removal Cost'!G24,'Trans Removal Cost'!G24,'LEV3 Criteria Emissions Cost'!G24,'ZEV Assembly Reductions'!G24,'ACCII Criteria Compliance Cost'!G24,'ACCII GHG Compliance'!G24,'Current GHG Compliance'!G24)+IF(Table44[[#This Row],[Cold]:[Cold]]="Y",'Cold Weather Package'!G24,0)+IF(Table44[[#This Row],[eAWD]:[eAWD]]="Y",'eAWD Package'!G24,0)+IF(Table44[[#This Row],[Towing]:[Towing]]="Y",'Towing Bat Cost'!G24,0),"N/A")</f>
        <v>5256.4172916015823</v>
      </c>
      <c r="L233" s="157">
        <f>IF(Table44[[#This Row],[Applicable Package?]:[Applicable Package?]]="Y",SUM('Rolled Up Non-Incremental Costs'!H24,'ICE Removal Cost'!H24,'Trans Removal Cost'!H24,'LEV3 Criteria Emissions Cost'!H24,'ZEV Assembly Reductions'!H24,'ACCII Criteria Compliance Cost'!H24,'ACCII GHG Compliance'!H24,'Current GHG Compliance'!H24)+IF(Table44[[#This Row],[Cold]:[Cold]]="Y",'Cold Weather Package'!H24,0)+IF(Table44[[#This Row],[eAWD]:[eAWD]]="Y",'eAWD Package'!H24,0)+IF(Table44[[#This Row],[Towing]:[Towing]]="Y",'Towing Bat Cost'!H24,0),"N/A")</f>
        <v>4977.8493032163069</v>
      </c>
      <c r="M233" s="157">
        <f>IF(Table44[[#This Row],[Applicable Package?]:[Applicable Package?]]="Y",SUM('Rolled Up Non-Incremental Costs'!I24,'ICE Removal Cost'!I24,'Trans Removal Cost'!I24,'LEV3 Criteria Emissions Cost'!I24,'ZEV Assembly Reductions'!I24,'ACCII Criteria Compliance Cost'!I24,'ACCII GHG Compliance'!I24,'Current GHG Compliance'!I24)+IF(Table44[[#This Row],[Cold]:[Cold]]="Y",'Cold Weather Package'!I24,0)+IF(Table44[[#This Row],[eAWD]:[eAWD]]="Y",'eAWD Package'!I24,0)+IF(Table44[[#This Row],[Towing]:[Towing]]="Y",'Towing Bat Cost'!I24,0),"N/A")</f>
        <v>4718.2178070396649</v>
      </c>
      <c r="N233" s="157">
        <f>IF(Table44[[#This Row],[Applicable Package?]:[Applicable Package?]]="Y",SUM('Rolled Up Non-Incremental Costs'!J24,'ICE Removal Cost'!J24,'Trans Removal Cost'!J24,'LEV3 Criteria Emissions Cost'!J24,'ZEV Assembly Reductions'!J24,'ACCII Criteria Compliance Cost'!J24,'ACCII GHG Compliance'!J24,'Current GHG Compliance'!J24)+IF(Table44[[#This Row],[Cold]:[Cold]]="Y",'Cold Weather Package'!J24,0)+IF(Table44[[#This Row],[eAWD]:[eAWD]]="Y",'eAWD Package'!J24,0)+IF(Table44[[#This Row],[Towing]:[Towing]]="Y",'Towing Bat Cost'!J24,0),"N/A")</f>
        <v>4520.4509369448788</v>
      </c>
      <c r="O233" s="157">
        <f>IF(Table44[[#This Row],[Applicable Package?]:[Applicable Package?]]="Y",SUM('Rolled Up Non-Incremental Costs'!K24,'ICE Removal Cost'!K24,'Trans Removal Cost'!K24,'LEV3 Criteria Emissions Cost'!K24,'ZEV Assembly Reductions'!K24,'ACCII Criteria Compliance Cost'!K24,'ACCII GHG Compliance'!K24,'Current GHG Compliance'!K24)+IF(Table44[[#This Row],[Cold]:[Cold]]="Y",'Cold Weather Package'!K24,0)+IF(Table44[[#This Row],[eAWD]:[eAWD]]="Y",'eAWD Package'!K24,0)+IF(Table44[[#This Row],[Towing]:[Towing]]="Y",'Towing Bat Cost'!K24,0),"N/A")</f>
        <v>4344.952197757535</v>
      </c>
      <c r="P233" s="157">
        <f>IF(Table44[[#This Row],[Applicable Package?]:[Applicable Package?]]="Y",SUM('Rolled Up Non-Incremental Costs'!L24,'ICE Removal Cost'!L24,'Trans Removal Cost'!L24,'LEV3 Criteria Emissions Cost'!L24,'ZEV Assembly Reductions'!L24,'ACCII Criteria Compliance Cost'!L24,'ACCII GHG Compliance'!L24,'Current GHG Compliance'!L24)+IF(Table44[[#This Row],[Cold]:[Cold]]="Y",'Cold Weather Package'!L24,0)+IF(Table44[[#This Row],[eAWD]:[eAWD]]="Y",'eAWD Package'!L24,0)+IF(Table44[[#This Row],[Towing]:[Towing]]="Y",'Towing Bat Cost'!L24,0),"N/A")</f>
        <v>4177.8137175445936</v>
      </c>
      <c r="Q233" s="157">
        <f>IF(Table44[[#This Row],[Applicable Package?]:[Applicable Package?]]="Y",SUM('Rolled Up Non-Incremental Costs'!M24,'ICE Removal Cost'!M24,'Trans Removal Cost'!M24,'LEV3 Criteria Emissions Cost'!M24,'ZEV Assembly Reductions'!M24,'ACCII Criteria Compliance Cost'!M24,'ACCII GHG Compliance'!M24,'Current GHG Compliance'!M24)+IF(Table44[[#This Row],[Cold]:[Cold]]="Y",'Cold Weather Package'!M24,0)+IF(Table44[[#This Row],[eAWD]:[eAWD]]="Y",'eAWD Package'!M24,0)+IF(Table44[[#This Row],[Towing]:[Towing]]="Y",'Towing Bat Cost'!M24,0),"N/A")</f>
        <v>4018.5902550971678</v>
      </c>
      <c r="R233" s="157">
        <f>IF(Table44[[#This Row],[Applicable Package?]:[Applicable Package?]]="Y",SUM('Rolled Up Non-Incremental Costs'!N24,'ICE Removal Cost'!N24,'Trans Removal Cost'!N24,'LEV3 Criteria Emissions Cost'!N24,'ZEV Assembly Reductions'!N24,'ACCII Criteria Compliance Cost'!N24,'ACCII GHG Compliance'!N24,'Current GHG Compliance'!N24)+IF(Table44[[#This Row],[Cold]:[Cold]]="Y",'Cold Weather Package'!N24,0)+IF(Table44[[#This Row],[eAWD]:[eAWD]]="Y",'eAWD Package'!N24,0)+IF(Table44[[#This Row],[Towing]:[Towing]]="Y",'Towing Bat Cost'!N24,0),"N/A")</f>
        <v>3866.8608213328571</v>
      </c>
      <c r="S233" s="157">
        <f>IF(Table44[[#This Row],[Applicable Package?]:[Applicable Package?]]="Y",SUM('Rolled Up Non-Incremental Costs'!O24,'ICE Removal Cost'!O24,'Trans Removal Cost'!O24,'LEV3 Criteria Emissions Cost'!O24,'ZEV Assembly Reductions'!O24,'ACCII Criteria Compliance Cost'!O24,'ACCII GHG Compliance'!O24,'Current GHG Compliance'!O24)+IF(Table44[[#This Row],[Cold]:[Cold]]="Y",'Cold Weather Package'!O24,0)+IF(Table44[[#This Row],[eAWD]:[eAWD]]="Y",'eAWD Package'!O24,0)+IF(Table44[[#This Row],[Towing]:[Towing]]="Y",'Towing Bat Cost'!O24,0),"N/A")</f>
        <v>3722.2273527401212</v>
      </c>
    </row>
    <row r="234" spans="2:19" hidden="1" x14ac:dyDescent="0.3">
      <c r="B234" s="90" t="s">
        <v>73</v>
      </c>
      <c r="C234" s="68" t="s">
        <v>75</v>
      </c>
      <c r="D234" s="68" t="str">
        <f>'Vehicle Attributes - Base Year'!D22</f>
        <v>FCEV320</v>
      </c>
      <c r="E234" s="124" t="s">
        <v>76</v>
      </c>
      <c r="F234" s="124" t="s">
        <v>76</v>
      </c>
      <c r="G234" s="125" t="s">
        <v>76</v>
      </c>
      <c r="H234" s="156" t="s">
        <v>77</v>
      </c>
      <c r="I234" s="157" t="str">
        <f>IF(Table44[[#This Row],[Applicable Package?]:[Applicable Package?]]="Y",SUM('Rolled Up Non-Incremental Costs'!E25,'ICE Removal Cost'!E25,'Trans Removal Cost'!E25,'LEV3 Criteria Emissions Cost'!E25,'ZEV Assembly Reductions'!E25,'ACCII Criteria Compliance Cost'!E25,'ACCII GHG Compliance'!E25,'Current GHG Compliance'!E25)+IF(Table44[[#This Row],[Cold]:[Cold]]="Y",'Cold Weather Package'!E25,0)+IF(Table44[[#This Row],[eAWD]:[eAWD]]="Y",'eAWD Package'!E25,0)+IF(Table44[[#This Row],[Towing]:[Towing]]="Y",'Towing Bat Cost'!E25,0),"N/A")</f>
        <v>N/A</v>
      </c>
      <c r="J234" s="157" t="str">
        <f>IF(Table44[[#This Row],[Applicable Package?]:[Applicable Package?]]="Y",SUM('Rolled Up Non-Incremental Costs'!F25,'ICE Removal Cost'!F25,'Trans Removal Cost'!F25,'LEV3 Criteria Emissions Cost'!F25,'ZEV Assembly Reductions'!F25,'ACCII Criteria Compliance Cost'!F25,'ACCII GHG Compliance'!F25,'Current GHG Compliance'!F25)+IF(Table44[[#This Row],[Cold]:[Cold]]="Y",'Cold Weather Package'!F25,0)+IF(Table44[[#This Row],[eAWD]:[eAWD]]="Y",'eAWD Package'!F25,0)+IF(Table44[[#This Row],[Towing]:[Towing]]="Y",'Towing Bat Cost'!F25,0),"N/A")</f>
        <v>N/A</v>
      </c>
      <c r="K234" s="157" t="str">
        <f>IF(Table44[[#This Row],[Applicable Package?]:[Applicable Package?]]="Y",SUM('Rolled Up Non-Incremental Costs'!G25,'ICE Removal Cost'!G25,'Trans Removal Cost'!G25,'LEV3 Criteria Emissions Cost'!G25,'ZEV Assembly Reductions'!G25,'ACCII Criteria Compliance Cost'!G25,'ACCII GHG Compliance'!G25,'Current GHG Compliance'!G25)+IF(Table44[[#This Row],[Cold]:[Cold]]="Y",'Cold Weather Package'!G25,0)+IF(Table44[[#This Row],[eAWD]:[eAWD]]="Y",'eAWD Package'!G25,0)+IF(Table44[[#This Row],[Towing]:[Towing]]="Y",'Towing Bat Cost'!G25,0),"N/A")</f>
        <v>N/A</v>
      </c>
      <c r="L234" s="157" t="str">
        <f>IF(Table44[[#This Row],[Applicable Package?]:[Applicable Package?]]="Y",SUM('Rolled Up Non-Incremental Costs'!H25,'ICE Removal Cost'!H25,'Trans Removal Cost'!H25,'LEV3 Criteria Emissions Cost'!H25,'ZEV Assembly Reductions'!H25,'ACCII Criteria Compliance Cost'!H25,'ACCII GHG Compliance'!H25,'Current GHG Compliance'!H25)+IF(Table44[[#This Row],[Cold]:[Cold]]="Y",'Cold Weather Package'!H25,0)+IF(Table44[[#This Row],[eAWD]:[eAWD]]="Y",'eAWD Package'!H25,0)+IF(Table44[[#This Row],[Towing]:[Towing]]="Y",'Towing Bat Cost'!H25,0),"N/A")</f>
        <v>N/A</v>
      </c>
      <c r="M234" s="157" t="str">
        <f>IF(Table44[[#This Row],[Applicable Package?]:[Applicable Package?]]="Y",SUM('Rolled Up Non-Incremental Costs'!I25,'ICE Removal Cost'!I25,'Trans Removal Cost'!I25,'LEV3 Criteria Emissions Cost'!I25,'ZEV Assembly Reductions'!I25,'ACCII Criteria Compliance Cost'!I25,'ACCII GHG Compliance'!I25,'Current GHG Compliance'!I25)+IF(Table44[[#This Row],[Cold]:[Cold]]="Y",'Cold Weather Package'!I25,0)+IF(Table44[[#This Row],[eAWD]:[eAWD]]="Y",'eAWD Package'!I25,0)+IF(Table44[[#This Row],[Towing]:[Towing]]="Y",'Towing Bat Cost'!I25,0),"N/A")</f>
        <v>N/A</v>
      </c>
      <c r="N234" s="157" t="str">
        <f>IF(Table44[[#This Row],[Applicable Package?]:[Applicable Package?]]="Y",SUM('Rolled Up Non-Incremental Costs'!J25,'ICE Removal Cost'!J25,'Trans Removal Cost'!J25,'LEV3 Criteria Emissions Cost'!J25,'ZEV Assembly Reductions'!J25,'ACCII Criteria Compliance Cost'!J25,'ACCII GHG Compliance'!J25,'Current GHG Compliance'!J25)+IF(Table44[[#This Row],[Cold]:[Cold]]="Y",'Cold Weather Package'!J25,0)+IF(Table44[[#This Row],[eAWD]:[eAWD]]="Y",'eAWD Package'!J25,0)+IF(Table44[[#This Row],[Towing]:[Towing]]="Y",'Towing Bat Cost'!J25,0),"N/A")</f>
        <v>N/A</v>
      </c>
      <c r="O234" s="157" t="str">
        <f>IF(Table44[[#This Row],[Applicable Package?]:[Applicable Package?]]="Y",SUM('Rolled Up Non-Incremental Costs'!K25,'ICE Removal Cost'!K25,'Trans Removal Cost'!K25,'LEV3 Criteria Emissions Cost'!K25,'ZEV Assembly Reductions'!K25,'ACCII Criteria Compliance Cost'!K25,'ACCII GHG Compliance'!K25,'Current GHG Compliance'!K25)+IF(Table44[[#This Row],[Cold]:[Cold]]="Y",'Cold Weather Package'!K25,0)+IF(Table44[[#This Row],[eAWD]:[eAWD]]="Y",'eAWD Package'!K25,0)+IF(Table44[[#This Row],[Towing]:[Towing]]="Y",'Towing Bat Cost'!K25,0),"N/A")</f>
        <v>N/A</v>
      </c>
      <c r="P234" s="157" t="str">
        <f>IF(Table44[[#This Row],[Applicable Package?]:[Applicable Package?]]="Y",SUM('Rolled Up Non-Incremental Costs'!L25,'ICE Removal Cost'!L25,'Trans Removal Cost'!L25,'LEV3 Criteria Emissions Cost'!L25,'ZEV Assembly Reductions'!L25,'ACCII Criteria Compliance Cost'!L25,'ACCII GHG Compliance'!L25,'Current GHG Compliance'!L25)+IF(Table44[[#This Row],[Cold]:[Cold]]="Y",'Cold Weather Package'!L25,0)+IF(Table44[[#This Row],[eAWD]:[eAWD]]="Y",'eAWD Package'!L25,0)+IF(Table44[[#This Row],[Towing]:[Towing]]="Y",'Towing Bat Cost'!L25,0),"N/A")</f>
        <v>N/A</v>
      </c>
      <c r="Q234" s="157" t="str">
        <f>IF(Table44[[#This Row],[Applicable Package?]:[Applicable Package?]]="Y",SUM('Rolled Up Non-Incremental Costs'!M25,'ICE Removal Cost'!M25,'Trans Removal Cost'!M25,'LEV3 Criteria Emissions Cost'!M25,'ZEV Assembly Reductions'!M25,'ACCII Criteria Compliance Cost'!M25,'ACCII GHG Compliance'!M25,'Current GHG Compliance'!M25)+IF(Table44[[#This Row],[Cold]:[Cold]]="Y",'Cold Weather Package'!M25,0)+IF(Table44[[#This Row],[eAWD]:[eAWD]]="Y",'eAWD Package'!M25,0)+IF(Table44[[#This Row],[Towing]:[Towing]]="Y",'Towing Bat Cost'!M25,0),"N/A")</f>
        <v>N/A</v>
      </c>
      <c r="R234" s="157" t="str">
        <f>IF(Table44[[#This Row],[Applicable Package?]:[Applicable Package?]]="Y",SUM('Rolled Up Non-Incremental Costs'!N25,'ICE Removal Cost'!N25,'Trans Removal Cost'!N25,'LEV3 Criteria Emissions Cost'!N25,'ZEV Assembly Reductions'!N25,'ACCII Criteria Compliance Cost'!N25,'ACCII GHG Compliance'!N25,'Current GHG Compliance'!N25)+IF(Table44[[#This Row],[Cold]:[Cold]]="Y",'Cold Weather Package'!N25,0)+IF(Table44[[#This Row],[eAWD]:[eAWD]]="Y",'eAWD Package'!N25,0)+IF(Table44[[#This Row],[Towing]:[Towing]]="Y",'Towing Bat Cost'!N25,0),"N/A")</f>
        <v>N/A</v>
      </c>
      <c r="S234" s="157" t="str">
        <f>IF(Table44[[#This Row],[Applicable Package?]:[Applicable Package?]]="Y",SUM('Rolled Up Non-Incremental Costs'!O25,'ICE Removal Cost'!O25,'Trans Removal Cost'!O25,'LEV3 Criteria Emissions Cost'!O25,'ZEV Assembly Reductions'!O25,'ACCII Criteria Compliance Cost'!O25,'ACCII GHG Compliance'!O25,'Current GHG Compliance'!O25)+IF(Table44[[#This Row],[Cold]:[Cold]]="Y",'Cold Weather Package'!O25,0)+IF(Table44[[#This Row],[eAWD]:[eAWD]]="Y",'eAWD Package'!O25,0)+IF(Table44[[#This Row],[Towing]:[Towing]]="Y",'Towing Bat Cost'!O25,0),"N/A")</f>
        <v>N/A</v>
      </c>
    </row>
    <row r="235" spans="2:19" hidden="1" x14ac:dyDescent="0.3">
      <c r="B235" s="90" t="s">
        <v>73</v>
      </c>
      <c r="C235" s="68" t="s">
        <v>80</v>
      </c>
      <c r="D235" s="68" t="str">
        <f>'Vehicle Attributes - Base Year'!D23</f>
        <v>FCEV320</v>
      </c>
      <c r="E235" s="124" t="s">
        <v>76</v>
      </c>
      <c r="F235" s="124" t="s">
        <v>76</v>
      </c>
      <c r="G235" s="125" t="s">
        <v>76</v>
      </c>
      <c r="H235" s="156" t="s">
        <v>77</v>
      </c>
      <c r="I235" s="157" t="str">
        <f>IF(Table44[[#This Row],[Applicable Package?]:[Applicable Package?]]="Y",SUM('Rolled Up Non-Incremental Costs'!E26,'ICE Removal Cost'!E26,'Trans Removal Cost'!E26,'LEV3 Criteria Emissions Cost'!E26,'ZEV Assembly Reductions'!E26,'ACCII Criteria Compliance Cost'!E26,'ACCII GHG Compliance'!E26,'Current GHG Compliance'!E26)+IF(Table44[[#This Row],[Cold]:[Cold]]="Y",'Cold Weather Package'!E26,0)+IF(Table44[[#This Row],[eAWD]:[eAWD]]="Y",'eAWD Package'!E26,0)+IF(Table44[[#This Row],[Towing]:[Towing]]="Y",'Towing Bat Cost'!E26,0),"N/A")</f>
        <v>N/A</v>
      </c>
      <c r="J235" s="157" t="str">
        <f>IF(Table44[[#This Row],[Applicable Package?]:[Applicable Package?]]="Y",SUM('Rolled Up Non-Incremental Costs'!F26,'ICE Removal Cost'!F26,'Trans Removal Cost'!F26,'LEV3 Criteria Emissions Cost'!F26,'ZEV Assembly Reductions'!F26,'ACCII Criteria Compliance Cost'!F26,'ACCII GHG Compliance'!F26,'Current GHG Compliance'!F26)+IF(Table44[[#This Row],[Cold]:[Cold]]="Y",'Cold Weather Package'!F26,0)+IF(Table44[[#This Row],[eAWD]:[eAWD]]="Y",'eAWD Package'!F26,0)+IF(Table44[[#This Row],[Towing]:[Towing]]="Y",'Towing Bat Cost'!F26,0),"N/A")</f>
        <v>N/A</v>
      </c>
      <c r="K235" s="157" t="str">
        <f>IF(Table44[[#This Row],[Applicable Package?]:[Applicable Package?]]="Y",SUM('Rolled Up Non-Incremental Costs'!G26,'ICE Removal Cost'!G26,'Trans Removal Cost'!G26,'LEV3 Criteria Emissions Cost'!G26,'ZEV Assembly Reductions'!G26,'ACCII Criteria Compliance Cost'!G26,'ACCII GHG Compliance'!G26,'Current GHG Compliance'!G26)+IF(Table44[[#This Row],[Cold]:[Cold]]="Y",'Cold Weather Package'!G26,0)+IF(Table44[[#This Row],[eAWD]:[eAWD]]="Y",'eAWD Package'!G26,0)+IF(Table44[[#This Row],[Towing]:[Towing]]="Y",'Towing Bat Cost'!G26,0),"N/A")</f>
        <v>N/A</v>
      </c>
      <c r="L235" s="157" t="str">
        <f>IF(Table44[[#This Row],[Applicable Package?]:[Applicable Package?]]="Y",SUM('Rolled Up Non-Incremental Costs'!H26,'ICE Removal Cost'!H26,'Trans Removal Cost'!H26,'LEV3 Criteria Emissions Cost'!H26,'ZEV Assembly Reductions'!H26,'ACCII Criteria Compliance Cost'!H26,'ACCII GHG Compliance'!H26,'Current GHG Compliance'!H26)+IF(Table44[[#This Row],[Cold]:[Cold]]="Y",'Cold Weather Package'!H26,0)+IF(Table44[[#This Row],[eAWD]:[eAWD]]="Y",'eAWD Package'!H26,0)+IF(Table44[[#This Row],[Towing]:[Towing]]="Y",'Towing Bat Cost'!H26,0),"N/A")</f>
        <v>N/A</v>
      </c>
      <c r="M235" s="157" t="str">
        <f>IF(Table44[[#This Row],[Applicable Package?]:[Applicable Package?]]="Y",SUM('Rolled Up Non-Incremental Costs'!I26,'ICE Removal Cost'!I26,'Trans Removal Cost'!I26,'LEV3 Criteria Emissions Cost'!I26,'ZEV Assembly Reductions'!I26,'ACCII Criteria Compliance Cost'!I26,'ACCII GHG Compliance'!I26,'Current GHG Compliance'!I26)+IF(Table44[[#This Row],[Cold]:[Cold]]="Y",'Cold Weather Package'!I26,0)+IF(Table44[[#This Row],[eAWD]:[eAWD]]="Y",'eAWD Package'!I26,0)+IF(Table44[[#This Row],[Towing]:[Towing]]="Y",'Towing Bat Cost'!I26,0),"N/A")</f>
        <v>N/A</v>
      </c>
      <c r="N235" s="157" t="str">
        <f>IF(Table44[[#This Row],[Applicable Package?]:[Applicable Package?]]="Y",SUM('Rolled Up Non-Incremental Costs'!J26,'ICE Removal Cost'!J26,'Trans Removal Cost'!J26,'LEV3 Criteria Emissions Cost'!J26,'ZEV Assembly Reductions'!J26,'ACCII Criteria Compliance Cost'!J26,'ACCII GHG Compliance'!J26,'Current GHG Compliance'!J26)+IF(Table44[[#This Row],[Cold]:[Cold]]="Y",'Cold Weather Package'!J26,0)+IF(Table44[[#This Row],[eAWD]:[eAWD]]="Y",'eAWD Package'!J26,0)+IF(Table44[[#This Row],[Towing]:[Towing]]="Y",'Towing Bat Cost'!J26,0),"N/A")</f>
        <v>N/A</v>
      </c>
      <c r="O235" s="157" t="str">
        <f>IF(Table44[[#This Row],[Applicable Package?]:[Applicable Package?]]="Y",SUM('Rolled Up Non-Incremental Costs'!K26,'ICE Removal Cost'!K26,'Trans Removal Cost'!K26,'LEV3 Criteria Emissions Cost'!K26,'ZEV Assembly Reductions'!K26,'ACCII Criteria Compliance Cost'!K26,'ACCII GHG Compliance'!K26,'Current GHG Compliance'!K26)+IF(Table44[[#This Row],[Cold]:[Cold]]="Y",'Cold Weather Package'!K26,0)+IF(Table44[[#This Row],[eAWD]:[eAWD]]="Y",'eAWD Package'!K26,0)+IF(Table44[[#This Row],[Towing]:[Towing]]="Y",'Towing Bat Cost'!K26,0),"N/A")</f>
        <v>N/A</v>
      </c>
      <c r="P235" s="157" t="str">
        <f>IF(Table44[[#This Row],[Applicable Package?]:[Applicable Package?]]="Y",SUM('Rolled Up Non-Incremental Costs'!L26,'ICE Removal Cost'!L26,'Trans Removal Cost'!L26,'LEV3 Criteria Emissions Cost'!L26,'ZEV Assembly Reductions'!L26,'ACCII Criteria Compliance Cost'!L26,'ACCII GHG Compliance'!L26,'Current GHG Compliance'!L26)+IF(Table44[[#This Row],[Cold]:[Cold]]="Y",'Cold Weather Package'!L26,0)+IF(Table44[[#This Row],[eAWD]:[eAWD]]="Y",'eAWD Package'!L26,0)+IF(Table44[[#This Row],[Towing]:[Towing]]="Y",'Towing Bat Cost'!L26,0),"N/A")</f>
        <v>N/A</v>
      </c>
      <c r="Q235" s="157" t="str">
        <f>IF(Table44[[#This Row],[Applicable Package?]:[Applicable Package?]]="Y",SUM('Rolled Up Non-Incremental Costs'!M26,'ICE Removal Cost'!M26,'Trans Removal Cost'!M26,'LEV3 Criteria Emissions Cost'!M26,'ZEV Assembly Reductions'!M26,'ACCII Criteria Compliance Cost'!M26,'ACCII GHG Compliance'!M26,'Current GHG Compliance'!M26)+IF(Table44[[#This Row],[Cold]:[Cold]]="Y",'Cold Weather Package'!M26,0)+IF(Table44[[#This Row],[eAWD]:[eAWD]]="Y",'eAWD Package'!M26,0)+IF(Table44[[#This Row],[Towing]:[Towing]]="Y",'Towing Bat Cost'!M26,0),"N/A")</f>
        <v>N/A</v>
      </c>
      <c r="R235" s="157" t="str">
        <f>IF(Table44[[#This Row],[Applicable Package?]:[Applicable Package?]]="Y",SUM('Rolled Up Non-Incremental Costs'!N26,'ICE Removal Cost'!N26,'Trans Removal Cost'!N26,'LEV3 Criteria Emissions Cost'!N26,'ZEV Assembly Reductions'!N26,'ACCII Criteria Compliance Cost'!N26,'ACCII GHG Compliance'!N26,'Current GHG Compliance'!N26)+IF(Table44[[#This Row],[Cold]:[Cold]]="Y",'Cold Weather Package'!N26,0)+IF(Table44[[#This Row],[eAWD]:[eAWD]]="Y",'eAWD Package'!N26,0)+IF(Table44[[#This Row],[Towing]:[Towing]]="Y",'Towing Bat Cost'!N26,0),"N/A")</f>
        <v>N/A</v>
      </c>
      <c r="S235" s="157" t="str">
        <f>IF(Table44[[#This Row],[Applicable Package?]:[Applicable Package?]]="Y",SUM('Rolled Up Non-Incremental Costs'!O26,'ICE Removal Cost'!O26,'Trans Removal Cost'!O26,'LEV3 Criteria Emissions Cost'!O26,'ZEV Assembly Reductions'!O26,'ACCII Criteria Compliance Cost'!O26,'ACCII GHG Compliance'!O26,'Current GHG Compliance'!O26)+IF(Table44[[#This Row],[Cold]:[Cold]]="Y",'Cold Weather Package'!O26,0)+IF(Table44[[#This Row],[eAWD]:[eAWD]]="Y",'eAWD Package'!O26,0)+IF(Table44[[#This Row],[Towing]:[Towing]]="Y",'Towing Bat Cost'!O26,0),"N/A")</f>
        <v>N/A</v>
      </c>
    </row>
    <row r="236" spans="2:19" hidden="1" x14ac:dyDescent="0.3">
      <c r="B236" s="90" t="s">
        <v>82</v>
      </c>
      <c r="C236" s="68" t="s">
        <v>75</v>
      </c>
      <c r="D236" s="68" t="str">
        <f>'Vehicle Attributes - Base Year'!D24</f>
        <v>FCEV320</v>
      </c>
      <c r="E236" s="124" t="s">
        <v>76</v>
      </c>
      <c r="F236" s="124" t="s">
        <v>76</v>
      </c>
      <c r="G236" s="125" t="s">
        <v>76</v>
      </c>
      <c r="H236" s="156" t="s">
        <v>77</v>
      </c>
      <c r="I236" s="157" t="str">
        <f>IF(Table44[[#This Row],[Applicable Package?]:[Applicable Package?]]="Y",SUM('Rolled Up Non-Incremental Costs'!E27,'ICE Removal Cost'!E27,'Trans Removal Cost'!E27,'LEV3 Criteria Emissions Cost'!E27,'ZEV Assembly Reductions'!E27,'ACCII Criteria Compliance Cost'!E27,'ACCII GHG Compliance'!E27,'Current GHG Compliance'!E27)+IF(Table44[[#This Row],[Cold]:[Cold]]="Y",'Cold Weather Package'!E27,0)+IF(Table44[[#This Row],[eAWD]:[eAWD]]="Y",'eAWD Package'!E27,0)+IF(Table44[[#This Row],[Towing]:[Towing]]="Y",'Towing Bat Cost'!E27,0),"N/A")</f>
        <v>N/A</v>
      </c>
      <c r="J236" s="157" t="str">
        <f>IF(Table44[[#This Row],[Applicable Package?]:[Applicable Package?]]="Y",SUM('Rolled Up Non-Incremental Costs'!F27,'ICE Removal Cost'!F27,'Trans Removal Cost'!F27,'LEV3 Criteria Emissions Cost'!F27,'ZEV Assembly Reductions'!F27,'ACCII Criteria Compliance Cost'!F27,'ACCII GHG Compliance'!F27,'Current GHG Compliance'!F27)+IF(Table44[[#This Row],[Cold]:[Cold]]="Y",'Cold Weather Package'!F27,0)+IF(Table44[[#This Row],[eAWD]:[eAWD]]="Y",'eAWD Package'!F27,0)+IF(Table44[[#This Row],[Towing]:[Towing]]="Y",'Towing Bat Cost'!F27,0),"N/A")</f>
        <v>N/A</v>
      </c>
      <c r="K236" s="157" t="str">
        <f>IF(Table44[[#This Row],[Applicable Package?]:[Applicable Package?]]="Y",SUM('Rolled Up Non-Incremental Costs'!G27,'ICE Removal Cost'!G27,'Trans Removal Cost'!G27,'LEV3 Criteria Emissions Cost'!G27,'ZEV Assembly Reductions'!G27,'ACCII Criteria Compliance Cost'!G27,'ACCII GHG Compliance'!G27,'Current GHG Compliance'!G27)+IF(Table44[[#This Row],[Cold]:[Cold]]="Y",'Cold Weather Package'!G27,0)+IF(Table44[[#This Row],[eAWD]:[eAWD]]="Y",'eAWD Package'!G27,0)+IF(Table44[[#This Row],[Towing]:[Towing]]="Y",'Towing Bat Cost'!G27,0),"N/A")</f>
        <v>N/A</v>
      </c>
      <c r="L236" s="157" t="str">
        <f>IF(Table44[[#This Row],[Applicable Package?]:[Applicable Package?]]="Y",SUM('Rolled Up Non-Incremental Costs'!H27,'ICE Removal Cost'!H27,'Trans Removal Cost'!H27,'LEV3 Criteria Emissions Cost'!H27,'ZEV Assembly Reductions'!H27,'ACCII Criteria Compliance Cost'!H27,'ACCII GHG Compliance'!H27,'Current GHG Compliance'!H27)+IF(Table44[[#This Row],[Cold]:[Cold]]="Y",'Cold Weather Package'!H27,0)+IF(Table44[[#This Row],[eAWD]:[eAWD]]="Y",'eAWD Package'!H27,0)+IF(Table44[[#This Row],[Towing]:[Towing]]="Y",'Towing Bat Cost'!H27,0),"N/A")</f>
        <v>N/A</v>
      </c>
      <c r="M236" s="157" t="str">
        <f>IF(Table44[[#This Row],[Applicable Package?]:[Applicable Package?]]="Y",SUM('Rolled Up Non-Incremental Costs'!I27,'ICE Removal Cost'!I27,'Trans Removal Cost'!I27,'LEV3 Criteria Emissions Cost'!I27,'ZEV Assembly Reductions'!I27,'ACCII Criteria Compliance Cost'!I27,'ACCII GHG Compliance'!I27,'Current GHG Compliance'!I27)+IF(Table44[[#This Row],[Cold]:[Cold]]="Y",'Cold Weather Package'!I27,0)+IF(Table44[[#This Row],[eAWD]:[eAWD]]="Y",'eAWD Package'!I27,0)+IF(Table44[[#This Row],[Towing]:[Towing]]="Y",'Towing Bat Cost'!I27,0),"N/A")</f>
        <v>N/A</v>
      </c>
      <c r="N236" s="157" t="str">
        <f>IF(Table44[[#This Row],[Applicable Package?]:[Applicable Package?]]="Y",SUM('Rolled Up Non-Incremental Costs'!J27,'ICE Removal Cost'!J27,'Trans Removal Cost'!J27,'LEV3 Criteria Emissions Cost'!J27,'ZEV Assembly Reductions'!J27,'ACCII Criteria Compliance Cost'!J27,'ACCII GHG Compliance'!J27,'Current GHG Compliance'!J27)+IF(Table44[[#This Row],[Cold]:[Cold]]="Y",'Cold Weather Package'!J27,0)+IF(Table44[[#This Row],[eAWD]:[eAWD]]="Y",'eAWD Package'!J27,0)+IF(Table44[[#This Row],[Towing]:[Towing]]="Y",'Towing Bat Cost'!J27,0),"N/A")</f>
        <v>N/A</v>
      </c>
      <c r="O236" s="157" t="str">
        <f>IF(Table44[[#This Row],[Applicable Package?]:[Applicable Package?]]="Y",SUM('Rolled Up Non-Incremental Costs'!K27,'ICE Removal Cost'!K27,'Trans Removal Cost'!K27,'LEV3 Criteria Emissions Cost'!K27,'ZEV Assembly Reductions'!K27,'ACCII Criteria Compliance Cost'!K27,'ACCII GHG Compliance'!K27,'Current GHG Compliance'!K27)+IF(Table44[[#This Row],[Cold]:[Cold]]="Y",'Cold Weather Package'!K27,0)+IF(Table44[[#This Row],[eAWD]:[eAWD]]="Y",'eAWD Package'!K27,0)+IF(Table44[[#This Row],[Towing]:[Towing]]="Y",'Towing Bat Cost'!K27,0),"N/A")</f>
        <v>N/A</v>
      </c>
      <c r="P236" s="157" t="str">
        <f>IF(Table44[[#This Row],[Applicable Package?]:[Applicable Package?]]="Y",SUM('Rolled Up Non-Incremental Costs'!L27,'ICE Removal Cost'!L27,'Trans Removal Cost'!L27,'LEV3 Criteria Emissions Cost'!L27,'ZEV Assembly Reductions'!L27,'ACCII Criteria Compliance Cost'!L27,'ACCII GHG Compliance'!L27,'Current GHG Compliance'!L27)+IF(Table44[[#This Row],[Cold]:[Cold]]="Y",'Cold Weather Package'!L27,0)+IF(Table44[[#This Row],[eAWD]:[eAWD]]="Y",'eAWD Package'!L27,0)+IF(Table44[[#This Row],[Towing]:[Towing]]="Y",'Towing Bat Cost'!L27,0),"N/A")</f>
        <v>N/A</v>
      </c>
      <c r="Q236" s="157" t="str">
        <f>IF(Table44[[#This Row],[Applicable Package?]:[Applicable Package?]]="Y",SUM('Rolled Up Non-Incremental Costs'!M27,'ICE Removal Cost'!M27,'Trans Removal Cost'!M27,'LEV3 Criteria Emissions Cost'!M27,'ZEV Assembly Reductions'!M27,'ACCII Criteria Compliance Cost'!M27,'ACCII GHG Compliance'!M27,'Current GHG Compliance'!M27)+IF(Table44[[#This Row],[Cold]:[Cold]]="Y",'Cold Weather Package'!M27,0)+IF(Table44[[#This Row],[eAWD]:[eAWD]]="Y",'eAWD Package'!M27,0)+IF(Table44[[#This Row],[Towing]:[Towing]]="Y",'Towing Bat Cost'!M27,0),"N/A")</f>
        <v>N/A</v>
      </c>
      <c r="R236" s="157" t="str">
        <f>IF(Table44[[#This Row],[Applicable Package?]:[Applicable Package?]]="Y",SUM('Rolled Up Non-Incremental Costs'!N27,'ICE Removal Cost'!N27,'Trans Removal Cost'!N27,'LEV3 Criteria Emissions Cost'!N27,'ZEV Assembly Reductions'!N27,'ACCII Criteria Compliance Cost'!N27,'ACCII GHG Compliance'!N27,'Current GHG Compliance'!N27)+IF(Table44[[#This Row],[Cold]:[Cold]]="Y",'Cold Weather Package'!N27,0)+IF(Table44[[#This Row],[eAWD]:[eAWD]]="Y",'eAWD Package'!N27,0)+IF(Table44[[#This Row],[Towing]:[Towing]]="Y",'Towing Bat Cost'!N27,0),"N/A")</f>
        <v>N/A</v>
      </c>
      <c r="S236" s="157" t="str">
        <f>IF(Table44[[#This Row],[Applicable Package?]:[Applicable Package?]]="Y",SUM('Rolled Up Non-Incremental Costs'!O27,'ICE Removal Cost'!O27,'Trans Removal Cost'!O27,'LEV3 Criteria Emissions Cost'!O27,'ZEV Assembly Reductions'!O27,'ACCII Criteria Compliance Cost'!O27,'ACCII GHG Compliance'!O27,'Current GHG Compliance'!O27)+IF(Table44[[#This Row],[Cold]:[Cold]]="Y",'Cold Weather Package'!O27,0)+IF(Table44[[#This Row],[eAWD]:[eAWD]]="Y",'eAWD Package'!O27,0)+IF(Table44[[#This Row],[Towing]:[Towing]]="Y",'Towing Bat Cost'!O27,0),"N/A")</f>
        <v>N/A</v>
      </c>
    </row>
    <row r="237" spans="2:19" hidden="1" x14ac:dyDescent="0.3">
      <c r="B237" s="90" t="s">
        <v>82</v>
      </c>
      <c r="C237" s="68" t="s">
        <v>80</v>
      </c>
      <c r="D237" s="68" t="str">
        <f>'Vehicle Attributes - Base Year'!D25</f>
        <v>FCEV320</v>
      </c>
      <c r="E237" s="124" t="s">
        <v>76</v>
      </c>
      <c r="F237" s="124" t="s">
        <v>76</v>
      </c>
      <c r="G237" s="125" t="s">
        <v>76</v>
      </c>
      <c r="H237" s="156" t="s">
        <v>77</v>
      </c>
      <c r="I237" s="157" t="str">
        <f>IF(Table44[[#This Row],[Applicable Package?]:[Applicable Package?]]="Y",SUM('Rolled Up Non-Incremental Costs'!E28,'ICE Removal Cost'!E28,'Trans Removal Cost'!E28,'LEV3 Criteria Emissions Cost'!E28,'ZEV Assembly Reductions'!E28,'ACCII Criteria Compliance Cost'!E28,'ACCII GHG Compliance'!E28,'Current GHG Compliance'!E28)+IF(Table44[[#This Row],[Cold]:[Cold]]="Y",'Cold Weather Package'!E28,0)+IF(Table44[[#This Row],[eAWD]:[eAWD]]="Y",'eAWD Package'!E28,0)+IF(Table44[[#This Row],[Towing]:[Towing]]="Y",'Towing Bat Cost'!E28,0),"N/A")</f>
        <v>N/A</v>
      </c>
      <c r="J237" s="157" t="str">
        <f>IF(Table44[[#This Row],[Applicable Package?]:[Applicable Package?]]="Y",SUM('Rolled Up Non-Incremental Costs'!F28,'ICE Removal Cost'!F28,'Trans Removal Cost'!F28,'LEV3 Criteria Emissions Cost'!F28,'ZEV Assembly Reductions'!F28,'ACCII Criteria Compliance Cost'!F28,'ACCII GHG Compliance'!F28,'Current GHG Compliance'!F28)+IF(Table44[[#This Row],[Cold]:[Cold]]="Y",'Cold Weather Package'!F28,0)+IF(Table44[[#This Row],[eAWD]:[eAWD]]="Y",'eAWD Package'!F28,0)+IF(Table44[[#This Row],[Towing]:[Towing]]="Y",'Towing Bat Cost'!F28,0),"N/A")</f>
        <v>N/A</v>
      </c>
      <c r="K237" s="157" t="str">
        <f>IF(Table44[[#This Row],[Applicable Package?]:[Applicable Package?]]="Y",SUM('Rolled Up Non-Incremental Costs'!G28,'ICE Removal Cost'!G28,'Trans Removal Cost'!G28,'LEV3 Criteria Emissions Cost'!G28,'ZEV Assembly Reductions'!G28,'ACCII Criteria Compliance Cost'!G28,'ACCII GHG Compliance'!G28,'Current GHG Compliance'!G28)+IF(Table44[[#This Row],[Cold]:[Cold]]="Y",'Cold Weather Package'!G28,0)+IF(Table44[[#This Row],[eAWD]:[eAWD]]="Y",'eAWD Package'!G28,0)+IF(Table44[[#This Row],[Towing]:[Towing]]="Y",'Towing Bat Cost'!G28,0),"N/A")</f>
        <v>N/A</v>
      </c>
      <c r="L237" s="157" t="str">
        <f>IF(Table44[[#This Row],[Applicable Package?]:[Applicable Package?]]="Y",SUM('Rolled Up Non-Incremental Costs'!H28,'ICE Removal Cost'!H28,'Trans Removal Cost'!H28,'LEV3 Criteria Emissions Cost'!H28,'ZEV Assembly Reductions'!H28,'ACCII Criteria Compliance Cost'!H28,'ACCII GHG Compliance'!H28,'Current GHG Compliance'!H28)+IF(Table44[[#This Row],[Cold]:[Cold]]="Y",'Cold Weather Package'!H28,0)+IF(Table44[[#This Row],[eAWD]:[eAWD]]="Y",'eAWD Package'!H28,0)+IF(Table44[[#This Row],[Towing]:[Towing]]="Y",'Towing Bat Cost'!H28,0),"N/A")</f>
        <v>N/A</v>
      </c>
      <c r="M237" s="157" t="str">
        <f>IF(Table44[[#This Row],[Applicable Package?]:[Applicable Package?]]="Y",SUM('Rolled Up Non-Incremental Costs'!I28,'ICE Removal Cost'!I28,'Trans Removal Cost'!I28,'LEV3 Criteria Emissions Cost'!I28,'ZEV Assembly Reductions'!I28,'ACCII Criteria Compliance Cost'!I28,'ACCII GHG Compliance'!I28,'Current GHG Compliance'!I28)+IF(Table44[[#This Row],[Cold]:[Cold]]="Y",'Cold Weather Package'!I28,0)+IF(Table44[[#This Row],[eAWD]:[eAWD]]="Y",'eAWD Package'!I28,0)+IF(Table44[[#This Row],[Towing]:[Towing]]="Y",'Towing Bat Cost'!I28,0),"N/A")</f>
        <v>N/A</v>
      </c>
      <c r="N237" s="157" t="str">
        <f>IF(Table44[[#This Row],[Applicable Package?]:[Applicable Package?]]="Y",SUM('Rolled Up Non-Incremental Costs'!J28,'ICE Removal Cost'!J28,'Trans Removal Cost'!J28,'LEV3 Criteria Emissions Cost'!J28,'ZEV Assembly Reductions'!J28,'ACCII Criteria Compliance Cost'!J28,'ACCII GHG Compliance'!J28,'Current GHG Compliance'!J28)+IF(Table44[[#This Row],[Cold]:[Cold]]="Y",'Cold Weather Package'!J28,0)+IF(Table44[[#This Row],[eAWD]:[eAWD]]="Y",'eAWD Package'!J28,0)+IF(Table44[[#This Row],[Towing]:[Towing]]="Y",'Towing Bat Cost'!J28,0),"N/A")</f>
        <v>N/A</v>
      </c>
      <c r="O237" s="157" t="str">
        <f>IF(Table44[[#This Row],[Applicable Package?]:[Applicable Package?]]="Y",SUM('Rolled Up Non-Incremental Costs'!K28,'ICE Removal Cost'!K28,'Trans Removal Cost'!K28,'LEV3 Criteria Emissions Cost'!K28,'ZEV Assembly Reductions'!K28,'ACCII Criteria Compliance Cost'!K28,'ACCII GHG Compliance'!K28,'Current GHG Compliance'!K28)+IF(Table44[[#This Row],[Cold]:[Cold]]="Y",'Cold Weather Package'!K28,0)+IF(Table44[[#This Row],[eAWD]:[eAWD]]="Y",'eAWD Package'!K28,0)+IF(Table44[[#This Row],[Towing]:[Towing]]="Y",'Towing Bat Cost'!K28,0),"N/A")</f>
        <v>N/A</v>
      </c>
      <c r="P237" s="157" t="str">
        <f>IF(Table44[[#This Row],[Applicable Package?]:[Applicable Package?]]="Y",SUM('Rolled Up Non-Incremental Costs'!L28,'ICE Removal Cost'!L28,'Trans Removal Cost'!L28,'LEV3 Criteria Emissions Cost'!L28,'ZEV Assembly Reductions'!L28,'ACCII Criteria Compliance Cost'!L28,'ACCII GHG Compliance'!L28,'Current GHG Compliance'!L28)+IF(Table44[[#This Row],[Cold]:[Cold]]="Y",'Cold Weather Package'!L28,0)+IF(Table44[[#This Row],[eAWD]:[eAWD]]="Y",'eAWD Package'!L28,0)+IF(Table44[[#This Row],[Towing]:[Towing]]="Y",'Towing Bat Cost'!L28,0),"N/A")</f>
        <v>N/A</v>
      </c>
      <c r="Q237" s="157" t="str">
        <f>IF(Table44[[#This Row],[Applicable Package?]:[Applicable Package?]]="Y",SUM('Rolled Up Non-Incremental Costs'!M28,'ICE Removal Cost'!M28,'Trans Removal Cost'!M28,'LEV3 Criteria Emissions Cost'!M28,'ZEV Assembly Reductions'!M28,'ACCII Criteria Compliance Cost'!M28,'ACCII GHG Compliance'!M28,'Current GHG Compliance'!M28)+IF(Table44[[#This Row],[Cold]:[Cold]]="Y",'Cold Weather Package'!M28,0)+IF(Table44[[#This Row],[eAWD]:[eAWD]]="Y",'eAWD Package'!M28,0)+IF(Table44[[#This Row],[Towing]:[Towing]]="Y",'Towing Bat Cost'!M28,0),"N/A")</f>
        <v>N/A</v>
      </c>
      <c r="R237" s="157" t="str">
        <f>IF(Table44[[#This Row],[Applicable Package?]:[Applicable Package?]]="Y",SUM('Rolled Up Non-Incremental Costs'!N28,'ICE Removal Cost'!N28,'Trans Removal Cost'!N28,'LEV3 Criteria Emissions Cost'!N28,'ZEV Assembly Reductions'!N28,'ACCII Criteria Compliance Cost'!N28,'ACCII GHG Compliance'!N28,'Current GHG Compliance'!N28)+IF(Table44[[#This Row],[Cold]:[Cold]]="Y",'Cold Weather Package'!N28,0)+IF(Table44[[#This Row],[eAWD]:[eAWD]]="Y",'eAWD Package'!N28,0)+IF(Table44[[#This Row],[Towing]:[Towing]]="Y",'Towing Bat Cost'!N28,0),"N/A")</f>
        <v>N/A</v>
      </c>
      <c r="S237" s="157" t="str">
        <f>IF(Table44[[#This Row],[Applicable Package?]:[Applicable Package?]]="Y",SUM('Rolled Up Non-Incremental Costs'!O28,'ICE Removal Cost'!O28,'Trans Removal Cost'!O28,'LEV3 Criteria Emissions Cost'!O28,'ZEV Assembly Reductions'!O28,'ACCII Criteria Compliance Cost'!O28,'ACCII GHG Compliance'!O28,'Current GHG Compliance'!O28)+IF(Table44[[#This Row],[Cold]:[Cold]]="Y",'Cold Weather Package'!O28,0)+IF(Table44[[#This Row],[eAWD]:[eAWD]]="Y",'eAWD Package'!O28,0)+IF(Table44[[#This Row],[Towing]:[Towing]]="Y",'Towing Bat Cost'!O28,0),"N/A")</f>
        <v>N/A</v>
      </c>
    </row>
    <row r="238" spans="2:19" hidden="1" x14ac:dyDescent="0.3">
      <c r="B238" s="90" t="s">
        <v>83</v>
      </c>
      <c r="C238" s="68" t="s">
        <v>75</v>
      </c>
      <c r="D238" s="68" t="str">
        <f>'Vehicle Attributes - Base Year'!D26</f>
        <v>FCEV320</v>
      </c>
      <c r="E238" s="124" t="s">
        <v>76</v>
      </c>
      <c r="F238" s="124" t="s">
        <v>76</v>
      </c>
      <c r="G238" s="125" t="s">
        <v>76</v>
      </c>
      <c r="H238" s="156" t="s">
        <v>77</v>
      </c>
      <c r="I238" s="157" t="str">
        <f>IF(Table44[[#This Row],[Applicable Package?]:[Applicable Package?]]="Y",SUM('Rolled Up Non-Incremental Costs'!E29,'ICE Removal Cost'!E29,'Trans Removal Cost'!E29,'LEV3 Criteria Emissions Cost'!E29,'ZEV Assembly Reductions'!E29,'ACCII Criteria Compliance Cost'!E29,'ACCII GHG Compliance'!E29,'Current GHG Compliance'!E29)+IF(Table44[[#This Row],[Cold]:[Cold]]="Y",'Cold Weather Package'!E29,0)+IF(Table44[[#This Row],[eAWD]:[eAWD]]="Y",'eAWD Package'!E29,0)+IF(Table44[[#This Row],[Towing]:[Towing]]="Y",'Towing Bat Cost'!E29,0),"N/A")</f>
        <v>N/A</v>
      </c>
      <c r="J238" s="157" t="str">
        <f>IF(Table44[[#This Row],[Applicable Package?]:[Applicable Package?]]="Y",SUM('Rolled Up Non-Incremental Costs'!F29,'ICE Removal Cost'!F29,'Trans Removal Cost'!F29,'LEV3 Criteria Emissions Cost'!F29,'ZEV Assembly Reductions'!F29,'ACCII Criteria Compliance Cost'!F29,'ACCII GHG Compliance'!F29,'Current GHG Compliance'!F29)+IF(Table44[[#This Row],[Cold]:[Cold]]="Y",'Cold Weather Package'!F29,0)+IF(Table44[[#This Row],[eAWD]:[eAWD]]="Y",'eAWD Package'!F29,0)+IF(Table44[[#This Row],[Towing]:[Towing]]="Y",'Towing Bat Cost'!F29,0),"N/A")</f>
        <v>N/A</v>
      </c>
      <c r="K238" s="157" t="str">
        <f>IF(Table44[[#This Row],[Applicable Package?]:[Applicable Package?]]="Y",SUM('Rolled Up Non-Incremental Costs'!G29,'ICE Removal Cost'!G29,'Trans Removal Cost'!G29,'LEV3 Criteria Emissions Cost'!G29,'ZEV Assembly Reductions'!G29,'ACCII Criteria Compliance Cost'!G29,'ACCII GHG Compliance'!G29,'Current GHG Compliance'!G29)+IF(Table44[[#This Row],[Cold]:[Cold]]="Y",'Cold Weather Package'!G29,0)+IF(Table44[[#This Row],[eAWD]:[eAWD]]="Y",'eAWD Package'!G29,0)+IF(Table44[[#This Row],[Towing]:[Towing]]="Y",'Towing Bat Cost'!G29,0),"N/A")</f>
        <v>N/A</v>
      </c>
      <c r="L238" s="157" t="str">
        <f>IF(Table44[[#This Row],[Applicable Package?]:[Applicable Package?]]="Y",SUM('Rolled Up Non-Incremental Costs'!H29,'ICE Removal Cost'!H29,'Trans Removal Cost'!H29,'LEV3 Criteria Emissions Cost'!H29,'ZEV Assembly Reductions'!H29,'ACCII Criteria Compliance Cost'!H29,'ACCII GHG Compliance'!H29,'Current GHG Compliance'!H29)+IF(Table44[[#This Row],[Cold]:[Cold]]="Y",'Cold Weather Package'!H29,0)+IF(Table44[[#This Row],[eAWD]:[eAWD]]="Y",'eAWD Package'!H29,0)+IF(Table44[[#This Row],[Towing]:[Towing]]="Y",'Towing Bat Cost'!H29,0),"N/A")</f>
        <v>N/A</v>
      </c>
      <c r="M238" s="157" t="str">
        <f>IF(Table44[[#This Row],[Applicable Package?]:[Applicable Package?]]="Y",SUM('Rolled Up Non-Incremental Costs'!I29,'ICE Removal Cost'!I29,'Trans Removal Cost'!I29,'LEV3 Criteria Emissions Cost'!I29,'ZEV Assembly Reductions'!I29,'ACCII Criteria Compliance Cost'!I29,'ACCII GHG Compliance'!I29,'Current GHG Compliance'!I29)+IF(Table44[[#This Row],[Cold]:[Cold]]="Y",'Cold Weather Package'!I29,0)+IF(Table44[[#This Row],[eAWD]:[eAWD]]="Y",'eAWD Package'!I29,0)+IF(Table44[[#This Row],[Towing]:[Towing]]="Y",'Towing Bat Cost'!I29,0),"N/A")</f>
        <v>N/A</v>
      </c>
      <c r="N238" s="157" t="str">
        <f>IF(Table44[[#This Row],[Applicable Package?]:[Applicable Package?]]="Y",SUM('Rolled Up Non-Incremental Costs'!J29,'ICE Removal Cost'!J29,'Trans Removal Cost'!J29,'LEV3 Criteria Emissions Cost'!J29,'ZEV Assembly Reductions'!J29,'ACCII Criteria Compliance Cost'!J29,'ACCII GHG Compliance'!J29,'Current GHG Compliance'!J29)+IF(Table44[[#This Row],[Cold]:[Cold]]="Y",'Cold Weather Package'!J29,0)+IF(Table44[[#This Row],[eAWD]:[eAWD]]="Y",'eAWD Package'!J29,0)+IF(Table44[[#This Row],[Towing]:[Towing]]="Y",'Towing Bat Cost'!J29,0),"N/A")</f>
        <v>N/A</v>
      </c>
      <c r="O238" s="157" t="str">
        <f>IF(Table44[[#This Row],[Applicable Package?]:[Applicable Package?]]="Y",SUM('Rolled Up Non-Incremental Costs'!K29,'ICE Removal Cost'!K29,'Trans Removal Cost'!K29,'LEV3 Criteria Emissions Cost'!K29,'ZEV Assembly Reductions'!K29,'ACCII Criteria Compliance Cost'!K29,'ACCII GHG Compliance'!K29,'Current GHG Compliance'!K29)+IF(Table44[[#This Row],[Cold]:[Cold]]="Y",'Cold Weather Package'!K29,0)+IF(Table44[[#This Row],[eAWD]:[eAWD]]="Y",'eAWD Package'!K29,0)+IF(Table44[[#This Row],[Towing]:[Towing]]="Y",'Towing Bat Cost'!K29,0),"N/A")</f>
        <v>N/A</v>
      </c>
      <c r="P238" s="157" t="str">
        <f>IF(Table44[[#This Row],[Applicable Package?]:[Applicable Package?]]="Y",SUM('Rolled Up Non-Incremental Costs'!L29,'ICE Removal Cost'!L29,'Trans Removal Cost'!L29,'LEV3 Criteria Emissions Cost'!L29,'ZEV Assembly Reductions'!L29,'ACCII Criteria Compliance Cost'!L29,'ACCII GHG Compliance'!L29,'Current GHG Compliance'!L29)+IF(Table44[[#This Row],[Cold]:[Cold]]="Y",'Cold Weather Package'!L29,0)+IF(Table44[[#This Row],[eAWD]:[eAWD]]="Y",'eAWD Package'!L29,0)+IF(Table44[[#This Row],[Towing]:[Towing]]="Y",'Towing Bat Cost'!L29,0),"N/A")</f>
        <v>N/A</v>
      </c>
      <c r="Q238" s="157" t="str">
        <f>IF(Table44[[#This Row],[Applicable Package?]:[Applicable Package?]]="Y",SUM('Rolled Up Non-Incremental Costs'!M29,'ICE Removal Cost'!M29,'Trans Removal Cost'!M29,'LEV3 Criteria Emissions Cost'!M29,'ZEV Assembly Reductions'!M29,'ACCII Criteria Compliance Cost'!M29,'ACCII GHG Compliance'!M29,'Current GHG Compliance'!M29)+IF(Table44[[#This Row],[Cold]:[Cold]]="Y",'Cold Weather Package'!M29,0)+IF(Table44[[#This Row],[eAWD]:[eAWD]]="Y",'eAWD Package'!M29,0)+IF(Table44[[#This Row],[Towing]:[Towing]]="Y",'Towing Bat Cost'!M29,0),"N/A")</f>
        <v>N/A</v>
      </c>
      <c r="R238" s="157" t="str">
        <f>IF(Table44[[#This Row],[Applicable Package?]:[Applicable Package?]]="Y",SUM('Rolled Up Non-Incremental Costs'!N29,'ICE Removal Cost'!N29,'Trans Removal Cost'!N29,'LEV3 Criteria Emissions Cost'!N29,'ZEV Assembly Reductions'!N29,'ACCII Criteria Compliance Cost'!N29,'ACCII GHG Compliance'!N29,'Current GHG Compliance'!N29)+IF(Table44[[#This Row],[Cold]:[Cold]]="Y",'Cold Weather Package'!N29,0)+IF(Table44[[#This Row],[eAWD]:[eAWD]]="Y",'eAWD Package'!N29,0)+IF(Table44[[#This Row],[Towing]:[Towing]]="Y",'Towing Bat Cost'!N29,0),"N/A")</f>
        <v>N/A</v>
      </c>
      <c r="S238" s="157" t="str">
        <f>IF(Table44[[#This Row],[Applicable Package?]:[Applicable Package?]]="Y",SUM('Rolled Up Non-Incremental Costs'!O29,'ICE Removal Cost'!O29,'Trans Removal Cost'!O29,'LEV3 Criteria Emissions Cost'!O29,'ZEV Assembly Reductions'!O29,'ACCII Criteria Compliance Cost'!O29,'ACCII GHG Compliance'!O29,'Current GHG Compliance'!O29)+IF(Table44[[#This Row],[Cold]:[Cold]]="Y",'Cold Weather Package'!O29,0)+IF(Table44[[#This Row],[eAWD]:[eAWD]]="Y",'eAWD Package'!O29,0)+IF(Table44[[#This Row],[Towing]:[Towing]]="Y",'Towing Bat Cost'!O29,0),"N/A")</f>
        <v>N/A</v>
      </c>
    </row>
    <row r="239" spans="2:19" hidden="1" x14ac:dyDescent="0.3">
      <c r="B239" s="90" t="s">
        <v>83</v>
      </c>
      <c r="C239" s="68" t="s">
        <v>80</v>
      </c>
      <c r="D239" s="68" t="str">
        <f>'Vehicle Attributes - Base Year'!D27</f>
        <v>FCEV320</v>
      </c>
      <c r="E239" s="124" t="s">
        <v>76</v>
      </c>
      <c r="F239" s="124" t="s">
        <v>76</v>
      </c>
      <c r="G239" s="125" t="s">
        <v>76</v>
      </c>
      <c r="H239" s="156" t="s">
        <v>77</v>
      </c>
      <c r="I239" s="157" t="str">
        <f>IF(Table44[[#This Row],[Applicable Package?]:[Applicable Package?]]="Y",SUM('Rolled Up Non-Incremental Costs'!E30,'ICE Removal Cost'!E30,'Trans Removal Cost'!E30,'LEV3 Criteria Emissions Cost'!E30,'ZEV Assembly Reductions'!E30,'ACCII Criteria Compliance Cost'!E30,'ACCII GHG Compliance'!E30,'Current GHG Compliance'!E30)+IF(Table44[[#This Row],[Cold]:[Cold]]="Y",'Cold Weather Package'!E30,0)+IF(Table44[[#This Row],[eAWD]:[eAWD]]="Y",'eAWD Package'!E30,0)+IF(Table44[[#This Row],[Towing]:[Towing]]="Y",'Towing Bat Cost'!E30,0),"N/A")</f>
        <v>N/A</v>
      </c>
      <c r="J239" s="157" t="str">
        <f>IF(Table44[[#This Row],[Applicable Package?]:[Applicable Package?]]="Y",SUM('Rolled Up Non-Incremental Costs'!F30,'ICE Removal Cost'!F30,'Trans Removal Cost'!F30,'LEV3 Criteria Emissions Cost'!F30,'ZEV Assembly Reductions'!F30,'ACCII Criteria Compliance Cost'!F30,'ACCII GHG Compliance'!F30,'Current GHG Compliance'!F30)+IF(Table44[[#This Row],[Cold]:[Cold]]="Y",'Cold Weather Package'!F30,0)+IF(Table44[[#This Row],[eAWD]:[eAWD]]="Y",'eAWD Package'!F30,0)+IF(Table44[[#This Row],[Towing]:[Towing]]="Y",'Towing Bat Cost'!F30,0),"N/A")</f>
        <v>N/A</v>
      </c>
      <c r="K239" s="157" t="str">
        <f>IF(Table44[[#This Row],[Applicable Package?]:[Applicable Package?]]="Y",SUM('Rolled Up Non-Incremental Costs'!G30,'ICE Removal Cost'!G30,'Trans Removal Cost'!G30,'LEV3 Criteria Emissions Cost'!G30,'ZEV Assembly Reductions'!G30,'ACCII Criteria Compliance Cost'!G30,'ACCII GHG Compliance'!G30,'Current GHG Compliance'!G30)+IF(Table44[[#This Row],[Cold]:[Cold]]="Y",'Cold Weather Package'!G30,0)+IF(Table44[[#This Row],[eAWD]:[eAWD]]="Y",'eAWD Package'!G30,0)+IF(Table44[[#This Row],[Towing]:[Towing]]="Y",'Towing Bat Cost'!G30,0),"N/A")</f>
        <v>N/A</v>
      </c>
      <c r="L239" s="157" t="str">
        <f>IF(Table44[[#This Row],[Applicable Package?]:[Applicable Package?]]="Y",SUM('Rolled Up Non-Incremental Costs'!H30,'ICE Removal Cost'!H30,'Trans Removal Cost'!H30,'LEV3 Criteria Emissions Cost'!H30,'ZEV Assembly Reductions'!H30,'ACCII Criteria Compliance Cost'!H30,'ACCII GHG Compliance'!H30,'Current GHG Compliance'!H30)+IF(Table44[[#This Row],[Cold]:[Cold]]="Y",'Cold Weather Package'!H30,0)+IF(Table44[[#This Row],[eAWD]:[eAWD]]="Y",'eAWD Package'!H30,0)+IF(Table44[[#This Row],[Towing]:[Towing]]="Y",'Towing Bat Cost'!H30,0),"N/A")</f>
        <v>N/A</v>
      </c>
      <c r="M239" s="157" t="str">
        <f>IF(Table44[[#This Row],[Applicable Package?]:[Applicable Package?]]="Y",SUM('Rolled Up Non-Incremental Costs'!I30,'ICE Removal Cost'!I30,'Trans Removal Cost'!I30,'LEV3 Criteria Emissions Cost'!I30,'ZEV Assembly Reductions'!I30,'ACCII Criteria Compliance Cost'!I30,'ACCII GHG Compliance'!I30,'Current GHG Compliance'!I30)+IF(Table44[[#This Row],[Cold]:[Cold]]="Y",'Cold Weather Package'!I30,0)+IF(Table44[[#This Row],[eAWD]:[eAWD]]="Y",'eAWD Package'!I30,0)+IF(Table44[[#This Row],[Towing]:[Towing]]="Y",'Towing Bat Cost'!I30,0),"N/A")</f>
        <v>N/A</v>
      </c>
      <c r="N239" s="157" t="str">
        <f>IF(Table44[[#This Row],[Applicable Package?]:[Applicable Package?]]="Y",SUM('Rolled Up Non-Incremental Costs'!J30,'ICE Removal Cost'!J30,'Trans Removal Cost'!J30,'LEV3 Criteria Emissions Cost'!J30,'ZEV Assembly Reductions'!J30,'ACCII Criteria Compliance Cost'!J30,'ACCII GHG Compliance'!J30,'Current GHG Compliance'!J30)+IF(Table44[[#This Row],[Cold]:[Cold]]="Y",'Cold Weather Package'!J30,0)+IF(Table44[[#This Row],[eAWD]:[eAWD]]="Y",'eAWD Package'!J30,0)+IF(Table44[[#This Row],[Towing]:[Towing]]="Y",'Towing Bat Cost'!J30,0),"N/A")</f>
        <v>N/A</v>
      </c>
      <c r="O239" s="157" t="str">
        <f>IF(Table44[[#This Row],[Applicable Package?]:[Applicable Package?]]="Y",SUM('Rolled Up Non-Incremental Costs'!K30,'ICE Removal Cost'!K30,'Trans Removal Cost'!K30,'LEV3 Criteria Emissions Cost'!K30,'ZEV Assembly Reductions'!K30,'ACCII Criteria Compliance Cost'!K30,'ACCII GHG Compliance'!K30,'Current GHG Compliance'!K30)+IF(Table44[[#This Row],[Cold]:[Cold]]="Y",'Cold Weather Package'!K30,0)+IF(Table44[[#This Row],[eAWD]:[eAWD]]="Y",'eAWD Package'!K30,0)+IF(Table44[[#This Row],[Towing]:[Towing]]="Y",'Towing Bat Cost'!K30,0),"N/A")</f>
        <v>N/A</v>
      </c>
      <c r="P239" s="157" t="str">
        <f>IF(Table44[[#This Row],[Applicable Package?]:[Applicable Package?]]="Y",SUM('Rolled Up Non-Incremental Costs'!L30,'ICE Removal Cost'!L30,'Trans Removal Cost'!L30,'LEV3 Criteria Emissions Cost'!L30,'ZEV Assembly Reductions'!L30,'ACCII Criteria Compliance Cost'!L30,'ACCII GHG Compliance'!L30,'Current GHG Compliance'!L30)+IF(Table44[[#This Row],[Cold]:[Cold]]="Y",'Cold Weather Package'!L30,0)+IF(Table44[[#This Row],[eAWD]:[eAWD]]="Y",'eAWD Package'!L30,0)+IF(Table44[[#This Row],[Towing]:[Towing]]="Y",'Towing Bat Cost'!L30,0),"N/A")</f>
        <v>N/A</v>
      </c>
      <c r="Q239" s="157" t="str">
        <f>IF(Table44[[#This Row],[Applicable Package?]:[Applicable Package?]]="Y",SUM('Rolled Up Non-Incremental Costs'!M30,'ICE Removal Cost'!M30,'Trans Removal Cost'!M30,'LEV3 Criteria Emissions Cost'!M30,'ZEV Assembly Reductions'!M30,'ACCII Criteria Compliance Cost'!M30,'ACCII GHG Compliance'!M30,'Current GHG Compliance'!M30)+IF(Table44[[#This Row],[Cold]:[Cold]]="Y",'Cold Weather Package'!M30,0)+IF(Table44[[#This Row],[eAWD]:[eAWD]]="Y",'eAWD Package'!M30,0)+IF(Table44[[#This Row],[Towing]:[Towing]]="Y",'Towing Bat Cost'!M30,0),"N/A")</f>
        <v>N/A</v>
      </c>
      <c r="R239" s="157" t="str">
        <f>IF(Table44[[#This Row],[Applicable Package?]:[Applicable Package?]]="Y",SUM('Rolled Up Non-Incremental Costs'!N30,'ICE Removal Cost'!N30,'Trans Removal Cost'!N30,'LEV3 Criteria Emissions Cost'!N30,'ZEV Assembly Reductions'!N30,'ACCII Criteria Compliance Cost'!N30,'ACCII GHG Compliance'!N30,'Current GHG Compliance'!N30)+IF(Table44[[#This Row],[Cold]:[Cold]]="Y",'Cold Weather Package'!N30,0)+IF(Table44[[#This Row],[eAWD]:[eAWD]]="Y",'eAWD Package'!N30,0)+IF(Table44[[#This Row],[Towing]:[Towing]]="Y",'Towing Bat Cost'!N30,0),"N/A")</f>
        <v>N/A</v>
      </c>
      <c r="S239" s="157" t="str">
        <f>IF(Table44[[#This Row],[Applicable Package?]:[Applicable Package?]]="Y",SUM('Rolled Up Non-Incremental Costs'!O30,'ICE Removal Cost'!O30,'Trans Removal Cost'!O30,'LEV3 Criteria Emissions Cost'!O30,'ZEV Assembly Reductions'!O30,'ACCII Criteria Compliance Cost'!O30,'ACCII GHG Compliance'!O30,'Current GHG Compliance'!O30)+IF(Table44[[#This Row],[Cold]:[Cold]]="Y",'Cold Weather Package'!O30,0)+IF(Table44[[#This Row],[eAWD]:[eAWD]]="Y",'eAWD Package'!O30,0)+IF(Table44[[#This Row],[Towing]:[Towing]]="Y",'Towing Bat Cost'!O30,0),"N/A")</f>
        <v>N/A</v>
      </c>
    </row>
    <row r="240" spans="2:19" hidden="1" x14ac:dyDescent="0.3">
      <c r="B240" s="90" t="s">
        <v>86</v>
      </c>
      <c r="C240" s="68" t="s">
        <v>75</v>
      </c>
      <c r="D240" s="68" t="str">
        <f>'Vehicle Attributes - Base Year'!D28</f>
        <v>FCEV320</v>
      </c>
      <c r="E240" s="124" t="s">
        <v>76</v>
      </c>
      <c r="F240" s="124" t="s">
        <v>76</v>
      </c>
      <c r="G240" s="125" t="s">
        <v>76</v>
      </c>
      <c r="H240" s="156" t="s">
        <v>76</v>
      </c>
      <c r="I240" s="157">
        <f>IF(Table44[[#This Row],[Applicable Package?]:[Applicable Package?]]="Y",SUM('Rolled Up Non-Incremental Costs'!E31,'ICE Removal Cost'!E31,'Trans Removal Cost'!E31,'LEV3 Criteria Emissions Cost'!E31,'ZEV Assembly Reductions'!E31,'ACCII Criteria Compliance Cost'!E31,'ACCII GHG Compliance'!E31,'Current GHG Compliance'!E31)+IF(Table44[[#This Row],[Cold]:[Cold]]="Y",'Cold Weather Package'!E31,0)+IF(Table44[[#This Row],[eAWD]:[eAWD]]="Y",'eAWD Package'!E31,0)+IF(Table44[[#This Row],[Towing]:[Towing]]="Y",'Towing Bat Cost'!E31,0),"N/A")</f>
        <v>12246.594013309834</v>
      </c>
      <c r="J240" s="157">
        <f>IF(Table44[[#This Row],[Applicable Package?]:[Applicable Package?]]="Y",SUM('Rolled Up Non-Incremental Costs'!F31,'ICE Removal Cost'!F31,'Trans Removal Cost'!F31,'LEV3 Criteria Emissions Cost'!F31,'ZEV Assembly Reductions'!F31,'ACCII Criteria Compliance Cost'!F31,'ACCII GHG Compliance'!F31,'Current GHG Compliance'!F31)+IF(Table44[[#This Row],[Cold]:[Cold]]="Y",'Cold Weather Package'!F31,0)+IF(Table44[[#This Row],[eAWD]:[eAWD]]="Y",'eAWD Package'!F31,0)+IF(Table44[[#This Row],[Towing]:[Towing]]="Y",'Towing Bat Cost'!F31,0),"N/A")</f>
        <v>10973.12163232256</v>
      </c>
      <c r="K240" s="157">
        <f>IF(Table44[[#This Row],[Applicable Package?]:[Applicable Package?]]="Y",SUM('Rolled Up Non-Incremental Costs'!G31,'ICE Removal Cost'!G31,'Trans Removal Cost'!G31,'LEV3 Criteria Emissions Cost'!G31,'ZEV Assembly Reductions'!G31,'ACCII Criteria Compliance Cost'!G31,'ACCII GHG Compliance'!G31,'Current GHG Compliance'!G31)+IF(Table44[[#This Row],[Cold]:[Cold]]="Y",'Cold Weather Package'!G31,0)+IF(Table44[[#This Row],[eAWD]:[eAWD]]="Y",'eAWD Package'!G31,0)+IF(Table44[[#This Row],[Towing]:[Towing]]="Y",'Towing Bat Cost'!G31,0),"N/A")</f>
        <v>9721.6955610059631</v>
      </c>
      <c r="L240" s="157">
        <f>IF(Table44[[#This Row],[Applicable Package?]:[Applicable Package?]]="Y",SUM('Rolled Up Non-Incremental Costs'!H31,'ICE Removal Cost'!H31,'Trans Removal Cost'!H31,'LEV3 Criteria Emissions Cost'!H31,'ZEV Assembly Reductions'!H31,'ACCII Criteria Compliance Cost'!H31,'ACCII GHG Compliance'!H31,'Current GHG Compliance'!H31)+IF(Table44[[#This Row],[Cold]:[Cold]]="Y",'Cold Weather Package'!H31,0)+IF(Table44[[#This Row],[eAWD]:[eAWD]]="Y",'eAWD Package'!H31,0)+IF(Table44[[#This Row],[Towing]:[Towing]]="Y",'Towing Bat Cost'!H31,0),"N/A")</f>
        <v>8492.3032377423951</v>
      </c>
      <c r="M240" s="157">
        <f>IF(Table44[[#This Row],[Applicable Package?]:[Applicable Package?]]="Y",SUM('Rolled Up Non-Incremental Costs'!I31,'ICE Removal Cost'!I31,'Trans Removal Cost'!I31,'LEV3 Criteria Emissions Cost'!I31,'ZEV Assembly Reductions'!I31,'ACCII Criteria Compliance Cost'!I31,'ACCII GHG Compliance'!I31,'Current GHG Compliance'!I31)+IF(Table44[[#This Row],[Cold]:[Cold]]="Y",'Cold Weather Package'!I31,0)+IF(Table44[[#This Row],[eAWD]:[eAWD]]="Y",'eAWD Package'!I31,0)+IF(Table44[[#This Row],[Towing]:[Towing]]="Y",'Towing Bat Cost'!I31,0),"N/A")</f>
        <v>7284.9322499158916</v>
      </c>
      <c r="N240" s="157">
        <f>IF(Table44[[#This Row],[Applicable Package?]:[Applicable Package?]]="Y",SUM('Rolled Up Non-Incremental Costs'!J31,'ICE Removal Cost'!J31,'Trans Removal Cost'!J31,'LEV3 Criteria Emissions Cost'!J31,'ZEV Assembly Reductions'!J31,'ACCII Criteria Compliance Cost'!J31,'ACCII GHG Compliance'!J31,'Current GHG Compliance'!J31)+IF(Table44[[#This Row],[Cold]:[Cold]]="Y",'Cold Weather Package'!J31,0)+IF(Table44[[#This Row],[eAWD]:[eAWD]]="Y",'eAWD Package'!J31,0)+IF(Table44[[#This Row],[Towing]:[Towing]]="Y",'Towing Bat Cost'!J31,0),"N/A")</f>
        <v>6099.5703321882584</v>
      </c>
      <c r="O240" s="157">
        <f>IF(Table44[[#This Row],[Applicable Package?]:[Applicable Package?]]="Y",SUM('Rolled Up Non-Incremental Costs'!K31,'ICE Removal Cost'!K31,'Trans Removal Cost'!K31,'LEV3 Criteria Emissions Cost'!K31,'ZEV Assembly Reductions'!K31,'ACCII Criteria Compliance Cost'!K31,'ACCII GHG Compliance'!K31,'Current GHG Compliance'!K31)+IF(Table44[[#This Row],[Cold]:[Cold]]="Y",'Cold Weather Package'!K31,0)+IF(Table44[[#This Row],[eAWD]:[eAWD]]="Y",'eAWD Package'!K31,0)+IF(Table44[[#This Row],[Towing]:[Towing]]="Y",'Towing Bat Cost'!K31,0),"N/A")</f>
        <v>5672.5716833393435</v>
      </c>
      <c r="P240" s="157">
        <f>IF(Table44[[#This Row],[Applicable Package?]:[Applicable Package?]]="Y",SUM('Rolled Up Non-Incremental Costs'!L31,'ICE Removal Cost'!L31,'Trans Removal Cost'!L31,'LEV3 Criteria Emissions Cost'!L31,'ZEV Assembly Reductions'!L31,'ACCII Criteria Compliance Cost'!L31,'ACCII GHG Compliance'!L31,'Current GHG Compliance'!L31)+IF(Table44[[#This Row],[Cold]:[Cold]]="Y",'Cold Weather Package'!L31,0)+IF(Table44[[#This Row],[eAWD]:[eAWD]]="Y",'eAWD Package'!L31,0)+IF(Table44[[#This Row],[Towing]:[Towing]]="Y",'Towing Bat Cost'!L31,0),"N/A")</f>
        <v>5251.2238127538776</v>
      </c>
      <c r="Q240" s="157">
        <f>IF(Table44[[#This Row],[Applicable Package?]:[Applicable Package?]]="Y",SUM('Rolled Up Non-Incremental Costs'!M31,'ICE Removal Cost'!M31,'Trans Removal Cost'!M31,'LEV3 Criteria Emissions Cost'!M31,'ZEV Assembly Reductions'!M31,'ACCII Criteria Compliance Cost'!M31,'ACCII GHG Compliance'!M31,'Current GHG Compliance'!M31)+IF(Table44[[#This Row],[Cold]:[Cold]]="Y",'Cold Weather Package'!M31,0)+IF(Table44[[#This Row],[eAWD]:[eAWD]]="Y",'eAWD Package'!M31,0)+IF(Table44[[#This Row],[Towing]:[Towing]]="Y",'Towing Bat Cost'!M31,0),"N/A")</f>
        <v>4835.5148867784756</v>
      </c>
      <c r="R240" s="157">
        <f>IF(Table44[[#This Row],[Applicable Package?]:[Applicable Package?]]="Y",SUM('Rolled Up Non-Incremental Costs'!N31,'ICE Removal Cost'!N31,'Trans Removal Cost'!N31,'LEV3 Criteria Emissions Cost'!N31,'ZEV Assembly Reductions'!N31,'ACCII Criteria Compliance Cost'!N31,'ACCII GHG Compliance'!N31,'Current GHG Compliance'!N31)+IF(Table44[[#This Row],[Cold]:[Cold]]="Y",'Cold Weather Package'!N31,0)+IF(Table44[[#This Row],[eAWD]:[eAWD]]="Y",'eAWD Package'!N31,0)+IF(Table44[[#This Row],[Towing]:[Towing]]="Y",'Towing Bat Cost'!N31,0),"N/A")</f>
        <v>4425.4332123356535</v>
      </c>
      <c r="S240" s="157">
        <f>IF(Table44[[#This Row],[Applicable Package?]:[Applicable Package?]]="Y",SUM('Rolled Up Non-Incremental Costs'!O31,'ICE Removal Cost'!O31,'Trans Removal Cost'!O31,'LEV3 Criteria Emissions Cost'!O31,'ZEV Assembly Reductions'!O31,'ACCII Criteria Compliance Cost'!O31,'ACCII GHG Compliance'!O31,'Current GHG Compliance'!O31)+IF(Table44[[#This Row],[Cold]:[Cold]]="Y",'Cold Weather Package'!O31,0)+IF(Table44[[#This Row],[eAWD]:[eAWD]]="Y",'eAWD Package'!O31,0)+IF(Table44[[#This Row],[Towing]:[Towing]]="Y",'Towing Bat Cost'!O31,0),"N/A")</f>
        <v>4020.9672352956641</v>
      </c>
    </row>
    <row r="241" spans="2:19" hidden="1" x14ac:dyDescent="0.3">
      <c r="B241" s="90" t="s">
        <v>86</v>
      </c>
      <c r="C241" s="68" t="s">
        <v>80</v>
      </c>
      <c r="D241" s="68" t="str">
        <f>'Vehicle Attributes - Base Year'!D29</f>
        <v>FCEV320</v>
      </c>
      <c r="E241" s="124" t="s">
        <v>76</v>
      </c>
      <c r="F241" s="124" t="s">
        <v>76</v>
      </c>
      <c r="G241" s="125" t="s">
        <v>76</v>
      </c>
      <c r="H241" s="156" t="s">
        <v>76</v>
      </c>
      <c r="I241" s="157">
        <f>IF(Table44[[#This Row],[Applicable Package?]:[Applicable Package?]]="Y",SUM('Rolled Up Non-Incremental Costs'!E32,'ICE Removal Cost'!E32,'Trans Removal Cost'!E32,'LEV3 Criteria Emissions Cost'!E32,'ZEV Assembly Reductions'!E32,'ACCII Criteria Compliance Cost'!E32,'ACCII GHG Compliance'!E32,'Current GHG Compliance'!E32)+IF(Table44[[#This Row],[Cold]:[Cold]]="Y",'Cold Weather Package'!E32,0)+IF(Table44[[#This Row],[eAWD]:[eAWD]]="Y",'eAWD Package'!E32,0)+IF(Table44[[#This Row],[Towing]:[Towing]]="Y",'Towing Bat Cost'!E32,0),"N/A")</f>
        <v>11746.594013309834</v>
      </c>
      <c r="J241" s="157">
        <f>IF(Table44[[#This Row],[Applicable Package?]:[Applicable Package?]]="Y",SUM('Rolled Up Non-Incremental Costs'!F32,'ICE Removal Cost'!F32,'Trans Removal Cost'!F32,'LEV3 Criteria Emissions Cost'!F32,'ZEV Assembly Reductions'!F32,'ACCII Criteria Compliance Cost'!F32,'ACCII GHG Compliance'!F32,'Current GHG Compliance'!F32)+IF(Table44[[#This Row],[Cold]:[Cold]]="Y",'Cold Weather Package'!F32,0)+IF(Table44[[#This Row],[eAWD]:[eAWD]]="Y",'eAWD Package'!F32,0)+IF(Table44[[#This Row],[Towing]:[Towing]]="Y",'Towing Bat Cost'!F32,0),"N/A")</f>
        <v>10473.12163232256</v>
      </c>
      <c r="K241" s="157">
        <f>IF(Table44[[#This Row],[Applicable Package?]:[Applicable Package?]]="Y",SUM('Rolled Up Non-Incremental Costs'!G32,'ICE Removal Cost'!G32,'Trans Removal Cost'!G32,'LEV3 Criteria Emissions Cost'!G32,'ZEV Assembly Reductions'!G32,'ACCII Criteria Compliance Cost'!G32,'ACCII GHG Compliance'!G32,'Current GHG Compliance'!G32)+IF(Table44[[#This Row],[Cold]:[Cold]]="Y",'Cold Weather Package'!G32,0)+IF(Table44[[#This Row],[eAWD]:[eAWD]]="Y",'eAWD Package'!G32,0)+IF(Table44[[#This Row],[Towing]:[Towing]]="Y",'Towing Bat Cost'!G32,0),"N/A")</f>
        <v>9221.6955610059631</v>
      </c>
      <c r="L241" s="157">
        <f>IF(Table44[[#This Row],[Applicable Package?]:[Applicable Package?]]="Y",SUM('Rolled Up Non-Incremental Costs'!H32,'ICE Removal Cost'!H32,'Trans Removal Cost'!H32,'LEV3 Criteria Emissions Cost'!H32,'ZEV Assembly Reductions'!H32,'ACCII Criteria Compliance Cost'!H32,'ACCII GHG Compliance'!H32,'Current GHG Compliance'!H32)+IF(Table44[[#This Row],[Cold]:[Cold]]="Y",'Cold Weather Package'!H32,0)+IF(Table44[[#This Row],[eAWD]:[eAWD]]="Y",'eAWD Package'!H32,0)+IF(Table44[[#This Row],[Towing]:[Towing]]="Y",'Towing Bat Cost'!H32,0),"N/A")</f>
        <v>7992.3032377423951</v>
      </c>
      <c r="M241" s="157">
        <f>IF(Table44[[#This Row],[Applicable Package?]:[Applicable Package?]]="Y",SUM('Rolled Up Non-Incremental Costs'!I32,'ICE Removal Cost'!I32,'Trans Removal Cost'!I32,'LEV3 Criteria Emissions Cost'!I32,'ZEV Assembly Reductions'!I32,'ACCII Criteria Compliance Cost'!I32,'ACCII GHG Compliance'!I32,'Current GHG Compliance'!I32)+IF(Table44[[#This Row],[Cold]:[Cold]]="Y",'Cold Weather Package'!I32,0)+IF(Table44[[#This Row],[eAWD]:[eAWD]]="Y",'eAWD Package'!I32,0)+IF(Table44[[#This Row],[Towing]:[Towing]]="Y",'Towing Bat Cost'!I32,0),"N/A")</f>
        <v>6784.9322499158916</v>
      </c>
      <c r="N241" s="157">
        <f>IF(Table44[[#This Row],[Applicable Package?]:[Applicable Package?]]="Y",SUM('Rolled Up Non-Incremental Costs'!J32,'ICE Removal Cost'!J32,'Trans Removal Cost'!J32,'LEV3 Criteria Emissions Cost'!J32,'ZEV Assembly Reductions'!J32,'ACCII Criteria Compliance Cost'!J32,'ACCII GHG Compliance'!J32,'Current GHG Compliance'!J32)+IF(Table44[[#This Row],[Cold]:[Cold]]="Y",'Cold Weather Package'!J32,0)+IF(Table44[[#This Row],[eAWD]:[eAWD]]="Y",'eAWD Package'!J32,0)+IF(Table44[[#This Row],[Towing]:[Towing]]="Y",'Towing Bat Cost'!J32,0),"N/A")</f>
        <v>5599.5703321882584</v>
      </c>
      <c r="O241" s="157">
        <f>IF(Table44[[#This Row],[Applicable Package?]:[Applicable Package?]]="Y",SUM('Rolled Up Non-Incremental Costs'!K32,'ICE Removal Cost'!K32,'Trans Removal Cost'!K32,'LEV3 Criteria Emissions Cost'!K32,'ZEV Assembly Reductions'!K32,'ACCII Criteria Compliance Cost'!K32,'ACCII GHG Compliance'!K32,'Current GHG Compliance'!K32)+IF(Table44[[#This Row],[Cold]:[Cold]]="Y",'Cold Weather Package'!K32,0)+IF(Table44[[#This Row],[eAWD]:[eAWD]]="Y",'eAWD Package'!K32,0)+IF(Table44[[#This Row],[Towing]:[Towing]]="Y",'Towing Bat Cost'!K32,0),"N/A")</f>
        <v>5172.5716833393435</v>
      </c>
      <c r="P241" s="157">
        <f>IF(Table44[[#This Row],[Applicable Package?]:[Applicable Package?]]="Y",SUM('Rolled Up Non-Incremental Costs'!L32,'ICE Removal Cost'!L32,'Trans Removal Cost'!L32,'LEV3 Criteria Emissions Cost'!L32,'ZEV Assembly Reductions'!L32,'ACCII Criteria Compliance Cost'!L32,'ACCII GHG Compliance'!L32,'Current GHG Compliance'!L32)+IF(Table44[[#This Row],[Cold]:[Cold]]="Y",'Cold Weather Package'!L32,0)+IF(Table44[[#This Row],[eAWD]:[eAWD]]="Y",'eAWD Package'!L32,0)+IF(Table44[[#This Row],[Towing]:[Towing]]="Y",'Towing Bat Cost'!L32,0),"N/A")</f>
        <v>4751.2238127538776</v>
      </c>
      <c r="Q241" s="157">
        <f>IF(Table44[[#This Row],[Applicable Package?]:[Applicable Package?]]="Y",SUM('Rolled Up Non-Incremental Costs'!M32,'ICE Removal Cost'!M32,'Trans Removal Cost'!M32,'LEV3 Criteria Emissions Cost'!M32,'ZEV Assembly Reductions'!M32,'ACCII Criteria Compliance Cost'!M32,'ACCII GHG Compliance'!M32,'Current GHG Compliance'!M32)+IF(Table44[[#This Row],[Cold]:[Cold]]="Y",'Cold Weather Package'!M32,0)+IF(Table44[[#This Row],[eAWD]:[eAWD]]="Y",'eAWD Package'!M32,0)+IF(Table44[[#This Row],[Towing]:[Towing]]="Y",'Towing Bat Cost'!M32,0),"N/A")</f>
        <v>4335.5148867784756</v>
      </c>
      <c r="R241" s="157">
        <f>IF(Table44[[#This Row],[Applicable Package?]:[Applicable Package?]]="Y",SUM('Rolled Up Non-Incremental Costs'!N32,'ICE Removal Cost'!N32,'Trans Removal Cost'!N32,'LEV3 Criteria Emissions Cost'!N32,'ZEV Assembly Reductions'!N32,'ACCII Criteria Compliance Cost'!N32,'ACCII GHG Compliance'!N32,'Current GHG Compliance'!N32)+IF(Table44[[#This Row],[Cold]:[Cold]]="Y",'Cold Weather Package'!N32,0)+IF(Table44[[#This Row],[eAWD]:[eAWD]]="Y",'eAWD Package'!N32,0)+IF(Table44[[#This Row],[Towing]:[Towing]]="Y",'Towing Bat Cost'!N32,0),"N/A")</f>
        <v>3925.4332123356535</v>
      </c>
      <c r="S241" s="157">
        <f>IF(Table44[[#This Row],[Applicable Package?]:[Applicable Package?]]="Y",SUM('Rolled Up Non-Incremental Costs'!O32,'ICE Removal Cost'!O32,'Trans Removal Cost'!O32,'LEV3 Criteria Emissions Cost'!O32,'ZEV Assembly Reductions'!O32,'ACCII Criteria Compliance Cost'!O32,'ACCII GHG Compliance'!O32,'Current GHG Compliance'!O32)+IF(Table44[[#This Row],[Cold]:[Cold]]="Y",'Cold Weather Package'!O32,0)+IF(Table44[[#This Row],[eAWD]:[eAWD]]="Y",'eAWD Package'!O32,0)+IF(Table44[[#This Row],[Towing]:[Towing]]="Y",'Towing Bat Cost'!O32,0),"N/A")</f>
        <v>3520.9672352956641</v>
      </c>
    </row>
    <row r="242" spans="2:19" hidden="1" x14ac:dyDescent="0.3">
      <c r="B242" s="90" t="s">
        <v>89</v>
      </c>
      <c r="C242" s="68" t="s">
        <v>75</v>
      </c>
      <c r="D242" s="68" t="str">
        <f>'Vehicle Attributes - Base Year'!D30</f>
        <v>FCEV320</v>
      </c>
      <c r="E242" s="124" t="s">
        <v>76</v>
      </c>
      <c r="F242" s="124" t="s">
        <v>76</v>
      </c>
      <c r="G242" s="125" t="s">
        <v>76</v>
      </c>
      <c r="H242" s="156" t="s">
        <v>76</v>
      </c>
      <c r="I242" s="157">
        <f>IF(Table44[[#This Row],[Applicable Package?]:[Applicable Package?]]="Y",SUM('Rolled Up Non-Incremental Costs'!E33,'ICE Removal Cost'!E33,'Trans Removal Cost'!E33,'LEV3 Criteria Emissions Cost'!E33,'ZEV Assembly Reductions'!E33,'ACCII Criteria Compliance Cost'!E33,'ACCII GHG Compliance'!E33,'Current GHG Compliance'!E33)+IF(Table44[[#This Row],[Cold]:[Cold]]="Y",'Cold Weather Package'!E33,0)+IF(Table44[[#This Row],[eAWD]:[eAWD]]="Y",'eAWD Package'!E33,0)+IF(Table44[[#This Row],[Towing]:[Towing]]="Y",'Towing Bat Cost'!E33,0),"N/A")</f>
        <v>16410.07337363714</v>
      </c>
      <c r="J242" s="157">
        <f>IF(Table44[[#This Row],[Applicable Package?]:[Applicable Package?]]="Y",SUM('Rolled Up Non-Incremental Costs'!F33,'ICE Removal Cost'!F33,'Trans Removal Cost'!F33,'LEV3 Criteria Emissions Cost'!F33,'ZEV Assembly Reductions'!F33,'ACCII Criteria Compliance Cost'!F33,'ACCII GHG Compliance'!F33,'Current GHG Compliance'!F33)+IF(Table44[[#This Row],[Cold]:[Cold]]="Y",'Cold Weather Package'!F33,0)+IF(Table44[[#This Row],[eAWD]:[eAWD]]="Y",'eAWD Package'!F33,0)+IF(Table44[[#This Row],[Towing]:[Towing]]="Y",'Towing Bat Cost'!F33,0),"N/A")</f>
        <v>14848.697640580682</v>
      </c>
      <c r="K242" s="157">
        <f>IF(Table44[[#This Row],[Applicable Package?]:[Applicable Package?]]="Y",SUM('Rolled Up Non-Incremental Costs'!G33,'ICE Removal Cost'!G33,'Trans Removal Cost'!G33,'LEV3 Criteria Emissions Cost'!G33,'ZEV Assembly Reductions'!G33,'ACCII Criteria Compliance Cost'!G33,'ACCII GHG Compliance'!G33,'Current GHG Compliance'!G33)+IF(Table44[[#This Row],[Cold]:[Cold]]="Y",'Cold Weather Package'!G33,0)+IF(Table44[[#This Row],[eAWD]:[eAWD]]="Y",'eAWD Package'!G33,0)+IF(Table44[[#This Row],[Towing]:[Towing]]="Y",'Towing Bat Cost'!G33,0),"N/A")</f>
        <v>13318.441879758549</v>
      </c>
      <c r="L242" s="157">
        <f>IF(Table44[[#This Row],[Applicable Package?]:[Applicable Package?]]="Y",SUM('Rolled Up Non-Incremental Costs'!H33,'ICE Removal Cost'!H33,'Trans Removal Cost'!H33,'LEV3 Criteria Emissions Cost'!H33,'ZEV Assembly Reductions'!H33,'ACCII Criteria Compliance Cost'!H33,'ACCII GHG Compliance'!H33,'Current GHG Compliance'!H33)+IF(Table44[[#This Row],[Cold]:[Cold]]="Y",'Cold Weather Package'!H33,0)+IF(Table44[[#This Row],[eAWD]:[eAWD]]="Y",'eAWD Package'!H33,0)+IF(Table44[[#This Row],[Towing]:[Towing]]="Y",'Towing Bat Cost'!H33,0),"N/A")</f>
        <v>11819.285983705739</v>
      </c>
      <c r="M242" s="157">
        <f>IF(Table44[[#This Row],[Applicable Package?]:[Applicable Package?]]="Y",SUM('Rolled Up Non-Incremental Costs'!I33,'ICE Removal Cost'!I33,'Trans Removal Cost'!I33,'LEV3 Criteria Emissions Cost'!I33,'ZEV Assembly Reductions'!I33,'ACCII Criteria Compliance Cost'!I33,'ACCII GHG Compliance'!I33,'Current GHG Compliance'!I33)+IF(Table44[[#This Row],[Cold]:[Cold]]="Y",'Cold Weather Package'!I33,0)+IF(Table44[[#This Row],[eAWD]:[eAWD]]="Y",'eAWD Package'!I33,0)+IF(Table44[[#This Row],[Towing]:[Towing]]="Y",'Towing Bat Cost'!I33,0),"N/A")</f>
        <v>10351.210092802874</v>
      </c>
      <c r="N242" s="157">
        <f>IF(Table44[[#This Row],[Applicable Package?]:[Applicable Package?]]="Y",SUM('Rolled Up Non-Incremental Costs'!J33,'ICE Removal Cost'!J33,'Trans Removal Cost'!J33,'LEV3 Criteria Emissions Cost'!J33,'ZEV Assembly Reductions'!J33,'ACCII Criteria Compliance Cost'!J33,'ACCII GHG Compliance'!J33,'Current GHG Compliance'!J33)+IF(Table44[[#This Row],[Cold]:[Cold]]="Y",'Cold Weather Package'!J33,0)+IF(Table44[[#This Row],[eAWD]:[eAWD]]="Y",'eAWD Package'!J33,0)+IF(Table44[[#This Row],[Towing]:[Towing]]="Y",'Towing Bat Cost'!J33,0),"N/A")</f>
        <v>8914.1945923300191</v>
      </c>
      <c r="O242" s="157">
        <f>IF(Table44[[#This Row],[Applicable Package?]:[Applicable Package?]]="Y",SUM('Rolled Up Non-Incremental Costs'!K33,'ICE Removal Cost'!K33,'Trans Removal Cost'!K33,'LEV3 Criteria Emissions Cost'!K33,'ZEV Assembly Reductions'!K33,'ACCII Criteria Compliance Cost'!K33,'ACCII GHG Compliance'!K33,'Current GHG Compliance'!K33)+IF(Table44[[#This Row],[Cold]:[Cold]]="Y",'Cold Weather Package'!K33,0)+IF(Table44[[#This Row],[eAWD]:[eAWD]]="Y",'eAWD Package'!K33,0)+IF(Table44[[#This Row],[Towing]:[Towing]]="Y",'Towing Bat Cost'!K33,0),"N/A")</f>
        <v>8338.7990408796431</v>
      </c>
      <c r="P242" s="157">
        <f>IF(Table44[[#This Row],[Applicable Package?]:[Applicable Package?]]="Y",SUM('Rolled Up Non-Incremental Costs'!L33,'ICE Removal Cost'!L33,'Trans Removal Cost'!L33,'LEV3 Criteria Emissions Cost'!L33,'ZEV Assembly Reductions'!L33,'ACCII Criteria Compliance Cost'!L33,'ACCII GHG Compliance'!L33,'Current GHG Compliance'!L33)+IF(Table44[[#This Row],[Cold]:[Cold]]="Y",'Cold Weather Package'!L33,0)+IF(Table44[[#This Row],[eAWD]:[eAWD]]="Y",'eAWD Package'!L33,0)+IF(Table44[[#This Row],[Towing]:[Towing]]="Y",'Towing Bat Cost'!L33,0),"N/A")</f>
        <v>7771.6647440792003</v>
      </c>
      <c r="Q242" s="157">
        <f>IF(Table44[[#This Row],[Applicable Package?]:[Applicable Package?]]="Y",SUM('Rolled Up Non-Incremental Costs'!M33,'ICE Removal Cost'!M33,'Trans Removal Cost'!M33,'LEV3 Criteria Emissions Cost'!M33,'ZEV Assembly Reductions'!M33,'ACCII Criteria Compliance Cost'!M33,'ACCII GHG Compliance'!M33,'Current GHG Compliance'!M33)+IF(Table44[[#This Row],[Cold]:[Cold]]="Y",'Cold Weather Package'!M33,0)+IF(Table44[[#This Row],[eAWD]:[eAWD]]="Y",'eAWD Package'!M33,0)+IF(Table44[[#This Row],[Towing]:[Towing]]="Y",'Towing Bat Cost'!M33,0),"N/A")</f>
        <v>7212.7861481855534</v>
      </c>
      <c r="R242" s="157">
        <f>IF(Table44[[#This Row],[Applicable Package?]:[Applicable Package?]]="Y",SUM('Rolled Up Non-Incremental Costs'!N33,'ICE Removal Cost'!N33,'Trans Removal Cost'!N33,'LEV3 Criteria Emissions Cost'!N33,'ZEV Assembly Reductions'!N33,'ACCII Criteria Compliance Cost'!N33,'ACCII GHG Compliance'!N33,'Current GHG Compliance'!N33)+IF(Table44[[#This Row],[Cold]:[Cold]]="Y",'Cold Weather Package'!N33,0)+IF(Table44[[#This Row],[eAWD]:[eAWD]]="Y",'eAWD Package'!N33,0)+IF(Table44[[#This Row],[Towing]:[Towing]]="Y",'Towing Bat Cost'!N33,0),"N/A")</f>
        <v>6662.1577549929916</v>
      </c>
      <c r="S242" s="157">
        <f>IF(Table44[[#This Row],[Applicable Package?]:[Applicable Package?]]="Y",SUM('Rolled Up Non-Incremental Costs'!O33,'ICE Removal Cost'!O33,'Trans Removal Cost'!O33,'LEV3 Criteria Emissions Cost'!O33,'ZEV Assembly Reductions'!O33,'ACCII Criteria Compliance Cost'!O33,'ACCII GHG Compliance'!O33,'Current GHG Compliance'!O33)+IF(Table44[[#This Row],[Cold]:[Cold]]="Y",'Cold Weather Package'!O33,0)+IF(Table44[[#This Row],[eAWD]:[eAWD]]="Y",'eAWD Package'!O33,0)+IF(Table44[[#This Row],[Towing]:[Towing]]="Y",'Towing Bat Cost'!O33,0),"N/A")</f>
        <v>6119.7741212778601</v>
      </c>
    </row>
    <row r="243" spans="2:19" hidden="1" x14ac:dyDescent="0.3">
      <c r="B243" s="90" t="s">
        <v>89</v>
      </c>
      <c r="C243" s="68" t="s">
        <v>113</v>
      </c>
      <c r="D243" s="68" t="str">
        <f>'Vehicle Attributes - Base Year'!D31</f>
        <v>FCEV320</v>
      </c>
      <c r="E243" s="124" t="s">
        <v>76</v>
      </c>
      <c r="F243" s="124" t="s">
        <v>76</v>
      </c>
      <c r="G243" s="125" t="s">
        <v>76</v>
      </c>
      <c r="H243" s="156" t="s">
        <v>76</v>
      </c>
      <c r="I243" s="157">
        <f>IF(Table44[[#This Row],[Applicable Package?]:[Applicable Package?]]="Y",SUM('Rolled Up Non-Incremental Costs'!E34,'ICE Removal Cost'!E34,'Trans Removal Cost'!E34,'LEV3 Criteria Emissions Cost'!E34,'ZEV Assembly Reductions'!E34,'ACCII Criteria Compliance Cost'!E34,'ACCII GHG Compliance'!E34,'Current GHG Compliance'!E34)+IF(Table44[[#This Row],[Cold]:[Cold]]="Y",'Cold Weather Package'!E34,0)+IF(Table44[[#This Row],[eAWD]:[eAWD]]="Y",'eAWD Package'!E34,0)+IF(Table44[[#This Row],[Towing]:[Towing]]="Y",'Towing Bat Cost'!E34,0),"N/A")</f>
        <v>16410.07337363714</v>
      </c>
      <c r="J243" s="157">
        <f>IF(Table44[[#This Row],[Applicable Package?]:[Applicable Package?]]="Y",SUM('Rolled Up Non-Incremental Costs'!F34,'ICE Removal Cost'!F34,'Trans Removal Cost'!F34,'LEV3 Criteria Emissions Cost'!F34,'ZEV Assembly Reductions'!F34,'ACCII Criteria Compliance Cost'!F34,'ACCII GHG Compliance'!F34,'Current GHG Compliance'!F34)+IF(Table44[[#This Row],[Cold]:[Cold]]="Y",'Cold Weather Package'!F34,0)+IF(Table44[[#This Row],[eAWD]:[eAWD]]="Y",'eAWD Package'!F34,0)+IF(Table44[[#This Row],[Towing]:[Towing]]="Y",'Towing Bat Cost'!F34,0),"N/A")</f>
        <v>14848.697640580682</v>
      </c>
      <c r="K243" s="157">
        <f>IF(Table44[[#This Row],[Applicable Package?]:[Applicable Package?]]="Y",SUM('Rolled Up Non-Incremental Costs'!G34,'ICE Removal Cost'!G34,'Trans Removal Cost'!G34,'LEV3 Criteria Emissions Cost'!G34,'ZEV Assembly Reductions'!G34,'ACCII Criteria Compliance Cost'!G34,'ACCII GHG Compliance'!G34,'Current GHG Compliance'!G34)+IF(Table44[[#This Row],[Cold]:[Cold]]="Y",'Cold Weather Package'!G34,0)+IF(Table44[[#This Row],[eAWD]:[eAWD]]="Y",'eAWD Package'!G34,0)+IF(Table44[[#This Row],[Towing]:[Towing]]="Y",'Towing Bat Cost'!G34,0),"N/A")</f>
        <v>13318.441879758549</v>
      </c>
      <c r="L243" s="157">
        <f>IF(Table44[[#This Row],[Applicable Package?]:[Applicable Package?]]="Y",SUM('Rolled Up Non-Incremental Costs'!H34,'ICE Removal Cost'!H34,'Trans Removal Cost'!H34,'LEV3 Criteria Emissions Cost'!H34,'ZEV Assembly Reductions'!H34,'ACCII Criteria Compliance Cost'!H34,'ACCII GHG Compliance'!H34,'Current GHG Compliance'!H34)+IF(Table44[[#This Row],[Cold]:[Cold]]="Y",'Cold Weather Package'!H34,0)+IF(Table44[[#This Row],[eAWD]:[eAWD]]="Y",'eAWD Package'!H34,0)+IF(Table44[[#This Row],[Towing]:[Towing]]="Y",'Towing Bat Cost'!H34,0),"N/A")</f>
        <v>11819.285983705739</v>
      </c>
      <c r="M243" s="157">
        <f>IF(Table44[[#This Row],[Applicable Package?]:[Applicable Package?]]="Y",SUM('Rolled Up Non-Incremental Costs'!I34,'ICE Removal Cost'!I34,'Trans Removal Cost'!I34,'LEV3 Criteria Emissions Cost'!I34,'ZEV Assembly Reductions'!I34,'ACCII Criteria Compliance Cost'!I34,'ACCII GHG Compliance'!I34,'Current GHG Compliance'!I34)+IF(Table44[[#This Row],[Cold]:[Cold]]="Y",'Cold Weather Package'!I34,0)+IF(Table44[[#This Row],[eAWD]:[eAWD]]="Y",'eAWD Package'!I34,0)+IF(Table44[[#This Row],[Towing]:[Towing]]="Y",'Towing Bat Cost'!I34,0),"N/A")</f>
        <v>10351.210092802874</v>
      </c>
      <c r="N243" s="157">
        <f>IF(Table44[[#This Row],[Applicable Package?]:[Applicable Package?]]="Y",SUM('Rolled Up Non-Incremental Costs'!J34,'ICE Removal Cost'!J34,'Trans Removal Cost'!J34,'LEV3 Criteria Emissions Cost'!J34,'ZEV Assembly Reductions'!J34,'ACCII Criteria Compliance Cost'!J34,'ACCII GHG Compliance'!J34,'Current GHG Compliance'!J34)+IF(Table44[[#This Row],[Cold]:[Cold]]="Y",'Cold Weather Package'!J34,0)+IF(Table44[[#This Row],[eAWD]:[eAWD]]="Y",'eAWD Package'!J34,0)+IF(Table44[[#This Row],[Towing]:[Towing]]="Y",'Towing Bat Cost'!J34,0),"N/A")</f>
        <v>8914.1945923300191</v>
      </c>
      <c r="O243" s="157">
        <f>IF(Table44[[#This Row],[Applicable Package?]:[Applicable Package?]]="Y",SUM('Rolled Up Non-Incremental Costs'!K34,'ICE Removal Cost'!K34,'Trans Removal Cost'!K34,'LEV3 Criteria Emissions Cost'!K34,'ZEV Assembly Reductions'!K34,'ACCII Criteria Compliance Cost'!K34,'ACCII GHG Compliance'!K34,'Current GHG Compliance'!K34)+IF(Table44[[#This Row],[Cold]:[Cold]]="Y",'Cold Weather Package'!K34,0)+IF(Table44[[#This Row],[eAWD]:[eAWD]]="Y",'eAWD Package'!K34,0)+IF(Table44[[#This Row],[Towing]:[Towing]]="Y",'Towing Bat Cost'!K34,0),"N/A")</f>
        <v>8338.7990408796431</v>
      </c>
      <c r="P243" s="157">
        <f>IF(Table44[[#This Row],[Applicable Package?]:[Applicable Package?]]="Y",SUM('Rolled Up Non-Incremental Costs'!L34,'ICE Removal Cost'!L34,'Trans Removal Cost'!L34,'LEV3 Criteria Emissions Cost'!L34,'ZEV Assembly Reductions'!L34,'ACCII Criteria Compliance Cost'!L34,'ACCII GHG Compliance'!L34,'Current GHG Compliance'!L34)+IF(Table44[[#This Row],[Cold]:[Cold]]="Y",'Cold Weather Package'!L34,0)+IF(Table44[[#This Row],[eAWD]:[eAWD]]="Y",'eAWD Package'!L34,0)+IF(Table44[[#This Row],[Towing]:[Towing]]="Y",'Towing Bat Cost'!L34,0),"N/A")</f>
        <v>7771.6647440792003</v>
      </c>
      <c r="Q243" s="157">
        <f>IF(Table44[[#This Row],[Applicable Package?]:[Applicable Package?]]="Y",SUM('Rolled Up Non-Incremental Costs'!M34,'ICE Removal Cost'!M34,'Trans Removal Cost'!M34,'LEV3 Criteria Emissions Cost'!M34,'ZEV Assembly Reductions'!M34,'ACCII Criteria Compliance Cost'!M34,'ACCII GHG Compliance'!M34,'Current GHG Compliance'!M34)+IF(Table44[[#This Row],[Cold]:[Cold]]="Y",'Cold Weather Package'!M34,0)+IF(Table44[[#This Row],[eAWD]:[eAWD]]="Y",'eAWD Package'!M34,0)+IF(Table44[[#This Row],[Towing]:[Towing]]="Y",'Towing Bat Cost'!M34,0),"N/A")</f>
        <v>7212.7861481855534</v>
      </c>
      <c r="R243" s="157">
        <f>IF(Table44[[#This Row],[Applicable Package?]:[Applicable Package?]]="Y",SUM('Rolled Up Non-Incremental Costs'!N34,'ICE Removal Cost'!N34,'Trans Removal Cost'!N34,'LEV3 Criteria Emissions Cost'!N34,'ZEV Assembly Reductions'!N34,'ACCII Criteria Compliance Cost'!N34,'ACCII GHG Compliance'!N34,'Current GHG Compliance'!N34)+IF(Table44[[#This Row],[Cold]:[Cold]]="Y",'Cold Weather Package'!N34,0)+IF(Table44[[#This Row],[eAWD]:[eAWD]]="Y",'eAWD Package'!N34,0)+IF(Table44[[#This Row],[Towing]:[Towing]]="Y",'Towing Bat Cost'!N34,0),"N/A")</f>
        <v>6662.1577549929916</v>
      </c>
      <c r="S243" s="157">
        <f>IF(Table44[[#This Row],[Applicable Package?]:[Applicable Package?]]="Y",SUM('Rolled Up Non-Incremental Costs'!O34,'ICE Removal Cost'!O34,'Trans Removal Cost'!O34,'LEV3 Criteria Emissions Cost'!O34,'ZEV Assembly Reductions'!O34,'ACCII Criteria Compliance Cost'!O34,'ACCII GHG Compliance'!O34,'Current GHG Compliance'!O34)+IF(Table44[[#This Row],[Cold]:[Cold]]="Y",'Cold Weather Package'!O34,0)+IF(Table44[[#This Row],[eAWD]:[eAWD]]="Y",'eAWD Package'!O34,0)+IF(Table44[[#This Row],[Towing]:[Towing]]="Y",'Towing Bat Cost'!O34,0),"N/A")</f>
        <v>6119.7741212778601</v>
      </c>
    </row>
  </sheetData>
  <mergeCells count="3">
    <mergeCell ref="B1:S1"/>
    <mergeCell ref="I2:S2"/>
    <mergeCell ref="E2:G2"/>
  </mergeCells>
  <phoneticPr fontId="6" type="noConversion"/>
  <pageMargins left="0.7" right="0.7" top="0.75" bottom="0.75" header="0.3" footer="0.3"/>
  <pageSetup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W46"/>
  <sheetViews>
    <sheetView workbookViewId="0">
      <selection activeCell="K17" sqref="K17"/>
    </sheetView>
  </sheetViews>
  <sheetFormatPr defaultRowHeight="14.4" x14ac:dyDescent="0.3"/>
  <cols>
    <col min="1" max="1" width="13.109375" bestFit="1" customWidth="1"/>
    <col min="2" max="2" width="16.33203125" bestFit="1" customWidth="1"/>
    <col min="3" max="6" width="12.6640625" bestFit="1" customWidth="1"/>
    <col min="7" max="8" width="11.88671875" bestFit="1" customWidth="1"/>
    <col min="9" max="9" width="13.33203125" bestFit="1" customWidth="1"/>
    <col min="10" max="10" width="11.88671875" bestFit="1" customWidth="1"/>
    <col min="11" max="12" width="12" bestFit="1" customWidth="1"/>
    <col min="13" max="13" width="14.109375" bestFit="1" customWidth="1"/>
    <col min="14" max="14" width="12" customWidth="1"/>
    <col min="15" max="15" width="12" bestFit="1" customWidth="1"/>
    <col min="16" max="16" width="12" customWidth="1"/>
    <col min="17" max="18" width="12" bestFit="1" customWidth="1"/>
    <col min="19" max="19" width="14.109375" bestFit="1" customWidth="1"/>
    <col min="20" max="20" width="12" bestFit="1" customWidth="1"/>
    <col min="21" max="22" width="16.5546875" customWidth="1"/>
    <col min="23" max="27" width="12" bestFit="1" customWidth="1"/>
    <col min="28" max="28" width="11" bestFit="1" customWidth="1"/>
    <col min="29" max="30" width="12" bestFit="1" customWidth="1"/>
    <col min="31" max="31" width="11" bestFit="1" customWidth="1"/>
    <col min="32" max="32" width="12" bestFit="1" customWidth="1"/>
    <col min="33" max="34" width="11" bestFit="1" customWidth="1"/>
    <col min="35" max="35" width="12" bestFit="1" customWidth="1"/>
    <col min="36" max="36" width="10" bestFit="1" customWidth="1"/>
    <col min="37" max="37" width="5.5546875" customWidth="1"/>
    <col min="38" max="38" width="11.109375" bestFit="1" customWidth="1"/>
  </cols>
  <sheetData>
    <row r="1" spans="1:23" x14ac:dyDescent="0.3">
      <c r="A1" s="29"/>
      <c r="B1" s="29"/>
      <c r="C1" s="29"/>
      <c r="D1" s="29"/>
      <c r="E1" s="29"/>
      <c r="F1" s="29"/>
      <c r="G1" s="29"/>
      <c r="H1" s="29"/>
      <c r="I1" s="29"/>
      <c r="J1" s="29"/>
      <c r="K1" s="29"/>
      <c r="L1" s="29"/>
      <c r="M1" s="29"/>
      <c r="N1" s="29"/>
      <c r="O1" s="29"/>
      <c r="P1" s="29"/>
      <c r="Q1" s="29"/>
      <c r="R1" s="29"/>
      <c r="S1" s="29"/>
      <c r="T1" s="29"/>
      <c r="U1" s="29"/>
      <c r="V1" s="29"/>
      <c r="W1" s="29"/>
    </row>
    <row r="2" spans="1:23" x14ac:dyDescent="0.3">
      <c r="A2" s="29"/>
      <c r="B2" s="29"/>
      <c r="C2" s="29"/>
      <c r="D2" s="29"/>
      <c r="E2" s="29"/>
      <c r="F2" s="29"/>
      <c r="G2" s="29"/>
      <c r="H2" s="29"/>
      <c r="I2" s="29"/>
      <c r="J2" s="29"/>
      <c r="K2" s="29"/>
      <c r="L2" s="29"/>
      <c r="M2" s="29"/>
      <c r="N2" s="29"/>
      <c r="O2" s="29"/>
      <c r="P2" s="29"/>
      <c r="Q2" s="29"/>
      <c r="R2" s="29"/>
      <c r="S2" s="29"/>
      <c r="T2" s="29"/>
      <c r="U2" s="29"/>
      <c r="V2" s="29"/>
      <c r="W2" s="29"/>
    </row>
    <row r="3" spans="1:23" x14ac:dyDescent="0.3">
      <c r="A3" s="29"/>
      <c r="B3" s="29"/>
      <c r="C3" s="29"/>
      <c r="D3" s="29"/>
      <c r="E3" s="29"/>
      <c r="F3" s="29"/>
      <c r="G3" s="29"/>
      <c r="H3" s="29"/>
      <c r="I3" s="29"/>
      <c r="J3" s="29"/>
      <c r="K3" s="29"/>
      <c r="L3" s="29"/>
      <c r="M3" s="29"/>
      <c r="N3" s="29"/>
      <c r="O3" s="29"/>
      <c r="P3" s="29"/>
      <c r="Q3" s="29"/>
      <c r="R3" s="29"/>
      <c r="S3" s="29"/>
      <c r="T3" s="29"/>
      <c r="U3" s="29"/>
      <c r="V3" s="29"/>
      <c r="W3" s="29"/>
    </row>
    <row r="4" spans="1:23" x14ac:dyDescent="0.3">
      <c r="A4" s="29"/>
      <c r="B4" s="29"/>
      <c r="C4" s="29"/>
      <c r="D4" s="29"/>
      <c r="E4" s="29"/>
      <c r="F4" s="29"/>
      <c r="G4" s="29"/>
      <c r="H4" s="29"/>
      <c r="I4" s="29"/>
      <c r="J4" s="29"/>
      <c r="K4" s="29"/>
      <c r="L4" s="29"/>
      <c r="M4" s="29"/>
      <c r="N4" s="29"/>
      <c r="O4" s="29"/>
      <c r="P4" s="29"/>
      <c r="Q4" s="29"/>
      <c r="R4" s="29"/>
      <c r="S4" s="29"/>
      <c r="T4" s="29"/>
      <c r="U4" s="29"/>
      <c r="V4" s="29"/>
      <c r="W4" s="29"/>
    </row>
    <row r="5" spans="1:23" x14ac:dyDescent="0.3">
      <c r="A5" s="29"/>
      <c r="B5" s="29"/>
      <c r="C5" s="29"/>
      <c r="D5" s="29"/>
      <c r="E5" s="29"/>
      <c r="F5" s="29"/>
      <c r="G5" s="29"/>
      <c r="H5" s="29"/>
      <c r="I5" s="29"/>
      <c r="J5" s="29"/>
      <c r="K5" s="29"/>
      <c r="L5" s="29"/>
      <c r="M5" s="29"/>
      <c r="N5" s="29"/>
      <c r="O5" s="29"/>
      <c r="P5" s="29"/>
      <c r="Q5" s="29"/>
      <c r="R5" s="29"/>
      <c r="S5" s="29"/>
      <c r="T5" s="29"/>
      <c r="U5" s="29"/>
      <c r="V5" s="29"/>
      <c r="W5" s="29"/>
    </row>
    <row r="6" spans="1:23" x14ac:dyDescent="0.3">
      <c r="A6" s="29"/>
      <c r="B6" s="29"/>
      <c r="C6" s="29"/>
      <c r="D6" s="29"/>
      <c r="E6" s="29"/>
      <c r="F6" s="29"/>
      <c r="G6" s="29"/>
      <c r="H6" s="29"/>
      <c r="I6" s="29"/>
      <c r="J6" s="29"/>
      <c r="K6" s="29"/>
      <c r="L6" s="29"/>
      <c r="M6" s="29"/>
      <c r="N6" s="29"/>
      <c r="O6" s="29"/>
      <c r="P6" s="29"/>
      <c r="Q6" s="29"/>
      <c r="R6" s="29"/>
      <c r="S6" s="29"/>
      <c r="T6" s="29"/>
      <c r="U6" s="29"/>
      <c r="V6" s="29"/>
      <c r="W6" s="29"/>
    </row>
    <row r="7" spans="1:23" x14ac:dyDescent="0.3">
      <c r="A7" s="5" t="s">
        <v>242</v>
      </c>
      <c r="B7" s="5" t="s">
        <v>243</v>
      </c>
      <c r="U7" s="29"/>
      <c r="V7" s="29"/>
      <c r="W7" s="29"/>
    </row>
    <row r="8" spans="1:23" x14ac:dyDescent="0.3">
      <c r="B8" t="s">
        <v>75</v>
      </c>
      <c r="E8" t="s">
        <v>244</v>
      </c>
      <c r="F8" t="s">
        <v>245</v>
      </c>
      <c r="U8" s="29"/>
      <c r="V8" s="29"/>
      <c r="W8" s="29"/>
    </row>
    <row r="9" spans="1:23" x14ac:dyDescent="0.3">
      <c r="B9" t="s">
        <v>77</v>
      </c>
      <c r="D9" t="s">
        <v>246</v>
      </c>
      <c r="U9" s="29"/>
      <c r="V9" s="29"/>
      <c r="W9" s="29"/>
    </row>
    <row r="10" spans="1:23" x14ac:dyDescent="0.3">
      <c r="B10" t="s">
        <v>77</v>
      </c>
      <c r="C10" t="s">
        <v>246</v>
      </c>
      <c r="U10" s="29"/>
      <c r="V10" s="29"/>
      <c r="W10" s="29"/>
    </row>
    <row r="11" spans="1:23" x14ac:dyDescent="0.3">
      <c r="A11" s="5" t="s">
        <v>247</v>
      </c>
      <c r="B11" t="s">
        <v>77</v>
      </c>
      <c r="U11" s="29"/>
      <c r="V11" s="29"/>
      <c r="W11" s="29"/>
    </row>
    <row r="12" spans="1:23" x14ac:dyDescent="0.3">
      <c r="A12" s="6" t="s">
        <v>74</v>
      </c>
      <c r="B12" s="7">
        <v>-119.46221581464215</v>
      </c>
      <c r="C12" s="7">
        <v>-119.46221581464215</v>
      </c>
      <c r="D12" s="7">
        <v>-119.46221581464215</v>
      </c>
      <c r="E12" s="7">
        <v>-119.46221581464215</v>
      </c>
      <c r="F12" s="7">
        <v>-119.46221581464215</v>
      </c>
      <c r="U12" s="29"/>
      <c r="V12" s="29"/>
      <c r="W12" s="29"/>
    </row>
    <row r="13" spans="1:23" x14ac:dyDescent="0.3">
      <c r="A13" s="10" t="s">
        <v>73</v>
      </c>
      <c r="B13" s="7">
        <v>-119.46221581464215</v>
      </c>
      <c r="C13" s="7">
        <v>-119.46221581464215</v>
      </c>
      <c r="D13" s="7">
        <v>-119.46221581464215</v>
      </c>
      <c r="E13" s="7">
        <v>-119.46221581464215</v>
      </c>
      <c r="F13" s="7">
        <v>-119.46221581464215</v>
      </c>
      <c r="U13" s="29"/>
      <c r="V13" s="29"/>
      <c r="W13" s="29"/>
    </row>
    <row r="14" spans="1:23" x14ac:dyDescent="0.3">
      <c r="A14" s="6" t="s">
        <v>96</v>
      </c>
      <c r="B14" s="7">
        <v>1623.9395737315735</v>
      </c>
      <c r="C14" s="7">
        <v>1623.9395737315735</v>
      </c>
      <c r="D14" s="7">
        <v>1623.9395737315735</v>
      </c>
      <c r="E14" s="7">
        <v>1623.9395737315735</v>
      </c>
      <c r="F14" s="7">
        <v>1623.9395737315735</v>
      </c>
      <c r="U14" s="29"/>
      <c r="V14" s="29"/>
      <c r="W14" s="29"/>
    </row>
    <row r="15" spans="1:23" x14ac:dyDescent="0.3">
      <c r="A15" s="10" t="s">
        <v>73</v>
      </c>
      <c r="B15" s="7">
        <v>1623.9395737315735</v>
      </c>
      <c r="C15" s="7">
        <v>1623.9395737315735</v>
      </c>
      <c r="D15" s="7">
        <v>1623.9395737315735</v>
      </c>
      <c r="E15" s="7">
        <v>1623.9395737315735</v>
      </c>
      <c r="F15" s="7">
        <v>1623.9395737315735</v>
      </c>
      <c r="U15" s="29"/>
      <c r="V15" s="29"/>
      <c r="W15" s="29"/>
    </row>
    <row r="16" spans="1:23" x14ac:dyDescent="0.3">
      <c r="A16" s="6" t="s">
        <v>91</v>
      </c>
      <c r="B16" s="7">
        <v>2442.9146204696826</v>
      </c>
      <c r="C16" s="7">
        <v>2442.9146204696826</v>
      </c>
      <c r="D16" s="7">
        <v>2442.9146204696826</v>
      </c>
      <c r="E16" s="7">
        <v>2442.9146204696826</v>
      </c>
      <c r="F16" s="7">
        <v>2442.9146204696826</v>
      </c>
      <c r="U16" s="29"/>
      <c r="V16" s="29"/>
      <c r="W16" s="29"/>
    </row>
    <row r="17" spans="1:23" x14ac:dyDescent="0.3">
      <c r="A17" s="10" t="s">
        <v>73</v>
      </c>
      <c r="B17" s="7">
        <v>2442.9146204696826</v>
      </c>
      <c r="C17" s="7">
        <v>2442.9146204696826</v>
      </c>
      <c r="D17" s="7">
        <v>2442.9146204696826</v>
      </c>
      <c r="E17" s="7">
        <v>2442.9146204696826</v>
      </c>
      <c r="F17" s="7">
        <v>2442.9146204696826</v>
      </c>
      <c r="U17" s="29"/>
      <c r="V17" s="29"/>
      <c r="W17" s="29"/>
    </row>
    <row r="18" spans="1:23" x14ac:dyDescent="0.3">
      <c r="A18" s="6" t="s">
        <v>245</v>
      </c>
      <c r="B18" s="7">
        <v>-119.46221581464215</v>
      </c>
      <c r="C18" s="7">
        <v>-119.46221581464215</v>
      </c>
      <c r="D18" s="7">
        <v>-119.46221581464215</v>
      </c>
      <c r="E18" s="7">
        <v>-119.46221581464215</v>
      </c>
      <c r="F18" s="7">
        <v>-119.46221581464215</v>
      </c>
      <c r="U18" s="29"/>
      <c r="V18" s="29"/>
      <c r="W18" s="29"/>
    </row>
    <row r="19" spans="1:23" x14ac:dyDescent="0.3">
      <c r="U19" s="29"/>
      <c r="V19" s="29"/>
      <c r="W19" s="29"/>
    </row>
    <row r="20" spans="1:23" x14ac:dyDescent="0.3">
      <c r="U20" s="29"/>
      <c r="V20" s="29"/>
      <c r="W20" s="29"/>
    </row>
    <row r="21" spans="1:23" x14ac:dyDescent="0.3">
      <c r="O21" s="29"/>
      <c r="P21" s="29"/>
      <c r="Q21" s="29"/>
      <c r="R21" s="29"/>
      <c r="S21" s="29"/>
      <c r="T21" s="29"/>
      <c r="U21" s="29"/>
      <c r="V21" s="29"/>
      <c r="W21" s="29"/>
    </row>
    <row r="22" spans="1:23" x14ac:dyDescent="0.3">
      <c r="O22" s="29"/>
      <c r="P22" s="29"/>
      <c r="Q22" s="29"/>
      <c r="R22" s="29"/>
      <c r="S22" s="29"/>
      <c r="T22" s="29"/>
      <c r="U22" s="29"/>
      <c r="V22" s="29"/>
      <c r="W22" s="29"/>
    </row>
    <row r="23" spans="1:23" x14ac:dyDescent="0.3">
      <c r="O23" s="29"/>
      <c r="P23" s="29"/>
      <c r="Q23" s="29"/>
      <c r="R23" s="29"/>
      <c r="S23" s="29"/>
      <c r="T23" s="29"/>
      <c r="U23" s="29"/>
      <c r="V23" s="29"/>
      <c r="W23" s="29"/>
    </row>
    <row r="24" spans="1:23" x14ac:dyDescent="0.3">
      <c r="O24" s="29"/>
      <c r="P24" s="29"/>
      <c r="Q24" s="29"/>
      <c r="R24" s="29"/>
      <c r="S24" s="29"/>
      <c r="T24" s="29"/>
      <c r="U24" s="29"/>
      <c r="V24" s="29"/>
      <c r="W24" s="29"/>
    </row>
    <row r="25" spans="1:23" x14ac:dyDescent="0.3">
      <c r="A25" s="29"/>
      <c r="B25" s="29"/>
      <c r="C25" s="29"/>
      <c r="D25" s="29"/>
      <c r="E25" s="29"/>
      <c r="F25" s="29"/>
      <c r="G25" s="29"/>
      <c r="H25" s="30"/>
      <c r="I25" s="30"/>
      <c r="J25" s="29"/>
      <c r="K25" s="29"/>
      <c r="L25" s="29"/>
      <c r="M25" s="29"/>
      <c r="N25" s="29"/>
      <c r="O25" s="29"/>
      <c r="P25" s="29"/>
      <c r="Q25" s="29"/>
      <c r="R25" s="29"/>
      <c r="S25" s="29"/>
      <c r="T25" s="29"/>
      <c r="U25" s="29"/>
      <c r="V25" s="29"/>
      <c r="W25" s="29"/>
    </row>
    <row r="26" spans="1:23" x14ac:dyDescent="0.3">
      <c r="A26" s="29"/>
      <c r="B26" s="29"/>
      <c r="C26" s="29"/>
      <c r="D26" s="29"/>
      <c r="E26" s="29"/>
      <c r="F26" s="29"/>
      <c r="G26" s="29"/>
      <c r="H26" s="30"/>
      <c r="I26" s="30"/>
      <c r="J26" s="29"/>
      <c r="K26" s="29"/>
      <c r="L26" s="29"/>
      <c r="M26" s="29"/>
      <c r="N26" s="29"/>
      <c r="O26" s="29"/>
      <c r="P26" s="29"/>
    </row>
    <row r="27" spans="1:23" x14ac:dyDescent="0.3">
      <c r="A27" s="29"/>
      <c r="B27" s="29"/>
      <c r="C27" s="29"/>
      <c r="D27" s="29"/>
      <c r="E27" s="29"/>
      <c r="F27" s="29"/>
      <c r="G27" s="30"/>
      <c r="H27" s="30"/>
      <c r="I27" s="30"/>
      <c r="J27" s="29"/>
      <c r="K27" s="29"/>
      <c r="L27" s="29"/>
      <c r="M27" s="29"/>
      <c r="N27" s="29"/>
      <c r="O27" s="29"/>
      <c r="P27" s="29"/>
    </row>
    <row r="28" spans="1:23" x14ac:dyDescent="0.3">
      <c r="A28" s="29"/>
      <c r="B28" s="29"/>
      <c r="C28" s="29"/>
      <c r="D28" s="29"/>
      <c r="E28" s="29"/>
      <c r="F28" s="29"/>
      <c r="G28" s="30"/>
      <c r="H28" s="30"/>
      <c r="I28" s="30"/>
      <c r="J28" s="29"/>
      <c r="K28" s="29"/>
      <c r="L28" s="29"/>
      <c r="M28" s="29"/>
      <c r="N28" s="29"/>
      <c r="O28" s="29"/>
      <c r="P28" s="29"/>
    </row>
    <row r="29" spans="1:23" x14ac:dyDescent="0.3">
      <c r="A29" s="29"/>
      <c r="B29" s="29"/>
      <c r="C29" s="29"/>
      <c r="D29" s="29"/>
      <c r="E29" s="29"/>
      <c r="F29" s="29"/>
      <c r="G29" s="30"/>
      <c r="H29" s="30"/>
      <c r="I29" s="30"/>
      <c r="J29" s="29"/>
      <c r="K29" s="29"/>
      <c r="L29" s="29"/>
      <c r="M29" s="29"/>
      <c r="N29" s="29"/>
      <c r="O29" s="29"/>
      <c r="P29" s="29"/>
    </row>
    <row r="30" spans="1:23" x14ac:dyDescent="0.3">
      <c r="A30" s="29"/>
      <c r="B30" s="29"/>
      <c r="C30" s="29"/>
      <c r="D30" s="29"/>
      <c r="E30" s="29"/>
      <c r="F30" s="29"/>
      <c r="G30" s="29"/>
      <c r="H30" s="29"/>
      <c r="I30" s="29"/>
      <c r="J30" s="29"/>
      <c r="K30" s="29"/>
      <c r="L30" s="29"/>
      <c r="M30" s="29"/>
      <c r="N30" s="29"/>
      <c r="O30" s="29"/>
      <c r="P30" s="29"/>
    </row>
    <row r="31" spans="1:23" x14ac:dyDescent="0.3">
      <c r="A31" s="29"/>
      <c r="B31" s="29"/>
      <c r="C31" s="29"/>
      <c r="D31" s="29"/>
      <c r="E31" s="29"/>
      <c r="F31" s="29"/>
      <c r="G31" s="29"/>
      <c r="H31" s="29"/>
      <c r="I31" s="29"/>
      <c r="J31" s="29"/>
      <c r="K31" s="29"/>
      <c r="L31" s="29"/>
      <c r="M31" s="29"/>
      <c r="N31" s="29"/>
      <c r="O31" s="29"/>
      <c r="P31" s="29"/>
    </row>
    <row r="32" spans="1:23" x14ac:dyDescent="0.3">
      <c r="A32" s="29"/>
      <c r="B32" s="29"/>
      <c r="C32" s="29"/>
      <c r="D32" s="29"/>
      <c r="E32" s="29"/>
      <c r="F32" s="29"/>
      <c r="G32" s="29"/>
      <c r="H32" s="29"/>
      <c r="I32" s="29"/>
      <c r="J32" s="29"/>
      <c r="K32" s="29"/>
      <c r="L32" s="29"/>
      <c r="M32" s="29"/>
      <c r="N32" s="29"/>
      <c r="O32" s="29"/>
      <c r="P32" s="29"/>
    </row>
    <row r="33" spans="1:16" x14ac:dyDescent="0.3">
      <c r="A33" s="29"/>
      <c r="B33" s="29"/>
      <c r="C33" s="29"/>
      <c r="D33" s="29"/>
      <c r="E33" s="29"/>
      <c r="F33" s="29"/>
      <c r="G33" s="29"/>
      <c r="H33" s="29"/>
      <c r="I33" s="29"/>
      <c r="J33" s="29"/>
      <c r="K33" s="29"/>
      <c r="L33" s="29"/>
      <c r="M33" s="29"/>
      <c r="N33" s="29"/>
      <c r="O33" s="29"/>
      <c r="P33" s="29"/>
    </row>
    <row r="34" spans="1:16" x14ac:dyDescent="0.3">
      <c r="A34" s="29"/>
      <c r="B34" s="29"/>
      <c r="C34" s="29"/>
      <c r="D34" s="29"/>
      <c r="E34" s="29"/>
      <c r="F34" s="29"/>
      <c r="G34" s="29"/>
      <c r="H34" s="29"/>
      <c r="I34" s="29"/>
      <c r="J34" s="29"/>
      <c r="K34" s="29"/>
      <c r="L34" s="29"/>
      <c r="M34" s="29"/>
      <c r="N34" s="29"/>
      <c r="O34" s="29"/>
      <c r="P34" s="29"/>
    </row>
    <row r="35" spans="1:16" x14ac:dyDescent="0.3">
      <c r="A35" s="29"/>
      <c r="B35" s="29"/>
      <c r="C35" s="29"/>
      <c r="D35" s="29"/>
      <c r="E35" s="29"/>
      <c r="F35" s="29"/>
      <c r="G35" s="29"/>
      <c r="H35" s="29"/>
      <c r="I35" s="29"/>
      <c r="J35" s="29"/>
      <c r="K35" s="29"/>
      <c r="L35" s="29"/>
      <c r="M35" s="29"/>
      <c r="N35" s="29"/>
      <c r="O35" s="29"/>
      <c r="P35" s="29"/>
    </row>
    <row r="36" spans="1:16" x14ac:dyDescent="0.3">
      <c r="A36" s="29"/>
      <c r="B36" s="29"/>
      <c r="C36" s="29"/>
      <c r="D36" s="29"/>
      <c r="E36" s="29"/>
      <c r="F36" s="29"/>
      <c r="G36" s="29"/>
      <c r="H36" s="29"/>
      <c r="I36" s="29"/>
      <c r="J36" s="29"/>
      <c r="K36" s="29"/>
      <c r="L36" s="29"/>
      <c r="M36" s="29"/>
      <c r="N36" s="29"/>
      <c r="O36" s="29"/>
      <c r="P36" s="29"/>
    </row>
    <row r="37" spans="1:16" x14ac:dyDescent="0.3">
      <c r="A37" s="29"/>
      <c r="B37" s="29"/>
      <c r="C37" s="29"/>
      <c r="D37" s="29"/>
      <c r="E37" s="29"/>
      <c r="F37" s="29"/>
      <c r="G37" s="29"/>
      <c r="H37" s="29"/>
      <c r="I37" s="29"/>
      <c r="J37" s="29"/>
      <c r="K37" s="29"/>
      <c r="L37" s="29"/>
      <c r="M37" s="29"/>
      <c r="N37" s="29"/>
      <c r="O37" s="29"/>
      <c r="P37" s="29"/>
    </row>
    <row r="38" spans="1:16" x14ac:dyDescent="0.3">
      <c r="A38" s="29"/>
      <c r="B38" s="29"/>
      <c r="C38" s="29"/>
      <c r="D38" s="29"/>
      <c r="E38" s="29"/>
      <c r="F38" s="29"/>
      <c r="G38" s="29"/>
      <c r="H38" s="29"/>
      <c r="I38" s="29"/>
      <c r="J38" s="29"/>
      <c r="K38" s="29"/>
      <c r="L38" s="29"/>
      <c r="M38" s="29"/>
      <c r="N38" s="29"/>
      <c r="O38" s="29"/>
      <c r="P38" s="29"/>
    </row>
    <row r="39" spans="1:16" x14ac:dyDescent="0.3">
      <c r="A39" s="29"/>
      <c r="B39" s="29"/>
      <c r="C39" s="29"/>
      <c r="D39" s="29"/>
      <c r="E39" s="29"/>
      <c r="F39" s="29"/>
      <c r="G39" s="29"/>
      <c r="H39" s="29"/>
      <c r="I39" s="29"/>
      <c r="J39" s="29"/>
      <c r="K39" s="29"/>
      <c r="L39" s="29"/>
      <c r="M39" s="29"/>
      <c r="N39" s="29"/>
      <c r="O39" s="29"/>
      <c r="P39" s="29"/>
    </row>
    <row r="40" spans="1:16" x14ac:dyDescent="0.3">
      <c r="A40" s="29"/>
      <c r="B40" s="29"/>
      <c r="C40" s="29"/>
      <c r="D40" s="29"/>
      <c r="E40" s="29"/>
      <c r="F40" s="29"/>
      <c r="G40" s="29"/>
      <c r="H40" s="29"/>
      <c r="I40" s="29"/>
      <c r="J40" s="29"/>
      <c r="K40" s="29"/>
      <c r="L40" s="29"/>
      <c r="M40" s="29"/>
      <c r="N40" s="29"/>
      <c r="O40" s="29"/>
      <c r="P40" s="29"/>
    </row>
    <row r="41" spans="1:16" x14ac:dyDescent="0.3">
      <c r="A41" s="29"/>
      <c r="B41" s="29"/>
      <c r="C41" s="29"/>
      <c r="D41" s="29"/>
      <c r="E41" s="29"/>
      <c r="F41" s="29"/>
      <c r="G41" s="29"/>
      <c r="H41" s="29"/>
      <c r="I41" s="29"/>
      <c r="J41" s="29"/>
      <c r="K41" s="29"/>
      <c r="L41" s="29"/>
      <c r="M41" s="29"/>
      <c r="N41" s="29"/>
      <c r="O41" s="29"/>
      <c r="P41" s="29"/>
    </row>
    <row r="42" spans="1:16" x14ac:dyDescent="0.3">
      <c r="A42" s="29"/>
      <c r="B42" s="29"/>
      <c r="C42" s="29"/>
      <c r="D42" s="29"/>
      <c r="E42" s="29"/>
      <c r="F42" s="29"/>
      <c r="G42" s="29"/>
      <c r="H42" s="29"/>
      <c r="I42" s="29"/>
      <c r="J42" s="29"/>
      <c r="K42" s="29"/>
      <c r="L42" s="29"/>
      <c r="M42" s="29"/>
      <c r="N42" s="29"/>
      <c r="O42" s="29"/>
      <c r="P42" s="29"/>
    </row>
    <row r="43" spans="1:16" x14ac:dyDescent="0.3">
      <c r="A43" s="29"/>
      <c r="B43" s="29"/>
      <c r="C43" s="29"/>
      <c r="D43" s="29"/>
      <c r="E43" s="29"/>
      <c r="F43" s="29"/>
      <c r="G43" s="29"/>
      <c r="H43" s="29"/>
      <c r="I43" s="29"/>
      <c r="J43" s="29"/>
      <c r="K43" s="29"/>
      <c r="L43" s="29"/>
      <c r="M43" s="29"/>
      <c r="N43" s="29"/>
      <c r="O43" s="29"/>
      <c r="P43" s="29"/>
    </row>
    <row r="44" spans="1:16" x14ac:dyDescent="0.3">
      <c r="A44" s="29"/>
      <c r="B44" s="29"/>
      <c r="C44" s="29"/>
      <c r="D44" s="29"/>
      <c r="E44" s="29"/>
      <c r="F44" s="29"/>
      <c r="G44" s="29"/>
      <c r="H44" s="29"/>
      <c r="I44" s="29"/>
      <c r="J44" s="29"/>
      <c r="K44" s="29"/>
      <c r="L44" s="29"/>
      <c r="M44" s="29"/>
      <c r="N44" s="29"/>
      <c r="O44" s="29"/>
      <c r="P44" s="29"/>
    </row>
    <row r="45" spans="1:16" x14ac:dyDescent="0.3">
      <c r="A45" s="29"/>
      <c r="B45" s="29"/>
      <c r="C45" s="29"/>
      <c r="D45" s="29"/>
      <c r="E45" s="29"/>
      <c r="F45" s="29"/>
      <c r="G45" s="29"/>
      <c r="H45" s="29"/>
      <c r="I45" s="29"/>
      <c r="J45" s="29"/>
      <c r="K45" s="29"/>
      <c r="L45" s="29"/>
      <c r="M45" s="29"/>
      <c r="N45" s="29"/>
      <c r="O45" s="29"/>
      <c r="P45" s="29"/>
    </row>
    <row r="46" spans="1:16" x14ac:dyDescent="0.3">
      <c r="A46" s="29"/>
      <c r="B46" s="29"/>
      <c r="C46" s="29"/>
      <c r="D46" s="29"/>
      <c r="E46" s="29"/>
      <c r="F46" s="29"/>
      <c r="G46" s="29"/>
      <c r="H46" s="29"/>
      <c r="I46" s="29"/>
      <c r="J46" s="29"/>
      <c r="K46" s="29"/>
      <c r="L46" s="29"/>
      <c r="M46" s="29"/>
      <c r="N46" s="29"/>
      <c r="O46" s="29"/>
      <c r="P46" s="29"/>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SharedWithUsers xmlns="d14d0c0b-13ee-4290-8980-30b4db330847">
      <UserInfo>
        <DisplayName/>
        <AccountId xsi:nil="true"/>
        <AccountType/>
      </UserInfo>
    </SharedWithUsers>
    <_dlc_DocId xmlns="a53cf8a9-81ff-4583-b76a-f8057a43c85c">55EAVHMDKNRW-187398370-663</_dlc_DocId>
    <_dlc_DocIdUrl xmlns="a53cf8a9-81ff-4583-b76a-f8057a43c85c">
      <Url>https://carb.sharepoint.com/STCD/ACCB2/_layouts/15/DocIdRedir.aspx?ID=55EAVHMDKNRW-187398370-663</Url>
      <Description>55EAVHMDKNRW-187398370-663</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ocument" ma:contentTypeID="0x010100B609E9CB62415842B12C11809EE1B06C" ma:contentTypeVersion="1122" ma:contentTypeDescription="Create a new document." ma:contentTypeScope="" ma:versionID="9f46771a6cc01f31b93d7c0deeeb2dca">
  <xsd:schema xmlns:xsd="http://www.w3.org/2001/XMLSchema" xmlns:xs="http://www.w3.org/2001/XMLSchema" xmlns:p="http://schemas.microsoft.com/office/2006/metadata/properties" xmlns:ns2="a53cf8a9-81ff-4583-b76a-f8057a43c85c" xmlns:ns3="d14d0c0b-13ee-4290-8980-30b4db330847" xmlns:ns4="7e853b35-4d73-4883-8964-6728aa3b71a6" targetNamespace="http://schemas.microsoft.com/office/2006/metadata/properties" ma:root="true" ma:fieldsID="6fb0520ece944c1c258f02af504aa4da" ns2:_="" ns3:_="" ns4:_="">
    <xsd:import namespace="a53cf8a9-81ff-4583-b76a-f8057a43c85c"/>
    <xsd:import namespace="d14d0c0b-13ee-4290-8980-30b4db330847"/>
    <xsd:import namespace="7e853b35-4d73-4883-8964-6728aa3b71a6"/>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element ref="ns3:MediaServiceMetadata" minOccurs="0"/>
                <xsd:element ref="ns3:MediaServiceFastMetadata"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3cf8a9-81ff-4583-b76a-f8057a43c85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14d0c0b-13ee-4290-8980-30b4db330847" elementFormDefault="qualified">
    <xsd:import namespace="http://schemas.microsoft.com/office/2006/documentManagement/types"/>
    <xsd:import namespace="http://schemas.microsoft.com/office/infopath/2007/PartnerControls"/>
    <xsd:element name="SharedWithUsers" ma:index="11" nillable="true" ma:displayName="Shared With" ma:list="UserInfo" ma:SearchPeopleOnly="false" ma:internalName="SharedWithUsers"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e853b35-4d73-4883-8964-6728aa3b71a6" elementFormDefault="qualified">
    <xsd:import namespace="http://schemas.microsoft.com/office/2006/documentManagement/types"/>
    <xsd:import namespace="http://schemas.microsoft.com/office/infopath/2007/PartnerControls"/>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1A9D69-3EBF-49BD-84A2-DBCE8C02A842}">
  <ds:schemaRefs>
    <ds:schemaRef ds:uri="http://schemas.microsoft.com/DataMashup"/>
  </ds:schemaRefs>
</ds:datastoreItem>
</file>

<file path=customXml/itemProps2.xml><?xml version="1.0" encoding="utf-8"?>
<ds:datastoreItem xmlns:ds="http://schemas.openxmlformats.org/officeDocument/2006/customXml" ds:itemID="{B1446F7F-3C48-4CEE-90C8-73F06F571E2E}">
  <ds:schemaRefs>
    <ds:schemaRef ds:uri="http://purl.org/dc/elements/1.1/"/>
    <ds:schemaRef ds:uri="a53cf8a9-81ff-4583-b76a-f8057a43c85c"/>
    <ds:schemaRef ds:uri="7e853b35-4d73-4883-8964-6728aa3b71a6"/>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 ds:uri="http://schemas.microsoft.com/office/infopath/2007/PartnerControls"/>
    <ds:schemaRef ds:uri="d14d0c0b-13ee-4290-8980-30b4db330847"/>
    <ds:schemaRef ds:uri="http://purl.org/dc/dcmitype/"/>
    <ds:schemaRef ds:uri="http://purl.org/dc/terms/"/>
  </ds:schemaRefs>
</ds:datastoreItem>
</file>

<file path=customXml/itemProps3.xml><?xml version="1.0" encoding="utf-8"?>
<ds:datastoreItem xmlns:ds="http://schemas.openxmlformats.org/officeDocument/2006/customXml" ds:itemID="{31C11E67-65D5-4D95-A8FA-D70BE20FDF3F}">
  <ds:schemaRefs>
    <ds:schemaRef ds:uri="http://schemas.microsoft.com/sharepoint/events"/>
  </ds:schemaRefs>
</ds:datastoreItem>
</file>

<file path=customXml/itemProps4.xml><?xml version="1.0" encoding="utf-8"?>
<ds:datastoreItem xmlns:ds="http://schemas.openxmlformats.org/officeDocument/2006/customXml" ds:itemID="{DC541950-29B9-4DA8-9B81-2ADA5DC8C08C}">
  <ds:schemaRefs>
    <ds:schemaRef ds:uri="http://schemas.microsoft.com/sharepoint/v3/contenttype/forms"/>
  </ds:schemaRefs>
</ds:datastoreItem>
</file>

<file path=customXml/itemProps5.xml><?xml version="1.0" encoding="utf-8"?>
<ds:datastoreItem xmlns:ds="http://schemas.openxmlformats.org/officeDocument/2006/customXml" ds:itemID="{789229AD-8AEE-48B0-BFAF-0CB9922843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3cf8a9-81ff-4583-b76a-f8057a43c85c"/>
    <ds:schemaRef ds:uri="d14d0c0b-13ee-4290-8980-30b4db330847"/>
    <ds:schemaRef ds:uri="7e853b35-4d73-4883-8964-6728aa3b71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73</vt:i4>
      </vt:variant>
    </vt:vector>
  </HeadingPairs>
  <TitlesOfParts>
    <vt:vector size="103" baseType="lpstr">
      <vt:lpstr>Overview</vt:lpstr>
      <vt:lpstr>References</vt:lpstr>
      <vt:lpstr>Vehicle Attributes Overview</vt:lpstr>
      <vt:lpstr>BEV</vt:lpstr>
      <vt:lpstr>PHEV</vt:lpstr>
      <vt:lpstr>FCEV</vt:lpstr>
      <vt:lpstr>Vehicle Attributes - Base Year</vt:lpstr>
      <vt:lpstr>Battery Capacity</vt:lpstr>
      <vt:lpstr>Battery Costs</vt:lpstr>
      <vt:lpstr>Motor Power</vt:lpstr>
      <vt:lpstr>Non-Battery Cost Input</vt:lpstr>
      <vt:lpstr>Non-Battery Costs</vt:lpstr>
      <vt:lpstr>Fuel Cell Tank Size</vt:lpstr>
      <vt:lpstr>Fuel Cell Tank Cost</vt:lpstr>
      <vt:lpstr>Fuel Cell Stack Power</vt:lpstr>
      <vt:lpstr>Fuel Cell Stack Cost</vt:lpstr>
      <vt:lpstr>Rolled Up Non-Incremental Costs</vt:lpstr>
      <vt:lpstr>ICE Removal Cost</vt:lpstr>
      <vt:lpstr>Trans Removal Cost</vt:lpstr>
      <vt:lpstr>LEV3 Criteria Emissions Cost</vt:lpstr>
      <vt:lpstr>Current GHG Compliance</vt:lpstr>
      <vt:lpstr>ACCII Criteria Compliance Cost</vt:lpstr>
      <vt:lpstr>ACCII GHG Compliance</vt:lpstr>
      <vt:lpstr>ZEV Assembly Reductions</vt:lpstr>
      <vt:lpstr>Cold Weather Package</vt:lpstr>
      <vt:lpstr>eAWD Package</vt:lpstr>
      <vt:lpstr>Towing Package - Additional Bat</vt:lpstr>
      <vt:lpstr>Towing Bat Cost</vt:lpstr>
      <vt:lpstr>Incremental Cost</vt:lpstr>
      <vt:lpstr>Incremental Cost Pivot</vt:lpstr>
      <vt:lpstr>'ACCII GHG Compliance'!asdf</vt:lpstr>
      <vt:lpstr>'Current GHG Compliance'!asdf</vt:lpstr>
      <vt:lpstr>asdf</vt:lpstr>
      <vt:lpstr>AWD_eMotor_Additional_Power</vt:lpstr>
      <vt:lpstr>BEV_Annual_Efficiency_Improvement</vt:lpstr>
      <vt:lpstr>BEV_Annual_Motor_Power_Reduction</vt:lpstr>
      <vt:lpstr>BEV_Battery_SOC_Utilization</vt:lpstr>
      <vt:lpstr>BEV_Efficiency</vt:lpstr>
      <vt:lpstr>BEV_Efficiency_Improvement</vt:lpstr>
      <vt:lpstr>BEV_Efficiency_VehClass</vt:lpstr>
      <vt:lpstr>BEV_Efficiency_Year</vt:lpstr>
      <vt:lpstr>'ACCII Criteria Compliance Cost'!BEV_eMotor_Power</vt:lpstr>
      <vt:lpstr>'ACCII GHG Compliance'!BEV_eMotor_Power</vt:lpstr>
      <vt:lpstr>'Current GHG Compliance'!BEV_eMotor_Power</vt:lpstr>
      <vt:lpstr>BEV_eMotor_Power</vt:lpstr>
      <vt:lpstr>BEV_eMotor_Power_VehClass</vt:lpstr>
      <vt:lpstr>BEV_eMotor_Power_Year</vt:lpstr>
      <vt:lpstr>BEV_Range</vt:lpstr>
      <vt:lpstr>BEV_Range_VehClass</vt:lpstr>
      <vt:lpstr>BEV_Range_Year</vt:lpstr>
      <vt:lpstr>BEV_TBE</vt:lpstr>
      <vt:lpstr>BEV_TBE_VehClass</vt:lpstr>
      <vt:lpstr>BEV_TBE_Year</vt:lpstr>
      <vt:lpstr>BEV_UBE</vt:lpstr>
      <vt:lpstr>BEV_UBE_VehClass</vt:lpstr>
      <vt:lpstr>BEV_UBE_Year</vt:lpstr>
      <vt:lpstr>FCEV_eMotor_Power</vt:lpstr>
      <vt:lpstr>FCEV_eMotor_Power_VehClass</vt:lpstr>
      <vt:lpstr>FCEV_eMotor_Power_Year</vt:lpstr>
      <vt:lpstr>FCEV_H2_Efficiency</vt:lpstr>
      <vt:lpstr>FCEV_H2_Efficiency_VehClass</vt:lpstr>
      <vt:lpstr>FCEV_H2_Efficiency_Year</vt:lpstr>
      <vt:lpstr>FCEV_Range</vt:lpstr>
      <vt:lpstr>FCEV_Range_VehClass</vt:lpstr>
      <vt:lpstr>FCEV_Range_Year</vt:lpstr>
      <vt:lpstr>FCEV_StackSize</vt:lpstr>
      <vt:lpstr>FCEV_StackSize_VehClass</vt:lpstr>
      <vt:lpstr>FCEV_StackSize_Year</vt:lpstr>
      <vt:lpstr>FCEV_TankSize</vt:lpstr>
      <vt:lpstr>FCEV_TankSize_VehClass</vt:lpstr>
      <vt:lpstr>FCEV_TankSize_Year</vt:lpstr>
      <vt:lpstr>FCEV_TBE</vt:lpstr>
      <vt:lpstr>FCEV_TBE_VehClass</vt:lpstr>
      <vt:lpstr>FCEV_TBE_Year</vt:lpstr>
      <vt:lpstr>FCEV_UBE</vt:lpstr>
      <vt:lpstr>FCEV_UBE_VehClass</vt:lpstr>
      <vt:lpstr>FCEV_UBE_Year</vt:lpstr>
      <vt:lpstr>Final_PHEV_Battery_SOC_Utilization</vt:lpstr>
      <vt:lpstr>IncrementalCost</vt:lpstr>
      <vt:lpstr>Intial_PHEV_Battery_SOC_Utilization</vt:lpstr>
      <vt:lpstr>Lookup_Year</vt:lpstr>
      <vt:lpstr>Non_Battery_Annual_Cost_Reduction</vt:lpstr>
      <vt:lpstr>PHEV_Annual_Efficiency_Improvement</vt:lpstr>
      <vt:lpstr>PHEV_Annual_Motor_Power_Reduction</vt:lpstr>
      <vt:lpstr>PHEV_Battery_SOC_Utilization</vt:lpstr>
      <vt:lpstr>PHEV_Efficiency</vt:lpstr>
      <vt:lpstr>PHEV_Efficiency_VehClass</vt:lpstr>
      <vt:lpstr>PHEV_Efficiency_Year</vt:lpstr>
      <vt:lpstr>PHEV_eMotor_Power</vt:lpstr>
      <vt:lpstr>PHEV_eMotor_Power_VehClass</vt:lpstr>
      <vt:lpstr>PHEV_eMotor_Power_Year</vt:lpstr>
      <vt:lpstr>PHEV_Range</vt:lpstr>
      <vt:lpstr>PHEV_Range_VehClass</vt:lpstr>
      <vt:lpstr>PHEV_Range_Year</vt:lpstr>
      <vt:lpstr>PHEV_TBE</vt:lpstr>
      <vt:lpstr>PHEV_TBE_VehClass</vt:lpstr>
      <vt:lpstr>PHEV_TBE_Year</vt:lpstr>
      <vt:lpstr>PHEV_UBE</vt:lpstr>
      <vt:lpstr>PHEV_UBE_VehClass</vt:lpstr>
      <vt:lpstr>PHEV_UBE_Year</vt:lpstr>
      <vt:lpstr>ReferencesTable</vt:lpstr>
      <vt:lpstr>Towing_Package_Annual_Efficiency</vt:lpstr>
      <vt:lpstr>Towing_Package_Annual_Efficiency_Improvement</vt:lpstr>
    </vt:vector>
  </TitlesOfParts>
  <Manager/>
  <Company>CARB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Hart, Ryan@ARB</dc:creator>
  <cp:keywords/>
  <dc:description/>
  <cp:lastModifiedBy>Palmer, Stephanie@ARB</cp:lastModifiedBy>
  <cp:revision/>
  <dcterms:created xsi:type="dcterms:W3CDTF">2021-03-16T15:24:34Z</dcterms:created>
  <dcterms:modified xsi:type="dcterms:W3CDTF">2021-11-02T17:28:09Z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0x010100B609E9CB62415842B12C11809EE1B06C</vt:lpwstr>
  </property>
  <property fmtid="{D5CDD505-2E9C-101B-9397-08002B2CF9AE}" pid="3" name="_dlc_DocIdItemGuid">
    <vt:lpwstr>0310e15f-0cd0-4452-85c8-d7dc3a818635</vt:lpwstr>
  </property>
</Properties>
</file>