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codeName="ThisWorkbook" defaultThemeVersion="124226"/>
  <mc:AlternateContent xmlns:mc="http://schemas.openxmlformats.org/markup-compatibility/2006">
    <mc:Choice Requires="x15">
      <x15ac:absPath xmlns:x15ac="http://schemas.microsoft.com/office/spreadsheetml/2010/11/ac" url="/Users/talhelm/Google Drive/CARB/"/>
    </mc:Choice>
  </mc:AlternateContent>
  <xr:revisionPtr revIDLastSave="0" documentId="13_ncr:1_{FBEC7CAD-1805-0946-824B-CE5695274642}" xr6:coauthVersionLast="47" xr6:coauthVersionMax="47" xr10:uidLastSave="{00000000-0000-0000-0000-000000000000}"/>
  <workbookProtection workbookAlgorithmName="SHA-512" workbookHashValue="j0+JlZ5//VKYWKir04k5ag90pJAfxDcAa8nhQ/AT6RMonuq3mJRMHlQ/pTD4B3hmTzbASZ0v+1lrjY1V9+mx8A==" workbookSaltValue="rDku7Q7v7prSbmJfsU3VZQ==" workbookSpinCount="100000" lockStructure="1"/>
  <bookViews>
    <workbookView xWindow="1840" yWindow="1360" windowWidth="26960" windowHeight="14100" tabRatio="808" xr2:uid="{00000000-000D-0000-FFFF-FFFF00000000}"/>
  </bookViews>
  <sheets>
    <sheet name="Read Me" sheetId="9" r:id="rId1"/>
    <sheet name="Definitions" sheetId="12" r:id="rId2"/>
    <sheet name="Reforestation" sheetId="2" r:id="rId3"/>
    <sheet name="Pest Management" sheetId="18" r:id="rId4"/>
    <sheet name="Fuels Reduction" sheetId="4" r:id="rId5"/>
    <sheet name="Easement--Avoided Conversion" sheetId="16" r:id="rId6"/>
    <sheet name="Easement--Forest Management" sheetId="25" r:id="rId7"/>
    <sheet name="Biomass Utilization" sheetId="21" r:id="rId8"/>
    <sheet name="GHG Summary" sheetId="1" r:id="rId9"/>
    <sheet name="Co-Benefits Summary" sheetId="26" r:id="rId10"/>
    <sheet name="LISTS" sheetId="24" state="hidden" r:id="rId11"/>
    <sheet name="Reforestation Yield Projections" sheetId="30" r:id="rId12"/>
    <sheet name="ERFs" sheetId="15" r:id="rId13"/>
    <sheet name="Baseline Reforestation" sheetId="29" r:id="rId14"/>
    <sheet name="Conversions" sheetId="23" r:id="rId15"/>
  </sheets>
  <externalReferences>
    <externalReference r:id="rId16"/>
  </externalReferences>
  <definedNames>
    <definedName name="BrushCover">LISTS!$A$1:$A$3</definedName>
    <definedName name="CA">LISTS!$C$70:$C$80</definedName>
    <definedName name="CentralSouth">'Baseline Reforestation'!$B$8:$B$10</definedName>
    <definedName name="EquipmentType" localSheetId="7">ERFs!#REF!</definedName>
    <definedName name="EquipmentType" localSheetId="14">Conversions!#REF!</definedName>
    <definedName name="EquipmentType">ERFs!#REF!</definedName>
    <definedName name="EquipmentType2" localSheetId="7">ERFs!#REF!,ERFs!#REF!,ERFs!#REF!,ERFs!#REF!,ERFs!#REF!</definedName>
    <definedName name="EquipmentType2" localSheetId="14">Conversions!#REF!,Conversions!#REF!,Conversions!#REF!,Conversions!#REF!,Conversions!#REF!</definedName>
    <definedName name="EquipmentType2">ERFs!#REF!,ERFs!#REF!,ERFs!#REF!,ERFs!#REF!,ERFs!#REF!</definedName>
    <definedName name="EquipmentType3">#REF!</definedName>
    <definedName name="GreatBasin">'Baseline Reforestation'!$B$7</definedName>
    <definedName name="LandCoverType">LISTS!$A$5:$A$7</definedName>
    <definedName name="Mojave">'Baseline Reforestation'!$B$11</definedName>
    <definedName name="NC">LISTS!$C$81:$C$91</definedName>
    <definedName name="NorthCoast">'Baseline Reforestation'!$B$2:$B$6</definedName>
    <definedName name="PNW_Fuels">#REF!</definedName>
    <definedName name="RefrigerantTypes" localSheetId="7">ERFs!#REF!</definedName>
    <definedName name="RefrigerantTypes" localSheetId="14">Conversions!#REF!</definedName>
    <definedName name="RefrigerantTypes">ERFs!#REF!</definedName>
    <definedName name="RockyMtn_Fuels">#REF!</definedName>
    <definedName name="Sierra">'Baseline Reforestation'!$B$12:$B$16</definedName>
    <definedName name="Sierra_Fuels">#REF!</definedName>
    <definedName name="SO">LISTS!$C$92:$C$102</definedName>
    <definedName name="SW_Fuels">#REF!</definedName>
    <definedName name="Urban_Fuels">#REF!</definedName>
    <definedName name="WS">LISTS!$C$104:$C$115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1" i="24" l="1"/>
  <c r="C9" i="24"/>
  <c r="C7" i="24"/>
  <c r="C5" i="24"/>
  <c r="C3" i="24"/>
  <c r="D26" i="26"/>
  <c r="D16" i="26"/>
  <c r="D17" i="26"/>
  <c r="D42" i="4"/>
  <c r="H132" i="4"/>
  <c r="H109" i="4"/>
  <c r="H224" i="4"/>
  <c r="H201" i="4"/>
  <c r="H178" i="4"/>
  <c r="H155" i="4"/>
  <c r="H86" i="4"/>
  <c r="H63" i="4"/>
  <c r="H40" i="4"/>
  <c r="H17" i="4" l="1"/>
  <c r="J162" i="2" l="1"/>
  <c r="I156" i="2"/>
  <c r="J147" i="2"/>
  <c r="I141" i="2"/>
  <c r="J132" i="2"/>
  <c r="I126" i="2"/>
  <c r="J117" i="2"/>
  <c r="I111" i="2"/>
  <c r="J102" i="2"/>
  <c r="I96" i="2"/>
  <c r="J87" i="2"/>
  <c r="I81" i="2"/>
  <c r="J72" i="2"/>
  <c r="I66" i="2"/>
  <c r="J57" i="2"/>
  <c r="I51" i="2"/>
  <c r="J42" i="2"/>
  <c r="I36" i="2"/>
  <c r="H239" i="4"/>
  <c r="H233" i="4"/>
  <c r="F233" i="4"/>
  <c r="H216" i="4"/>
  <c r="H210" i="4"/>
  <c r="F210" i="4"/>
  <c r="H193" i="4"/>
  <c r="H187" i="4"/>
  <c r="F187" i="4"/>
  <c r="H170" i="4"/>
  <c r="H164" i="4"/>
  <c r="F164" i="4"/>
  <c r="H147" i="4"/>
  <c r="H141" i="4"/>
  <c r="F141" i="4"/>
  <c r="H124" i="4"/>
  <c r="H118" i="4"/>
  <c r="F118" i="4"/>
  <c r="H101" i="4"/>
  <c r="H95" i="4"/>
  <c r="F95" i="4"/>
  <c r="H78" i="4"/>
  <c r="H72" i="4"/>
  <c r="F72" i="4"/>
  <c r="H55" i="4"/>
  <c r="H49" i="4"/>
  <c r="F49" i="4"/>
  <c r="H32" i="4" l="1"/>
  <c r="H26" i="4" l="1"/>
  <c r="F26" i="4"/>
  <c r="J27" i="2" l="1"/>
  <c r="I21" i="2"/>
  <c r="G179" i="16" l="1"/>
  <c r="G178" i="16"/>
  <c r="G162" i="16"/>
  <c r="G161" i="16"/>
  <c r="G145" i="16"/>
  <c r="G144" i="16"/>
  <c r="G128" i="16"/>
  <c r="G127" i="16"/>
  <c r="G111" i="16"/>
  <c r="G110" i="16"/>
  <c r="G94" i="16"/>
  <c r="G93" i="16"/>
  <c r="G77" i="16"/>
  <c r="G76" i="16"/>
  <c r="G60" i="16"/>
  <c r="G59" i="16"/>
  <c r="G43" i="16"/>
  <c r="G42" i="16"/>
  <c r="G26" i="16"/>
  <c r="G25" i="16"/>
  <c r="H26" i="16" l="1"/>
  <c r="H60" i="16"/>
  <c r="H94" i="16"/>
  <c r="H128" i="16"/>
  <c r="H162" i="16"/>
  <c r="H43" i="16"/>
  <c r="H77" i="16"/>
  <c r="H111" i="16"/>
  <c r="H145" i="16"/>
  <c r="H179" i="16"/>
  <c r="F70" i="24" l="1"/>
  <c r="G79" i="24"/>
  <c r="F79" i="24"/>
  <c r="G78" i="24"/>
  <c r="F78" i="24"/>
  <c r="G77" i="24"/>
  <c r="F77" i="24"/>
  <c r="G76" i="24"/>
  <c r="F76" i="24"/>
  <c r="G75" i="24"/>
  <c r="F75" i="24"/>
  <c r="F74" i="24"/>
  <c r="G73" i="24"/>
  <c r="F73" i="24"/>
  <c r="G72" i="24"/>
  <c r="F72" i="24"/>
  <c r="G71" i="24"/>
  <c r="F71" i="24"/>
  <c r="G70" i="24"/>
  <c r="K27" i="2"/>
  <c r="F26" i="21"/>
  <c r="F33" i="2"/>
  <c r="C67" i="24" l="1"/>
  <c r="C66" i="24"/>
  <c r="C65" i="24"/>
  <c r="C64" i="24"/>
  <c r="D18" i="16" l="1"/>
  <c r="G135" i="18"/>
  <c r="G134" i="18"/>
  <c r="B10" i="26" l="1"/>
  <c r="B9" i="26"/>
  <c r="B10" i="1"/>
  <c r="B9" i="1"/>
  <c r="B10" i="21"/>
  <c r="B9" i="21"/>
  <c r="B10" i="25"/>
  <c r="B9" i="25"/>
  <c r="B10" i="16"/>
  <c r="B9" i="16"/>
  <c r="B10" i="2"/>
  <c r="B9" i="2"/>
  <c r="B10" i="18"/>
  <c r="B9" i="18"/>
  <c r="H64" i="24" l="1"/>
  <c r="G64" i="24"/>
  <c r="H63" i="24"/>
  <c r="G63" i="24"/>
  <c r="H62" i="24"/>
  <c r="G62" i="24"/>
  <c r="H61" i="24"/>
  <c r="G61" i="24"/>
  <c r="H60" i="24"/>
  <c r="G60" i="24"/>
  <c r="H59" i="24"/>
  <c r="G59" i="24"/>
  <c r="H58" i="24"/>
  <c r="G58" i="24"/>
  <c r="H57" i="24"/>
  <c r="G57" i="24"/>
  <c r="H56" i="24"/>
  <c r="G56" i="24"/>
  <c r="H55" i="24"/>
  <c r="G55" i="24"/>
  <c r="H54" i="24"/>
  <c r="G54" i="24"/>
  <c r="H53" i="24"/>
  <c r="G53" i="24"/>
  <c r="H52" i="24"/>
  <c r="G52" i="24"/>
  <c r="H51" i="24"/>
  <c r="G51" i="24"/>
  <c r="H50" i="24"/>
  <c r="G50" i="24"/>
  <c r="H49" i="24"/>
  <c r="G49" i="24"/>
  <c r="H48" i="24"/>
  <c r="G48" i="24"/>
  <c r="H47" i="24"/>
  <c r="G47" i="24"/>
  <c r="H46" i="24"/>
  <c r="G46" i="24"/>
  <c r="H45" i="24"/>
  <c r="G45" i="24"/>
  <c r="H44" i="24"/>
  <c r="G44" i="24"/>
  <c r="H43" i="24"/>
  <c r="G43" i="24"/>
  <c r="H42" i="24"/>
  <c r="G42" i="24"/>
  <c r="H41" i="24"/>
  <c r="G41" i="24"/>
  <c r="H40" i="24"/>
  <c r="G40" i="24"/>
  <c r="H39" i="24"/>
  <c r="G39" i="24"/>
  <c r="H38" i="24"/>
  <c r="G38" i="24"/>
  <c r="H37" i="24"/>
  <c r="G37" i="24"/>
  <c r="H36" i="24"/>
  <c r="G36" i="24"/>
  <c r="H35" i="24"/>
  <c r="G35" i="24"/>
  <c r="H34" i="24"/>
  <c r="G34" i="24"/>
  <c r="H33" i="24"/>
  <c r="G33" i="24"/>
  <c r="H32" i="24"/>
  <c r="G32" i="24"/>
  <c r="H31" i="24"/>
  <c r="G31" i="24"/>
  <c r="H30" i="24"/>
  <c r="G30" i="24"/>
  <c r="H29" i="24"/>
  <c r="G29" i="24"/>
  <c r="H28" i="24"/>
  <c r="G28" i="24"/>
  <c r="H27" i="24"/>
  <c r="G27" i="24"/>
  <c r="H26" i="24"/>
  <c r="G26" i="24"/>
  <c r="H25" i="24"/>
  <c r="G25" i="24"/>
  <c r="H24" i="24"/>
  <c r="G24" i="24"/>
  <c r="H23" i="24"/>
  <c r="G23" i="24"/>
  <c r="H22" i="24"/>
  <c r="G22" i="24"/>
  <c r="H21" i="24"/>
  <c r="G21" i="24"/>
  <c r="H20" i="24"/>
  <c r="G20" i="24"/>
  <c r="H19" i="24"/>
  <c r="G19" i="24"/>
  <c r="H18" i="24"/>
  <c r="G18" i="24"/>
  <c r="H17" i="24"/>
  <c r="G17" i="24"/>
  <c r="H16" i="24"/>
  <c r="G16" i="24"/>
  <c r="H15" i="24"/>
  <c r="G15" i="24"/>
  <c r="D11" i="24"/>
  <c r="F11" i="24" s="1"/>
  <c r="D10" i="24"/>
  <c r="F10" i="24" s="1"/>
  <c r="C10" i="24"/>
  <c r="D9" i="24"/>
  <c r="F9" i="24" s="1"/>
  <c r="D8" i="24"/>
  <c r="F8" i="24" s="1"/>
  <c r="C8" i="24"/>
  <c r="D7" i="24"/>
  <c r="F7" i="24" s="1"/>
  <c r="D6" i="24"/>
  <c r="F6" i="24" s="1"/>
  <c r="C6" i="24"/>
  <c r="D5" i="24"/>
  <c r="F5" i="24" s="1"/>
  <c r="D4" i="24"/>
  <c r="F4" i="24" s="1"/>
  <c r="C4" i="24"/>
  <c r="D3" i="24"/>
  <c r="F3" i="24" s="1"/>
  <c r="D2" i="24"/>
  <c r="F2" i="24" s="1"/>
  <c r="C2" i="24"/>
  <c r="O15" i="24" l="1"/>
  <c r="I15" i="24"/>
  <c r="O55" i="24"/>
  <c r="K55" i="24"/>
  <c r="N55" i="24"/>
  <c r="J55" i="24"/>
  <c r="L55" i="24"/>
  <c r="Q55" i="24"/>
  <c r="M55" i="24"/>
  <c r="I55" i="24"/>
  <c r="P55" i="24"/>
  <c r="J35" i="24"/>
  <c r="Q35" i="24"/>
  <c r="M35" i="24"/>
  <c r="I35" i="24"/>
  <c r="P35" i="24"/>
  <c r="L35" i="24"/>
  <c r="N35" i="24"/>
  <c r="O35" i="24"/>
  <c r="K35" i="24"/>
  <c r="K25" i="24"/>
  <c r="O25" i="24"/>
  <c r="N25" i="24"/>
  <c r="L25" i="24"/>
  <c r="P25" i="24"/>
  <c r="I25" i="24"/>
  <c r="M25" i="24"/>
  <c r="Q25" i="24"/>
  <c r="J25" i="24"/>
  <c r="P45" i="24"/>
  <c r="L45" i="24"/>
  <c r="Q45" i="24"/>
  <c r="I45" i="24"/>
  <c r="O45" i="24"/>
  <c r="K45" i="24"/>
  <c r="N45" i="24"/>
  <c r="J45" i="24"/>
  <c r="M45" i="24"/>
  <c r="N15" i="24"/>
  <c r="M15" i="24"/>
  <c r="E2" i="24"/>
  <c r="E4" i="24"/>
  <c r="E6" i="24"/>
  <c r="E8" i="24"/>
  <c r="E10" i="24"/>
  <c r="P15" i="24"/>
  <c r="Q15" i="24"/>
  <c r="J15" i="24"/>
  <c r="E3" i="24"/>
  <c r="E5" i="24"/>
  <c r="E7" i="24"/>
  <c r="E9" i="24"/>
  <c r="E11" i="24"/>
  <c r="K15" i="24"/>
  <c r="L15" i="24"/>
  <c r="K36" i="26" l="1"/>
  <c r="L35" i="26"/>
  <c r="D35" i="26"/>
  <c r="I36" i="26"/>
  <c r="J35" i="26"/>
  <c r="K34" i="26"/>
  <c r="F33" i="26"/>
  <c r="L33" i="26"/>
  <c r="F32" i="26"/>
  <c r="E34" i="26" l="1"/>
  <c r="G32" i="26"/>
  <c r="E33" i="26"/>
  <c r="D34" i="26"/>
  <c r="L34" i="26"/>
  <c r="K35" i="26"/>
  <c r="J36" i="26"/>
  <c r="D32" i="26"/>
  <c r="G33" i="26"/>
  <c r="F34" i="26"/>
  <c r="E35" i="26"/>
  <c r="D36" i="26"/>
  <c r="L36" i="26"/>
  <c r="E32" i="26"/>
  <c r="H33" i="26"/>
  <c r="G34" i="26"/>
  <c r="F35" i="26"/>
  <c r="E36" i="26"/>
  <c r="L32" i="26"/>
  <c r="I33" i="26"/>
  <c r="H34" i="26"/>
  <c r="G35" i="26"/>
  <c r="F36" i="26"/>
  <c r="K32" i="26"/>
  <c r="J33" i="26"/>
  <c r="I34" i="26"/>
  <c r="H35" i="26"/>
  <c r="G36" i="26"/>
  <c r="K33" i="26"/>
  <c r="J34" i="26"/>
  <c r="I35" i="26"/>
  <c r="H36" i="26"/>
  <c r="D33" i="26"/>
  <c r="I32" i="26"/>
  <c r="H32" i="26"/>
  <c r="J32" i="26"/>
  <c r="B59" i="15" l="1"/>
  <c r="G17" i="16"/>
  <c r="H18" i="4" l="1"/>
  <c r="H16" i="4" s="1"/>
  <c r="D19" i="4" l="1"/>
  <c r="C34" i="24" s="1"/>
  <c r="D226" i="4"/>
  <c r="C43" i="24" s="1"/>
  <c r="D203" i="4"/>
  <c r="C42" i="24" s="1"/>
  <c r="D180" i="4"/>
  <c r="C41" i="24" s="1"/>
  <c r="D157" i="4"/>
  <c r="C40" i="24" s="1"/>
  <c r="D134" i="4"/>
  <c r="C39" i="24" s="1"/>
  <c r="D111" i="4"/>
  <c r="C38" i="24" s="1"/>
  <c r="D88" i="4"/>
  <c r="C37" i="24" s="1"/>
  <c r="D65" i="4"/>
  <c r="C36" i="24" s="1"/>
  <c r="C35" i="24"/>
  <c r="D137" i="18"/>
  <c r="C33" i="24" s="1"/>
  <c r="D124" i="18"/>
  <c r="C32" i="24" s="1"/>
  <c r="D111" i="18"/>
  <c r="C31" i="24" s="1"/>
  <c r="D98" i="18"/>
  <c r="C30" i="24" s="1"/>
  <c r="D85" i="18"/>
  <c r="C29" i="24" s="1"/>
  <c r="D72" i="18"/>
  <c r="C28" i="24" s="1"/>
  <c r="D59" i="18"/>
  <c r="C27" i="24" s="1"/>
  <c r="D46" i="18"/>
  <c r="C26" i="24" s="1"/>
  <c r="D33" i="18"/>
  <c r="C25" i="24" s="1"/>
  <c r="D20" i="18"/>
  <c r="C24" i="24" s="1"/>
  <c r="D25" i="1" l="1"/>
  <c r="D24" i="1"/>
  <c r="D155" i="25"/>
  <c r="C63" i="24" s="1"/>
  <c r="D140" i="25"/>
  <c r="C62" i="24" s="1"/>
  <c r="D125" i="25"/>
  <c r="C61" i="24" s="1"/>
  <c r="D110" i="25"/>
  <c r="C60" i="24" s="1"/>
  <c r="D95" i="25"/>
  <c r="C59" i="24" s="1"/>
  <c r="D80" i="25"/>
  <c r="C58" i="24" s="1"/>
  <c r="D65" i="25"/>
  <c r="C57" i="24" s="1"/>
  <c r="D50" i="25"/>
  <c r="C56" i="24" s="1"/>
  <c r="D35" i="25"/>
  <c r="C55" i="24" s="1"/>
  <c r="C54" i="24"/>
  <c r="D21" i="16"/>
  <c r="C44" i="24" s="1"/>
  <c r="B39" i="15" l="1"/>
  <c r="B38" i="15"/>
  <c r="B37" i="15"/>
  <c r="B36" i="15"/>
  <c r="B35" i="15"/>
  <c r="B34" i="15"/>
  <c r="D174" i="16" l="1"/>
  <c r="C53" i="24" s="1"/>
  <c r="D157" i="16"/>
  <c r="C52" i="24" s="1"/>
  <c r="D140" i="16"/>
  <c r="C51" i="24" s="1"/>
  <c r="D123" i="16"/>
  <c r="C50" i="24" s="1"/>
  <c r="D106" i="16"/>
  <c r="C49" i="24" s="1"/>
  <c r="D89" i="16"/>
  <c r="C48" i="24" s="1"/>
  <c r="D72" i="16"/>
  <c r="C47" i="24" s="1"/>
  <c r="D55" i="16"/>
  <c r="C46" i="24" s="1"/>
  <c r="D38" i="16"/>
  <c r="C45" i="24" s="1"/>
  <c r="G17" i="18" l="1"/>
  <c r="C156" i="2" l="1"/>
  <c r="C141" i="2"/>
  <c r="C126" i="2"/>
  <c r="C111" i="2"/>
  <c r="C96" i="2"/>
  <c r="C81" i="2"/>
  <c r="C66" i="2"/>
  <c r="C51" i="2"/>
  <c r="F79" i="2" l="1"/>
  <c r="F64" i="2"/>
  <c r="F18" i="2" l="1"/>
  <c r="F49" i="2" l="1"/>
  <c r="F153" i="2"/>
  <c r="F138" i="2"/>
  <c r="F123" i="2"/>
  <c r="F108" i="2"/>
  <c r="F93" i="2"/>
  <c r="F78" i="2"/>
  <c r="F63" i="2"/>
  <c r="F48" i="2"/>
  <c r="J14" i="29"/>
  <c r="I2" i="29"/>
  <c r="J2" i="29" s="1"/>
  <c r="I3" i="29"/>
  <c r="J3" i="29" s="1"/>
  <c r="I4" i="29"/>
  <c r="J4" i="29" s="1"/>
  <c r="I5" i="29"/>
  <c r="J5" i="29" s="1"/>
  <c r="I6" i="29"/>
  <c r="J6" i="29" s="1"/>
  <c r="I7" i="29"/>
  <c r="J7" i="29" s="1"/>
  <c r="I8" i="29"/>
  <c r="J8" i="29" s="1"/>
  <c r="I9" i="29"/>
  <c r="J9" i="29" s="1"/>
  <c r="I10" i="29"/>
  <c r="J10" i="29" s="1"/>
  <c r="I11" i="29"/>
  <c r="J11" i="29" s="1"/>
  <c r="I12" i="29"/>
  <c r="J12" i="29" s="1"/>
  <c r="I13" i="29"/>
  <c r="J13" i="29" s="1"/>
  <c r="I15" i="29"/>
  <c r="J15" i="29" s="1"/>
  <c r="I16" i="29"/>
  <c r="J16" i="29" s="1"/>
  <c r="C22" i="2"/>
  <c r="C14" i="24" s="1"/>
  <c r="C142" i="2" l="1"/>
  <c r="C22" i="24" s="1"/>
  <c r="C127" i="2"/>
  <c r="C21" i="24" s="1"/>
  <c r="C52" i="2"/>
  <c r="C16" i="24" s="1"/>
  <c r="C67" i="2"/>
  <c r="C17" i="24" s="1"/>
  <c r="F94" i="2"/>
  <c r="F92" i="2" s="1"/>
  <c r="C97" i="2"/>
  <c r="C19" i="24" s="1"/>
  <c r="C82" i="2"/>
  <c r="C18" i="24" s="1"/>
  <c r="C36" i="2"/>
  <c r="F34" i="2" s="1"/>
  <c r="F32" i="2" s="1"/>
  <c r="C37" i="2"/>
  <c r="C15" i="24" s="1"/>
  <c r="C112" i="2"/>
  <c r="C20" i="24" s="1"/>
  <c r="C157" i="2"/>
  <c r="C23" i="24" s="1"/>
  <c r="F154" i="2"/>
  <c r="F152" i="2" s="1"/>
  <c r="G74" i="24" s="1"/>
  <c r="F139" i="2"/>
  <c r="F137" i="2" s="1"/>
  <c r="F124" i="2"/>
  <c r="F122" i="2" s="1"/>
  <c r="F109" i="2"/>
  <c r="F107" i="2" s="1"/>
  <c r="F77" i="2"/>
  <c r="F62" i="2"/>
  <c r="F47" i="2"/>
  <c r="D15" i="26" l="1"/>
  <c r="C21" i="2"/>
  <c r="F19" i="2" s="1"/>
  <c r="F17" i="2" s="1"/>
  <c r="D14" i="1" s="1"/>
  <c r="B33" i="15"/>
  <c r="B32" i="15"/>
  <c r="B31" i="15"/>
  <c r="B30" i="15"/>
  <c r="G18" i="16" s="1"/>
  <c r="G16" i="16" s="1"/>
  <c r="C30" i="23"/>
  <c r="C29" i="23"/>
  <c r="C28" i="23"/>
  <c r="C27" i="23"/>
  <c r="C26" i="23"/>
  <c r="E24" i="23"/>
  <c r="C24" i="23"/>
  <c r="E23" i="23"/>
  <c r="C23" i="23"/>
  <c r="E22" i="23"/>
  <c r="C22" i="23"/>
  <c r="E21" i="23"/>
  <c r="C21" i="23"/>
  <c r="E20" i="23"/>
  <c r="C20" i="23"/>
  <c r="E17" i="23"/>
  <c r="E16" i="23"/>
  <c r="E15" i="23"/>
  <c r="E14" i="23"/>
  <c r="D23" i="26"/>
  <c r="D22" i="26"/>
  <c r="D20" i="26"/>
  <c r="D19" i="26"/>
  <c r="D18" i="26"/>
  <c r="F42" i="21"/>
  <c r="F35" i="21"/>
  <c r="F34" i="21"/>
  <c r="F32" i="21"/>
  <c r="F31" i="21"/>
  <c r="F17" i="21"/>
  <c r="F16" i="21"/>
  <c r="G162" i="25"/>
  <c r="G153" i="25"/>
  <c r="G152" i="25"/>
  <c r="G147" i="25"/>
  <c r="G138" i="25"/>
  <c r="G137" i="25"/>
  <c r="G132" i="25"/>
  <c r="G123" i="25"/>
  <c r="G122" i="25"/>
  <c r="G117" i="25"/>
  <c r="G108" i="25"/>
  <c r="G107" i="25"/>
  <c r="G102" i="25"/>
  <c r="G93" i="25"/>
  <c r="G92" i="25"/>
  <c r="G87" i="25"/>
  <c r="G78" i="25"/>
  <c r="G77" i="25"/>
  <c r="G72" i="25"/>
  <c r="G63" i="25"/>
  <c r="G62" i="25"/>
  <c r="G57" i="25"/>
  <c r="G48" i="25"/>
  <c r="G47" i="25"/>
  <c r="G42" i="25"/>
  <c r="G33" i="25"/>
  <c r="G32" i="25"/>
  <c r="G27" i="25"/>
  <c r="G18" i="25"/>
  <c r="G17" i="25"/>
  <c r="D171" i="16"/>
  <c r="G171" i="16" s="1"/>
  <c r="G170" i="16"/>
  <c r="D154" i="16"/>
  <c r="G154" i="16" s="1"/>
  <c r="G153" i="16"/>
  <c r="D137" i="16"/>
  <c r="G137" i="16" s="1"/>
  <c r="G136" i="16"/>
  <c r="D120" i="16"/>
  <c r="G120" i="16" s="1"/>
  <c r="G119" i="16"/>
  <c r="D103" i="16"/>
  <c r="G103" i="16" s="1"/>
  <c r="G102" i="16"/>
  <c r="D86" i="16"/>
  <c r="G86" i="16" s="1"/>
  <c r="G85" i="16"/>
  <c r="D69" i="16"/>
  <c r="G69" i="16" s="1"/>
  <c r="G68" i="16"/>
  <c r="D52" i="16"/>
  <c r="G52" i="16" s="1"/>
  <c r="G51" i="16"/>
  <c r="D35" i="16"/>
  <c r="G35" i="16" s="1"/>
  <c r="G34" i="16"/>
  <c r="H225" i="4"/>
  <c r="H202" i="4"/>
  <c r="H179" i="4"/>
  <c r="H156" i="4"/>
  <c r="H133" i="4"/>
  <c r="H110" i="4"/>
  <c r="H87" i="4"/>
  <c r="H64" i="4"/>
  <c r="H41" i="4"/>
  <c r="B10" i="4"/>
  <c r="B9" i="4"/>
  <c r="G122" i="18"/>
  <c r="G121" i="18"/>
  <c r="G109" i="18"/>
  <c r="G108" i="18"/>
  <c r="G96" i="18"/>
  <c r="G95" i="18"/>
  <c r="G83" i="18"/>
  <c r="G82" i="18"/>
  <c r="G70" i="18"/>
  <c r="G69" i="18"/>
  <c r="G57" i="18"/>
  <c r="G56" i="18"/>
  <c r="G44" i="18"/>
  <c r="G43" i="18"/>
  <c r="G31" i="18"/>
  <c r="G30" i="18"/>
  <c r="G18" i="18"/>
  <c r="G16" i="18" s="1"/>
  <c r="F36" i="21" l="1"/>
  <c r="D25" i="26"/>
  <c r="F19" i="21"/>
  <c r="F27" i="21" s="1"/>
  <c r="G68" i="18"/>
  <c r="G76" i="25"/>
  <c r="G46" i="25"/>
  <c r="G16" i="25"/>
  <c r="G136" i="25"/>
  <c r="G91" i="25"/>
  <c r="G121" i="25"/>
  <c r="D24" i="26"/>
  <c r="G61" i="25"/>
  <c r="G106" i="25"/>
  <c r="G31" i="25"/>
  <c r="G151" i="25"/>
  <c r="G135" i="16"/>
  <c r="G50" i="16"/>
  <c r="G118" i="16"/>
  <c r="G67" i="16"/>
  <c r="G152" i="16"/>
  <c r="G84" i="16"/>
  <c r="G33" i="16"/>
  <c r="G169" i="16"/>
  <c r="G101" i="16"/>
  <c r="D27" i="26"/>
  <c r="G120" i="18"/>
  <c r="G133" i="18"/>
  <c r="G42" i="18"/>
  <c r="G94" i="18"/>
  <c r="G55" i="18"/>
  <c r="G107" i="18"/>
  <c r="G81" i="18"/>
  <c r="G29" i="18"/>
  <c r="H85" i="4"/>
  <c r="H108" i="4"/>
  <c r="H177" i="4"/>
  <c r="H62" i="4"/>
  <c r="H131" i="4"/>
  <c r="H200" i="4"/>
  <c r="H154" i="4"/>
  <c r="H39" i="4"/>
  <c r="H223" i="4"/>
  <c r="D21" i="26"/>
  <c r="D18" i="1" l="1"/>
  <c r="F44" i="21"/>
  <c r="D19" i="1" s="1"/>
  <c r="D17" i="1"/>
  <c r="D15" i="1"/>
  <c r="D16" i="1"/>
  <c r="D21" i="1" l="1"/>
</calcChain>
</file>

<file path=xl/sharedStrings.xml><?xml version="1.0" encoding="utf-8"?>
<sst xmlns="http://schemas.openxmlformats.org/spreadsheetml/2006/main" count="3637" uniqueCount="721">
  <si>
    <t>Project Name:</t>
  </si>
  <si>
    <t>Read Me Worksheet</t>
  </si>
  <si>
    <t>GHG Summary Worksheet</t>
  </si>
  <si>
    <t>Date Completed:</t>
  </si>
  <si>
    <t>GGRFProgram@arb.ca.gov</t>
  </si>
  <si>
    <t>Contact Name:</t>
  </si>
  <si>
    <t>Contact Phone Number:</t>
  </si>
  <si>
    <t>Contact Email:</t>
  </si>
  <si>
    <t>Definitions Worksheet</t>
  </si>
  <si>
    <t>GHG Summary</t>
  </si>
  <si>
    <t>Grant ID, if applicable:</t>
  </si>
  <si>
    <t>Emission Reduction Factors Worksheet</t>
  </si>
  <si>
    <t xml:space="preserve">Questions on this document should be sent to: </t>
  </si>
  <si>
    <t>Conversion Factors</t>
  </si>
  <si>
    <t>lb/MT</t>
  </si>
  <si>
    <t>Questions on the Forest Health Program should be sent to:</t>
  </si>
  <si>
    <t>Reforestation</t>
  </si>
  <si>
    <t>Pest Management</t>
  </si>
  <si>
    <t>Fuels Reduction</t>
  </si>
  <si>
    <t>Forest Conservation</t>
  </si>
  <si>
    <t>Biomass Utilization</t>
  </si>
  <si>
    <t>Conversions Worksheet</t>
  </si>
  <si>
    <t>Reforestation Worksheet</t>
  </si>
  <si>
    <t>Pest Management Worksheet</t>
  </si>
  <si>
    <t>Fuels Reduction Worksheet</t>
  </si>
  <si>
    <t>Biomass Utilization Worksheet</t>
  </si>
  <si>
    <t>Area subject to site preparation (acres)</t>
  </si>
  <si>
    <t>Land cover type (select from options)</t>
  </si>
  <si>
    <t>Biomass removed via mechanical treatments (BDT)</t>
  </si>
  <si>
    <t>Type of conversion threat (select from options)</t>
  </si>
  <si>
    <t>Biomass that would be removed and landfilled without project (BDT)</t>
  </si>
  <si>
    <t>Biomass that would be removed and open pile burned without project (BDT)</t>
  </si>
  <si>
    <t>Biomass that would be removed and left to decay on-site without project (BDT)</t>
  </si>
  <si>
    <t>Mill efficiency (%)</t>
  </si>
  <si>
    <t>Biomass that will go into Softwood Lumber (%)</t>
  </si>
  <si>
    <t>Biomass that will go into Hardwood Lumber (%)</t>
  </si>
  <si>
    <t>Biomass that will go into Softwood Plywood (%)</t>
  </si>
  <si>
    <t>Biomass that will go into Nonstructural Panels (%)</t>
  </si>
  <si>
    <t>Biomass that will go into Paper (%)</t>
  </si>
  <si>
    <t>Enter data below using the appropriate on-site carbon stock accounting tools identified in Table 2 of the quantification methodology.  If the pest management treatment or impact boundary overlaps with another activity's treatment or impact boundary, apportion the acreage as instructed in Table 3 of the quantification methodology.</t>
  </si>
  <si>
    <t>Enter data below using the appropriate on-site carbon stock accounting tools identified in Table 2 of the quantification methodology.  If the fuels reduction treatment or impact boundary overlaps with another activity's treatment or impact boundary, apportion the acreage as instructed in Table 3 of the quantification methodology.</t>
  </si>
  <si>
    <t>Enter data below using the appropriate on-site carbon stock accounting tools identified in Table 2 of the quantification methodology.  If the forest conservation treatment boundary overlaps with another activity's treatment or impact boundary, apportion the acreage as instructed in Table 3 of the quantification methodology.</t>
  </si>
  <si>
    <r>
      <t>GHG benefit from reforestation activities (MT CO</t>
    </r>
    <r>
      <rPr>
        <vertAlign val="subscript"/>
        <sz val="12"/>
        <color theme="1"/>
        <rFont val="Arial"/>
        <family val="2"/>
      </rPr>
      <t>2</t>
    </r>
    <r>
      <rPr>
        <sz val="12"/>
        <color theme="1"/>
        <rFont val="Arial"/>
        <family val="2"/>
      </rPr>
      <t>e)</t>
    </r>
  </si>
  <si>
    <r>
      <t>GHG benefit from pest management activities (MT CO</t>
    </r>
    <r>
      <rPr>
        <vertAlign val="subscript"/>
        <sz val="12"/>
        <color theme="1"/>
        <rFont val="Arial"/>
        <family val="2"/>
      </rPr>
      <t>2</t>
    </r>
    <r>
      <rPr>
        <sz val="12"/>
        <color theme="1"/>
        <rFont val="Arial"/>
        <family val="2"/>
      </rPr>
      <t>e)</t>
    </r>
  </si>
  <si>
    <r>
      <t>GHG benefit from fuels reduction activities (MT CO</t>
    </r>
    <r>
      <rPr>
        <vertAlign val="subscript"/>
        <sz val="12"/>
        <color theme="1"/>
        <rFont val="Arial"/>
        <family val="2"/>
      </rPr>
      <t>2</t>
    </r>
    <r>
      <rPr>
        <sz val="12"/>
        <color theme="1"/>
        <rFont val="Arial"/>
        <family val="2"/>
      </rPr>
      <t>e)</t>
    </r>
  </si>
  <si>
    <r>
      <t>GHG benefit from biomass utilization activities (MT CO</t>
    </r>
    <r>
      <rPr>
        <vertAlign val="subscript"/>
        <sz val="12"/>
        <color theme="1"/>
        <rFont val="Arial"/>
        <family val="2"/>
      </rPr>
      <t>2</t>
    </r>
    <r>
      <rPr>
        <sz val="12"/>
        <color theme="1"/>
        <rFont val="Arial"/>
        <family val="2"/>
      </rPr>
      <t>e)</t>
    </r>
  </si>
  <si>
    <r>
      <t>On-site carbon storage and project emissions in reforestation project scenario (MT CO</t>
    </r>
    <r>
      <rPr>
        <vertAlign val="subscript"/>
        <sz val="12"/>
        <color theme="1"/>
        <rFont val="Arial"/>
        <family val="2"/>
      </rPr>
      <t>2</t>
    </r>
    <r>
      <rPr>
        <sz val="12"/>
        <color theme="1"/>
        <rFont val="Arial"/>
        <family val="2"/>
      </rPr>
      <t>e)</t>
    </r>
  </si>
  <si>
    <r>
      <t>On-site carbon storage in baseline scenario (MT CO</t>
    </r>
    <r>
      <rPr>
        <vertAlign val="subscript"/>
        <sz val="12"/>
        <color theme="1"/>
        <rFont val="Arial"/>
        <family val="2"/>
      </rPr>
      <t>2</t>
    </r>
    <r>
      <rPr>
        <sz val="12"/>
        <color theme="1"/>
        <rFont val="Arial"/>
        <family val="2"/>
      </rPr>
      <t>e)</t>
    </r>
  </si>
  <si>
    <r>
      <t>On-site carbon storage and project emissions in pest management project scenario (MT CO</t>
    </r>
    <r>
      <rPr>
        <vertAlign val="subscript"/>
        <sz val="12"/>
        <color theme="1"/>
        <rFont val="Arial"/>
        <family val="2"/>
      </rPr>
      <t>2</t>
    </r>
    <r>
      <rPr>
        <sz val="12"/>
        <color theme="1"/>
        <rFont val="Arial"/>
        <family val="2"/>
      </rPr>
      <t>e)</t>
    </r>
  </si>
  <si>
    <r>
      <t>On-site carbon storage and project emissions in fuels reduction project scenario (MT CO</t>
    </r>
    <r>
      <rPr>
        <vertAlign val="subscript"/>
        <sz val="12"/>
        <color theme="1"/>
        <rFont val="Arial"/>
        <family val="2"/>
      </rPr>
      <t>2</t>
    </r>
    <r>
      <rPr>
        <sz val="12"/>
        <color theme="1"/>
        <rFont val="Arial"/>
        <family val="2"/>
      </rPr>
      <t>e)</t>
    </r>
  </si>
  <si>
    <r>
      <t>On-site carbon storage in forest conservation project scenario (MT CO</t>
    </r>
    <r>
      <rPr>
        <vertAlign val="subscript"/>
        <sz val="12"/>
        <color theme="1"/>
        <rFont val="Arial"/>
        <family val="2"/>
      </rPr>
      <t>2</t>
    </r>
    <r>
      <rPr>
        <sz val="12"/>
        <color theme="1"/>
        <rFont val="Arial"/>
        <family val="2"/>
      </rPr>
      <t>e)</t>
    </r>
  </si>
  <si>
    <r>
      <t>GHG benefit from avoided biomass disposal emissions (MT CO</t>
    </r>
    <r>
      <rPr>
        <vertAlign val="subscript"/>
        <sz val="12"/>
        <color theme="1"/>
        <rFont val="Arial"/>
        <family val="2"/>
      </rPr>
      <t>2</t>
    </r>
    <r>
      <rPr>
        <sz val="12"/>
        <color theme="1"/>
        <rFont val="Arial"/>
        <family val="2"/>
      </rPr>
      <t>e)</t>
    </r>
  </si>
  <si>
    <r>
      <t>GHG benefit from utilizing biomass for electricity generation (MT CO</t>
    </r>
    <r>
      <rPr>
        <vertAlign val="subscript"/>
        <sz val="12"/>
        <color theme="1"/>
        <rFont val="Arial"/>
        <family val="2"/>
      </rPr>
      <t>2</t>
    </r>
    <r>
      <rPr>
        <sz val="12"/>
        <color theme="1"/>
        <rFont val="Arial"/>
        <family val="2"/>
      </rPr>
      <t>e)</t>
    </r>
  </si>
  <si>
    <r>
      <t>GHG benefit of carbon stored long-term in wood products (MT CO</t>
    </r>
    <r>
      <rPr>
        <vertAlign val="subscript"/>
        <sz val="12"/>
        <color theme="1"/>
        <rFont val="Arial"/>
        <family val="2"/>
      </rPr>
      <t>2</t>
    </r>
    <r>
      <rPr>
        <sz val="12"/>
        <color theme="1"/>
        <rFont val="Arial"/>
        <family val="2"/>
      </rPr>
      <t>e)</t>
    </r>
  </si>
  <si>
    <t xml:space="preserve">Type of conversion threat </t>
  </si>
  <si>
    <t>For all biomass utilization activities that send biomass to a biomass energy facility:</t>
  </si>
  <si>
    <t>For all biomass utilization activities that send biomass to a mill:</t>
  </si>
  <si>
    <t>Wood product class (%)</t>
  </si>
  <si>
    <t>Carbon lost from removal of shrubs and herbaceous understory during reforestation site preparation (grass cover) (MT CO2e/acre)</t>
  </si>
  <si>
    <t>Carbon lost from removal of shrubs and herbaceous understory during reforestation site preparation (light to medium shrub cover) (MT CO2e/acre)</t>
  </si>
  <si>
    <t xml:space="preserve">Scott, J.H. and Burgan, R.E. (2005)  Standard fire behavior fuel models: A comprehensive set for use with Rothermel's surface fire spread model </t>
  </si>
  <si>
    <t>California Air Resources Board, Detailed California-Modified GREET Pathway for Cellulosic Ethanol from Forest Waste (February 27, 2009) https://www.arb.ca.gov/fuels/lcfs/022709lcfs_forestw.pdf</t>
  </si>
  <si>
    <t>Conversion impact when threatened with conversion to recreational use</t>
  </si>
  <si>
    <t>Conversion impact when threatened with conversion to mining  use</t>
  </si>
  <si>
    <t>Conversion impact when threatened with conversion to commercial use</t>
  </si>
  <si>
    <t>Conversion impact when threatened with conversion to industrial use</t>
  </si>
  <si>
    <t>California Air Resources Board, Compliance Offset Protocol U.S. Forest Projects (June 25, 2015) https://www.arb.ca.gov/cc/capandtrade/protocols/usforest/forestprotocol2015.pdf</t>
  </si>
  <si>
    <t>Conversion impact when threatened with conversion to agricultural  use</t>
  </si>
  <si>
    <t xml:space="preserve">California Air Resources Board, Draft Method for Estimating Greenhouse Gas Emission Reductions from Diversion of Organic Waste from Landfills to Compost Facilities (March 2016)
https://www.arb.ca.gov/cc/waste/waste.htm
</t>
  </si>
  <si>
    <t>Carbon storage factor for softwood lumber</t>
  </si>
  <si>
    <t>Carbon storage factor for hardwood lumber</t>
  </si>
  <si>
    <t>Carbon storage factor for softwood plywood</t>
  </si>
  <si>
    <t>Carbon storage factor for oriented standboard</t>
  </si>
  <si>
    <t>Carbon storage factor for nonstructural panels</t>
  </si>
  <si>
    <t>Carbon storage factor for paper</t>
  </si>
  <si>
    <t>Carbon storage factor for miscellaneous products</t>
  </si>
  <si>
    <t>MT/ton</t>
  </si>
  <si>
    <t>Placer County Air Pollution Control District, Biomass Waste for Energy Project Reporting Protocol (January 2013)
http://www.placer.ca.gov/~media/apc/documents/apcd biomass/biomasswasteforenergyproject.pdf</t>
  </si>
  <si>
    <t>Placer County Air Pollution Control District, Biomass Waste for Energy Project Reporting Protocol (January 2013)
http://www.placer.ca.gov/~/media/apc/documents/apcd biomass/biomasswasteforenergyproject.pdf</t>
  </si>
  <si>
    <r>
      <t>CO</t>
    </r>
    <r>
      <rPr>
        <vertAlign val="subscript"/>
        <sz val="12"/>
        <color theme="1"/>
        <rFont val="Arial"/>
        <family val="2"/>
      </rPr>
      <t>2</t>
    </r>
    <r>
      <rPr>
        <sz val="12"/>
        <color theme="1"/>
        <rFont val="Arial"/>
        <family val="2"/>
      </rPr>
      <t>e/C</t>
    </r>
  </si>
  <si>
    <t>Level of brush cover (select from options)</t>
  </si>
  <si>
    <t>Grass</t>
  </si>
  <si>
    <t>Heavy shrubs</t>
  </si>
  <si>
    <t>Light to medium shrubs</t>
  </si>
  <si>
    <t>Light (0-25% brush cover)</t>
  </si>
  <si>
    <t xml:space="preserve">Medium (&gt;25-50% dense brush cover) </t>
  </si>
  <si>
    <t xml:space="preserve">Heavy (&gt;50% brush cover, stump removal) </t>
  </si>
  <si>
    <t>Percentage of treatment and impact boundaries at risk with pest management treatment (%)</t>
  </si>
  <si>
    <t>Percentage of treatment and impact boundaries at risk without pest management treatment (%)</t>
  </si>
  <si>
    <t>Annual probability of fire occurrence (%)</t>
  </si>
  <si>
    <t>Agricultural Use</t>
  </si>
  <si>
    <t>Mining Use</t>
  </si>
  <si>
    <t>Recreational Use</t>
  </si>
  <si>
    <t>Commercial Use</t>
  </si>
  <si>
    <t>Industrial Use</t>
  </si>
  <si>
    <t>Residential Use</t>
  </si>
  <si>
    <t>Amount of biomass that would be removed from within the treatment boundary and utilized without the conservation easement (BDT)</t>
  </si>
  <si>
    <t>Maximum amount of biomass that would be removed from within the treatment boundary without the conservation easement (BDT)</t>
  </si>
  <si>
    <t>Carbon transferred to wood products</t>
  </si>
  <si>
    <t>Unit carbon/unit biomass</t>
  </si>
  <si>
    <t>lb/short ton or bone dry ton (BDT)</t>
  </si>
  <si>
    <t>Enter the acres within the treatment boundary subject to site preparation.  If cell is not applicable, leave blank.</t>
  </si>
  <si>
    <t>Enter the proportion of area within the impact boundary (%) with &gt;50% probability of experiencing high flame lengths (&gt;8 ft), based on Monte Carlo simulations  of wildfire across the landscape without fuels reduction treatment (from FlamMap).  Inclusion of carbon stock estimates within impact boundary is optional.  If cell is not applicable, leave blank.</t>
  </si>
  <si>
    <t>For biomass utilization activities that send biomass to a mill:</t>
  </si>
  <si>
    <t>Metric Ton Carbon Dioxide Equivalent</t>
  </si>
  <si>
    <t>Metric Ton Carbon</t>
  </si>
  <si>
    <t>Hectares</t>
  </si>
  <si>
    <t>Acres</t>
  </si>
  <si>
    <t>Metric Ton Carbon/Acre</t>
  </si>
  <si>
    <t>Metric Ton Carbon/Hectare</t>
  </si>
  <si>
    <t>Bone Dry Ton Biomass</t>
  </si>
  <si>
    <t xml:space="preserve">Short Ton Carbon </t>
  </si>
  <si>
    <t>If site preparation is planned, select from the drop down menu the land cover type (grass, light to medium shrubs, or heavy shrubs) that best describes land cover prior to project implementation.  If cell is not applicable, leave blank.</t>
  </si>
  <si>
    <t>If site preparation is planned, select from the drop down menu the level of brush cover (light: 0-25% brush cover, medium: &gt;25%-50% dense brush cover, or heavy: &gt;50% brush cover and/or stump removal) that best describes land cover of area subject to site preparation prior to project implementation (used to account for mobile source combustion emissions).  If cell is not applicable, leave blank.</t>
  </si>
  <si>
    <t>Proportion of impact boundary likely to burn at high severity with fuels reduction treatment (optional) (%)</t>
  </si>
  <si>
    <t>Proportion of impact boundary likely to burn at high severity without fuels reduction treatment (optional) (%)</t>
  </si>
  <si>
    <t>Effective period for fuels reduction treatment (Years)</t>
  </si>
  <si>
    <t>Total GGRF Funds Requested ($)</t>
  </si>
  <si>
    <t>For biomass utilization activities that send biomass to a biomass energy facility:</t>
  </si>
  <si>
    <t>Enter the proportion of area within the impact boundary (%) with &gt;50% probability of experiencing high flame lengths (&gt;8 ft), based on Monte Carlo simulations of wildfire across the landscape with fuels reduction treatment (from FlamMap).  Inclusion of carbon stock estimates within impact boundary is optional.  If cell is not applicable, leave blank.</t>
  </si>
  <si>
    <t>www.arb.ca.gov/cci-quantification</t>
  </si>
  <si>
    <t>Carbon within the treatment boundary at the end of the project with reforestation (MT C)</t>
  </si>
  <si>
    <t>Carbon within the treatment boundary at the end of the project without reforestation (MT C)</t>
  </si>
  <si>
    <t>Carbon within the treatment boundary at the end of the project without disturbance or pest management treatment (MT C)</t>
  </si>
  <si>
    <t>Enter the carbon stored in standing live trees within the treatment boundary at the end of the project assuming no pest management treatment and no threat from pests or disease (from COLE or FVS).  If cell is not applicable, leave blank.</t>
  </si>
  <si>
    <t>Carbon within the impact boundary at the end of the project without disturbance or pest management treatment (MT C)</t>
  </si>
  <si>
    <t>Enter the carbon stored in standing live trees within the impact boundary at the end of the project assuming no pest management treatment and no threat from pests or disease (from COLE or FVS).  If cell is not applicable, leave blank.</t>
  </si>
  <si>
    <t>Carbon removed as part of pest management treatment (MT C)</t>
  </si>
  <si>
    <t>Enter the amount of standing live tree carbon to be removed from within the treatment boundary as part of pest management treatment.  Applicants estimate the quantity of standing live tree carbon to be removed by analyzing current stand conditions and proposed treatments to be implemented.  If cell is not applicable, leave blank.</t>
  </si>
  <si>
    <t>Carbon within the treatment boundary at the end of the project with fuels reduction treatment but without fire disturbance (MT C)</t>
  </si>
  <si>
    <t>Enter the carbon stored in standing live trees within the treatment boundary at the end of the project assuming no disturbance from wildfire and fuels reduction treatment was implemented (from FVS).  If cell is not applicable, leave blank.</t>
  </si>
  <si>
    <t>Enter the carbon stored in standing live trees within the impact boundary at the end of the project assuming no disturbance from wildfire (from FVS).  Inclusion of carbon stock estimates within impact boundary is optional.  If cell is not applicable, leave blank.</t>
  </si>
  <si>
    <t>Carbon within the treatment boundary at the end of the project with fuels reduction treatment and with fire disturbance (MT C)</t>
  </si>
  <si>
    <t>Enter the carbon stored in standing live trees within the treatment boundary at the end of the project assuming a disturbance from wildfire and fuels reduction treatment was implemented (from FVS and FEE-FVS).  Inclusion of carbon stock estimates within impact boundary is optional.  If cell is not applicable, leave blank.</t>
  </si>
  <si>
    <t>Carbon within the impact boundary at the end of the project without fuels reduction treatment but with fire disturbance (optional) (MT C)</t>
  </si>
  <si>
    <t>Enter the carbon stored in standing live trees within the impact boundary at the end of the project assuming a disturbance from wildfire and no fuels reduction treatment (from FVS and FlamMap).  Inclusion of carbon stock estimates within impact boundary is optional.  If cell is not applicable, leave blank.</t>
  </si>
  <si>
    <t>Carbon within the treatment boundary at the end of the project without fuels reduction treatment and without fire disturbance (MT C)</t>
  </si>
  <si>
    <t>Enter the carbon stored in standing live trees within the treatment boundary at the end of the project assuming no disturbance from wildfire and no fuels reduction treatment (from FVS).  If cell is not applicable, leave blank.</t>
  </si>
  <si>
    <t>Carbon within the treatment boundary at the end of the project with the conservation easement (MT C)</t>
  </si>
  <si>
    <t>Carbon within the impact boundary at the end of the project without fire disturbance (optional) (MT C)</t>
  </si>
  <si>
    <t>Enter the carbon stored in standing live trees within the treatment boundary at the end of the project assuming a disturbance from wildfire and no fuels reduction treatment (from FVS and FFE-FVS).  If cell is not applicable, leave blank.</t>
  </si>
  <si>
    <t>Carbon within the treatment boundary at the end of the project without fuels reduction treatment but with fire disturbance (MT C)</t>
  </si>
  <si>
    <t>Carbon within the treatment boundary at end of project with reforestation (MT C)</t>
  </si>
  <si>
    <t>Carbon within the treatment boundary at end of project without reforestation (MT C)</t>
  </si>
  <si>
    <t xml:space="preserve">For more information on CARB’s efforts to support implementation of Greenhouse Gas Reduction Fund investments, see: </t>
  </si>
  <si>
    <t>Enter the amount of biomass to be removed from within the treatment boundary via mechanical treatments (used to account for mobile source combustion emissions).  For the purposes of this quantification methodology, “biomass” refers to both merchantable timber and woody waste material.  If cell is not applicable, leave blank.</t>
  </si>
  <si>
    <t>Enter the amount of biomass removed from within the treatment boundary via mechanical treatment (used to account for mobile source combustion emissions).  Applicants estimate the quantity of biomass to be removed via mechanical treatment by analyzing current stand conditions and proposed treatments to be implemented.  For the purposes of this quantification methodology, “biomass” refers to both merchantable timber and woody waste material.  If cell is not applicable, leave blank.</t>
  </si>
  <si>
    <t>Enter the amount of biomass that would be removed from within the treatment boundary and utilized for wood products, electricity generation via combustion, and electricity generation via gasification.  Estimate biomass that would be utilized if land were converted without the conservation easement.  Provide separate estimates for each method of utilization.  Applicants estimate the quantity of biomass to be utilized if the area were converted by analyzing the amount of biomass to be removed, based on current stand conditions, and percentage of removed biomass expected to be sent to mill or biomass facility.  For the purposes of this quantification methodology, “biomass” refers to both merchantable timber and woody waste material.  If cell is not applicable, leave blank.</t>
  </si>
  <si>
    <t>Enter the amount of biomass that is expected to be removed from within the treatment boundary and utilized for wood products, electricity generation via combustion, and electricity generation via gasification.  Estimate biomass to be utilized with the conservation easement during the 50-80 year project but after project closeout (i.e., biomass removal not funded with GGRF but as a result of the area continuing to operate as a working forest).  Provide separate estimates for each method of utilization.  Applicants estimate the quantity of biomass to be utilized during the 50-80 year project (after project closeout) if the area were protected by analyzing recent harvesting trends on the land and taking into account any new practices being introduced by the terms of the easement.  For the purposes of this quantification methodology, “biomass” refers to both merchantable timber and woody waste material.  If cell is not applicable, leave blank.</t>
  </si>
  <si>
    <t>Enter the amount of removed biomass that would be open pile burned in the baseline scenario (separate estimates for each method of disposal).  For the purposes of this quantification methodology, “biomass” refers to both merchantable timber and woody waste material.  If cell is not applicable, leave blank.</t>
  </si>
  <si>
    <t>Enter the amount of removed biomass that would be landfilled in the baseline scenario (separate estimates for each method of disposal).  For the purposes of this quantification methodology, “biomass” refers to both merchantable timber and woody waste material.  If cell is not applicable, leave blank.</t>
  </si>
  <si>
    <t>Enter the amount of removed biomass that would be left to decay on-site in the baseline scenario (separate estimates for each method of disposal).  For the purposes of this quantification methodology, “biomass” refers to both merchantable timber and woody waste material.  If cell is not applicable, leave blank.</t>
  </si>
  <si>
    <t>Enter the length of time fuel reduction treatment is expected to be effective at modifying fire behavior (maximum of 25 years).  Applicants can determine the effective period based on modeled or observed change in fire behavior as a result of the treatment and/or the professional judgement of the Registered Professional Forester or Certified Silviculturist designing the treatment.  If cell is not applicable, leave blank.</t>
  </si>
  <si>
    <t>Reforestation Activity 1</t>
  </si>
  <si>
    <t>Reforestation Activity 2</t>
  </si>
  <si>
    <t>Reforestation Activity 3</t>
  </si>
  <si>
    <t>Reforestation Activity 4</t>
  </si>
  <si>
    <t>Reforestation Activity 5</t>
  </si>
  <si>
    <r>
      <t>GHG benefit from reforestation activity 1 
(MT CO</t>
    </r>
    <r>
      <rPr>
        <vertAlign val="subscript"/>
        <sz val="12"/>
        <color theme="1"/>
        <rFont val="Arial"/>
        <family val="2"/>
      </rPr>
      <t>2</t>
    </r>
    <r>
      <rPr>
        <sz val="12"/>
        <color theme="1"/>
        <rFont val="Arial"/>
        <family val="2"/>
      </rPr>
      <t>e)</t>
    </r>
  </si>
  <si>
    <t>Pest Management Activity 1</t>
  </si>
  <si>
    <t>Pest Management Activity 2</t>
  </si>
  <si>
    <r>
      <t>GHG benefit from pest management activity 1 (MT CO</t>
    </r>
    <r>
      <rPr>
        <vertAlign val="subscript"/>
        <sz val="12"/>
        <color theme="1"/>
        <rFont val="Arial"/>
        <family val="2"/>
      </rPr>
      <t>2</t>
    </r>
    <r>
      <rPr>
        <sz val="12"/>
        <color theme="1"/>
        <rFont val="Arial"/>
        <family val="2"/>
      </rPr>
      <t>e)</t>
    </r>
  </si>
  <si>
    <r>
      <t>GHG benefit from pest management activity 2 (MT CO</t>
    </r>
    <r>
      <rPr>
        <vertAlign val="subscript"/>
        <sz val="12"/>
        <color theme="1"/>
        <rFont val="Arial"/>
        <family val="2"/>
      </rPr>
      <t>2</t>
    </r>
    <r>
      <rPr>
        <sz val="12"/>
        <color theme="1"/>
        <rFont val="Arial"/>
        <family val="2"/>
      </rPr>
      <t>e)</t>
    </r>
  </si>
  <si>
    <r>
      <t>GHG benefit from pest management activity 3 (MT CO</t>
    </r>
    <r>
      <rPr>
        <vertAlign val="subscript"/>
        <sz val="12"/>
        <color theme="1"/>
        <rFont val="Arial"/>
        <family val="2"/>
      </rPr>
      <t>2</t>
    </r>
    <r>
      <rPr>
        <sz val="12"/>
        <color theme="1"/>
        <rFont val="Arial"/>
        <family val="2"/>
      </rPr>
      <t>e)</t>
    </r>
  </si>
  <si>
    <t>Pest Management Activity 3</t>
  </si>
  <si>
    <t>Pest Management Activity 4</t>
  </si>
  <si>
    <r>
      <t>GHG benefit from pest management activity 4 (MT CO</t>
    </r>
    <r>
      <rPr>
        <vertAlign val="subscript"/>
        <sz val="12"/>
        <color theme="1"/>
        <rFont val="Arial"/>
        <family val="2"/>
      </rPr>
      <t>2</t>
    </r>
    <r>
      <rPr>
        <sz val="12"/>
        <color theme="1"/>
        <rFont val="Arial"/>
        <family val="2"/>
      </rPr>
      <t>e)</t>
    </r>
  </si>
  <si>
    <t>Pest Management Activity 5</t>
  </si>
  <si>
    <r>
      <t>GHG benefit from pest management activity 5 (MT CO</t>
    </r>
    <r>
      <rPr>
        <vertAlign val="subscript"/>
        <sz val="12"/>
        <color theme="1"/>
        <rFont val="Arial"/>
        <family val="2"/>
      </rPr>
      <t>2</t>
    </r>
    <r>
      <rPr>
        <sz val="12"/>
        <color theme="1"/>
        <rFont val="Arial"/>
        <family val="2"/>
      </rPr>
      <t>e)</t>
    </r>
  </si>
  <si>
    <t>Fuels Reduction Activity 1</t>
  </si>
  <si>
    <r>
      <t>GHG benefit from fuels reduction activity 1 (MT CO</t>
    </r>
    <r>
      <rPr>
        <vertAlign val="subscript"/>
        <sz val="12"/>
        <color theme="1"/>
        <rFont val="Arial"/>
        <family val="2"/>
      </rPr>
      <t>2</t>
    </r>
    <r>
      <rPr>
        <sz val="12"/>
        <color theme="1"/>
        <rFont val="Arial"/>
        <family val="2"/>
      </rPr>
      <t>e)</t>
    </r>
  </si>
  <si>
    <t>Fuels Reduction Activity 2</t>
  </si>
  <si>
    <r>
      <t>GHG benefit from fuels reduction activity 2 (MT CO</t>
    </r>
    <r>
      <rPr>
        <vertAlign val="subscript"/>
        <sz val="12"/>
        <color theme="1"/>
        <rFont val="Arial"/>
        <family val="2"/>
      </rPr>
      <t>2</t>
    </r>
    <r>
      <rPr>
        <sz val="12"/>
        <color theme="1"/>
        <rFont val="Arial"/>
        <family val="2"/>
      </rPr>
      <t>e)</t>
    </r>
  </si>
  <si>
    <t>Fuels Reduction Activity 3</t>
  </si>
  <si>
    <r>
      <t>GHG benefit from fuels reduction activity 3 (MT CO</t>
    </r>
    <r>
      <rPr>
        <vertAlign val="subscript"/>
        <sz val="12"/>
        <color theme="1"/>
        <rFont val="Arial"/>
        <family val="2"/>
      </rPr>
      <t>2</t>
    </r>
    <r>
      <rPr>
        <sz val="12"/>
        <color theme="1"/>
        <rFont val="Arial"/>
        <family val="2"/>
      </rPr>
      <t>e)</t>
    </r>
  </si>
  <si>
    <t>Fuels Reduction Activity 4</t>
  </si>
  <si>
    <r>
      <t>GHG benefit from fuels reduction activity 4 (MT CO</t>
    </r>
    <r>
      <rPr>
        <vertAlign val="subscript"/>
        <sz val="12"/>
        <color theme="1"/>
        <rFont val="Arial"/>
        <family val="2"/>
      </rPr>
      <t>2</t>
    </r>
    <r>
      <rPr>
        <sz val="12"/>
        <color theme="1"/>
        <rFont val="Arial"/>
        <family val="2"/>
      </rPr>
      <t>e)</t>
    </r>
  </si>
  <si>
    <t>Fuels Reduction Activity 5</t>
  </si>
  <si>
    <r>
      <t>GHG benefit from fuels reduction activity 5 (MT CO</t>
    </r>
    <r>
      <rPr>
        <vertAlign val="subscript"/>
        <sz val="12"/>
        <color theme="1"/>
        <rFont val="Arial"/>
        <family val="2"/>
      </rPr>
      <t>2</t>
    </r>
    <r>
      <rPr>
        <sz val="12"/>
        <color theme="1"/>
        <rFont val="Arial"/>
        <family val="2"/>
      </rPr>
      <t>e)</t>
    </r>
  </si>
  <si>
    <r>
      <t>GHG benefit from forest conservation activity 1 (MT CO</t>
    </r>
    <r>
      <rPr>
        <vertAlign val="subscript"/>
        <sz val="12"/>
        <color theme="1"/>
        <rFont val="Arial"/>
        <family val="2"/>
      </rPr>
      <t>2</t>
    </r>
    <r>
      <rPr>
        <sz val="12"/>
        <color theme="1"/>
        <rFont val="Arial"/>
        <family val="2"/>
      </rPr>
      <t>e)</t>
    </r>
  </si>
  <si>
    <r>
      <t>GHG benefit from forest conservation activity 2 (MT CO</t>
    </r>
    <r>
      <rPr>
        <vertAlign val="subscript"/>
        <sz val="12"/>
        <color theme="1"/>
        <rFont val="Arial"/>
        <family val="2"/>
      </rPr>
      <t>2</t>
    </r>
    <r>
      <rPr>
        <sz val="12"/>
        <color theme="1"/>
        <rFont val="Arial"/>
        <family val="2"/>
      </rPr>
      <t>e)</t>
    </r>
  </si>
  <si>
    <r>
      <t>GHG benefit from forest conservation activity 3 (MT CO</t>
    </r>
    <r>
      <rPr>
        <vertAlign val="subscript"/>
        <sz val="12"/>
        <color theme="1"/>
        <rFont val="Arial"/>
        <family val="2"/>
      </rPr>
      <t>2</t>
    </r>
    <r>
      <rPr>
        <sz val="12"/>
        <color theme="1"/>
        <rFont val="Arial"/>
        <family val="2"/>
      </rPr>
      <t>e)</t>
    </r>
  </si>
  <si>
    <r>
      <t>GHG benefit from forest conservation activity 4 (MT CO</t>
    </r>
    <r>
      <rPr>
        <vertAlign val="subscript"/>
        <sz val="12"/>
        <color theme="1"/>
        <rFont val="Arial"/>
        <family val="2"/>
      </rPr>
      <t>2</t>
    </r>
    <r>
      <rPr>
        <sz val="12"/>
        <color theme="1"/>
        <rFont val="Arial"/>
        <family val="2"/>
      </rPr>
      <t>e)</t>
    </r>
  </si>
  <si>
    <r>
      <t>GHG benefit from forest conservation activity 5 (MT CO</t>
    </r>
    <r>
      <rPr>
        <vertAlign val="subscript"/>
        <sz val="12"/>
        <color theme="1"/>
        <rFont val="Arial"/>
        <family val="2"/>
      </rPr>
      <t>2</t>
    </r>
    <r>
      <rPr>
        <sz val="12"/>
        <color theme="1"/>
        <rFont val="Arial"/>
        <family val="2"/>
      </rPr>
      <t>e)</t>
    </r>
  </si>
  <si>
    <t>Mobile combustion emission factor for reforestation site preparation for light brush cover (0-25% brush cover) 
(MT CO2e/acre)</t>
  </si>
  <si>
    <t>Mobile combustion emission factor for reforestation site preparation for medium brush cover (&gt;25-50% dense brush cover) (MT CO2e/acre)</t>
  </si>
  <si>
    <t>Mobile combustion emission factor for reforestation site preparation for heavy brush cover (&gt;50% brush cover, stump removal) (MT CO2e/acre)</t>
  </si>
  <si>
    <t>Mobile combustion emission factor for biomass removal 
(MT CO2e/BDT)</t>
  </si>
  <si>
    <t>Carbon lost from removal of shrubs and herbaceous understory during reforestation site preparation (heavy shrub cover) (MT CO2e/acre)</t>
  </si>
  <si>
    <t>Area subject to herbicide treatment (acres)</t>
  </si>
  <si>
    <t>Sonne, E. (2006)  Greenhouse Gas Emissions from Forestry Operations: A Life Cycle Assessment.  Journal of Environmental Quality, 35, 1439–1450.  https://dl.sciencesocieties.org/publications/jeq/pdfs/35/4/1439</t>
  </si>
  <si>
    <t>Emission factor for herbicide treatment (MT CO2e/acre)</t>
  </si>
  <si>
    <t>Biomass that will go into Miscellaneous Products (%) (100% if product class categories are not available from mill)</t>
  </si>
  <si>
    <r>
      <t>Mixed Conifer (ft</t>
    </r>
    <r>
      <rPr>
        <vertAlign val="superscript"/>
        <sz val="12"/>
        <color theme="1"/>
        <rFont val="Arial"/>
        <family val="2"/>
      </rPr>
      <t>3</t>
    </r>
    <r>
      <rPr>
        <sz val="12"/>
        <color theme="1"/>
        <rFont val="Arial"/>
        <family val="2"/>
      </rPr>
      <t>)</t>
    </r>
  </si>
  <si>
    <r>
      <t>Douglas-Fir (ft</t>
    </r>
    <r>
      <rPr>
        <vertAlign val="superscript"/>
        <sz val="12"/>
        <color theme="1"/>
        <rFont val="Arial"/>
        <family val="2"/>
      </rPr>
      <t>3</t>
    </r>
    <r>
      <rPr>
        <sz val="12"/>
        <color theme="1"/>
        <rFont val="Arial"/>
        <family val="2"/>
      </rPr>
      <t>)</t>
    </r>
  </si>
  <si>
    <r>
      <t>Fir, Spruce, or Hemlock (ft</t>
    </r>
    <r>
      <rPr>
        <vertAlign val="superscript"/>
        <sz val="12"/>
        <color theme="1"/>
        <rFont val="Arial"/>
        <family val="2"/>
      </rPr>
      <t>3</t>
    </r>
    <r>
      <rPr>
        <sz val="12"/>
        <color theme="1"/>
        <rFont val="Arial"/>
        <family val="2"/>
      </rPr>
      <t>)</t>
    </r>
  </si>
  <si>
    <r>
      <t>Ponderosa Pine (ft</t>
    </r>
    <r>
      <rPr>
        <vertAlign val="superscript"/>
        <sz val="12"/>
        <color theme="1"/>
        <rFont val="Arial"/>
        <family val="2"/>
      </rPr>
      <t>3</t>
    </r>
    <r>
      <rPr>
        <sz val="12"/>
        <color theme="1"/>
        <rFont val="Arial"/>
        <family val="2"/>
      </rPr>
      <t>)</t>
    </r>
  </si>
  <si>
    <r>
      <t>Redwood (ft</t>
    </r>
    <r>
      <rPr>
        <vertAlign val="superscript"/>
        <sz val="12"/>
        <color theme="1"/>
        <rFont val="Arial"/>
        <family val="2"/>
      </rPr>
      <t>3</t>
    </r>
    <r>
      <rPr>
        <sz val="12"/>
        <color theme="1"/>
        <rFont val="Arial"/>
        <family val="2"/>
      </rPr>
      <t>)</t>
    </r>
  </si>
  <si>
    <t>Acres/Hectare</t>
  </si>
  <si>
    <t>Unit Carbon/Unit Biomass</t>
  </si>
  <si>
    <t>Metric Ton (MT)/Short Ton or Bone Dry Ton (BDT)</t>
  </si>
  <si>
    <t>Pound (lb)/Short Ton or Bone Dry Ton (BDT)</t>
  </si>
  <si>
    <t>Kilogram (kg)/Metric Ton (MT)</t>
  </si>
  <si>
    <t>Kilogram (kg)/Short Ton or Bone Dry Ton (BDT)</t>
  </si>
  <si>
    <t xml:space="preserve">Conversion Rates </t>
  </si>
  <si>
    <r>
      <t>Wood Density of Softwoods from Mixed Conifer Forests (lbs/ft</t>
    </r>
    <r>
      <rPr>
        <vertAlign val="superscript"/>
        <sz val="12"/>
        <color theme="1"/>
        <rFont val="Arial"/>
        <family val="2"/>
      </rPr>
      <t>3</t>
    </r>
    <r>
      <rPr>
        <sz val="12"/>
        <color theme="1"/>
        <rFont val="Arial"/>
        <family val="2"/>
      </rPr>
      <t>)</t>
    </r>
  </si>
  <si>
    <r>
      <t>Wood Density of Softwoods from Fir, Spruce, or Hemlock Forests (lbs/ft</t>
    </r>
    <r>
      <rPr>
        <vertAlign val="superscript"/>
        <sz val="12"/>
        <color theme="1"/>
        <rFont val="Arial"/>
        <family val="2"/>
      </rPr>
      <t>3</t>
    </r>
    <r>
      <rPr>
        <sz val="12"/>
        <color theme="1"/>
        <rFont val="Arial"/>
        <family val="2"/>
      </rPr>
      <t>)</t>
    </r>
  </si>
  <si>
    <r>
      <t>Wood Density of Softwoods from Ponderosa Pine Forests (lbs/ft</t>
    </r>
    <r>
      <rPr>
        <vertAlign val="superscript"/>
        <sz val="12"/>
        <color theme="1"/>
        <rFont val="Arial"/>
        <family val="2"/>
      </rPr>
      <t>3</t>
    </r>
    <r>
      <rPr>
        <sz val="12"/>
        <color theme="1"/>
        <rFont val="Arial"/>
        <family val="2"/>
      </rPr>
      <t>)</t>
    </r>
  </si>
  <si>
    <r>
      <t>Wood Density of Softwoods from Redwood Forests (lbs/ft</t>
    </r>
    <r>
      <rPr>
        <vertAlign val="superscript"/>
        <sz val="12"/>
        <color theme="1"/>
        <rFont val="Arial"/>
        <family val="2"/>
      </rPr>
      <t>3</t>
    </r>
    <r>
      <rPr>
        <sz val="12"/>
        <color theme="1"/>
        <rFont val="Arial"/>
        <family val="2"/>
      </rPr>
      <t>)</t>
    </r>
  </si>
  <si>
    <r>
      <t>Wood Density of Hardwoods from Mixed Conifer Forests (lbs/ft</t>
    </r>
    <r>
      <rPr>
        <vertAlign val="superscript"/>
        <sz val="12"/>
        <color theme="1"/>
        <rFont val="Arial"/>
        <family val="2"/>
      </rPr>
      <t>3</t>
    </r>
    <r>
      <rPr>
        <sz val="12"/>
        <color theme="1"/>
        <rFont val="Arial"/>
        <family val="2"/>
      </rPr>
      <t>)</t>
    </r>
  </si>
  <si>
    <t>BDT for Softwoods</t>
  </si>
  <si>
    <t>BDT for Hardwoods</t>
  </si>
  <si>
    <t>Wood Weight by Species Type</t>
  </si>
  <si>
    <t>Wood Volume by Forest Type</t>
  </si>
  <si>
    <t>Area of the treatment boundary at risk of conversion (acres)</t>
  </si>
  <si>
    <t>Enter the acres within the easement that are at risk of conversion to non-forest use.  If cell is not applicable, leave blank.</t>
  </si>
  <si>
    <t>Area of the treatment boundary (acres)</t>
  </si>
  <si>
    <t>Enter the acres within the easement.  If cell is not applicable, leave blank.</t>
  </si>
  <si>
    <t>For applicants who choose to include the impact boundary for fuels reduction activities</t>
  </si>
  <si>
    <t>Percent of the treatment boundary at risk of conversion (%)</t>
  </si>
  <si>
    <t>Biomass to be removed from the project area as part of implementing reforestation, pest management, or fuels reduction activities and delivered to a mill (BDT)</t>
  </si>
  <si>
    <t>Biomass that would be removed from within the conservation treatment boundary and utilized for wood products without the easement (BDT)</t>
  </si>
  <si>
    <t>Biomass that is expected to be removed from within the conservation treatment boundary and utilized for wood products with the easement (BDT)</t>
  </si>
  <si>
    <t>For projects that facilitate the utilization of biomass that would otherwise be removed from outside the project area without GGRF funding
NOTE: This section only applies to activities that utilize biomass removed as part of management practices not associated with the project (i.e., the forest treatment was not funded by the GGRF grant but complementary services such as transportation to a biomass facility or mill is funded with GGRF grant money).  Only these projects may include the GHG benefit of avoided emissions from an open pile burn, landfilling, or leaving biomass to decay on-site.</t>
  </si>
  <si>
    <t>For projects that facilitate the utilization of biomass that would otherwise be removed from outside the project area without GGRF funding:</t>
  </si>
  <si>
    <t>Biomass that would be removed from within the conservation treatment boundary and utilized without the conservation easement (BDT)</t>
  </si>
  <si>
    <t>Biomass that is expected to be removed from within the conservation treatment boundary and utilized with the conservation easement (BDT)</t>
  </si>
  <si>
    <t>Management Easement Worksheet</t>
  </si>
  <si>
    <t>Management Easement Activity 1</t>
  </si>
  <si>
    <t>Management Easement Activity 5</t>
  </si>
  <si>
    <t>Management Easement Activity 2</t>
  </si>
  <si>
    <t>Management Easement Activity 4</t>
  </si>
  <si>
    <t>Management Easement Activity 3</t>
  </si>
  <si>
    <t>Avoided Conversion Easement Worksheet</t>
  </si>
  <si>
    <t>Avoided Conversion Easement Activity 1</t>
  </si>
  <si>
    <t>Avoided Conversion Easement Activity 2</t>
  </si>
  <si>
    <t>Avoided Conversion Easement Activity 3</t>
  </si>
  <si>
    <t>Avoided Conversion Easement Activity 4</t>
  </si>
  <si>
    <t>Avoided Conversion Easement Activity 5</t>
  </si>
  <si>
    <r>
      <t>GHG benefit from forest management easement activities (MT CO</t>
    </r>
    <r>
      <rPr>
        <vertAlign val="subscript"/>
        <sz val="12"/>
        <color theme="1"/>
        <rFont val="Arial"/>
        <family val="2"/>
      </rPr>
      <t>2</t>
    </r>
    <r>
      <rPr>
        <sz val="12"/>
        <color theme="1"/>
        <rFont val="Arial"/>
        <family val="2"/>
      </rPr>
      <t>e)</t>
    </r>
  </si>
  <si>
    <t>Trees planted in reforestation activities (number of trees)</t>
  </si>
  <si>
    <t>Acres treated in pest management activities (acres)</t>
  </si>
  <si>
    <t>Acres treated in fuels reduction activities (acres)</t>
  </si>
  <si>
    <t>Acres impacted by fuels reduction activities (acres; if calculated)</t>
  </si>
  <si>
    <r>
      <t>Wood Density of Softwoods from Douglas-Fir Forests (lbs/ft</t>
    </r>
    <r>
      <rPr>
        <vertAlign val="superscript"/>
        <sz val="12"/>
        <color theme="1"/>
        <rFont val="Arial"/>
        <family val="2"/>
      </rPr>
      <t>3</t>
    </r>
    <r>
      <rPr>
        <sz val="12"/>
        <color theme="1"/>
        <rFont val="Arial"/>
        <family val="2"/>
      </rPr>
      <t>)</t>
    </r>
  </si>
  <si>
    <t>Pound (lb)/Metric Ton</t>
  </si>
  <si>
    <r>
      <t>Wood Density of Hardwoods from Douglas-Fir Forests (lbs/ft</t>
    </r>
    <r>
      <rPr>
        <vertAlign val="superscript"/>
        <sz val="12"/>
        <color theme="1"/>
        <rFont val="Arial"/>
        <family val="2"/>
      </rPr>
      <t>3</t>
    </r>
    <r>
      <rPr>
        <sz val="12"/>
        <color theme="1"/>
        <rFont val="Arial"/>
        <family val="2"/>
      </rPr>
      <t>)</t>
    </r>
  </si>
  <si>
    <t>Acres conserved via forest management easement activities (acres)</t>
  </si>
  <si>
    <t>Acres conserved via avoided conversion easement activities (acres)</t>
  </si>
  <si>
    <t>Acres planted in reforestation activities (acres)</t>
  </si>
  <si>
    <t>Area subject to reforestation (acres)</t>
  </si>
  <si>
    <t>Acres impacted in pest management activities (acres)</t>
  </si>
  <si>
    <t>Quantity of trees to be planted in reforestation activity (number of trees)</t>
  </si>
  <si>
    <t>Co-benefit Summary Worksheet</t>
  </si>
  <si>
    <t>Area within the treatment boundary (acres)</t>
  </si>
  <si>
    <t>Area within the impact boundary (acres)</t>
  </si>
  <si>
    <t>Area within the pest management treatment boundary (acres)</t>
  </si>
  <si>
    <t>Area within the pest management impact boundary (acres)</t>
  </si>
  <si>
    <r>
      <t>GHG benefit from avoided conversion easement activities (MT CO</t>
    </r>
    <r>
      <rPr>
        <vertAlign val="subscript"/>
        <sz val="12"/>
        <color theme="1"/>
        <rFont val="Arial"/>
        <family val="2"/>
      </rPr>
      <t>2</t>
    </r>
    <r>
      <rPr>
        <sz val="12"/>
        <color theme="1"/>
        <rFont val="Arial"/>
        <family val="2"/>
      </rPr>
      <t>e)</t>
    </r>
  </si>
  <si>
    <t>Enter the number of trees to be planted as part of the reforestation project activity. If cell is not applicable, leave blank.</t>
  </si>
  <si>
    <t>Enter the number of acres within the treatment boundary to be planted with trees as part of the reforestation activity.  If cell is not applicable, leave blank.</t>
  </si>
  <si>
    <t>Enter the number of acres within the treatment boundary of the pest management activity.  If cell is not applicable, leave blank.</t>
  </si>
  <si>
    <t>Enter the number of acres within the impact boundary of the pest management activity.  If cell is not applicable, leave blank.</t>
  </si>
  <si>
    <r>
      <t>Enter the number of acres within the treatment boundary of the fuels reduction activity.</t>
    </r>
    <r>
      <rPr>
        <sz val="12"/>
        <color rgb="FFFF0000"/>
        <rFont val="Arial"/>
        <family val="2"/>
      </rPr>
      <t xml:space="preserve"> </t>
    </r>
    <r>
      <rPr>
        <sz val="12"/>
        <rFont val="Arial"/>
        <family val="2"/>
      </rPr>
      <t>If cell is not applicable, leave blank.</t>
    </r>
  </si>
  <si>
    <r>
      <t>Enter the number of acres within the impact boundary of the fuels reduction activity.</t>
    </r>
    <r>
      <rPr>
        <sz val="12"/>
        <color rgb="FFFF0000"/>
        <rFont val="Arial"/>
        <family val="2"/>
      </rPr>
      <t xml:space="preserve"> </t>
    </r>
    <r>
      <rPr>
        <sz val="12"/>
        <rFont val="Arial"/>
        <family val="2"/>
      </rPr>
      <t>If cell is not applicable, leave blank.</t>
    </r>
  </si>
  <si>
    <t>Forest Conservation: Avoided Conversion Easement</t>
  </si>
  <si>
    <t>Forest Conservation: Forest Management Easement</t>
  </si>
  <si>
    <t>Select from the drop down menu the type of conversion threat facing the land.  If cell is not applicable, leave blank.</t>
  </si>
  <si>
    <t>Conversion impact when threatened with conversion to residential use (dependent on number of unique parcels and size of the treatment area entered in Easement--Avoided Conversion tab); Conservation Activity 1</t>
  </si>
  <si>
    <t>Conversion impact when threatened with conversion to residential use (dependent on number of unique parcels and size of the treatment area entered in Easement--Avoided Conversion tab); Conservation Activity 2</t>
  </si>
  <si>
    <t>Conversion impact when threatened with conversion to residential use (dependent on number of unique parcels and size of the treatment area entered in Easement--Avoided Conversion tab); Conservation Activity 3</t>
  </si>
  <si>
    <t>Conversion impact when threatened with conversion to residential use (dependent on number of unique parcels and size of the treatment area entered in Easement--Avoided Conversion tab); Conservation Activity 4</t>
  </si>
  <si>
    <t>Conversion impact when threatened with conversion to residential use (dependent on number of unique parcels and size of the treatment area entered in Easement--Avoided Conversion tab); Conservation Activity 5</t>
  </si>
  <si>
    <t>If conversion threat type is residential, enter the number of parcels, or home lots, that the land would be divided into within the area at-risk of conversion.  If cell is not applicable, leave blank.</t>
  </si>
  <si>
    <t xml:space="preserve">Electricity generated per ton of biomass waste via combustion (MWh/bone dry ton of biomass) </t>
  </si>
  <si>
    <t xml:space="preserve">California Air Resources Board &amp; California Department of Resources, Recycling, and Recovery, Biomass Conversion (September 17, 2013) https://www.arb.ca.gov/cc/waste/biomassconversion.pdf
Calculated using 4,051,000 MWh of annual energy production divided by 4,500,000 bone dry tons of biomass inputs to determine the avoided energy production per ton of waste. </t>
  </si>
  <si>
    <t xml:space="preserve">Electricity generated per ton of biomass waste via gasification (MWh/bone dry ton of biomass) </t>
  </si>
  <si>
    <t>If conversion threat type is residential, number of unique parcels that would be formed in the at-risk area (parcels)</t>
  </si>
  <si>
    <t xml:space="preserve">California Air Resources Board </t>
  </si>
  <si>
    <t>Enter the percent of removed biomass that will go into each wood product class category (i.e., softwood lumber, hardwood lumber, softwood plywood, oriented strandboard, nonstructural panels, paper, and miscellaneous products.  If not available from the mill that wood will be delivered to, assume that 100% of the biomass goes into "miscellaneous products."  If cell is not applicable, leave blank.</t>
  </si>
  <si>
    <t>Biomass that will go into Oriented Strandboard (%)</t>
  </si>
  <si>
    <t>Enter the acres within the treatment boundary that are subject to active forest management prescriptions through the conservation easement.  If cell is not applicable, leave blank.</t>
  </si>
  <si>
    <t>Area of treatment boundary subject to active forest management prescriptions (acres)</t>
  </si>
  <si>
    <r>
      <t xml:space="preserve">Carbon within the active forest management area at the end of the project </t>
    </r>
    <r>
      <rPr>
        <i/>
        <sz val="12"/>
        <color theme="1"/>
        <rFont val="Arial"/>
        <family val="2"/>
      </rPr>
      <t>without</t>
    </r>
    <r>
      <rPr>
        <sz val="12"/>
        <color theme="1"/>
        <rFont val="Arial"/>
        <family val="2"/>
      </rPr>
      <t xml:space="preserve"> the conservation easement (MT C)</t>
    </r>
  </si>
  <si>
    <r>
      <t xml:space="preserve">Carbon within the active forest management area at the end of the project </t>
    </r>
    <r>
      <rPr>
        <i/>
        <sz val="12"/>
        <color theme="1"/>
        <rFont val="Arial"/>
        <family val="2"/>
      </rPr>
      <t>with</t>
    </r>
    <r>
      <rPr>
        <sz val="12"/>
        <color theme="1"/>
        <rFont val="Arial"/>
        <family val="2"/>
      </rPr>
      <t xml:space="preserve"> the conservation easement (MT C)</t>
    </r>
  </si>
  <si>
    <r>
      <t xml:space="preserve">Biomass that would be removed from within the active forest management area and utilized for wood products </t>
    </r>
    <r>
      <rPr>
        <i/>
        <sz val="12"/>
        <color theme="1"/>
        <rFont val="Arial"/>
        <family val="2"/>
      </rPr>
      <t>without</t>
    </r>
    <r>
      <rPr>
        <sz val="12"/>
        <color theme="1"/>
        <rFont val="Arial"/>
        <family val="2"/>
      </rPr>
      <t xml:space="preserve"> the easement (BDT)</t>
    </r>
  </si>
  <si>
    <r>
      <t xml:space="preserve">Biomass that is expected to be removed from within the active forest management area and utilized for wood products </t>
    </r>
    <r>
      <rPr>
        <i/>
        <sz val="12"/>
        <color theme="1"/>
        <rFont val="Arial"/>
        <family val="2"/>
      </rPr>
      <t>with</t>
    </r>
    <r>
      <rPr>
        <sz val="12"/>
        <color theme="1"/>
        <rFont val="Arial"/>
        <family val="2"/>
      </rPr>
      <t xml:space="preserve"> conservation easement (BDT)</t>
    </r>
  </si>
  <si>
    <r>
      <t xml:space="preserve">Biomass that would be removed from within the active forest management area and utilized for electricity generation via combustion </t>
    </r>
    <r>
      <rPr>
        <i/>
        <sz val="12"/>
        <color theme="1"/>
        <rFont val="Arial"/>
        <family val="2"/>
      </rPr>
      <t>without</t>
    </r>
    <r>
      <rPr>
        <sz val="12"/>
        <color theme="1"/>
        <rFont val="Arial"/>
        <family val="2"/>
      </rPr>
      <t xml:space="preserve"> the conservation easement (BDT)</t>
    </r>
  </si>
  <si>
    <t>Carbon within the active forest management area at the end of the project without the conservation easement (MT C)</t>
  </si>
  <si>
    <t>Biomass that would be removed from within the active forest management area and utilized for wood products without the easement (BDT)</t>
  </si>
  <si>
    <r>
      <t xml:space="preserve">Carbon within the active forest management area at the end of the project </t>
    </r>
    <r>
      <rPr>
        <i/>
        <sz val="12"/>
        <color rgb="FF000000"/>
        <rFont val="Arial"/>
        <family val="2"/>
      </rPr>
      <t>with the conservation easement</t>
    </r>
    <r>
      <rPr>
        <sz val="12"/>
        <color rgb="FF000000"/>
        <rFont val="Arial"/>
        <family val="2"/>
      </rPr>
      <t xml:space="preserve"> (MT C)</t>
    </r>
  </si>
  <si>
    <t>Enter the carbon stored in standing live and dead trees within the active forest management portion of the easement at the end of the project without the conservation easement (from FVS).  If cell is not applicable, leave blank.</t>
  </si>
  <si>
    <t>Enter the amount of biomass that would be removed from within the active forest management portion of the easement and utilized for wood products, electricity generation via combustion, and electricity generation via gasification.  Estimate biomass that would be utilized if land were converted without the conservation easement.  Provide separate estimates for each method of utilization.  Applicants estimate the quantity of biomass to be utilized if the area were converted by analyzing the amount of biomass to be removed, based on current stand conditions, and percentage of removed biomass expected to be sent to mill or biomass facility.  For the purposes of this quantification methodology, “biomass” refers to both merchantable timber and woody waste material.  If cell is not applicable, leave blank.</t>
  </si>
  <si>
    <t>Enter the carbon stored in standing live and dead trees within the active forest management portion of the easement at the end of the project with the conservation easement (from FVS).  If cell is not applicable, leave blank.</t>
  </si>
  <si>
    <t>Enter the amount of biomass that is expected to be removed from within the active forest management portion of the easement and utilized for wood products, electricity generation via combustion, and electricity generation via gasification.  Estimate biomass to be utilized with the conservation easement during the 50-80 year project but after project closeout (i.e., biomass removal not funded with GGRF but as a result of the area continuing to operate as a working forest).  Provide separate estimates for each method of utilization.  Applicants estimate the quantity of biomass to be utilized during the 50-80 year project (after project closeout) if the area were protected by analyzing recent harvesting trends on the land and taking into account any new practices being introduced by the terms of the easement.  For the purposes of this quantification methodology, “biomass” refers to both merchantable timber and woody waste material.  If cell is not applicable, leave blank.</t>
  </si>
  <si>
    <t>Area of the treatment (easement) boundary (acres)</t>
  </si>
  <si>
    <r>
      <t xml:space="preserve">Carbon within the </t>
    </r>
    <r>
      <rPr>
        <u/>
        <sz val="12"/>
        <color theme="1"/>
        <rFont val="Arial"/>
        <family val="2"/>
      </rPr>
      <t>impact</t>
    </r>
    <r>
      <rPr>
        <sz val="12"/>
        <color theme="1"/>
        <rFont val="Arial"/>
        <family val="2"/>
      </rPr>
      <t xml:space="preserve"> boundary at the end of the project without disturbance or pest management treatment (MT C)</t>
    </r>
  </si>
  <si>
    <r>
      <t xml:space="preserve">Carbon within the </t>
    </r>
    <r>
      <rPr>
        <u/>
        <sz val="12"/>
        <color theme="1"/>
        <rFont val="Arial"/>
        <family val="2"/>
      </rPr>
      <t>treatment</t>
    </r>
    <r>
      <rPr>
        <sz val="12"/>
        <color theme="1"/>
        <rFont val="Arial"/>
        <family val="2"/>
      </rPr>
      <t xml:space="preserve"> boundary at the end of the project without disturbance or pest management treatment (MT C)</t>
    </r>
  </si>
  <si>
    <t>Enter the percentage of treed area or basal area within the treatment and impact boundaries that remains at risk from pests and disease within a 10-year time frame with pest management treatment.  Applicants may provide site- and treatment-specific estimates sourced from published, peer-reviewed literature directly applicable to the project site or from a Registered Professional Forester familiar with the threat facing the project site and proposed treatments.  At a minimum, projects must consider the following when determining the baseline and project mortality rates within the project site: the local extent and scale of the epidemic, the type of treatment to be implemented, the species threatened by the pest or disease, the species composition and density within the project site, whether the pest is native or exotic, and the climate of the project site.  If cell is not applicable, leave blank.</t>
  </si>
  <si>
    <t>Enter the percentage of treed area or basal area within the treatment and impact boundaries at risk from pests and disease within a 10-year time frame without pest management treatment.  Applicants may provide 1) site-specific estimates sourced from the USFS National Insect and Disease Risk Map (NIDRM), 2) site-specific estimates sourced from published, peer-reviewed literature directly applicable to the project site, or 3) site-specific estimates from a Registered Professional Forester familiar with the threat facing the project site.  At a minimum, projects must consider the following when determining the baseline and project mortality rates within the project site: the local extent and scale of the epidemic, the type of treatment to be implemented, the species threatened by the pest or disease, the species composition and density within the project site, whether the pest is native or exotic, and the climate of the project site.  If cell is not applicable, leave blank.</t>
  </si>
  <si>
    <t>Mill efficiency (%) (if not known, use default efficiencies in Table 13 of the Quantification Methodology)</t>
  </si>
  <si>
    <r>
      <t>Applicants can enter either</t>
    </r>
    <r>
      <rPr>
        <sz val="12"/>
        <color rgb="FFFFFF00"/>
        <rFont val="Arial"/>
        <family val="2"/>
      </rPr>
      <t xml:space="preserve"> </t>
    </r>
    <r>
      <rPr>
        <sz val="12"/>
        <rFont val="Arial"/>
        <family val="2"/>
      </rPr>
      <t>the</t>
    </r>
    <r>
      <rPr>
        <sz val="12"/>
        <color rgb="FFFFFF00"/>
        <rFont val="Arial"/>
        <family val="2"/>
      </rPr>
      <t xml:space="preserve"> </t>
    </r>
    <r>
      <rPr>
        <sz val="12"/>
        <rFont val="Arial"/>
        <family val="2"/>
      </rPr>
      <t>actual mill efficiency from the mill where trees will be delivered, supported with documentation, or the appropriate default mill efficiency based on the type of wood provided in Table 13 of the quantification methodology.  If trees will be delivered to more than one mill with different efficiencies, applicants may provide a weighted mill efficiency.  If cell is not applicable, leave blank.</t>
    </r>
  </si>
  <si>
    <t>Reforestation Activity 6</t>
  </si>
  <si>
    <t>Reforestation Activity 7</t>
  </si>
  <si>
    <t>Reforestation Activity 8</t>
  </si>
  <si>
    <t>Reforestation Activity 9</t>
  </si>
  <si>
    <t>Reforestation Activity 10</t>
  </si>
  <si>
    <t>Pest Management Activity 6</t>
  </si>
  <si>
    <t>Pest Management Activity 7</t>
  </si>
  <si>
    <t>Pest Management Activity 8</t>
  </si>
  <si>
    <t>Pest Management Activity 9</t>
  </si>
  <si>
    <t>Pest Management Activity 10</t>
  </si>
  <si>
    <t>Avoided Conversion Easement Activity 6</t>
  </si>
  <si>
    <t>Avoided Conversion Easement Activity 7</t>
  </si>
  <si>
    <t>Avoided Conversion Easement Activity 8</t>
  </si>
  <si>
    <t>Avoided Conversion Easement Activity 9</t>
  </si>
  <si>
    <t>Avoided Conversion Easement Activity 10</t>
  </si>
  <si>
    <t>Management Easement Activity 10</t>
  </si>
  <si>
    <t>Management Easement Activity 9</t>
  </si>
  <si>
    <t>Management Easement Activity 8</t>
  </si>
  <si>
    <t>Management Easement Activity 7</t>
  </si>
  <si>
    <t>Management Easement Activity 6</t>
  </si>
  <si>
    <r>
      <t>GHG benefit from pest management activity 6 (MT CO</t>
    </r>
    <r>
      <rPr>
        <vertAlign val="subscript"/>
        <sz val="12"/>
        <color theme="1"/>
        <rFont val="Arial"/>
        <family val="2"/>
      </rPr>
      <t>2</t>
    </r>
    <r>
      <rPr>
        <sz val="12"/>
        <color theme="1"/>
        <rFont val="Arial"/>
        <family val="2"/>
      </rPr>
      <t>e)</t>
    </r>
  </si>
  <si>
    <r>
      <t>GHG benefit from pest management activity 7 (MT CO</t>
    </r>
    <r>
      <rPr>
        <vertAlign val="subscript"/>
        <sz val="12"/>
        <color theme="1"/>
        <rFont val="Arial"/>
        <family val="2"/>
      </rPr>
      <t>2</t>
    </r>
    <r>
      <rPr>
        <sz val="12"/>
        <color theme="1"/>
        <rFont val="Arial"/>
        <family val="2"/>
      </rPr>
      <t>e)</t>
    </r>
  </si>
  <si>
    <r>
      <t>GHG benefit from pest management activity 8 (MT CO</t>
    </r>
    <r>
      <rPr>
        <vertAlign val="subscript"/>
        <sz val="12"/>
        <color theme="1"/>
        <rFont val="Arial"/>
        <family val="2"/>
      </rPr>
      <t>2</t>
    </r>
    <r>
      <rPr>
        <sz val="12"/>
        <color theme="1"/>
        <rFont val="Arial"/>
        <family val="2"/>
      </rPr>
      <t>e)</t>
    </r>
  </si>
  <si>
    <r>
      <t>GHG benefit from pest management activity 9 (MT CO</t>
    </r>
    <r>
      <rPr>
        <vertAlign val="subscript"/>
        <sz val="12"/>
        <color theme="1"/>
        <rFont val="Arial"/>
        <family val="2"/>
      </rPr>
      <t>2</t>
    </r>
    <r>
      <rPr>
        <sz val="12"/>
        <color theme="1"/>
        <rFont val="Arial"/>
        <family val="2"/>
      </rPr>
      <t>e)</t>
    </r>
  </si>
  <si>
    <r>
      <t>GHG benefit from pest management activity 10 (MT CO</t>
    </r>
    <r>
      <rPr>
        <vertAlign val="subscript"/>
        <sz val="12"/>
        <color theme="1"/>
        <rFont val="Arial"/>
        <family val="2"/>
      </rPr>
      <t>2</t>
    </r>
    <r>
      <rPr>
        <sz val="12"/>
        <color theme="1"/>
        <rFont val="Arial"/>
        <family val="2"/>
      </rPr>
      <t>e)</t>
    </r>
  </si>
  <si>
    <t>Fuels Reduction Activity 6</t>
  </si>
  <si>
    <r>
      <t>GHG benefit from fuels reduction activity 6 (MT CO</t>
    </r>
    <r>
      <rPr>
        <vertAlign val="subscript"/>
        <sz val="12"/>
        <color theme="1"/>
        <rFont val="Arial"/>
        <family val="2"/>
      </rPr>
      <t>2</t>
    </r>
    <r>
      <rPr>
        <sz val="12"/>
        <color theme="1"/>
        <rFont val="Arial"/>
        <family val="2"/>
      </rPr>
      <t>e)</t>
    </r>
  </si>
  <si>
    <t>Fuels Reduction Activity 7</t>
  </si>
  <si>
    <r>
      <t>GHG benefit from fuels reduction activity 7 (MT CO</t>
    </r>
    <r>
      <rPr>
        <vertAlign val="subscript"/>
        <sz val="12"/>
        <color theme="1"/>
        <rFont val="Arial"/>
        <family val="2"/>
      </rPr>
      <t>2</t>
    </r>
    <r>
      <rPr>
        <sz val="12"/>
        <color theme="1"/>
        <rFont val="Arial"/>
        <family val="2"/>
      </rPr>
      <t>e)</t>
    </r>
  </si>
  <si>
    <t>Fuels Reduction Activity 8</t>
  </si>
  <si>
    <r>
      <t>GHG benefit from fuels reduction activity 8 (MT CO</t>
    </r>
    <r>
      <rPr>
        <vertAlign val="subscript"/>
        <sz val="12"/>
        <color theme="1"/>
        <rFont val="Arial"/>
        <family val="2"/>
      </rPr>
      <t>2</t>
    </r>
    <r>
      <rPr>
        <sz val="12"/>
        <color theme="1"/>
        <rFont val="Arial"/>
        <family val="2"/>
      </rPr>
      <t>e)</t>
    </r>
  </si>
  <si>
    <t>Fuels Reduction Activity 9</t>
  </si>
  <si>
    <r>
      <t>GHG benefit from fuels reduction activity 9 (MT CO</t>
    </r>
    <r>
      <rPr>
        <vertAlign val="subscript"/>
        <sz val="12"/>
        <color theme="1"/>
        <rFont val="Arial"/>
        <family val="2"/>
      </rPr>
      <t>2</t>
    </r>
    <r>
      <rPr>
        <sz val="12"/>
        <color theme="1"/>
        <rFont val="Arial"/>
        <family val="2"/>
      </rPr>
      <t>e)</t>
    </r>
  </si>
  <si>
    <t>Fuels Reduction Activity 10</t>
  </si>
  <si>
    <r>
      <t>GHG benefit from fuels reduction activity 10 (MT CO</t>
    </r>
    <r>
      <rPr>
        <vertAlign val="subscript"/>
        <sz val="12"/>
        <color theme="1"/>
        <rFont val="Arial"/>
        <family val="2"/>
      </rPr>
      <t>2</t>
    </r>
    <r>
      <rPr>
        <sz val="12"/>
        <color theme="1"/>
        <rFont val="Arial"/>
        <family val="2"/>
      </rPr>
      <t>e)</t>
    </r>
  </si>
  <si>
    <r>
      <t>GHG benefit from forest conservation activity 6 (MT CO</t>
    </r>
    <r>
      <rPr>
        <vertAlign val="subscript"/>
        <sz val="12"/>
        <color theme="1"/>
        <rFont val="Arial"/>
        <family val="2"/>
      </rPr>
      <t>2</t>
    </r>
    <r>
      <rPr>
        <sz val="12"/>
        <color theme="1"/>
        <rFont val="Arial"/>
        <family val="2"/>
      </rPr>
      <t>e)</t>
    </r>
  </si>
  <si>
    <r>
      <t>GHG benefit from forest conservation activity 7 (MT CO</t>
    </r>
    <r>
      <rPr>
        <vertAlign val="subscript"/>
        <sz val="12"/>
        <color theme="1"/>
        <rFont val="Arial"/>
        <family val="2"/>
      </rPr>
      <t>2</t>
    </r>
    <r>
      <rPr>
        <sz val="12"/>
        <color theme="1"/>
        <rFont val="Arial"/>
        <family val="2"/>
      </rPr>
      <t>e)</t>
    </r>
  </si>
  <si>
    <r>
      <t>GHG benefit from forest conservation activity 8 (MT CO</t>
    </r>
    <r>
      <rPr>
        <vertAlign val="subscript"/>
        <sz val="12"/>
        <color theme="1"/>
        <rFont val="Arial"/>
        <family val="2"/>
      </rPr>
      <t>2</t>
    </r>
    <r>
      <rPr>
        <sz val="12"/>
        <color theme="1"/>
        <rFont val="Arial"/>
        <family val="2"/>
      </rPr>
      <t>e)</t>
    </r>
  </si>
  <si>
    <r>
      <t>GHG benefit from forest conservation activity 9 (MT CO</t>
    </r>
    <r>
      <rPr>
        <vertAlign val="subscript"/>
        <sz val="12"/>
        <color theme="1"/>
        <rFont val="Arial"/>
        <family val="2"/>
      </rPr>
      <t>2</t>
    </r>
    <r>
      <rPr>
        <sz val="12"/>
        <color theme="1"/>
        <rFont val="Arial"/>
        <family val="2"/>
      </rPr>
      <t>e)</t>
    </r>
  </si>
  <si>
    <r>
      <t>GHG benefit from forest conservation activity 10 (MT CO</t>
    </r>
    <r>
      <rPr>
        <vertAlign val="subscript"/>
        <sz val="12"/>
        <color theme="1"/>
        <rFont val="Arial"/>
        <family val="2"/>
      </rPr>
      <t>2</t>
    </r>
    <r>
      <rPr>
        <sz val="12"/>
        <color theme="1"/>
        <rFont val="Arial"/>
        <family val="2"/>
      </rPr>
      <t>e)</t>
    </r>
  </si>
  <si>
    <t>Region (Ecological Section)</t>
  </si>
  <si>
    <t>Site Productivity Class (I-V)</t>
  </si>
  <si>
    <t>North Coast</t>
  </si>
  <si>
    <t>Sierra Nevada/Klamath/Cascades</t>
  </si>
  <si>
    <t>Great Basin</t>
  </si>
  <si>
    <t>Mojave</t>
  </si>
  <si>
    <t>Ecoregions</t>
  </si>
  <si>
    <t>I</t>
  </si>
  <si>
    <t>II</t>
  </si>
  <si>
    <t>III</t>
  </si>
  <si>
    <t>IV</t>
  </si>
  <si>
    <t>V</t>
  </si>
  <si>
    <t>165-224, 225+</t>
  </si>
  <si>
    <t>120-164, 165-224, 225+</t>
  </si>
  <si>
    <t>85-119, 120-164, 165-224</t>
  </si>
  <si>
    <t>All</t>
  </si>
  <si>
    <t>Central &amp; Southern Coast Range, Central Valley</t>
  </si>
  <si>
    <t>I-III</t>
  </si>
  <si>
    <t>85-119, 120-164, 165-224, 225+</t>
  </si>
  <si>
    <t>50-84, 85-119, 120-164</t>
  </si>
  <si>
    <t>0-49, 50-84, 85-119</t>
  </si>
  <si>
    <t>Sierra/Klamath/Cascades</t>
  </si>
  <si>
    <t>Forest Practice Class</t>
  </si>
  <si>
    <t>Site Productivity Class</t>
  </si>
  <si>
    <t>Dependent Table 1</t>
  </si>
  <si>
    <t>Region_SPC_Designation</t>
  </si>
  <si>
    <t>Carbon_Mg/ac</t>
  </si>
  <si>
    <t>Project Duration</t>
  </si>
  <si>
    <t>End of Project (Years)</t>
  </si>
  <si>
    <t>Activity</t>
  </si>
  <si>
    <t>Yes</t>
  </si>
  <si>
    <t>No</t>
  </si>
  <si>
    <t>Ownership Classes</t>
  </si>
  <si>
    <t>US BLM</t>
  </si>
  <si>
    <t>US NPS</t>
  </si>
  <si>
    <t>US DoD</t>
  </si>
  <si>
    <t>USDA-FS (non wilderness)</t>
  </si>
  <si>
    <t>Other Federal</t>
  </si>
  <si>
    <t>State Government</t>
  </si>
  <si>
    <t>Local Government</t>
  </si>
  <si>
    <t>Private</t>
  </si>
  <si>
    <t>Conservation Easement Protected</t>
  </si>
  <si>
    <t>Treatment area land ownership type</t>
  </si>
  <si>
    <t>Land ownership type</t>
  </si>
  <si>
    <r>
      <t>GHG benefit from reforestation activity 2 
(MT CO</t>
    </r>
    <r>
      <rPr>
        <vertAlign val="subscript"/>
        <sz val="12"/>
        <color theme="1"/>
        <rFont val="Arial"/>
        <family val="2"/>
      </rPr>
      <t>2</t>
    </r>
    <r>
      <rPr>
        <sz val="12"/>
        <color theme="1"/>
        <rFont val="Arial"/>
        <family val="2"/>
      </rPr>
      <t>e)</t>
    </r>
  </si>
  <si>
    <r>
      <t>GHG benefit from reforestation activity 3 
(MT CO</t>
    </r>
    <r>
      <rPr>
        <vertAlign val="subscript"/>
        <sz val="12"/>
        <color theme="1"/>
        <rFont val="Arial"/>
        <family val="2"/>
      </rPr>
      <t>2</t>
    </r>
    <r>
      <rPr>
        <sz val="12"/>
        <color theme="1"/>
        <rFont val="Arial"/>
        <family val="2"/>
      </rPr>
      <t>e)</t>
    </r>
  </si>
  <si>
    <r>
      <t>GHG benefit from reforestation activity 4 
(MT CO</t>
    </r>
    <r>
      <rPr>
        <vertAlign val="subscript"/>
        <sz val="12"/>
        <color theme="1"/>
        <rFont val="Arial"/>
        <family val="2"/>
      </rPr>
      <t>2</t>
    </r>
    <r>
      <rPr>
        <sz val="12"/>
        <color theme="1"/>
        <rFont val="Arial"/>
        <family val="2"/>
      </rPr>
      <t>e)</t>
    </r>
  </si>
  <si>
    <r>
      <t>GHG benefit from reforestation activity 5
(MT CO</t>
    </r>
    <r>
      <rPr>
        <vertAlign val="subscript"/>
        <sz val="12"/>
        <color theme="1"/>
        <rFont val="Arial"/>
        <family val="2"/>
      </rPr>
      <t>2</t>
    </r>
    <r>
      <rPr>
        <sz val="12"/>
        <color theme="1"/>
        <rFont val="Arial"/>
        <family val="2"/>
      </rPr>
      <t>e)</t>
    </r>
  </si>
  <si>
    <r>
      <t>GHG benefit from reforestation activity 6 
(MT CO</t>
    </r>
    <r>
      <rPr>
        <vertAlign val="subscript"/>
        <sz val="12"/>
        <color theme="1"/>
        <rFont val="Arial"/>
        <family val="2"/>
      </rPr>
      <t>2</t>
    </r>
    <r>
      <rPr>
        <sz val="12"/>
        <color theme="1"/>
        <rFont val="Arial"/>
        <family val="2"/>
      </rPr>
      <t>e)</t>
    </r>
  </si>
  <si>
    <r>
      <t>GHG benefit from reforestation activity 7
(MT CO</t>
    </r>
    <r>
      <rPr>
        <vertAlign val="subscript"/>
        <sz val="12"/>
        <color theme="1"/>
        <rFont val="Arial"/>
        <family val="2"/>
      </rPr>
      <t>2</t>
    </r>
    <r>
      <rPr>
        <sz val="12"/>
        <color theme="1"/>
        <rFont val="Arial"/>
        <family val="2"/>
      </rPr>
      <t>e)</t>
    </r>
  </si>
  <si>
    <r>
      <t>GHG benefit from reforestation activity 8 
(MT CO</t>
    </r>
    <r>
      <rPr>
        <vertAlign val="subscript"/>
        <sz val="12"/>
        <color theme="1"/>
        <rFont val="Arial"/>
        <family val="2"/>
      </rPr>
      <t>2</t>
    </r>
    <r>
      <rPr>
        <sz val="12"/>
        <color theme="1"/>
        <rFont val="Arial"/>
        <family val="2"/>
      </rPr>
      <t>e)</t>
    </r>
  </si>
  <si>
    <r>
      <t>GHG benefit from reforestation activity 9 
(MT CO</t>
    </r>
    <r>
      <rPr>
        <vertAlign val="subscript"/>
        <sz val="12"/>
        <color theme="1"/>
        <rFont val="Arial"/>
        <family val="2"/>
      </rPr>
      <t>2</t>
    </r>
    <r>
      <rPr>
        <sz val="12"/>
        <color theme="1"/>
        <rFont val="Arial"/>
        <family val="2"/>
      </rPr>
      <t>e)</t>
    </r>
  </si>
  <si>
    <r>
      <t>GHG benefit from reforestation activity 10
(MT CO</t>
    </r>
    <r>
      <rPr>
        <vertAlign val="subscript"/>
        <sz val="12"/>
        <color theme="1"/>
        <rFont val="Arial"/>
        <family val="2"/>
      </rPr>
      <t>2</t>
    </r>
    <r>
      <rPr>
        <sz val="12"/>
        <color theme="1"/>
        <rFont val="Arial"/>
        <family val="2"/>
      </rPr>
      <t>e)</t>
    </r>
  </si>
  <si>
    <r>
      <t xml:space="preserve">Percentage of treatment and impact boundaries at risk </t>
    </r>
    <r>
      <rPr>
        <i/>
        <u val="double"/>
        <sz val="12"/>
        <color theme="10"/>
        <rFont val="Arial"/>
        <family val="2"/>
      </rPr>
      <t>without</t>
    </r>
    <r>
      <rPr>
        <u/>
        <sz val="12"/>
        <color theme="10"/>
        <rFont val="Arial"/>
        <family val="2"/>
      </rPr>
      <t xml:space="preserve"> pest management treatment (%)</t>
    </r>
  </si>
  <si>
    <r>
      <t xml:space="preserve">Percentage of treatment and impact boundaries at risk </t>
    </r>
    <r>
      <rPr>
        <i/>
        <u/>
        <sz val="12"/>
        <color theme="1"/>
        <rFont val="Arial"/>
        <family val="2"/>
      </rPr>
      <t>with</t>
    </r>
    <r>
      <rPr>
        <sz val="12"/>
        <color theme="1"/>
        <rFont val="Arial"/>
        <family val="2"/>
      </rPr>
      <t xml:space="preserve"> pest management treatment (%)</t>
    </r>
  </si>
  <si>
    <r>
      <t xml:space="preserve">Biomass that would be removed from within the conservation treatment boundary and utilized for wood products </t>
    </r>
    <r>
      <rPr>
        <u/>
        <sz val="12"/>
        <color theme="1"/>
        <rFont val="Arial"/>
        <family val="2"/>
      </rPr>
      <t>without</t>
    </r>
    <r>
      <rPr>
        <sz val="12"/>
        <color theme="1"/>
        <rFont val="Arial"/>
        <family val="2"/>
      </rPr>
      <t xml:space="preserve"> the easement (BDT)</t>
    </r>
  </si>
  <si>
    <r>
      <t xml:space="preserve">Biomass that is expected to be removed from within the conservation treatment boundary and utilized for wood products </t>
    </r>
    <r>
      <rPr>
        <u/>
        <sz val="12"/>
        <color theme="1"/>
        <rFont val="Arial"/>
        <family val="2"/>
      </rPr>
      <t>with</t>
    </r>
    <r>
      <rPr>
        <sz val="12"/>
        <color theme="1"/>
        <rFont val="Arial"/>
        <family val="2"/>
      </rPr>
      <t xml:space="preserve"> conservation easement (BDT)</t>
    </r>
  </si>
  <si>
    <r>
      <t xml:space="preserve">Biomass that would be removed from within the conservation treatment boundary and utilized for electricity generation via combustion </t>
    </r>
    <r>
      <rPr>
        <u/>
        <sz val="12"/>
        <color theme="1"/>
        <rFont val="Arial"/>
        <family val="2"/>
      </rPr>
      <t>without</t>
    </r>
    <r>
      <rPr>
        <sz val="12"/>
        <color theme="1"/>
        <rFont val="Arial"/>
        <family val="2"/>
      </rPr>
      <t xml:space="preserve"> the conservation easement (BDT)</t>
    </r>
  </si>
  <si>
    <r>
      <t xml:space="preserve">Biomass that is expected to be removed from within the conservation treatment boundary and utilized for electricity generation via combustion </t>
    </r>
    <r>
      <rPr>
        <u/>
        <sz val="12"/>
        <color theme="1"/>
        <rFont val="Arial"/>
        <family val="2"/>
      </rPr>
      <t>with</t>
    </r>
    <r>
      <rPr>
        <sz val="12"/>
        <color theme="1"/>
        <rFont val="Arial"/>
        <family val="2"/>
      </rPr>
      <t xml:space="preserve"> the conservation easement (BDT)</t>
    </r>
  </si>
  <si>
    <r>
      <t xml:space="preserve">Biomass that would be removed from within the conservation treatment boundary and utilized for electricity generation via gasification </t>
    </r>
    <r>
      <rPr>
        <u/>
        <sz val="12"/>
        <color theme="1"/>
        <rFont val="Arial"/>
        <family val="2"/>
      </rPr>
      <t>without</t>
    </r>
    <r>
      <rPr>
        <sz val="12"/>
        <color theme="1"/>
        <rFont val="Arial"/>
        <family val="2"/>
      </rPr>
      <t xml:space="preserve"> the conservation easement (BDT)</t>
    </r>
  </si>
  <si>
    <r>
      <t xml:space="preserve">Biomass that is expected to be removed from within the conservation treatment boundary and utilized for electricity generation via gasification </t>
    </r>
    <r>
      <rPr>
        <u/>
        <sz val="12"/>
        <color theme="1"/>
        <rFont val="Arial"/>
        <family val="2"/>
      </rPr>
      <t>with</t>
    </r>
    <r>
      <rPr>
        <sz val="12"/>
        <color theme="1"/>
        <rFont val="Arial"/>
        <family val="2"/>
      </rPr>
      <t xml:space="preserve"> the conservation easement (BDT)</t>
    </r>
  </si>
  <si>
    <t>Class I</t>
  </si>
  <si>
    <t>Class II or III</t>
  </si>
  <si>
    <t>Class IV or V</t>
  </si>
  <si>
    <t>Site Productivity</t>
  </si>
  <si>
    <t>Forest Practice Site Class (I-V)</t>
  </si>
  <si>
    <t>Land ownership type (prior to easement)</t>
  </si>
  <si>
    <t>Conversion impact when threatened with conversion to residential use (dependent on number of unique parcels and size of the treatment area entered in Easement--Avoided Conversion tab); Conservation Activity 6</t>
  </si>
  <si>
    <t>Conversion impact when threatened with conversion to residential use (dependent on number of unique parcels and size of the treatment area entered in Easement--Avoided Conversion tab); Conservation Activity 7</t>
  </si>
  <si>
    <t>Conversion impact when threatened with conversion to residential use (dependent on number of unique parcels and size of the treatment area entered in Easement--Avoided Conversion tab); Conservation Activity 8</t>
  </si>
  <si>
    <t>Conversion impact when threatened with conversion to residential use (dependent on number of unique parcels and size of the treatment area entered in Easement--Avoided Conversion tab); Conservation Activity 9</t>
  </si>
  <si>
    <t>Conversion impact when threatened with conversion to residential use (dependent on number of unique parcels and size of the treatment area entered in Easement--Avoided Conversion tab); Conservation Activity 10</t>
  </si>
  <si>
    <r>
      <t xml:space="preserve">Biomass that would be removed from within the active forest management area and utilized for electricity generation via gasification </t>
    </r>
    <r>
      <rPr>
        <i/>
        <u/>
        <sz val="12"/>
        <color theme="1"/>
        <rFont val="Arial"/>
        <family val="2"/>
      </rPr>
      <t>without</t>
    </r>
    <r>
      <rPr>
        <sz val="12"/>
        <color theme="1"/>
        <rFont val="Arial"/>
        <family val="2"/>
      </rPr>
      <t xml:space="preserve"> the conservation easement (BDT)</t>
    </r>
  </si>
  <si>
    <r>
      <t xml:space="preserve">Biomass that is expected to be removed from within the active forest management area and utilized for electricity generation via gasification </t>
    </r>
    <r>
      <rPr>
        <i/>
        <u/>
        <sz val="12"/>
        <color theme="1"/>
        <rFont val="Arial"/>
        <family val="2"/>
      </rPr>
      <t>with</t>
    </r>
    <r>
      <rPr>
        <sz val="12"/>
        <color theme="1"/>
        <rFont val="Arial"/>
        <family val="2"/>
      </rPr>
      <t xml:space="preserve"> the conservation easement (BDT)</t>
    </r>
  </si>
  <si>
    <r>
      <t xml:space="preserve">Biomass that is expected to be removed from within the active forest management area and utilized for electricity generation via combustion </t>
    </r>
    <r>
      <rPr>
        <i/>
        <u/>
        <sz val="12"/>
        <color theme="1"/>
        <rFont val="Arial"/>
        <family val="2"/>
      </rPr>
      <t>with</t>
    </r>
    <r>
      <rPr>
        <sz val="12"/>
        <color theme="1"/>
        <rFont val="Arial"/>
        <family val="2"/>
      </rPr>
      <t xml:space="preserve"> the conservation easement (BDT)</t>
    </r>
  </si>
  <si>
    <t>RF1</t>
  </si>
  <si>
    <t>RF2</t>
  </si>
  <si>
    <t>RF3</t>
  </si>
  <si>
    <t>RF4</t>
  </si>
  <si>
    <t>RF5</t>
  </si>
  <si>
    <t>RF6</t>
  </si>
  <si>
    <t>RF7</t>
  </si>
  <si>
    <t>RF8</t>
  </si>
  <si>
    <t>RF9</t>
  </si>
  <si>
    <t>RF10</t>
  </si>
  <si>
    <t>PM1</t>
  </si>
  <si>
    <t>PM2</t>
  </si>
  <si>
    <t>PM3</t>
  </si>
  <si>
    <t>PM4</t>
  </si>
  <si>
    <t>PM5</t>
  </si>
  <si>
    <t>PM6</t>
  </si>
  <si>
    <t>PM7</t>
  </si>
  <si>
    <t>PM8</t>
  </si>
  <si>
    <t>PM9</t>
  </si>
  <si>
    <t>PM10</t>
  </si>
  <si>
    <t>FR1</t>
  </si>
  <si>
    <t>FR2</t>
  </si>
  <si>
    <t>FR3</t>
  </si>
  <si>
    <t>FR4</t>
  </si>
  <si>
    <t>FR5</t>
  </si>
  <si>
    <t>FR6</t>
  </si>
  <si>
    <t>FR7</t>
  </si>
  <si>
    <t>FR8</t>
  </si>
  <si>
    <t>FR9</t>
  </si>
  <si>
    <t>FR10</t>
  </si>
  <si>
    <t>EAC1</t>
  </si>
  <si>
    <t>EAC2</t>
  </si>
  <si>
    <t>EAC3</t>
  </si>
  <si>
    <t>EAC4</t>
  </si>
  <si>
    <t>EAC5</t>
  </si>
  <si>
    <t>EAC6</t>
  </si>
  <si>
    <t>EAC7</t>
  </si>
  <si>
    <t>EAC8</t>
  </si>
  <si>
    <t>EAC9</t>
  </si>
  <si>
    <t>EAC10</t>
  </si>
  <si>
    <t>EFM1</t>
  </si>
  <si>
    <t>EFM2</t>
  </si>
  <si>
    <t>EFM3</t>
  </si>
  <si>
    <t>EFM4</t>
  </si>
  <si>
    <t>EFM5</t>
  </si>
  <si>
    <t>EFM6</t>
  </si>
  <si>
    <t>EFM7</t>
  </si>
  <si>
    <t>EFM8</t>
  </si>
  <si>
    <t>EFM9</t>
  </si>
  <si>
    <t>EFM10</t>
  </si>
  <si>
    <t>End of Project</t>
  </si>
  <si>
    <t>Activitiy</t>
  </si>
  <si>
    <t>Quantification period (end of project, in years)</t>
  </si>
  <si>
    <t>Central &amp; Southern Coast, Central Valley</t>
  </si>
  <si>
    <r>
      <t xml:space="preserve">Biomass that is expected to be removed from within the conservation treatment boundary and utilized for electricity generation </t>
    </r>
    <r>
      <rPr>
        <u/>
        <sz val="12"/>
        <color theme="1"/>
        <rFont val="Arial"/>
        <family val="2"/>
      </rPr>
      <t>via combustion</t>
    </r>
    <r>
      <rPr>
        <sz val="12"/>
        <color theme="1"/>
        <rFont val="Arial"/>
        <family val="2"/>
      </rPr>
      <t xml:space="preserve"> without the conservation easement (BDT)</t>
    </r>
  </si>
  <si>
    <r>
      <t xml:space="preserve">Biomass that is expected to be removed from within the conservation treatment boundary and utilized for electricity generation </t>
    </r>
    <r>
      <rPr>
        <u/>
        <sz val="12"/>
        <color theme="1"/>
        <rFont val="Arial"/>
        <family val="2"/>
      </rPr>
      <t>via combustion</t>
    </r>
    <r>
      <rPr>
        <sz val="12"/>
        <color theme="1"/>
        <rFont val="Arial"/>
        <family val="2"/>
      </rPr>
      <t xml:space="preserve"> with the conservation easement (BDT)</t>
    </r>
  </si>
  <si>
    <r>
      <t xml:space="preserve">Biomass that is expected to be removed from within the conservation treatment boundary and utilized for electricity generation </t>
    </r>
    <r>
      <rPr>
        <u/>
        <sz val="12"/>
        <color theme="1"/>
        <rFont val="Arial"/>
        <family val="2"/>
      </rPr>
      <t>via gasification</t>
    </r>
    <r>
      <rPr>
        <sz val="12"/>
        <color theme="1"/>
        <rFont val="Arial"/>
        <family val="2"/>
      </rPr>
      <t xml:space="preserve"> without the conservation easement (BDT)</t>
    </r>
  </si>
  <si>
    <r>
      <t xml:space="preserve">Biomass that is expected to be removed from within the conservation treatment boundary and utilized for electricity generation </t>
    </r>
    <r>
      <rPr>
        <u/>
        <sz val="12"/>
        <color theme="1"/>
        <rFont val="Arial"/>
        <family val="2"/>
      </rPr>
      <t>via gasification</t>
    </r>
    <r>
      <rPr>
        <sz val="12"/>
        <color theme="1"/>
        <rFont val="Arial"/>
        <family val="2"/>
      </rPr>
      <t xml:space="preserve"> with the conservation easement (BDT)</t>
    </r>
  </si>
  <si>
    <r>
      <t xml:space="preserve">Biomass to be removed from the project area as part of implementing reforestation or pest management activities and delivered to a biomass facility generating electricity </t>
    </r>
    <r>
      <rPr>
        <u/>
        <sz val="12"/>
        <color theme="1"/>
        <rFont val="Arial"/>
        <family val="2"/>
      </rPr>
      <t>via gasification</t>
    </r>
    <r>
      <rPr>
        <sz val="12"/>
        <color theme="1"/>
        <rFont val="Arial"/>
        <family val="2"/>
      </rPr>
      <t xml:space="preserve"> as part of the project (BDT)</t>
    </r>
  </si>
  <si>
    <r>
      <t xml:space="preserve">Carbon within the treatment boundary at the end of the project </t>
    </r>
    <r>
      <rPr>
        <u/>
        <sz val="12"/>
        <color theme="1"/>
        <rFont val="Arial"/>
        <family val="2"/>
      </rPr>
      <t>with</t>
    </r>
    <r>
      <rPr>
        <sz val="12"/>
        <color theme="1"/>
        <rFont val="Arial"/>
        <family val="2"/>
      </rPr>
      <t xml:space="preserve"> fuels reduction treatment, but </t>
    </r>
    <r>
      <rPr>
        <u/>
        <sz val="12"/>
        <color theme="1"/>
        <rFont val="Arial"/>
        <family val="2"/>
      </rPr>
      <t>without</t>
    </r>
    <r>
      <rPr>
        <sz val="12"/>
        <color theme="1"/>
        <rFont val="Arial"/>
        <family val="2"/>
      </rPr>
      <t xml:space="preserve"> fire disturbance (MT C)</t>
    </r>
  </si>
  <si>
    <r>
      <t xml:space="preserve">Carbon within the treatment boundary at the end of the project </t>
    </r>
    <r>
      <rPr>
        <u/>
        <sz val="12"/>
        <rFont val="Arial"/>
        <family val="2"/>
      </rPr>
      <t>with</t>
    </r>
    <r>
      <rPr>
        <sz val="12"/>
        <rFont val="Arial"/>
        <family val="2"/>
      </rPr>
      <t xml:space="preserve"> fuels reduction treatment and </t>
    </r>
    <r>
      <rPr>
        <u/>
        <sz val="12"/>
        <rFont val="Arial"/>
        <family val="2"/>
      </rPr>
      <t>with</t>
    </r>
    <r>
      <rPr>
        <sz val="12"/>
        <rFont val="Arial"/>
        <family val="2"/>
      </rPr>
      <t xml:space="preserve"> fire disturbance (MT C)</t>
    </r>
  </si>
  <si>
    <r>
      <t xml:space="preserve">Carbon within the treatment boundary at the end of the project </t>
    </r>
    <r>
      <rPr>
        <u/>
        <sz val="12"/>
        <color theme="1"/>
        <rFont val="Arial"/>
        <family val="2"/>
      </rPr>
      <t>without</t>
    </r>
    <r>
      <rPr>
        <sz val="12"/>
        <color theme="1"/>
        <rFont val="Arial"/>
        <family val="2"/>
      </rPr>
      <t xml:space="preserve"> fuels reduction treatment and </t>
    </r>
    <r>
      <rPr>
        <u/>
        <sz val="12"/>
        <color theme="1"/>
        <rFont val="Arial"/>
        <family val="2"/>
      </rPr>
      <t>without</t>
    </r>
    <r>
      <rPr>
        <sz val="12"/>
        <color theme="1"/>
        <rFont val="Arial"/>
        <family val="2"/>
      </rPr>
      <t xml:space="preserve"> fire disturbance (MT C)</t>
    </r>
  </si>
  <si>
    <r>
      <t xml:space="preserve">Carbon within the treatment boundary at the end of the project </t>
    </r>
    <r>
      <rPr>
        <u/>
        <sz val="12"/>
        <color theme="1"/>
        <rFont val="Arial"/>
        <family val="2"/>
      </rPr>
      <t>without</t>
    </r>
    <r>
      <rPr>
        <sz val="12"/>
        <color theme="1"/>
        <rFont val="Arial"/>
        <family val="2"/>
      </rPr>
      <t xml:space="preserve"> fuels reduction treatment, but </t>
    </r>
    <r>
      <rPr>
        <u/>
        <sz val="12"/>
        <color theme="1"/>
        <rFont val="Arial"/>
        <family val="2"/>
      </rPr>
      <t>with</t>
    </r>
    <r>
      <rPr>
        <sz val="12"/>
        <color theme="1"/>
        <rFont val="Arial"/>
        <family val="2"/>
      </rPr>
      <t xml:space="preserve"> fire disturbance (MT C)</t>
    </r>
  </si>
  <si>
    <t>For applicants who choose to include the impact boundary for fuels reduction activities (optional):</t>
  </si>
  <si>
    <r>
      <t xml:space="preserve">Carbon within the impact boundary at the end of the project </t>
    </r>
    <r>
      <rPr>
        <u/>
        <sz val="12"/>
        <color theme="1"/>
        <rFont val="Arial"/>
        <family val="2"/>
      </rPr>
      <t>without</t>
    </r>
    <r>
      <rPr>
        <sz val="12"/>
        <color theme="1"/>
        <rFont val="Arial"/>
        <family val="2"/>
      </rPr>
      <t xml:space="preserve"> fire disturbance (MT C)</t>
    </r>
  </si>
  <si>
    <r>
      <t xml:space="preserve">Carbon within the impact boundary at the end of the project </t>
    </r>
    <r>
      <rPr>
        <u/>
        <sz val="12"/>
        <color theme="1"/>
        <rFont val="Arial"/>
        <family val="2"/>
      </rPr>
      <t>without</t>
    </r>
    <r>
      <rPr>
        <sz val="12"/>
        <color theme="1"/>
        <rFont val="Arial"/>
        <family val="2"/>
      </rPr>
      <t xml:space="preserve"> fuels reduction treatment but </t>
    </r>
    <r>
      <rPr>
        <u/>
        <sz val="12"/>
        <color theme="1"/>
        <rFont val="Arial"/>
        <family val="2"/>
      </rPr>
      <t>with</t>
    </r>
    <r>
      <rPr>
        <sz val="12"/>
        <color theme="1"/>
        <rFont val="Arial"/>
        <family val="2"/>
      </rPr>
      <t xml:space="preserve"> fire disturbance (MT C)</t>
    </r>
  </si>
  <si>
    <t>kg/ton</t>
  </si>
  <si>
    <t>g/lb</t>
  </si>
  <si>
    <t>Table 5A in:  Sonoma County Water Agency, Feasibility of Using Residual Woody Biomass to Generate Electricity for Sonoma County, 2013 https://evogov.s3.amazonaws.com/185/media/182331.pdf</t>
  </si>
  <si>
    <r>
      <t>Fossil fuel displacement emission reduction factor for electricity generated via combustion (MT CO</t>
    </r>
    <r>
      <rPr>
        <vertAlign val="subscript"/>
        <sz val="12"/>
        <color theme="1"/>
        <rFont val="Avenir LT Std 55 Roman"/>
        <family val="2"/>
      </rPr>
      <t>2</t>
    </r>
    <r>
      <rPr>
        <sz val="12"/>
        <color theme="1"/>
        <rFont val="Avenir LT Std 55 Roman"/>
        <family val="2"/>
      </rPr>
      <t>e/BDT)</t>
    </r>
  </si>
  <si>
    <r>
      <t xml:space="preserve">California Air Resources Board &amp; California Department of Resources, Recycling, and Recovery, Biomass Conversion (September 17, 2013) https://www.arb.ca.gov/cc/waste/biomassconversion.pdf
</t>
    </r>
    <r>
      <rPr>
        <i/>
        <sz val="12"/>
        <color theme="1"/>
        <rFont val="Avenir LT Std 55 Roman"/>
        <family val="2"/>
      </rPr>
      <t>Note: This methodology assumes that the wood waste is delivered to a biomass energy facility that produces electricity via combustion where the biomass is incinerated in boiler to produce steam which powers a turbine-driven generator that produces electricity.  Applicants that propose eligible projects that cannot be calculated using the GHG Calculator Tool, such as projects that utilize biomass energy technology not included in the calculator, may propose the use of alternative GHG quantification methods.  See the acccompanying quantification methodology for more details.</t>
    </r>
  </si>
  <si>
    <r>
      <t>Fossil fuel displacement emission reduction factor for electricity generated via gasification (MT CO</t>
    </r>
    <r>
      <rPr>
        <vertAlign val="subscript"/>
        <sz val="12"/>
        <color theme="1"/>
        <rFont val="Avenir LT Std 55 Roman"/>
        <family val="2"/>
      </rPr>
      <t>2</t>
    </r>
    <r>
      <rPr>
        <sz val="12"/>
        <color theme="1"/>
        <rFont val="Avenir LT Std 55 Roman"/>
        <family val="2"/>
      </rPr>
      <t>e/BDT)</t>
    </r>
  </si>
  <si>
    <r>
      <t xml:space="preserve">California Air Resources Board, Detailed California-Modified GREET Pathway for Cellulosic Ethanol from Forest Waste (February 27, 2009) https://www.arb.ca.gov/fuels/lcfs/022709lcfs_forestw.pdf
Sonoma County Water Agency, Feasibility of Using Residual Woody Biomass to Generate Electricity for Sonoma County (2013)
http://www.scwa.ca.gov/files/docs/carbon-free-water/SCWA Bioenergy Feasibility Assessment_WDFeatherman_FINAL REPORT_2014-05-17.pdf
</t>
    </r>
    <r>
      <rPr>
        <i/>
        <sz val="12"/>
        <color theme="1"/>
        <rFont val="Avenir LT Std 55 Roman"/>
        <family val="2"/>
      </rPr>
      <t>Note: This methodology assumes that the wood waste is delivered to a biomass energy facility that produces electricity via gasification where the biomass is heated in an oxygen-limited environment to produce hydrogen and carbon monoxide rich gas (syn gas) which powers a turbine-driven generator or internal combustion engine that produces electricity.  Applicants that propose eligible projects that cannot be calculated using the GHG Calculator Tool, such as projects that utilize biomass energy technology not included in the Calculator, may propose the use of alternative GHG quantification methods.  See the acccompanying quantification methodology for more details.</t>
    </r>
  </si>
  <si>
    <r>
      <t>Avoided Open Pile Burn Emissions (ton CO</t>
    </r>
    <r>
      <rPr>
        <vertAlign val="subscript"/>
        <sz val="12"/>
        <color theme="1"/>
        <rFont val="Avenir LT Std 55 Roman"/>
        <family val="2"/>
      </rPr>
      <t>2</t>
    </r>
    <r>
      <rPr>
        <sz val="12"/>
        <color theme="1"/>
        <rFont val="Avenir LT Std 55 Roman"/>
        <family val="2"/>
      </rPr>
      <t>e/BDT)</t>
    </r>
  </si>
  <si>
    <r>
      <t>Avoided landfill emissions (MT CO</t>
    </r>
    <r>
      <rPr>
        <vertAlign val="subscript"/>
        <sz val="12"/>
        <color theme="1"/>
        <rFont val="Avenir LT Std 55 Roman"/>
        <family val="2"/>
      </rPr>
      <t>2</t>
    </r>
    <r>
      <rPr>
        <sz val="12"/>
        <color theme="1"/>
        <rFont val="Avenir LT Std 55 Roman"/>
        <family val="2"/>
      </rPr>
      <t>e/short ton)</t>
    </r>
  </si>
  <si>
    <r>
      <t>Avoided on-site decay emissions (ton CO</t>
    </r>
    <r>
      <rPr>
        <vertAlign val="subscript"/>
        <sz val="12"/>
        <color theme="1"/>
        <rFont val="Avenir LT Std 55 Roman"/>
        <family val="2"/>
      </rPr>
      <t>2</t>
    </r>
    <r>
      <rPr>
        <sz val="12"/>
        <color theme="1"/>
        <rFont val="Avenir LT Std 55 Roman"/>
        <family val="2"/>
      </rPr>
      <t>e/BDT)</t>
    </r>
  </si>
  <si>
    <t>NWL Implementation Tracking</t>
  </si>
  <si>
    <t>Tab</t>
  </si>
  <si>
    <t>Ownership</t>
  </si>
  <si>
    <t>Avoided Conversion</t>
  </si>
  <si>
    <t>Improved Forest Management</t>
  </si>
  <si>
    <t>Ownership Types</t>
  </si>
  <si>
    <t>Land Management Implementation (acres)</t>
  </si>
  <si>
    <r>
      <t xml:space="preserve">Locate the treatment area on the USFS Ecological Section Map and select the appropriate designation from the drop down menu. Used together with  Ecological Section Groups: 263 = North Coast; M261 = Sierra/Klamath/Cascades; 261 &amp; M262 = Central &amp; Southern Coast, Central Valley; 322 = Mojave; 341 &amp; 342 = Great Basin. </t>
    </r>
    <r>
      <rPr>
        <i/>
        <sz val="12"/>
        <color theme="1"/>
        <rFont val="Arial"/>
        <family val="2"/>
      </rPr>
      <t>Cleland, D. T., Freeouf, J. A., Keys, J. E. J., Nowacki, G. J., Carpenter, C. A., &amp; McNab, W. H. (2007). Ecological subregions: sections and subsections for the conterminous United States. General Technical Report WO-76D, 76.</t>
    </r>
    <r>
      <rPr>
        <sz val="12"/>
        <color theme="1"/>
        <rFont val="Arial"/>
        <family val="2"/>
      </rPr>
      <t xml:space="preserve"> https://www.fs.fed.us/research/publications/misc/73326-wo-gtr-76d-cleland2007.pdf </t>
    </r>
  </si>
  <si>
    <r>
      <t>Select from the dropdown list the Forest Practice Site Class of the treatment area. For Forest Practice Site Class definitions, see Table 7 of the Quantification Methodology or "</t>
    </r>
    <r>
      <rPr>
        <i/>
        <sz val="12"/>
        <color theme="1"/>
        <rFont val="Arial"/>
        <family val="2"/>
      </rPr>
      <t xml:space="preserve">Article 4 Timber Site Classification" </t>
    </r>
    <r>
      <rPr>
        <sz val="12"/>
        <color theme="1"/>
        <rFont val="Arial"/>
        <family val="2"/>
      </rPr>
      <t xml:space="preserve">of the </t>
    </r>
    <r>
      <rPr>
        <i/>
        <sz val="12"/>
        <color theme="1"/>
        <rFont val="Arial"/>
        <family val="2"/>
      </rPr>
      <t>2018 California Forest Practice Rules</t>
    </r>
    <r>
      <rPr>
        <sz val="12"/>
        <color theme="1"/>
        <rFont val="Arial"/>
        <family val="2"/>
      </rPr>
      <t xml:space="preserve">. Forest productivity information may be available from the USDA NRCS Soil Survey Geographic Database (SSURGO) https://websoilsurvey.sc.egov.usda.gov/App/WebSoilSurvey.aspx </t>
    </r>
  </si>
  <si>
    <t>Select from dropdown. Information is used to help track State-funded activities treating and restoring natural and working lands. Selection does not influence GHG or other calculations.</t>
  </si>
  <si>
    <t>Autofilled based on "Forest Practice Site Class". End of project occurs 50 to 80 years after the project start date, depending on Forest Practice Site Class. The project end date is the point at which forest carbon stocks for project scenario and baseline scenario are compared to determine the net greenhouse gas effect of the project.</t>
  </si>
  <si>
    <t>Autofilled based on selections for "Region" and "Forest Practice Site Class". Carbon stored in existing standing live and dead trees within the treatment boundary at the end of the project in reforestation baseline scenario.</t>
  </si>
  <si>
    <t>Enter the carbon stored in existing and planted standing live and dead trees within the treatment boundary at the end of the project in reforestation project scenario.   If cell is not applicable, leave blank.</t>
  </si>
  <si>
    <t>Enter the acres within the treatment boundary subject to herbicide treatment.  If cell is not applicable, leave blank.</t>
  </si>
  <si>
    <t xml:space="preserve">Select from the dropdown list the Forest Practice Site Class of the treatment area. For Forest Practice Site Class definitions, see Table 7 of the Quantification Methodology or "Article 4 Timber Site Classification" of the 2018 California Forest Practice Rules. Forest productivity information may be available from the USDA NRCS Soil Survey Geographic Database (SSURGO) https://websoilsurvey.sc.egov.usda.gov/App/WebSoilSurvey.aspx </t>
  </si>
  <si>
    <t xml:space="preserve">No input needed. Automatically calculated based on the treatment boundary area and the treatment area at risk of conversion. </t>
  </si>
  <si>
    <t>Enter the carbon stored in standing live and dead trees within the treatment boundary at the end of the project with the conservation easement.  If cell is not applicable, leave blank.</t>
  </si>
  <si>
    <r>
      <t xml:space="preserve">Biomass to be removed from the project area as part of implementing reforestation, pest management, or fuels reduction activities and delivered to a biomass facility generating electricity </t>
    </r>
    <r>
      <rPr>
        <u/>
        <sz val="12"/>
        <color theme="1"/>
        <rFont val="Arial"/>
        <family val="2"/>
      </rPr>
      <t>via combustion</t>
    </r>
    <r>
      <rPr>
        <sz val="12"/>
        <color theme="1"/>
        <rFont val="Arial"/>
        <family val="2"/>
      </rPr>
      <t xml:space="preserve"> as part of the project (BDT)</t>
    </r>
  </si>
  <si>
    <t>0-49, 50-84, 85-119, 120-164</t>
  </si>
  <si>
    <t>50-84, 85-119, 120-164, 165-224</t>
  </si>
  <si>
    <t>Sample Size in COLE</t>
  </si>
  <si>
    <t>Standard Error</t>
  </si>
  <si>
    <t>Total Live + Dead Carbon (Mg/ha)</t>
  </si>
  <si>
    <t>Total Live + Dead Carbon (Mg/ac)</t>
  </si>
  <si>
    <t>Project Duration (Years)</t>
  </si>
  <si>
    <t>Live Tree Carbon (Mg/ha)</t>
  </si>
  <si>
    <t>Dead Tree Carbon (Mg/ha)</t>
  </si>
  <si>
    <t>Ecoregion</t>
  </si>
  <si>
    <t>Location Name</t>
  </si>
  <si>
    <t>FVS Location Code</t>
  </si>
  <si>
    <t>FVS Variant</t>
  </si>
  <si>
    <t>Forest Type</t>
  </si>
  <si>
    <t>Site Class</t>
  </si>
  <si>
    <t>Planting Density (trees/acre)</t>
  </si>
  <si>
    <t>Carbon (tons/acre)</t>
  </si>
  <si>
    <t>Tree Species</t>
  </si>
  <si>
    <t>Douglas-Fir Forest Regeneration Mixture (%)</t>
  </si>
  <si>
    <t>Ponderosa Pine Forest Regeneration Mixture (%)</t>
  </si>
  <si>
    <t>White Fir Forest Regeneration Mixture (%)</t>
  </si>
  <si>
    <t>Mixed Conifer Forest Regeneration Mixture (%)</t>
  </si>
  <si>
    <t>El Dorado</t>
  </si>
  <si>
    <t>Western Sierra Nevada (WS)</t>
  </si>
  <si>
    <t>Mixed Conifer</t>
  </si>
  <si>
    <t>Other softwoods</t>
  </si>
  <si>
    <t>Other hardwoods</t>
  </si>
  <si>
    <r>
      <t>Ponderosa Pine (</t>
    </r>
    <r>
      <rPr>
        <i/>
        <sz val="11"/>
        <color theme="1"/>
        <rFont val="Arial"/>
        <family val="2"/>
      </rPr>
      <t>Pinus ponderosa</t>
    </r>
    <r>
      <rPr>
        <sz val="11"/>
        <color theme="1"/>
        <rFont val="Arial"/>
        <family val="2"/>
      </rPr>
      <t>)</t>
    </r>
  </si>
  <si>
    <r>
      <t>White Fir (</t>
    </r>
    <r>
      <rPr>
        <i/>
        <sz val="11"/>
        <color theme="1"/>
        <rFont val="Arial"/>
        <family val="2"/>
      </rPr>
      <t>Abies concolor</t>
    </r>
    <r>
      <rPr>
        <sz val="11"/>
        <color theme="1"/>
        <rFont val="Arial"/>
        <family val="2"/>
      </rPr>
      <t>)</t>
    </r>
  </si>
  <si>
    <t>Klamath</t>
  </si>
  <si>
    <t>Klamath/North Coast (NC)</t>
  </si>
  <si>
    <r>
      <t>Douglas-Fir (</t>
    </r>
    <r>
      <rPr>
        <i/>
        <sz val="11"/>
        <color theme="1"/>
        <rFont val="Arial"/>
        <family val="2"/>
      </rPr>
      <t>Pseudotsuga menziesii</t>
    </r>
    <r>
      <rPr>
        <sz val="11"/>
        <color theme="1"/>
        <rFont val="Arial"/>
        <family val="2"/>
      </rPr>
      <t>)</t>
    </r>
  </si>
  <si>
    <t>South Central Oregon &amp; Northeast California (SO)</t>
  </si>
  <si>
    <r>
      <t>Eastside Ponderosa Pine (</t>
    </r>
    <r>
      <rPr>
        <i/>
        <sz val="11"/>
        <color theme="1"/>
        <rFont val="Arial"/>
        <family val="2"/>
      </rPr>
      <t>Pinus ponderosa</t>
    </r>
    <r>
      <rPr>
        <sz val="11"/>
        <color theme="1"/>
        <rFont val="Arial"/>
        <family val="2"/>
      </rPr>
      <t>)</t>
    </r>
  </si>
  <si>
    <t>Inland California and Southern Cascades (CA)</t>
  </si>
  <si>
    <t>Lassen</t>
  </si>
  <si>
    <t>Mendocino</t>
  </si>
  <si>
    <t>Modoc</t>
  </si>
  <si>
    <t>Plumas</t>
  </si>
  <si>
    <t>Sierra</t>
  </si>
  <si>
    <t>Six Rivers</t>
  </si>
  <si>
    <t>Tahoe</t>
  </si>
  <si>
    <r>
      <t>Douglas-fir (</t>
    </r>
    <r>
      <rPr>
        <i/>
        <sz val="11"/>
        <color theme="1"/>
        <rFont val="Arial"/>
        <family val="2"/>
      </rPr>
      <t>Pseudotsuga menziesii</t>
    </r>
    <r>
      <rPr>
        <sz val="11"/>
        <color theme="1"/>
        <rFont val="Arial"/>
        <family val="2"/>
      </rPr>
      <t>)</t>
    </r>
  </si>
  <si>
    <r>
      <t>White fir (</t>
    </r>
    <r>
      <rPr>
        <i/>
        <sz val="11"/>
        <color theme="1"/>
        <rFont val="Arial"/>
        <family val="2"/>
      </rPr>
      <t>Abies concolor</t>
    </r>
    <r>
      <rPr>
        <sz val="11"/>
        <color theme="1"/>
        <rFont val="Arial"/>
        <family val="2"/>
      </rPr>
      <t>)</t>
    </r>
  </si>
  <si>
    <r>
      <t>Sugar pine (</t>
    </r>
    <r>
      <rPr>
        <i/>
        <sz val="11"/>
        <color theme="1"/>
        <rFont val="Arial"/>
        <family val="2"/>
      </rPr>
      <t>P. lambertiana)</t>
    </r>
  </si>
  <si>
    <r>
      <t>Incense cedar (</t>
    </r>
    <r>
      <rPr>
        <i/>
        <sz val="11"/>
        <color theme="1"/>
        <rFont val="Arial"/>
        <family val="2"/>
      </rPr>
      <t>Calocedrus decurrens</t>
    </r>
    <r>
      <rPr>
        <sz val="11"/>
        <color theme="1"/>
        <rFont val="Arial"/>
        <family val="2"/>
      </rPr>
      <t>)</t>
    </r>
  </si>
  <si>
    <r>
      <t>Tanoak (</t>
    </r>
    <r>
      <rPr>
        <i/>
        <sz val="11"/>
        <color theme="1"/>
        <rFont val="Arial"/>
        <family val="2"/>
      </rPr>
      <t>Notholithocarpus densiflorus</t>
    </r>
    <r>
      <rPr>
        <sz val="11"/>
        <color theme="1"/>
        <rFont val="Arial"/>
        <family val="2"/>
      </rPr>
      <t>)</t>
    </r>
  </si>
  <si>
    <r>
      <t>Ponderosa pine/Jeffrey pine (</t>
    </r>
    <r>
      <rPr>
        <i/>
        <sz val="11"/>
        <color theme="1"/>
        <rFont val="Arial"/>
        <family val="2"/>
      </rPr>
      <t>Pinus ponderosa/ P. jeffreyi</t>
    </r>
    <r>
      <rPr>
        <sz val="11"/>
        <color theme="1"/>
        <rFont val="Arial"/>
        <family val="2"/>
      </rPr>
      <t>)</t>
    </r>
  </si>
  <si>
    <t>Forest Vegetation Simulator (FVS) Variant Range Maps. Source: USDA Forest Service</t>
  </si>
  <si>
    <t xml:space="preserve">Applicants may use this worksheet to convert values from the required tools to those to be input into this calculator. </t>
  </si>
  <si>
    <t xml:space="preserve">available at: </t>
  </si>
  <si>
    <t xml:space="preserve">To use this calculator, follow these steps:
</t>
  </si>
  <si>
    <r>
      <rPr>
        <b/>
        <sz val="12"/>
        <color theme="1"/>
        <rFont val="Arial"/>
        <family val="2"/>
      </rPr>
      <t>Step 1</t>
    </r>
    <r>
      <rPr>
        <sz val="12"/>
        <color theme="1"/>
        <rFont val="Arial"/>
        <family val="2"/>
      </rPr>
      <t xml:space="preserve"> Enter general project information: Enter the project name and the contact information for a person who can answer project specific </t>
    </r>
  </si>
  <si>
    <t>questions from staff reviewers on the quantification calculations.  Enter the date that the project completed the GHG calculations.</t>
  </si>
  <si>
    <t>listed in the quantification methodology.</t>
  </si>
  <si>
    <r>
      <rPr>
        <b/>
        <sz val="12"/>
        <rFont val="Arial"/>
        <family val="2"/>
      </rPr>
      <t xml:space="preserve">Step 3 </t>
    </r>
    <r>
      <rPr>
        <sz val="12"/>
        <rFont val="Arial"/>
        <family val="2"/>
      </rPr>
      <t xml:space="preserve">Determine the inputs needed: The applicant will use the quantification methodology and the tools identified therein to determine the </t>
    </r>
  </si>
  <si>
    <t xml:space="preserve">contains a conversion worksheet to assist users in determining calculator inputs. </t>
  </si>
  <si>
    <r>
      <rPr>
        <b/>
        <sz val="12"/>
        <rFont val="Arial"/>
        <family val="2"/>
      </rPr>
      <t xml:space="preserve">Step 4 </t>
    </r>
    <r>
      <rPr>
        <sz val="12"/>
        <rFont val="Arial"/>
        <family val="2"/>
      </rPr>
      <t>Estimate the GHG emission reductions: The applicant will enter the project details identified in Step 3 into this calculator tool to calculate</t>
    </r>
  </si>
  <si>
    <t>the net GHG benefit of the project.</t>
  </si>
  <si>
    <r>
      <rPr>
        <b/>
        <sz val="12"/>
        <rFont val="Arial"/>
        <family val="2"/>
      </rPr>
      <t xml:space="preserve">Step 5 </t>
    </r>
    <r>
      <rPr>
        <sz val="12"/>
        <rFont val="Arial"/>
        <family val="2"/>
      </rPr>
      <t xml:space="preserve">Submit documentation: Save file for submittal.  This file will be submitted with other documentation requirements.  See Section C of the </t>
    </r>
  </si>
  <si>
    <t>quantification methodology for additional documentation requirements.</t>
  </si>
  <si>
    <t>Enter data below using the appropriate on-site carbon stock accounting tools identified in Table 2 of the quantification methodology.</t>
  </si>
  <si>
    <t>If the reforestation treatment boundary overlaps with another activity's treatment or impact boundary, apportion the acreage as</t>
  </si>
  <si>
    <t>instructed in Table 3 of the quantification methodology.</t>
  </si>
  <si>
    <t>Biomass utilization</t>
  </si>
  <si>
    <t>Co-Benefits &amp; Key Variables Summary</t>
  </si>
  <si>
    <t>Total land restored/treated (acres)</t>
  </si>
  <si>
    <t>Total land conserved (acres)</t>
  </si>
  <si>
    <t>Soil benefit (acres)</t>
  </si>
  <si>
    <t>Renewable energy generated (kWh)</t>
  </si>
  <si>
    <t>FR11</t>
  </si>
  <si>
    <t>FR12</t>
  </si>
  <si>
    <t>FR13</t>
  </si>
  <si>
    <t>FR14</t>
  </si>
  <si>
    <t>Forest Restoration and Management</t>
  </si>
  <si>
    <t>Benefits Calculator Tool</t>
  </si>
  <si>
    <t>Fiscal Year 2020-2021</t>
  </si>
  <si>
    <r>
      <rPr>
        <b/>
        <sz val="12"/>
        <rFont val="Arial"/>
        <family val="2"/>
      </rPr>
      <t>Step 2</t>
    </r>
    <r>
      <rPr>
        <sz val="12"/>
        <rFont val="Arial"/>
        <family val="2"/>
      </rPr>
      <t xml:space="preserve"> Identify the project activity(ies): The applicant must select the appropriate project activity(ies) from the list of five eligible activity types
</t>
    </r>
  </si>
  <si>
    <t xml:space="preserve">The Forest Restoration and Management Benefits Calculator Tool allows users to estimate the net GHG benefit and co-benefits from a variety of </t>
  </si>
  <si>
    <t xml:space="preserve">The California Air Resources Board (CARB) is responsible for providing the quantification methodology to estimate greenhouse gas (GHG) emission reductions </t>
  </si>
  <si>
    <t xml:space="preserve">from California Climate Investment projects receiving monies from the Greenhouse Gas Reduction Fund (GGRF). </t>
  </si>
  <si>
    <t>This Forest Restoration and Management Benefits Calculator Tool is accompanied by a quantification methodology</t>
  </si>
  <si>
    <t xml:space="preserve">Applicants must use this Benefits Calculator Tool to estimate the net GHG benefit and co-benefits associated with forest management projects
</t>
  </si>
  <si>
    <t xml:space="preserve">receiving monies from the Greenhouse Gas Reduction Fund (GGRF). </t>
  </si>
  <si>
    <t xml:space="preserve">project information that must be input into this benefits calculator tool for the applicable project component(s) selected in Step 2.  This benefits calculator </t>
  </si>
  <si>
    <t xml:space="preserve">the calculator. Landscape-level projects may include multiple activities of the same or differing types. This benefits calculator tool allows for multiple </t>
  </si>
  <si>
    <t xml:space="preserve">specific forest management activities. Each eligible project activity identified in Table 1 of the quantification methodology has a worksheet within </t>
  </si>
  <si>
    <t xml:space="preserve">Applicants must input values into this Forest Restoration and Management Benefits Calculator Tool that are in the correct units.  </t>
  </si>
  <si>
    <r>
      <t>Net GHG benefit (MT CO</t>
    </r>
    <r>
      <rPr>
        <vertAlign val="subscript"/>
        <sz val="12"/>
        <color theme="1"/>
        <rFont val="Arial"/>
        <family val="2"/>
      </rPr>
      <t>2</t>
    </r>
    <r>
      <rPr>
        <sz val="12"/>
        <color theme="1"/>
        <rFont val="Arial"/>
        <family val="2"/>
      </rPr>
      <t>e)</t>
    </r>
  </si>
  <si>
    <t>GGRF $ requested from this solicitation ($)</t>
  </si>
  <si>
    <t>Total GGRF $ requested ($)</t>
  </si>
  <si>
    <t>GGRF funds requested from this solicitation/net GHG benefit ($/MT CO2e)</t>
  </si>
  <si>
    <t>Total GGRF $ requested / net GHG benefit ($/MT CO2e)</t>
  </si>
  <si>
    <r>
      <t xml:space="preserve">Enter the annual probability that area within the treatment and impact boundaries will be subject to wildfire disturbance (mean probability from the FRAP Fire Probability for Carbon Accounting map tool; see Step 3.C in Forest Restoration and Management User Guide for further information). </t>
    </r>
    <r>
      <rPr>
        <sz val="12"/>
        <color rgb="FFFF0000"/>
        <rFont val="Arial"/>
        <family val="2"/>
      </rPr>
      <t xml:space="preserve"> </t>
    </r>
    <r>
      <rPr>
        <sz val="12"/>
        <rFont val="Arial"/>
        <family val="2"/>
      </rPr>
      <t>If cell is not applicable, leave blank.</t>
    </r>
  </si>
  <si>
    <t>Enter the GGRF funds requested from this solicitation for all project features.</t>
  </si>
  <si>
    <t>GGRF Funds Requested From This Solicitation ($)</t>
  </si>
  <si>
    <t xml:space="preserve">Enter the total GGRF funds requested for all project features.  This amount is equal to the amount of GGRF dollars the applicant is requesting from this funding solicitation, plus all GGRF dollars from CAL FIRE or other agencies that have previously been awarded to the same project and any GGRF dollars from agencies other than CAL FIRE that project has or plans to apply for.  For a list of GGRF funded programs, go to: https://www.arb.ca.gov/cc/capandtrade/auctionproceeds/ggrfprogrampage.htm.  If no other GGRF funds are requested, this will be the same amount as the GGRF Funds Requested From This Solicitation.  </t>
  </si>
  <si>
    <t>Enter the total amount of biomass to be removed from the project area as a result of implementing forest management project activities (i.e., biomass removed as part of site preparation, brush removal, manual or mechanical thinning, etc.) and delivered to a mill.  For the purposes of this quantification methodology, “biomass” refers to both merchantable timber and woody waste material.  If cell is not applicable, leave blank.</t>
  </si>
  <si>
    <t>Biomass to be removed from the project area as a result of implementing forest management project activities and delivered to a biomass facility generating electricity via combustion (BDT)</t>
  </si>
  <si>
    <t>Enter the total amount of biomass to be removed from the project area as a result of implementing forest management project activities (i.e., biomass removed as part of site preparation, brush removal, manual or mechanical thinning, etc.) and delivered to a biomass facility generating electricity via gasification.  For the purposes of this quantification methodology, “biomass” refers to both merchantable timber and woody waste material.  If cell is not applicable, leave blank.</t>
  </si>
  <si>
    <t>Enter the total amount of biomass to be removed from the project area as a result of implementing forest management project activities (i.e., biomass removed as part of site preparation, brush removal, manual or mechanical thinning, etc.) and delivered to a biomass facility generating electricity via combustion.  For the purposes of this quantification methodology, “biomass” refers to both merchantable timber and woody waste material.  If cell is not applicable, leave blank.</t>
  </si>
  <si>
    <t>Biomass to be removed from the project area as a result of implementing forest management project activities and delivered to a biomass facility generating electricity via gasification (BDT)</t>
  </si>
  <si>
    <t>Geographic Variant</t>
  </si>
  <si>
    <t>Location Code</t>
  </si>
  <si>
    <t>Tree Planting Density (Trees Per Acre)</t>
  </si>
  <si>
    <t>Species 1</t>
  </si>
  <si>
    <t>Species 2</t>
  </si>
  <si>
    <t>Species 3</t>
  </si>
  <si>
    <t>Species 4</t>
  </si>
  <si>
    <t>Species 5</t>
  </si>
  <si>
    <t>Species 6</t>
  </si>
  <si>
    <t>Species 7</t>
  </si>
  <si>
    <t>Species 8</t>
  </si>
  <si>
    <t>Species 9</t>
  </si>
  <si>
    <t>Species (Scientific Name)</t>
  </si>
  <si>
    <t>Percentage of Total Trees Planted</t>
  </si>
  <si>
    <t>If using Forest Vegetation Simulator (FVS):</t>
  </si>
  <si>
    <t>Other</t>
  </si>
  <si>
    <t>FVS Location Codes</t>
  </si>
  <si>
    <t>NC</t>
  </si>
  <si>
    <t>CA</t>
  </si>
  <si>
    <t>SO</t>
  </si>
  <si>
    <t>WS</t>
  </si>
  <si>
    <t>Reforestation Forest Types</t>
  </si>
  <si>
    <t>Briefly describe the management actions for the project scenario (1000 character limit):</t>
  </si>
  <si>
    <t>Briefly describe the management actions for the baseline scenario (1000 character limit):</t>
  </si>
  <si>
    <t xml:space="preserve">indicate a direct user input is required, green fields indicate a selection from a drop-down box is required, gray fields indicate output or </t>
  </si>
  <si>
    <t xml:space="preserve">calculation fields that are automatically populated based on user entries and the calculation methods, and blue fields indicate information that is not </t>
  </si>
  <si>
    <t xml:space="preserve">needed for GHG or Co-Benefits calculation, but is needed to be able to verify calculator inputs. After the user inputs are entered for each proposed </t>
  </si>
  <si>
    <t xml:space="preserve">project activity the GHG summary worksheet displays the estimated GHG benefit from each activity type, the estimated net GHG benefit of the </t>
  </si>
  <si>
    <t xml:space="preserve">project, as well as the estimated net GHG benefit per GGRF dollar requested.  </t>
  </si>
  <si>
    <t>Year Completed</t>
  </si>
  <si>
    <t>Acreage</t>
  </si>
  <si>
    <t>Species to be masticated</t>
  </si>
  <si>
    <t>Approximate size of masticated fuel (inches)</t>
  </si>
  <si>
    <t xml:space="preserve">Mastication </t>
  </si>
  <si>
    <t>Prescribed (Rx) Burning</t>
  </si>
  <si>
    <t>Thinning From Below</t>
  </si>
  <si>
    <t>Masticated Fuel Particle Size</t>
  </si>
  <si>
    <t>0 – 0.25”</t>
  </si>
  <si>
    <t>0.25 – 1”</t>
  </si>
  <si>
    <t>1 – 3”</t>
  </si>
  <si>
    <t>3 – 6”</t>
  </si>
  <si>
    <t>Masticated Trees</t>
  </si>
  <si>
    <t>All Species</t>
  </si>
  <si>
    <t>Not All Species</t>
  </si>
  <si>
    <t>Smallest DBH to be masticated (≥DBH, inches)</t>
  </si>
  <si>
    <t>Largest DBH to be masticated (&lt;DBH, inches)</t>
  </si>
  <si>
    <t>Moisture Level for All Fuels</t>
  </si>
  <si>
    <t>Fuel Moisture</t>
  </si>
  <si>
    <t>Very Dry</t>
  </si>
  <si>
    <t>Dry</t>
  </si>
  <si>
    <t>Moist</t>
  </si>
  <si>
    <t>Wet</t>
  </si>
  <si>
    <t>Wind Speed at 20 ft Above Vegetation (mph)</t>
  </si>
  <si>
    <r>
      <t>Air Temperature (</t>
    </r>
    <r>
      <rPr>
        <sz val="11"/>
        <color theme="1"/>
        <rFont val="Arial"/>
        <family val="2"/>
      </rPr>
      <t>º</t>
    </r>
    <r>
      <rPr>
        <sz val="12"/>
        <color theme="1"/>
        <rFont val="Arial"/>
        <family val="2"/>
      </rPr>
      <t>F)</t>
    </r>
  </si>
  <si>
    <t>Season of prescribed fire</t>
  </si>
  <si>
    <t>Early Spring</t>
  </si>
  <si>
    <t>Before Greenup</t>
  </si>
  <si>
    <t>After Greenup</t>
  </si>
  <si>
    <t>Fall</t>
  </si>
  <si>
    <t>Season of Fire</t>
  </si>
  <si>
    <t>Smallest DBH to be removed (≥DBH, inches)</t>
  </si>
  <si>
    <t>Largest DBH to be removed (&lt;DBH, inches)</t>
  </si>
  <si>
    <t>Slash Left On Site</t>
  </si>
  <si>
    <t>No Slash</t>
  </si>
  <si>
    <t>Only Trees Left</t>
  </si>
  <si>
    <t>Only Branchwood Left</t>
  </si>
  <si>
    <t>Slash Left Onsite</t>
  </si>
  <si>
    <t>Proportion of Small Trees Left (%)</t>
  </si>
  <si>
    <t>Proportion of trees masticated as specified as above (%)</t>
  </si>
  <si>
    <t>Proportion of surface fuel composed of masticated material (%)</t>
  </si>
  <si>
    <t>Proportion of Stand Area Treated with Prescribed Fire that is Burned (%)</t>
  </si>
  <si>
    <t>Residual Density of Trees</t>
  </si>
  <si>
    <t>Trees Per Acre</t>
  </si>
  <si>
    <t>Basal Area</t>
  </si>
  <si>
    <t>Pile Burning</t>
  </si>
  <si>
    <t>Proportion of Surface Fuel Piled</t>
  </si>
  <si>
    <t xml:space="preserve">Proportion of Mortality for Small Trees During Pile Burn </t>
  </si>
  <si>
    <t>Information to support validation of calculator inputs; please complete to the best of your ability.</t>
  </si>
  <si>
    <t>Fire Model Inputs Needed for Impact Area Analysis (95th Percentile or Greater Weather Conditions for Severe Wildfire)</t>
  </si>
  <si>
    <t>If the estimate of pest risk without the pest management treatment is derived from something other than NIDRM, provide justification (1000 character limit)</t>
  </si>
  <si>
    <t>Air Temperature (ºF)</t>
  </si>
  <si>
    <t>Largest Tree Killed (DBH, inches) during Pile Burn</t>
  </si>
  <si>
    <t>If not mastication, prescribed burning, or thinning from below, please describe prescription (1000 character limit)</t>
  </si>
  <si>
    <t>Other Species</t>
  </si>
  <si>
    <t>Provide justification for the "Percentage of treatment and impact boundaries at risk with pest management treatment (%)" (1000 character limit)</t>
  </si>
  <si>
    <r>
      <t xml:space="preserve">Proportion of impact area likely to burn at high severity </t>
    </r>
    <r>
      <rPr>
        <u/>
        <sz val="12"/>
        <color theme="1"/>
        <rFont val="Arial"/>
        <family val="2"/>
      </rPr>
      <t>with</t>
    </r>
    <r>
      <rPr>
        <sz val="12"/>
        <color theme="1"/>
        <rFont val="Arial"/>
        <family val="2"/>
      </rPr>
      <t xml:space="preserve"> fuels reduction treatment  (%)</t>
    </r>
  </si>
  <si>
    <r>
      <t xml:space="preserve">Proportion of impact area likely to burn at high severity </t>
    </r>
    <r>
      <rPr>
        <u/>
        <sz val="12"/>
        <color theme="1"/>
        <rFont val="Arial"/>
        <family val="2"/>
      </rPr>
      <t>without</t>
    </r>
    <r>
      <rPr>
        <sz val="12"/>
        <color theme="1"/>
        <rFont val="Arial"/>
        <family val="2"/>
      </rPr>
      <t xml:space="preserve"> fuels reduction treatment (%)</t>
    </r>
  </si>
  <si>
    <t>Conditional burn probability in the baseline (no project) scenario for the portion of the impact area expected to experience high flame lengths (&gt;8 ft) without the fuels reduction treatment.</t>
  </si>
  <si>
    <t>Conditional burn probability in the treatment (project) scenario for the portion of the impact area expected to experience high flame lengths (&gt;8 ft) without the fuels reduction treatment.</t>
  </si>
  <si>
    <t xml:space="preserve">entries within each workbook. Applicants must input project specific data into the worksheets that apply to the proposed project. Yellow fields </t>
  </si>
  <si>
    <r>
      <t xml:space="preserve">Mean conditional burn probability </t>
    </r>
    <r>
      <rPr>
        <u/>
        <sz val="12"/>
        <color theme="1"/>
        <rFont val="Arial"/>
        <family val="2"/>
      </rPr>
      <t>without</t>
    </r>
    <r>
      <rPr>
        <sz val="12"/>
        <color theme="1"/>
        <rFont val="Arial"/>
        <family val="2"/>
      </rPr>
      <t xml:space="preserve"> fuels reduction treatment for the portion of the impact area likely to burn at high severity in the baseline scenario (without fuels reduction treatment) (%)</t>
    </r>
  </si>
  <si>
    <t>Tree Species to be Planted</t>
  </si>
  <si>
    <t>Mean conditional burn probability for the portion of the impact area likely to burn at high severity in the baseline scenario (without fuels reduction treatment) (optional) (%)</t>
  </si>
  <si>
    <r>
      <t>Mean conditional burn probability in the project scenario (</t>
    </r>
    <r>
      <rPr>
        <u/>
        <sz val="12"/>
        <color theme="1"/>
        <rFont val="Arial"/>
        <family val="2"/>
      </rPr>
      <t>with</t>
    </r>
    <r>
      <rPr>
        <sz val="12"/>
        <color theme="1"/>
        <rFont val="Arial"/>
        <family val="2"/>
      </rPr>
      <t xml:space="preserve"> fuels reduction treatment) for the portion of the impact area likely to burn at high severity in the baseline scenario (without fuels reduction treatment) (%)</t>
    </r>
  </si>
  <si>
    <t>Mean conditional burn probability in the project scenario (with fuels reduction treatment) for the portion of the impact area likely to burn at high severity in the baseline scenario (without fuels reduction treatment) (optional) (%)</t>
  </si>
  <si>
    <r>
      <t xml:space="preserve">Mean conditional burn probability </t>
    </r>
    <r>
      <rPr>
        <u/>
        <sz val="12"/>
        <color theme="1"/>
        <rFont val="Arial"/>
        <family val="2"/>
      </rPr>
      <t>without</t>
    </r>
    <r>
      <rPr>
        <sz val="12"/>
        <color theme="1"/>
        <rFont val="Arial"/>
        <family val="2"/>
      </rPr>
      <t xml:space="preserve"> fuels reduction treatment for the portion of the treatment area likely to burn at high severity in the baseline scenario (without fuels reduction treatment) (%)</t>
    </r>
  </si>
  <si>
    <r>
      <t>Mean conditional burn probability in the project scenario (</t>
    </r>
    <r>
      <rPr>
        <u/>
        <sz val="12"/>
        <color theme="1"/>
        <rFont val="Arial"/>
        <family val="2"/>
      </rPr>
      <t>with</t>
    </r>
    <r>
      <rPr>
        <sz val="12"/>
        <color theme="1"/>
        <rFont val="Arial"/>
        <family val="2"/>
      </rPr>
      <t xml:space="preserve"> fuels reduction treatment) for the portion of the treatment area likely to burn at high severity in the baseline scenario (without fuels reduction treatment) (%)</t>
    </r>
  </si>
  <si>
    <t>Mean conditional burn probability without fuels reduction treatment for the portion of the treatment area likely to burn at high severity in the baseline scenario (without fuels reduction treatment) (optional)</t>
  </si>
  <si>
    <t>Mean conditional burn probability in the project scenario (with fuels reduction treatment) for the portion of the treatment area likely to burn at high severity in the baseline scenario (without fuels reduction treatment) (Optional)</t>
  </si>
  <si>
    <t>Conditional burn probability in the baseline (no project) scenario for the portion of the treatment area expected to experience high flame lengths (&gt;8 ft) without the fuels reduction treatment.</t>
  </si>
  <si>
    <t>Conditional burn probability in the treatment (project) scenario for the portion of the treatment area expected to experience high flame lengths (&gt;8 ft) without the fuels reduction treatment.</t>
  </si>
  <si>
    <t xml:space="preserve">available at:
</t>
  </si>
  <si>
    <t>https://ww2.arb.ca.gov/sites/default/files/classic/cc/capandtrade/auctionproceeds/FRM FY20-21 User Guide.pdf</t>
  </si>
  <si>
    <t>https://ww2.arb.ca.gov/our-work/programs/california-climate-investments</t>
  </si>
  <si>
    <t>ForestHealth@fire.ca.gov</t>
  </si>
  <si>
    <r>
      <t xml:space="preserve">Refer to the </t>
    </r>
    <r>
      <rPr>
        <b/>
        <i/>
        <sz val="12"/>
        <color theme="1"/>
        <rFont val="Arial"/>
        <family val="2"/>
      </rPr>
      <t>Forest Restoration and Management Benefits Calculator User Guide</t>
    </r>
    <r>
      <rPr>
        <b/>
        <sz val="12"/>
        <color theme="1"/>
        <rFont val="Arial"/>
        <family val="2"/>
      </rPr>
      <t xml:space="preserve"> document for step-by-step instructions,  </t>
    </r>
  </si>
  <si>
    <t xml:space="preserve">Select from the dropdown list the Forest Practice Site Class of the treatment area. For Forest Practice Site Class definitions, see Table 7 of the Quantification Methodology or "Article 4 Timber Site Classification" of the 2018 California Forest Practice Rules. Forest productivity information may be available from the USDA NRCS Soil Survey Geographic Database (SSURGO) https://websoilsurvey.sc.egov.usda.gov/App/WebSoilSurvey.aspx  </t>
  </si>
  <si>
    <t>Corrected February 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</si>
</sst>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quot;$&quot;#,##0"/>
    <numFmt numFmtId="165" formatCode="0.0000"/>
    <numFmt numFmtId="166" formatCode="0.0"/>
    <numFmt numFmtId="167" formatCode="0.000"/>
    <numFmt numFmtId="168" formatCode="0.00000"/>
    <numFmt numFmtId="169" formatCode="#,##0.0"/>
    <numFmt numFmtId="170" formatCode="0.0%"/>
    <numFmt numFmtId="171" formatCode="_(* #,##0_);_(* \(#,##0\);_(* &quot;-&quot;??_);_(@_)"/>
    <numFmt numFmtId="172" formatCode="_(* #,##0.0_);_(* \(#,##0.0\);_(* &quot;-&quot;??_);_(@_)"/>
    <numFmt numFmtId="173" formatCode="[$-409]mmmm\ d\,\ yyyy;@"/>
  </numFmts>
  <fonts count="51">
    <font>
      <sz val="11"/>
      <color theme="1"/>
      <name val="Calibri"/>
      <family val="2"/>
      <scheme val="minor"/>
    </font>
    <font>
      <sz val="12"/>
      <color theme="1"/>
      <name val="Calibri"/>
      <family val="2"/>
      <scheme val="minor"/>
    </font>
    <font>
      <b/>
      <sz val="11"/>
      <color theme="1"/>
      <name val="Calibri"/>
      <family val="2"/>
      <scheme val="minor"/>
    </font>
    <font>
      <b/>
      <sz val="11"/>
      <color rgb="FFFF0000"/>
      <name val="Calibri"/>
      <family val="2"/>
      <scheme val="minor"/>
    </font>
    <font>
      <sz val="12"/>
      <color theme="1"/>
      <name val="Arial"/>
      <family val="2"/>
    </font>
    <font>
      <sz val="12"/>
      <name val="Arial"/>
      <family val="2"/>
    </font>
    <font>
      <b/>
      <sz val="12"/>
      <color theme="1"/>
      <name val="Arial"/>
      <family val="2"/>
    </font>
    <font>
      <b/>
      <sz val="14"/>
      <color theme="1"/>
      <name val="Calibri"/>
      <family val="2"/>
      <scheme val="minor"/>
    </font>
    <font>
      <u/>
      <sz val="11"/>
      <color theme="10"/>
      <name val="Calibri"/>
      <family val="2"/>
      <scheme val="minor"/>
    </font>
    <font>
      <u/>
      <sz val="12"/>
      <color theme="10"/>
      <name val="Arial"/>
      <family val="2"/>
    </font>
    <font>
      <b/>
      <sz val="12"/>
      <name val="Arial"/>
      <family val="2"/>
    </font>
    <font>
      <b/>
      <sz val="11"/>
      <name val="Calibri"/>
      <family val="2"/>
      <scheme val="minor"/>
    </font>
    <font>
      <b/>
      <sz val="14"/>
      <color rgb="FFFF0000"/>
      <name val="Calibri"/>
      <family val="2"/>
      <scheme val="minor"/>
    </font>
    <font>
      <vertAlign val="subscript"/>
      <sz val="12"/>
      <color theme="1"/>
      <name val="Arial"/>
      <family val="2"/>
    </font>
    <font>
      <b/>
      <sz val="12"/>
      <color rgb="FFFF0000"/>
      <name val="Arial"/>
      <family val="2"/>
    </font>
    <font>
      <b/>
      <sz val="14"/>
      <name val="Calibri"/>
      <family val="2"/>
      <scheme val="minor"/>
    </font>
    <font>
      <sz val="12"/>
      <color rgb="FFFF0000"/>
      <name val="Arial"/>
      <family val="2"/>
    </font>
    <font>
      <i/>
      <sz val="12"/>
      <color theme="1"/>
      <name val="Arial"/>
      <family val="2"/>
    </font>
    <font>
      <sz val="12"/>
      <color rgb="FFFFFF00"/>
      <name val="Arial"/>
      <family val="2"/>
    </font>
    <font>
      <sz val="11"/>
      <color theme="0"/>
      <name val="Calibri"/>
      <family val="2"/>
      <scheme val="minor"/>
    </font>
    <font>
      <sz val="12"/>
      <color theme="0"/>
      <name val="Arial"/>
      <family val="2"/>
    </font>
    <font>
      <vertAlign val="superscript"/>
      <sz val="12"/>
      <color theme="1"/>
      <name val="Arial"/>
      <family val="2"/>
    </font>
    <font>
      <sz val="11"/>
      <color theme="1"/>
      <name val="Calibri"/>
      <family val="2"/>
      <scheme val="minor"/>
    </font>
    <font>
      <sz val="12"/>
      <color rgb="FF000000"/>
      <name val="Arial"/>
      <family val="2"/>
    </font>
    <font>
      <i/>
      <sz val="12"/>
      <color rgb="FF000000"/>
      <name val="Arial"/>
      <family val="2"/>
    </font>
    <font>
      <u/>
      <sz val="12"/>
      <color theme="1"/>
      <name val="Arial"/>
      <family val="2"/>
    </font>
    <font>
      <b/>
      <sz val="12"/>
      <color rgb="FFFF0000"/>
      <name val="Calibri"/>
      <family val="2"/>
      <scheme val="minor"/>
    </font>
    <font>
      <b/>
      <sz val="11"/>
      <color theme="0"/>
      <name val="Calibri"/>
      <family val="2"/>
      <scheme val="minor"/>
    </font>
    <font>
      <i/>
      <u val="double"/>
      <sz val="12"/>
      <color theme="10"/>
      <name val="Arial"/>
      <family val="2"/>
    </font>
    <font>
      <i/>
      <u/>
      <sz val="12"/>
      <color theme="1"/>
      <name val="Arial"/>
      <family val="2"/>
    </font>
    <font>
      <u/>
      <sz val="12"/>
      <name val="Arial"/>
      <family val="2"/>
    </font>
    <font>
      <sz val="10"/>
      <name val="Arial"/>
      <family val="2"/>
    </font>
    <font>
      <u/>
      <sz val="11"/>
      <color theme="10"/>
      <name val="Calibri"/>
      <family val="2"/>
    </font>
    <font>
      <sz val="12"/>
      <color theme="1"/>
      <name val="Avenir LT Std 55 Roman"/>
      <family val="2"/>
    </font>
    <font>
      <sz val="12"/>
      <name val="Avenir LT Std 55 Roman"/>
      <family val="2"/>
    </font>
    <font>
      <vertAlign val="subscript"/>
      <sz val="12"/>
      <color theme="1"/>
      <name val="Avenir LT Std 55 Roman"/>
      <family val="2"/>
    </font>
    <font>
      <sz val="11"/>
      <color theme="1"/>
      <name val="Avenir LT Std 55 Roman"/>
      <family val="2"/>
    </font>
    <font>
      <b/>
      <sz val="14"/>
      <color theme="1"/>
      <name val="Avenir LT Std 55 Roman"/>
      <family val="2"/>
    </font>
    <font>
      <b/>
      <sz val="14"/>
      <name val="Avenir LT Std 55 Roman"/>
      <family val="2"/>
    </font>
    <font>
      <i/>
      <sz val="12"/>
      <color theme="1"/>
      <name val="Avenir LT Std 55 Roman"/>
      <family val="2"/>
    </font>
    <font>
      <b/>
      <sz val="11"/>
      <color theme="1"/>
      <name val="Arial"/>
      <family val="2"/>
    </font>
    <font>
      <sz val="11"/>
      <color theme="1"/>
      <name val="Arial"/>
      <family val="2"/>
    </font>
    <font>
      <sz val="11"/>
      <name val="Arial"/>
      <family val="2"/>
    </font>
    <font>
      <i/>
      <sz val="11"/>
      <color theme="1"/>
      <name val="Arial"/>
      <family val="2"/>
    </font>
    <font>
      <sz val="8"/>
      <name val="Calibri"/>
      <family val="2"/>
      <scheme val="minor"/>
    </font>
    <font>
      <sz val="12"/>
      <color theme="1"/>
      <name val="Calibri"/>
      <family val="2"/>
    </font>
    <font>
      <sz val="11"/>
      <color rgb="FF000000"/>
      <name val="Calibri"/>
      <family val="2"/>
      <scheme val="minor"/>
    </font>
    <font>
      <sz val="11"/>
      <color rgb="FFFF0000"/>
      <name val="Calibri"/>
      <family val="2"/>
      <scheme val="minor"/>
    </font>
    <font>
      <b/>
      <i/>
      <sz val="12"/>
      <color theme="1"/>
      <name val="Arial"/>
      <family val="2"/>
    </font>
    <font>
      <b/>
      <sz val="12"/>
      <name val="Calibri"/>
      <family val="2"/>
      <scheme val="minor"/>
    </font>
    <font>
      <i/>
      <sz val="11"/>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rgb="FFF6FE94"/>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rgb="FFC5D9F1"/>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4">
    <xf numFmtId="0" fontId="0" fillId="0" borderId="0"/>
    <xf numFmtId="0" fontId="8" fillId="0" borderId="0" applyNumberFormat="0" applyFill="0" applyBorder="0" applyAlignment="0" applyProtection="0"/>
    <xf numFmtId="43" fontId="22" fillId="0" borderId="0" applyFont="0" applyFill="0" applyBorder="0" applyAlignment="0" applyProtection="0"/>
    <xf numFmtId="0" fontId="22" fillId="0" borderId="0"/>
    <xf numFmtId="43" fontId="31" fillId="0" borderId="0" applyFont="0" applyFill="0" applyBorder="0" applyAlignment="0" applyProtection="0"/>
    <xf numFmtId="0" fontId="22" fillId="0" borderId="0"/>
    <xf numFmtId="0" fontId="9" fillId="0" borderId="0" applyNumberFormat="0" applyFill="0" applyBorder="0" applyAlignment="0" applyProtection="0"/>
    <xf numFmtId="0" fontId="22" fillId="0" borderId="0"/>
    <xf numFmtId="0" fontId="22" fillId="0" borderId="0"/>
    <xf numFmtId="0" fontId="22" fillId="0" borderId="0"/>
    <xf numFmtId="0" fontId="31" fillId="0" borderId="0"/>
    <xf numFmtId="0" fontId="32" fillId="0" borderId="0" applyNumberFormat="0" applyFill="0" applyBorder="0" applyAlignment="0" applyProtection="0">
      <alignment vertical="top"/>
      <protection locked="0"/>
    </xf>
    <xf numFmtId="0" fontId="8" fillId="0" borderId="0" applyNumberFormat="0" applyFill="0" applyBorder="0" applyAlignment="0" applyProtection="0"/>
    <xf numFmtId="9" fontId="22" fillId="0" borderId="0" applyFont="0" applyFill="0" applyBorder="0" applyAlignment="0" applyProtection="0"/>
  </cellStyleXfs>
  <cellXfs count="512">
    <xf numFmtId="0" fontId="0" fillId="0" borderId="0" xfId="0"/>
    <xf numFmtId="0" fontId="0" fillId="0" borderId="0" xfId="0" applyProtection="1"/>
    <xf numFmtId="0" fontId="2" fillId="0" borderId="0" xfId="0" applyFont="1" applyProtection="1"/>
    <xf numFmtId="0" fontId="7" fillId="0" borderId="0" xfId="0" applyFont="1" applyAlignment="1" applyProtection="1">
      <alignment horizontal="center"/>
    </xf>
    <xf numFmtId="0" fontId="7" fillId="0" borderId="0" xfId="0" applyFont="1" applyProtection="1"/>
    <xf numFmtId="0" fontId="4" fillId="0" borderId="0" xfId="0" applyFont="1" applyAlignment="1" applyProtection="1">
      <alignment vertical="top" wrapText="1"/>
    </xf>
    <xf numFmtId="0" fontId="0" fillId="0" borderId="0" xfId="0" applyFill="1" applyProtection="1"/>
    <xf numFmtId="0" fontId="4" fillId="0" borderId="0" xfId="0" applyFont="1" applyAlignment="1" applyProtection="1">
      <alignment wrapText="1"/>
    </xf>
    <xf numFmtId="0" fontId="5" fillId="0" borderId="0" xfId="0" applyFont="1" applyAlignment="1" applyProtection="1">
      <alignment wrapText="1"/>
    </xf>
    <xf numFmtId="0" fontId="2" fillId="0" borderId="0" xfId="0" applyFont="1" applyAlignment="1" applyProtection="1"/>
    <xf numFmtId="0" fontId="2" fillId="0" borderId="0" xfId="0" applyFont="1" applyBorder="1" applyAlignment="1" applyProtection="1">
      <alignment horizontal="left"/>
    </xf>
    <xf numFmtId="0" fontId="0" fillId="0" borderId="0" xfId="0" applyFill="1" applyBorder="1" applyAlignment="1" applyProtection="1">
      <alignment horizontal="left"/>
    </xf>
    <xf numFmtId="0" fontId="0" fillId="0" borderId="0" xfId="0" applyBorder="1" applyAlignment="1" applyProtection="1"/>
    <xf numFmtId="0" fontId="2" fillId="0" borderId="0" xfId="0" applyFont="1" applyFill="1" applyBorder="1" applyAlignment="1" applyProtection="1">
      <alignment horizontal="center"/>
    </xf>
    <xf numFmtId="0" fontId="0" fillId="0" borderId="0" xfId="0" applyFill="1" applyBorder="1" applyProtection="1"/>
    <xf numFmtId="0" fontId="0" fillId="0" borderId="0" xfId="0" applyFont="1" applyFill="1" applyBorder="1" applyAlignment="1" applyProtection="1">
      <alignment horizontal="center" vertical="center" wrapText="1"/>
    </xf>
    <xf numFmtId="0" fontId="2" fillId="0" borderId="0" xfId="0" applyFont="1" applyFill="1" applyBorder="1" applyProtection="1"/>
    <xf numFmtId="0" fontId="2" fillId="0" borderId="0" xfId="0" applyFont="1" applyAlignment="1" applyProtection="1">
      <alignment horizontal="center"/>
    </xf>
    <xf numFmtId="0" fontId="5" fillId="0" borderId="0" xfId="0" applyFont="1" applyAlignment="1" applyProtection="1">
      <alignment vertical="top" wrapText="1"/>
    </xf>
    <xf numFmtId="0" fontId="0" fillId="0" borderId="0" xfId="0" applyAlignment="1" applyProtection="1">
      <alignment wrapText="1"/>
    </xf>
    <xf numFmtId="0" fontId="0" fillId="0" borderId="0" xfId="0" applyBorder="1" applyAlignment="1">
      <alignment vertical="center" wrapText="1"/>
    </xf>
    <xf numFmtId="0" fontId="0" fillId="0" borderId="0" xfId="0" applyAlignment="1">
      <alignment vertical="center"/>
    </xf>
    <xf numFmtId="0" fontId="2" fillId="0" borderId="0" xfId="0" applyFont="1" applyFill="1" applyBorder="1" applyAlignment="1" applyProtection="1">
      <alignment horizontal="left"/>
    </xf>
    <xf numFmtId="0" fontId="0" fillId="0" borderId="0" xfId="0" applyFont="1" applyProtection="1"/>
    <xf numFmtId="0" fontId="11" fillId="0" borderId="0" xfId="0" applyFont="1" applyFill="1" applyBorder="1" applyAlignment="1" applyProtection="1"/>
    <xf numFmtId="3" fontId="0" fillId="0" borderId="0" xfId="0" applyNumberFormat="1" applyFill="1" applyBorder="1" applyAlignment="1" applyProtection="1"/>
    <xf numFmtId="0" fontId="0" fillId="0" borderId="0" xfId="0" applyFill="1" applyBorder="1" applyAlignment="1" applyProtection="1">
      <alignment horizontal="right"/>
    </xf>
    <xf numFmtId="0" fontId="3"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2" fillId="0" borderId="0" xfId="0" applyFont="1" applyFill="1" applyBorder="1" applyAlignment="1" applyProtection="1"/>
    <xf numFmtId="0" fontId="0" fillId="0" borderId="0" xfId="0" applyBorder="1" applyProtection="1"/>
    <xf numFmtId="3" fontId="0" fillId="0" borderId="0" xfId="0" applyNumberFormat="1" applyProtection="1"/>
    <xf numFmtId="0" fontId="4" fillId="0" borderId="0" xfId="0" applyFont="1" applyProtection="1"/>
    <xf numFmtId="0" fontId="0" fillId="0" borderId="0" xfId="0" applyAlignment="1" applyProtection="1"/>
    <xf numFmtId="0" fontId="12" fillId="0" borderId="0" xfId="0" applyFont="1" applyFill="1" applyBorder="1" applyAlignment="1" applyProtection="1">
      <alignment horizontal="center"/>
    </xf>
    <xf numFmtId="0" fontId="15" fillId="0" borderId="0" xfId="0" applyFont="1" applyAlignment="1" applyProtection="1">
      <alignment horizontal="center"/>
    </xf>
    <xf numFmtId="0" fontId="9" fillId="0" borderId="0" xfId="1" applyFont="1" applyAlignment="1" applyProtection="1">
      <alignment vertical="top"/>
    </xf>
    <xf numFmtId="0" fontId="5" fillId="0" borderId="0" xfId="0" applyFont="1" applyAlignment="1" applyProtection="1"/>
    <xf numFmtId="0" fontId="9" fillId="0" borderId="0" xfId="1" applyFont="1" applyAlignment="1" applyProtection="1"/>
    <xf numFmtId="0" fontId="0" fillId="0" borderId="0" xfId="0" applyAlignment="1" applyProtection="1">
      <alignment vertical="center"/>
    </xf>
    <xf numFmtId="0" fontId="0" fillId="0" borderId="0" xfId="0" applyAlignment="1" applyProtection="1">
      <alignment horizontal="left" vertical="center"/>
    </xf>
    <xf numFmtId="0" fontId="0" fillId="0" borderId="0" xfId="0" applyFill="1" applyBorder="1" applyAlignment="1" applyProtection="1">
      <alignment horizontal="left" vertical="center"/>
    </xf>
    <xf numFmtId="0" fontId="4" fillId="0" borderId="0" xfId="0" applyFont="1" applyBorder="1" applyAlignment="1" applyProtection="1"/>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6" fillId="0" borderId="2" xfId="0" applyFont="1" applyBorder="1" applyAlignment="1" applyProtection="1"/>
    <xf numFmtId="3" fontId="4" fillId="2" borderId="1" xfId="0" applyNumberFormat="1" applyFont="1" applyFill="1" applyBorder="1" applyAlignment="1" applyProtection="1">
      <alignment horizontal="right"/>
    </xf>
    <xf numFmtId="3" fontId="4" fillId="2" borderId="1"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left" vertical="center" wrapText="1"/>
    </xf>
    <xf numFmtId="0" fontId="4" fillId="8" borderId="1" xfId="0" applyFont="1" applyFill="1" applyBorder="1" applyAlignment="1" applyProtection="1">
      <alignment horizontal="left" vertical="center" wrapText="1"/>
    </xf>
    <xf numFmtId="3" fontId="4" fillId="8" borderId="1" xfId="0" applyNumberFormat="1" applyFont="1" applyFill="1" applyBorder="1" applyAlignment="1" applyProtection="1">
      <alignment horizontal="left" vertical="center" wrapText="1"/>
    </xf>
    <xf numFmtId="0" fontId="4" fillId="7" borderId="1" xfId="0" applyFont="1" applyFill="1" applyBorder="1" applyAlignment="1" applyProtection="1">
      <alignment horizontal="left" vertical="center"/>
    </xf>
    <xf numFmtId="0" fontId="7" fillId="0" borderId="0" xfId="0" applyFont="1" applyAlignment="1" applyProtection="1">
      <alignment vertical="center"/>
    </xf>
    <xf numFmtId="0" fontId="0" fillId="0" borderId="0" xfId="0" applyAlignment="1">
      <alignment horizontal="left"/>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0" fillId="0" borderId="0" xfId="0" applyBorder="1"/>
    <xf numFmtId="0" fontId="4" fillId="0" borderId="1" xfId="0" applyFont="1" applyFill="1" applyBorder="1" applyAlignment="1">
      <alignment horizontal="left"/>
    </xf>
    <xf numFmtId="0" fontId="4" fillId="0" borderId="1" xfId="0" applyFont="1" applyFill="1" applyBorder="1"/>
    <xf numFmtId="166" fontId="5" fillId="0" borderId="1" xfId="0" applyNumberFormat="1" applyFont="1" applyFill="1" applyBorder="1" applyAlignment="1">
      <alignment horizontal="left" vertical="center"/>
    </xf>
    <xf numFmtId="2" fontId="4" fillId="0" borderId="1" xfId="0" applyNumberFormat="1" applyFont="1" applyFill="1" applyBorder="1" applyAlignment="1">
      <alignmen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Fill="1" applyBorder="1" applyProtection="1"/>
    <xf numFmtId="0" fontId="4" fillId="0" borderId="1" xfId="0" applyFont="1" applyFill="1" applyBorder="1" applyAlignment="1">
      <alignment vertical="center"/>
    </xf>
    <xf numFmtId="0" fontId="6" fillId="0" borderId="0" xfId="0" applyFont="1" applyFill="1" applyBorder="1" applyAlignment="1" applyProtection="1"/>
    <xf numFmtId="0" fontId="14" fillId="0" borderId="0" xfId="0" applyFont="1" applyFill="1" applyBorder="1" applyAlignment="1" applyProtection="1"/>
    <xf numFmtId="164" fontId="4" fillId="3" borderId="1" xfId="0" applyNumberFormat="1" applyFont="1" applyFill="1" applyBorder="1" applyAlignment="1" applyProtection="1">
      <alignment horizontal="right" vertical="center"/>
      <protection locked="0"/>
    </xf>
    <xf numFmtId="0" fontId="10" fillId="0" borderId="0" xfId="0" applyFont="1" applyBorder="1" applyAlignment="1" applyProtection="1">
      <alignment horizontal="left"/>
    </xf>
    <xf numFmtId="3" fontId="0" fillId="0" borderId="0" xfId="0" applyNumberFormat="1" applyFill="1" applyBorder="1" applyAlignment="1" applyProtection="1">
      <alignment horizontal="right"/>
    </xf>
    <xf numFmtId="0" fontId="4" fillId="12" borderId="1" xfId="0" applyFont="1" applyFill="1" applyBorder="1" applyAlignment="1" applyProtection="1">
      <alignment horizontal="right" vertical="center" wrapText="1"/>
      <protection locked="0"/>
    </xf>
    <xf numFmtId="0" fontId="0" fillId="0" borderId="0" xfId="0" applyFill="1" applyBorder="1" applyAlignment="1" applyProtection="1">
      <alignment horizontal="center"/>
    </xf>
    <xf numFmtId="0" fontId="10" fillId="0" borderId="2" xfId="0" applyFont="1" applyBorder="1" applyAlignment="1" applyProtection="1"/>
    <xf numFmtId="9" fontId="4" fillId="3" borderId="1" xfId="0" applyNumberFormat="1" applyFont="1" applyFill="1" applyBorder="1" applyAlignment="1" applyProtection="1">
      <alignment horizontal="right" vertical="center"/>
      <protection locked="0"/>
    </xf>
    <xf numFmtId="10" fontId="4" fillId="3" borderId="1" xfId="0" applyNumberFormat="1" applyFont="1" applyFill="1" applyBorder="1" applyAlignment="1" applyProtection="1">
      <alignment horizontal="right" vertical="center"/>
      <protection locked="0"/>
    </xf>
    <xf numFmtId="10" fontId="0" fillId="0" borderId="0" xfId="0" applyNumberFormat="1" applyAlignment="1" applyProtection="1">
      <alignment horizontal="left" vertical="center"/>
    </xf>
    <xf numFmtId="0" fontId="4" fillId="0" borderId="0" xfId="0" applyFont="1" applyFill="1" applyBorder="1" applyAlignment="1" applyProtection="1">
      <alignment horizontal="right"/>
    </xf>
    <xf numFmtId="0" fontId="4" fillId="0" borderId="1" xfId="0" applyFont="1" applyBorder="1" applyProtection="1"/>
    <xf numFmtId="0" fontId="6" fillId="0" borderId="0" xfId="0" applyFont="1" applyProtection="1"/>
    <xf numFmtId="0" fontId="4" fillId="0" borderId="1" xfId="0" applyFont="1" applyFill="1" applyBorder="1" applyProtection="1"/>
    <xf numFmtId="2" fontId="4" fillId="0" borderId="1" xfId="0" applyNumberFormat="1" applyFont="1" applyFill="1" applyBorder="1" applyAlignment="1" applyProtection="1">
      <alignment vertical="center"/>
    </xf>
    <xf numFmtId="0" fontId="0" fillId="0" borderId="0" xfId="0" applyAlignment="1" applyProtection="1">
      <alignment horizontal="left"/>
    </xf>
    <xf numFmtId="0" fontId="4" fillId="0" borderId="7" xfId="0" applyFont="1" applyFill="1" applyBorder="1" applyAlignment="1" applyProtection="1">
      <alignment vertical="center"/>
    </xf>
    <xf numFmtId="0" fontId="4" fillId="3" borderId="1" xfId="0" applyFont="1" applyFill="1" applyBorder="1" applyProtection="1">
      <protection locked="0"/>
    </xf>
    <xf numFmtId="3" fontId="4" fillId="2" borderId="1" xfId="0" applyNumberFormat="1" applyFont="1" applyFill="1" applyBorder="1" applyAlignment="1" applyProtection="1">
      <alignment vertical="center"/>
    </xf>
    <xf numFmtId="3" fontId="4" fillId="2" borderId="5" xfId="0" applyNumberFormat="1" applyFont="1" applyFill="1" applyBorder="1" applyAlignment="1" applyProtection="1">
      <alignment horizontal="right" vertical="center"/>
    </xf>
    <xf numFmtId="3" fontId="4" fillId="3" borderId="1" xfId="0" applyNumberFormat="1" applyFont="1" applyFill="1" applyBorder="1" applyAlignment="1" applyProtection="1">
      <alignment horizontal="right" vertical="center"/>
      <protection locked="0"/>
    </xf>
    <xf numFmtId="4" fontId="4" fillId="2" borderId="1" xfId="0" applyNumberFormat="1" applyFont="1" applyFill="1" applyBorder="1" applyAlignment="1" applyProtection="1">
      <alignment horizontal="right" vertical="center"/>
    </xf>
    <xf numFmtId="0" fontId="4" fillId="0" borderId="0" xfId="0" applyFont="1" applyFill="1" applyBorder="1" applyProtection="1">
      <protection locked="0"/>
    </xf>
    <xf numFmtId="0" fontId="4" fillId="0" borderId="0" xfId="0" applyFont="1" applyFill="1" applyProtection="1"/>
    <xf numFmtId="0" fontId="4" fillId="0" borderId="0" xfId="0" applyFont="1" applyBorder="1" applyAlignment="1" applyProtection="1">
      <alignment vertical="center" wrapText="1"/>
    </xf>
    <xf numFmtId="0" fontId="4" fillId="0" borderId="0" xfId="0" applyFont="1" applyAlignment="1" applyProtection="1">
      <alignment horizontal="left" vertical="top" wrapText="1"/>
    </xf>
    <xf numFmtId="0" fontId="10" fillId="0" borderId="0" xfId="0" applyFont="1" applyBorder="1" applyAlignment="1" applyProtection="1">
      <alignment horizontal="left"/>
    </xf>
    <xf numFmtId="0" fontId="9" fillId="0" borderId="0" xfId="1" applyFont="1" applyAlignment="1" applyProtection="1">
      <alignment horizontal="left" vertical="top" wrapText="1"/>
    </xf>
    <xf numFmtId="0" fontId="10" fillId="0" borderId="0" xfId="0" applyFont="1" applyBorder="1" applyAlignment="1" applyProtection="1"/>
    <xf numFmtId="0" fontId="9" fillId="0" borderId="0" xfId="1" applyFont="1" applyAlignment="1" applyProtection="1">
      <alignment horizontal="left" wrapText="1"/>
    </xf>
    <xf numFmtId="0" fontId="5" fillId="0" borderId="0" xfId="0" applyFont="1" applyAlignment="1" applyProtection="1">
      <alignment horizontal="left" vertical="top"/>
    </xf>
    <xf numFmtId="3" fontId="0" fillId="0" borderId="0" xfId="0" applyNumberFormat="1" applyFill="1" applyBorder="1" applyAlignment="1" applyProtection="1">
      <alignment horizontal="right"/>
    </xf>
    <xf numFmtId="164" fontId="0" fillId="0" borderId="0" xfId="0" applyNumberFormat="1" applyFill="1" applyBorder="1" applyAlignment="1" applyProtection="1">
      <alignment horizontal="right"/>
    </xf>
    <xf numFmtId="14" fontId="6" fillId="0" borderId="0" xfId="0" applyNumberFormat="1" applyFont="1" applyFill="1" applyBorder="1" applyAlignment="1" applyProtection="1">
      <alignment horizontal="left"/>
      <protection locked="0"/>
    </xf>
    <xf numFmtId="0" fontId="4" fillId="0" borderId="2" xfId="0" applyFont="1" applyFill="1" applyBorder="1" applyAlignment="1" applyProtection="1">
      <alignment vertical="center" wrapText="1"/>
    </xf>
    <xf numFmtId="0" fontId="9" fillId="0" borderId="0" xfId="1" applyFont="1" applyAlignment="1" applyProtection="1">
      <alignment vertical="top" wrapText="1"/>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xf>
    <xf numFmtId="0" fontId="14" fillId="0" borderId="0" xfId="0" applyFont="1" applyFill="1" applyBorder="1" applyAlignment="1" applyProtection="1">
      <alignment horizontal="left"/>
    </xf>
    <xf numFmtId="0" fontId="7" fillId="0" borderId="0" xfId="0" applyFont="1" applyBorder="1" applyAlignment="1" applyProtection="1">
      <alignment horizontal="center"/>
    </xf>
    <xf numFmtId="0" fontId="4" fillId="0" borderId="0" xfId="0" applyFont="1" applyBorder="1" applyAlignment="1" applyProtection="1">
      <alignment horizontal="left" vertical="center"/>
    </xf>
    <xf numFmtId="164" fontId="0" fillId="0" borderId="0" xfId="0" applyNumberFormat="1" applyFill="1" applyBorder="1" applyAlignment="1" applyProtection="1"/>
    <xf numFmtId="165" fontId="0" fillId="0" borderId="0" xfId="0" applyNumberFormat="1" applyFill="1" applyBorder="1" applyAlignment="1" applyProtection="1"/>
    <xf numFmtId="0" fontId="4" fillId="0" borderId="0" xfId="0" applyFont="1" applyAlignment="1" applyProtection="1">
      <alignment horizontal="left"/>
    </xf>
    <xf numFmtId="3" fontId="4" fillId="0" borderId="0" xfId="0" applyNumberFormat="1" applyFont="1" applyFill="1" applyBorder="1" applyAlignment="1" applyProtection="1">
      <alignment horizontal="right" vertical="center"/>
    </xf>
    <xf numFmtId="168" fontId="4" fillId="0" borderId="1" xfId="0" applyNumberFormat="1" applyFont="1" applyBorder="1" applyProtection="1"/>
    <xf numFmtId="3" fontId="4" fillId="0" borderId="1" xfId="0" applyNumberFormat="1" applyFont="1" applyFill="1" applyBorder="1" applyProtection="1"/>
    <xf numFmtId="3" fontId="4" fillId="0" borderId="7" xfId="0" applyNumberFormat="1" applyFont="1" applyFill="1" applyBorder="1" applyAlignment="1" applyProtection="1">
      <alignment vertical="center"/>
    </xf>
    <xf numFmtId="169" fontId="4" fillId="0" borderId="7" xfId="0" applyNumberFormat="1" applyFont="1" applyFill="1" applyBorder="1" applyAlignment="1" applyProtection="1">
      <alignment vertical="center"/>
    </xf>
    <xf numFmtId="166" fontId="4" fillId="2" borderId="1" xfId="0" applyNumberFormat="1" applyFont="1" applyFill="1" applyBorder="1" applyProtection="1"/>
    <xf numFmtId="1" fontId="4" fillId="2" borderId="1" xfId="0" applyNumberFormat="1" applyFont="1" applyFill="1" applyBorder="1" applyProtection="1"/>
    <xf numFmtId="0" fontId="4" fillId="0" borderId="6" xfId="0" applyFont="1" applyFill="1" applyBorder="1" applyAlignment="1" applyProtection="1">
      <alignment horizontal="center"/>
      <protection locked="0"/>
    </xf>
    <xf numFmtId="0" fontId="15" fillId="0" borderId="0" xfId="0" applyFont="1" applyFill="1" applyAlignment="1" applyProtection="1">
      <alignment horizontal="center"/>
    </xf>
    <xf numFmtId="9" fontId="0" fillId="2" borderId="1" xfId="0" applyNumberFormat="1" applyFill="1" applyBorder="1" applyAlignment="1" applyProtection="1">
      <alignment vertic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0" fillId="13" borderId="0" xfId="0" applyFill="1" applyProtection="1"/>
    <xf numFmtId="0" fontId="0" fillId="13" borderId="0" xfId="0" applyFill="1"/>
    <xf numFmtId="0" fontId="2" fillId="13" borderId="0" xfId="0" applyFont="1" applyFill="1" applyAlignment="1" applyProtection="1"/>
    <xf numFmtId="0" fontId="6" fillId="13" borderId="2" xfId="0" applyFont="1" applyFill="1" applyBorder="1" applyAlignment="1" applyProtection="1"/>
    <xf numFmtId="0" fontId="6" fillId="13" borderId="0" xfId="0" applyFont="1" applyFill="1" applyBorder="1" applyAlignment="1" applyProtection="1"/>
    <xf numFmtId="0" fontId="10" fillId="13" borderId="2" xfId="0" applyFont="1" applyFill="1" applyBorder="1" applyAlignment="1" applyProtection="1"/>
    <xf numFmtId="0" fontId="14" fillId="13" borderId="0" xfId="0" applyFont="1" applyFill="1" applyBorder="1" applyAlignment="1" applyProtection="1"/>
    <xf numFmtId="0" fontId="7" fillId="13" borderId="0" xfId="0" applyFont="1" applyFill="1" applyProtection="1"/>
    <xf numFmtId="0" fontId="2" fillId="13" borderId="0" xfId="0" applyFont="1" applyFill="1" applyBorder="1" applyProtection="1"/>
    <xf numFmtId="0" fontId="0" fillId="13" borderId="0" xfId="0" applyFill="1" applyBorder="1" applyAlignment="1" applyProtection="1">
      <alignment horizontal="center"/>
    </xf>
    <xf numFmtId="0" fontId="0" fillId="13" borderId="0" xfId="0" applyFill="1" applyBorder="1" applyAlignment="1" applyProtection="1">
      <alignment horizontal="right"/>
    </xf>
    <xf numFmtId="3" fontId="0" fillId="13" borderId="0" xfId="0" applyNumberFormat="1" applyFill="1" applyBorder="1" applyAlignment="1" applyProtection="1">
      <alignment horizontal="right"/>
    </xf>
    <xf numFmtId="0" fontId="0" fillId="13" borderId="0" xfId="0" applyFill="1" applyBorder="1" applyProtection="1"/>
    <xf numFmtId="0" fontId="4" fillId="13" borderId="2" xfId="0" applyFont="1" applyFill="1" applyBorder="1" applyAlignment="1" applyProtection="1">
      <alignment vertical="center" wrapText="1"/>
    </xf>
    <xf numFmtId="0" fontId="0" fillId="13" borderId="0" xfId="0" applyFill="1" applyAlignment="1" applyProtection="1">
      <alignment vertical="center"/>
    </xf>
    <xf numFmtId="0" fontId="4" fillId="13" borderId="0" xfId="0" applyFont="1" applyFill="1" applyBorder="1" applyAlignment="1" applyProtection="1">
      <alignment vertical="center" wrapText="1"/>
    </xf>
    <xf numFmtId="0" fontId="0" fillId="13" borderId="0" xfId="0" applyFill="1" applyAlignment="1" applyProtection="1">
      <alignment horizontal="left" vertical="center"/>
    </xf>
    <xf numFmtId="0" fontId="20" fillId="13" borderId="0" xfId="0" applyFont="1" applyFill="1" applyBorder="1" applyAlignment="1" applyProtection="1">
      <alignment horizontal="left" vertical="center" wrapText="1"/>
    </xf>
    <xf numFmtId="3" fontId="20" fillId="13" borderId="0" xfId="0" applyNumberFormat="1" applyFont="1" applyFill="1" applyBorder="1" applyAlignment="1" applyProtection="1">
      <alignment horizontal="right" vertical="center"/>
    </xf>
    <xf numFmtId="4" fontId="4" fillId="13" borderId="0" xfId="0" applyNumberFormat="1" applyFont="1" applyFill="1" applyBorder="1" applyAlignment="1" applyProtection="1">
      <alignment horizontal="right" vertical="center"/>
    </xf>
    <xf numFmtId="0" fontId="2" fillId="13" borderId="0" xfId="0" applyFont="1" applyFill="1" applyAlignment="1" applyProtection="1">
      <alignment horizontal="center"/>
    </xf>
    <xf numFmtId="0" fontId="2" fillId="13" borderId="0" xfId="0" applyFont="1" applyFill="1" applyBorder="1" applyAlignment="1" applyProtection="1">
      <alignment horizontal="left"/>
    </xf>
    <xf numFmtId="0" fontId="0" fillId="13" borderId="0" xfId="0" applyFill="1" applyBorder="1" applyAlignment="1" applyProtection="1">
      <alignment horizontal="left"/>
    </xf>
    <xf numFmtId="0" fontId="6" fillId="13" borderId="0" xfId="0" applyFont="1" applyFill="1" applyProtection="1"/>
    <xf numFmtId="0" fontId="6" fillId="13" borderId="0" xfId="0" applyFont="1" applyFill="1" applyAlignment="1" applyProtection="1"/>
    <xf numFmtId="0" fontId="6" fillId="13" borderId="0" xfId="0" applyFont="1" applyFill="1" applyBorder="1" applyAlignment="1" applyProtection="1">
      <alignment horizontal="center"/>
    </xf>
    <xf numFmtId="3" fontId="4" fillId="11" borderId="1" xfId="0" applyNumberFormat="1" applyFont="1" applyFill="1" applyBorder="1" applyAlignment="1" applyProtection="1">
      <alignment horizontal="left" vertical="center" wrapText="1"/>
    </xf>
    <xf numFmtId="0" fontId="4" fillId="11" borderId="1" xfId="0" applyFont="1" applyFill="1" applyBorder="1" applyAlignment="1" applyProtection="1">
      <alignment horizontal="left" vertical="center" wrapText="1"/>
    </xf>
    <xf numFmtId="0" fontId="4" fillId="11" borderId="5" xfId="0" applyFont="1" applyFill="1" applyBorder="1" applyAlignment="1" applyProtection="1">
      <alignment horizontal="left" vertical="center" wrapText="1"/>
    </xf>
    <xf numFmtId="0" fontId="23" fillId="11" borderId="1" xfId="0" applyFont="1" applyFill="1" applyBorder="1" applyAlignment="1">
      <alignment vertical="center" wrapText="1"/>
    </xf>
    <xf numFmtId="0" fontId="6" fillId="13" borderId="0" xfId="0" applyFont="1" applyFill="1" applyBorder="1" applyAlignment="1" applyProtection="1">
      <alignment horizontal="center"/>
    </xf>
    <xf numFmtId="0" fontId="6" fillId="3" borderId="1" xfId="0" applyFont="1" applyFill="1" applyBorder="1" applyAlignment="1" applyProtection="1">
      <alignment horizontal="center"/>
      <protection locked="0"/>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13" borderId="0" xfId="0" applyFont="1" applyFill="1" applyBorder="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3" fontId="4" fillId="12" borderId="1" xfId="0" applyNumberFormat="1" applyFont="1" applyFill="1" applyBorder="1" applyAlignment="1" applyProtection="1">
      <alignment horizontal="right" vertical="center"/>
      <protection locked="0"/>
    </xf>
    <xf numFmtId="0" fontId="2" fillId="0" borderId="0" xfId="0" applyFont="1"/>
    <xf numFmtId="166" fontId="0" fillId="0" borderId="0" xfId="0" applyNumberFormat="1"/>
    <xf numFmtId="0" fontId="27" fillId="14" borderId="12" xfId="0" applyFont="1" applyFill="1" applyBorder="1"/>
    <xf numFmtId="0" fontId="0" fillId="15" borderId="12" xfId="0" applyFont="1" applyFill="1" applyBorder="1"/>
    <xf numFmtId="0" fontId="0" fillId="0" borderId="12" xfId="0" applyFont="1" applyBorder="1"/>
    <xf numFmtId="0" fontId="0" fillId="2" borderId="0" xfId="0" applyFill="1"/>
    <xf numFmtId="0" fontId="2" fillId="2" borderId="0" xfId="0" applyFont="1" applyFill="1"/>
    <xf numFmtId="166" fontId="0" fillId="15" borderId="12" xfId="0" applyNumberFormat="1" applyFont="1" applyFill="1" applyBorder="1"/>
    <xf numFmtId="166" fontId="0" fillId="16" borderId="12" xfId="0" applyNumberFormat="1" applyFont="1" applyFill="1" applyBorder="1"/>
    <xf numFmtId="0" fontId="0" fillId="16" borderId="12" xfId="0" applyFont="1" applyFill="1" applyBorder="1"/>
    <xf numFmtId="1" fontId="0" fillId="0" borderId="0" xfId="0" applyNumberFormat="1"/>
    <xf numFmtId="3" fontId="0" fillId="0" borderId="0" xfId="0" applyNumberFormat="1"/>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13" borderId="0" xfId="0" applyFont="1" applyFill="1" applyBorder="1" applyAlignment="1" applyProtection="1">
      <alignment horizontal="center"/>
    </xf>
    <xf numFmtId="0" fontId="2" fillId="0" borderId="0" xfId="0" applyFont="1" applyAlignment="1">
      <alignment wrapText="1"/>
    </xf>
    <xf numFmtId="0" fontId="0" fillId="0" borderId="0" xfId="0" applyAlignment="1">
      <alignment wrapText="1"/>
    </xf>
    <xf numFmtId="170" fontId="4" fillId="3" borderId="1" xfId="0" applyNumberFormat="1" applyFont="1" applyFill="1" applyBorder="1" applyAlignment="1" applyProtection="1">
      <alignment horizontal="right" vertical="center"/>
      <protection locked="0"/>
    </xf>
    <xf numFmtId="3" fontId="4" fillId="0" borderId="0" xfId="0" applyNumberFormat="1" applyFont="1" applyFill="1" applyBorder="1" applyAlignment="1" applyProtection="1">
      <alignment vertical="center"/>
    </xf>
    <xf numFmtId="166" fontId="2" fillId="0" borderId="1" xfId="0" applyNumberFormat="1" applyFont="1" applyBorder="1"/>
    <xf numFmtId="0" fontId="2" fillId="0" borderId="1" xfId="0" applyFont="1" applyBorder="1"/>
    <xf numFmtId="166" fontId="0" fillId="0" borderId="1" xfId="0" applyNumberFormat="1" applyBorder="1"/>
    <xf numFmtId="3" fontId="0" fillId="0" borderId="1" xfId="0" applyNumberFormat="1" applyBorder="1"/>
    <xf numFmtId="0" fontId="6" fillId="0" borderId="0" xfId="0" applyFont="1" applyFill="1" applyAlignment="1" applyProtection="1">
      <alignment horizontal="center"/>
    </xf>
    <xf numFmtId="0" fontId="4" fillId="3" borderId="1" xfId="0" applyFont="1" applyFill="1" applyBorder="1" applyAlignment="1" applyProtection="1">
      <alignment horizontal="center"/>
      <protection locked="0"/>
    </xf>
    <xf numFmtId="0" fontId="16"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left" vertical="center"/>
    </xf>
    <xf numFmtId="0" fontId="19" fillId="0" borderId="0" xfId="0" applyFont="1" applyFill="1" applyBorder="1" applyAlignment="1" applyProtection="1">
      <alignment horizontal="left" vertical="center"/>
    </xf>
    <xf numFmtId="0" fontId="0" fillId="0" borderId="0" xfId="0"/>
    <xf numFmtId="167" fontId="34" fillId="0" borderId="1" xfId="0" applyNumberFormat="1" applyFont="1" applyFill="1" applyBorder="1" applyAlignment="1">
      <alignment horizontal="center" vertical="center"/>
    </xf>
    <xf numFmtId="0" fontId="36" fillId="0" borderId="0" xfId="0" applyFont="1"/>
    <xf numFmtId="0" fontId="38" fillId="0" borderId="0" xfId="0" applyFont="1" applyAlignment="1" applyProtection="1">
      <alignment horizontal="center" vertical="center"/>
    </xf>
    <xf numFmtId="0" fontId="37" fillId="0" borderId="0" xfId="0" applyFont="1"/>
    <xf numFmtId="0" fontId="34" fillId="0" borderId="7" xfId="0" applyFont="1" applyBorder="1" applyAlignment="1">
      <alignment vertical="center" wrapText="1"/>
    </xf>
    <xf numFmtId="167" fontId="34" fillId="0" borderId="1" xfId="0" applyNumberFormat="1" applyFont="1" applyBorder="1" applyAlignment="1">
      <alignment horizontal="center" vertical="center"/>
    </xf>
    <xf numFmtId="0" fontId="34" fillId="0" borderId="7" xfId="0" applyFont="1" applyFill="1" applyBorder="1" applyAlignment="1">
      <alignment vertical="center" wrapText="1"/>
    </xf>
    <xf numFmtId="166" fontId="34" fillId="0" borderId="1" xfId="0" applyNumberFormat="1" applyFont="1" applyFill="1" applyBorder="1" applyAlignment="1">
      <alignment horizontal="center" vertical="center"/>
    </xf>
    <xf numFmtId="165" fontId="34"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7" xfId="0" applyFont="1" applyFill="1" applyBorder="1" applyAlignment="1">
      <alignment horizontal="left" vertical="center" wrapText="1"/>
    </xf>
    <xf numFmtId="9" fontId="34" fillId="0" borderId="1" xfId="0" applyNumberFormat="1" applyFont="1" applyFill="1" applyBorder="1" applyAlignment="1">
      <alignment horizontal="center" vertical="center" wrapText="1"/>
    </xf>
    <xf numFmtId="0" fontId="33" fillId="0" borderId="7" xfId="0" applyFont="1" applyBorder="1" applyAlignment="1">
      <alignment vertical="center" wrapText="1"/>
    </xf>
    <xf numFmtId="2" fontId="34" fillId="0" borderId="1" xfId="0" applyNumberFormat="1" applyFont="1" applyFill="1" applyBorder="1" applyAlignment="1">
      <alignment horizontal="center" vertical="center"/>
    </xf>
    <xf numFmtId="0" fontId="33" fillId="0" borderId="11" xfId="0" applyFont="1" applyBorder="1" applyAlignment="1">
      <alignment vertical="center" wrapText="1"/>
    </xf>
    <xf numFmtId="2" fontId="34" fillId="0" borderId="5" xfId="0" applyNumberFormat="1" applyFont="1" applyFill="1" applyBorder="1" applyAlignment="1">
      <alignment horizontal="center" vertical="center"/>
    </xf>
    <xf numFmtId="0" fontId="33" fillId="0" borderId="7" xfId="0" applyFont="1" applyFill="1" applyBorder="1" applyAlignment="1">
      <alignment vertical="center" wrapText="1"/>
    </xf>
    <xf numFmtId="39" fontId="34" fillId="0" borderId="1" xfId="2" applyNumberFormat="1" applyFont="1" applyFill="1" applyBorder="1" applyAlignment="1">
      <alignment horizontal="center" vertical="center"/>
    </xf>
    <xf numFmtId="3" fontId="4" fillId="12" borderId="1" xfId="0" applyNumberFormat="1" applyFont="1" applyFill="1" applyBorder="1" applyAlignment="1" applyProtection="1">
      <alignment horizontal="center" vertical="center" wrapText="1"/>
      <protection locked="0"/>
    </xf>
    <xf numFmtId="0" fontId="4" fillId="13" borderId="0" xfId="0" applyFont="1" applyFill="1" applyAlignment="1">
      <alignment wrapText="1"/>
    </xf>
    <xf numFmtId="0" fontId="6" fillId="13" borderId="1" xfId="0" applyFont="1" applyFill="1" applyBorder="1" applyAlignment="1">
      <alignment horizontal="center" wrapText="1"/>
    </xf>
    <xf numFmtId="0" fontId="0" fillId="13" borderId="0" xfId="0" applyFill="1" applyAlignment="1">
      <alignment wrapText="1"/>
    </xf>
    <xf numFmtId="0" fontId="4" fillId="2" borderId="1" xfId="0" applyFont="1" applyFill="1" applyBorder="1"/>
    <xf numFmtId="0" fontId="7" fillId="13" borderId="0" xfId="0" applyFont="1" applyFill="1" applyAlignment="1" applyProtection="1">
      <alignment horizontal="center"/>
    </xf>
    <xf numFmtId="0" fontId="15" fillId="13" borderId="0" xfId="0" applyFont="1" applyFill="1" applyAlignment="1" applyProtection="1">
      <alignment horizontal="center"/>
    </xf>
    <xf numFmtId="0" fontId="2" fillId="0" borderId="0" xfId="0" applyFont="1" applyAlignment="1"/>
    <xf numFmtId="0" fontId="12" fillId="0" borderId="0" xfId="3" applyFont="1" applyFill="1" applyAlignment="1" applyProtection="1">
      <alignment horizontal="center"/>
    </xf>
    <xf numFmtId="0" fontId="40" fillId="0" borderId="0" xfId="0" applyFont="1" applyAlignment="1">
      <alignment wrapText="1"/>
    </xf>
    <xf numFmtId="0" fontId="41" fillId="0" borderId="0" xfId="0" applyFont="1"/>
    <xf numFmtId="0" fontId="41" fillId="0" borderId="0" xfId="0" applyFont="1" applyBorder="1"/>
    <xf numFmtId="166" fontId="41" fillId="0" borderId="0" xfId="0" applyNumberFormat="1" applyFont="1"/>
    <xf numFmtId="0" fontId="42" fillId="0" borderId="0" xfId="0" applyFont="1" applyFill="1"/>
    <xf numFmtId="166" fontId="41" fillId="0" borderId="0" xfId="0" applyNumberFormat="1" applyFont="1" applyFill="1"/>
    <xf numFmtId="0" fontId="42" fillId="0" borderId="0" xfId="0" applyFont="1"/>
    <xf numFmtId="2" fontId="41" fillId="0" borderId="0" xfId="0" applyNumberFormat="1" applyFont="1"/>
    <xf numFmtId="0" fontId="40" fillId="0" borderId="0" xfId="0" applyFont="1" applyBorder="1" applyAlignment="1">
      <alignment wrapText="1"/>
    </xf>
    <xf numFmtId="0" fontId="40" fillId="0" borderId="0" xfId="0" applyFont="1" applyBorder="1" applyAlignment="1">
      <alignment horizontal="left" wrapText="1"/>
    </xf>
    <xf numFmtId="0" fontId="40" fillId="0" borderId="0" xfId="0" applyFont="1" applyBorder="1" applyAlignment="1">
      <alignment horizontal="center" wrapText="1"/>
    </xf>
    <xf numFmtId="0" fontId="0" fillId="0" borderId="0" xfId="0" applyBorder="1" applyAlignment="1">
      <alignment wrapText="1"/>
    </xf>
    <xf numFmtId="0" fontId="0" fillId="0" borderId="0" xfId="0" applyAlignment="1"/>
    <xf numFmtId="0" fontId="41" fillId="0" borderId="0" xfId="0" applyFont="1" applyBorder="1" applyAlignment="1">
      <alignment vertical="top"/>
    </xf>
    <xf numFmtId="0" fontId="41" fillId="0" borderId="0" xfId="0" applyFont="1" applyBorder="1" applyAlignment="1">
      <alignment horizontal="right"/>
    </xf>
    <xf numFmtId="0" fontId="41" fillId="0" borderId="0" xfId="0" applyFont="1" applyFill="1" applyBorder="1" applyAlignment="1">
      <alignment horizontal="left"/>
    </xf>
    <xf numFmtId="0" fontId="41" fillId="0" borderId="0" xfId="0" applyFont="1" applyFill="1" applyBorder="1"/>
    <xf numFmtId="172" fontId="0" fillId="0" borderId="0" xfId="2" applyNumberFormat="1" applyFont="1" applyFill="1" applyBorder="1"/>
    <xf numFmtId="172" fontId="0" fillId="0" borderId="0" xfId="2" applyNumberFormat="1" applyFont="1" applyBorder="1"/>
    <xf numFmtId="0" fontId="41" fillId="0" borderId="0" xfId="0" applyFont="1" applyAlignment="1">
      <alignment vertical="top"/>
    </xf>
    <xf numFmtId="0" fontId="41" fillId="0" borderId="0" xfId="0" applyFont="1" applyAlignment="1">
      <alignment horizontal="right"/>
    </xf>
    <xf numFmtId="0" fontId="41" fillId="0" borderId="0" xfId="0" applyFont="1" applyFill="1" applyAlignment="1">
      <alignment vertical="top"/>
    </xf>
    <xf numFmtId="0" fontId="41" fillId="0" borderId="0" xfId="0" applyFont="1" applyFill="1" applyAlignment="1">
      <alignment horizontal="right"/>
    </xf>
    <xf numFmtId="0" fontId="41" fillId="0" borderId="0" xfId="0" applyFont="1" applyFill="1" applyBorder="1" applyAlignment="1">
      <alignment vertical="top"/>
    </xf>
    <xf numFmtId="0" fontId="41" fillId="0" borderId="0" xfId="0" applyFont="1" applyFill="1" applyBorder="1" applyAlignment="1">
      <alignment horizontal="right"/>
    </xf>
    <xf numFmtId="0" fontId="4" fillId="9" borderId="1" xfId="0" applyFont="1" applyFill="1" applyBorder="1" applyAlignment="1" applyProtection="1">
      <alignment horizontal="left" vertical="center" wrapText="1"/>
    </xf>
    <xf numFmtId="0" fontId="4" fillId="5" borderId="1"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wrapText="1"/>
    </xf>
    <xf numFmtId="3" fontId="4" fillId="10" borderId="1" xfId="0" applyNumberFormat="1" applyFont="1" applyFill="1" applyBorder="1" applyAlignment="1" applyProtection="1">
      <alignment horizontal="left" vertical="center" wrapText="1"/>
    </xf>
    <xf numFmtId="0" fontId="4" fillId="13" borderId="2" xfId="0" applyFont="1" applyFill="1" applyBorder="1" applyAlignment="1" applyProtection="1">
      <alignment horizontal="left"/>
    </xf>
    <xf numFmtId="0" fontId="4" fillId="13" borderId="3" xfId="0" applyFont="1" applyFill="1" applyBorder="1" applyAlignment="1" applyProtection="1">
      <alignment horizontal="left"/>
    </xf>
    <xf numFmtId="0" fontId="4" fillId="13" borderId="4" xfId="0" applyFont="1" applyFill="1" applyBorder="1" applyAlignment="1" applyProtection="1">
      <alignment horizontal="left"/>
    </xf>
    <xf numFmtId="0" fontId="40" fillId="0" borderId="0" xfId="0" applyFont="1" applyFill="1" applyBorder="1"/>
    <xf numFmtId="0" fontId="6" fillId="0" borderId="0" xfId="0" applyFont="1" applyAlignment="1" applyProtection="1">
      <alignment horizontal="center"/>
    </xf>
    <xf numFmtId="0" fontId="5" fillId="0" borderId="0" xfId="0" applyFont="1" applyAlignment="1" applyProtection="1">
      <alignment vertical="top"/>
    </xf>
    <xf numFmtId="0" fontId="5" fillId="0" borderId="0" xfId="0" applyFont="1" applyAlignment="1" applyProtection="1">
      <alignment horizontal="centerContinuous" vertical="top"/>
    </xf>
    <xf numFmtId="0" fontId="4" fillId="2" borderId="2"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10" fillId="2" borderId="13" xfId="0" applyFont="1" applyFill="1" applyBorder="1" applyAlignment="1" applyProtection="1">
      <alignment horizontal="centerContinuous"/>
    </xf>
    <xf numFmtId="0" fontId="10" fillId="2" borderId="14" xfId="0" applyFont="1" applyFill="1" applyBorder="1" applyAlignment="1" applyProtection="1">
      <alignment horizontal="centerContinuous"/>
    </xf>
    <xf numFmtId="0" fontId="6" fillId="2" borderId="2" xfId="0" applyFont="1" applyFill="1" applyBorder="1" applyAlignment="1" applyProtection="1">
      <alignment horizontal="centerContinuous"/>
    </xf>
    <xf numFmtId="0" fontId="6" fillId="2" borderId="4" xfId="0" applyFont="1" applyFill="1" applyBorder="1" applyAlignment="1" applyProtection="1">
      <alignment horizontal="centerContinuous"/>
    </xf>
    <xf numFmtId="0" fontId="33" fillId="5" borderId="8" xfId="0" applyFont="1" applyFill="1" applyBorder="1" applyAlignment="1">
      <alignment horizontal="centerContinuous" vertical="center"/>
    </xf>
    <xf numFmtId="0" fontId="33" fillId="5" borderId="9" xfId="0" applyFont="1" applyFill="1" applyBorder="1" applyAlignment="1">
      <alignment horizontal="centerContinuous" vertical="center"/>
    </xf>
    <xf numFmtId="0" fontId="33" fillId="0" borderId="1" xfId="0" applyFont="1" applyBorder="1" applyAlignment="1">
      <alignment vertical="center" wrapText="1"/>
    </xf>
    <xf numFmtId="0" fontId="34" fillId="0" borderId="1" xfId="0" applyFont="1" applyFill="1" applyBorder="1" applyAlignment="1">
      <alignment vertical="center" wrapText="1"/>
    </xf>
    <xf numFmtId="0" fontId="33" fillId="5" borderId="15" xfId="0" applyFont="1" applyFill="1" applyBorder="1" applyAlignment="1">
      <alignment horizontal="centerContinuous" vertical="center"/>
    </xf>
    <xf numFmtId="0" fontId="33" fillId="0" borderId="1" xfId="0" applyFont="1" applyFill="1" applyBorder="1" applyAlignment="1">
      <alignment vertical="center" wrapText="1"/>
    </xf>
    <xf numFmtId="0" fontId="34" fillId="0" borderId="1" xfId="0" applyFont="1" applyFill="1" applyBorder="1" applyAlignment="1">
      <alignment vertical="top" wrapText="1"/>
    </xf>
    <xf numFmtId="0" fontId="33" fillId="0" borderId="5" xfId="0" applyFont="1" applyFill="1" applyBorder="1" applyAlignment="1">
      <alignment vertical="center" wrapText="1"/>
    </xf>
    <xf numFmtId="0" fontId="34" fillId="10" borderId="16" xfId="0" applyFont="1" applyFill="1" applyBorder="1" applyAlignment="1">
      <alignment horizontal="centerContinuous" vertical="center" wrapText="1"/>
    </xf>
    <xf numFmtId="0" fontId="34" fillId="10" borderId="3" xfId="0" applyFont="1" applyFill="1" applyBorder="1" applyAlignment="1">
      <alignment horizontal="centerContinuous" vertical="center" wrapText="1"/>
    </xf>
    <xf numFmtId="0" fontId="34" fillId="10" borderId="4" xfId="0" applyFont="1" applyFill="1" applyBorder="1" applyAlignment="1">
      <alignment horizontal="centerContinuous" vertical="center" wrapText="1"/>
    </xf>
    <xf numFmtId="0" fontId="34" fillId="9" borderId="16" xfId="0" applyFont="1" applyFill="1" applyBorder="1" applyAlignment="1">
      <alignment horizontal="centerContinuous" vertical="center" wrapText="1"/>
    </xf>
    <xf numFmtId="0" fontId="34" fillId="9" borderId="3" xfId="0" applyFont="1" applyFill="1" applyBorder="1" applyAlignment="1">
      <alignment horizontal="centerContinuous" vertical="center" wrapText="1"/>
    </xf>
    <xf numFmtId="0" fontId="34" fillId="9" borderId="4" xfId="0" applyFont="1" applyFill="1" applyBorder="1" applyAlignment="1">
      <alignment horizontal="centerContinuous" vertical="center" wrapText="1"/>
    </xf>
    <xf numFmtId="0" fontId="34" fillId="6" borderId="16" xfId="0" applyFont="1" applyFill="1" applyBorder="1" applyAlignment="1">
      <alignment horizontal="centerContinuous" vertical="center" wrapText="1"/>
    </xf>
    <xf numFmtId="0" fontId="34" fillId="6" borderId="3" xfId="0" applyFont="1" applyFill="1" applyBorder="1" applyAlignment="1">
      <alignment horizontal="centerContinuous" vertical="center" wrapText="1"/>
    </xf>
    <xf numFmtId="0" fontId="34" fillId="6" borderId="4" xfId="0" applyFont="1" applyFill="1" applyBorder="1" applyAlignment="1">
      <alignment horizontal="centerContinuous" vertical="center" wrapText="1"/>
    </xf>
    <xf numFmtId="0" fontId="34" fillId="11" borderId="16" xfId="0" applyFont="1" applyFill="1" applyBorder="1" applyAlignment="1">
      <alignment horizontal="centerContinuous" vertical="center" wrapText="1"/>
    </xf>
    <xf numFmtId="0" fontId="34" fillId="11" borderId="3" xfId="0" applyFont="1" applyFill="1" applyBorder="1" applyAlignment="1">
      <alignment horizontal="centerContinuous" vertical="center" wrapText="1"/>
    </xf>
    <xf numFmtId="0" fontId="34" fillId="11" borderId="4" xfId="0" applyFont="1" applyFill="1" applyBorder="1" applyAlignment="1">
      <alignment horizontal="centerContinuous" vertical="center" wrapText="1"/>
    </xf>
    <xf numFmtId="0" fontId="6" fillId="2" borderId="2"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4" fillId="0" borderId="2" xfId="0" applyFont="1" applyBorder="1" applyAlignment="1" applyProtection="1"/>
    <xf numFmtId="0" fontId="4" fillId="0" borderId="3" xfId="0" applyFont="1" applyBorder="1" applyAlignment="1" applyProtection="1"/>
    <xf numFmtId="0" fontId="4" fillId="0" borderId="4" xfId="0" applyFont="1" applyBorder="1" applyAlignment="1" applyProtection="1"/>
    <xf numFmtId="0" fontId="4" fillId="0" borderId="2" xfId="0" applyFont="1" applyFill="1" applyBorder="1" applyAlignment="1" applyProtection="1"/>
    <xf numFmtId="0" fontId="4" fillId="0" borderId="3" xfId="0" applyFont="1" applyFill="1" applyBorder="1" applyAlignment="1" applyProtection="1"/>
    <xf numFmtId="0" fontId="4" fillId="0" borderId="4" xfId="0" applyFont="1" applyFill="1" applyBorder="1" applyAlignment="1" applyProtection="1"/>
    <xf numFmtId="166" fontId="5" fillId="0" borderId="2" xfId="0" applyNumberFormat="1" applyFont="1" applyFill="1" applyBorder="1" applyAlignment="1" applyProtection="1">
      <alignment vertical="center"/>
    </xf>
    <xf numFmtId="166" fontId="5" fillId="0" borderId="3" xfId="0" applyNumberFormat="1" applyFont="1" applyFill="1" applyBorder="1" applyAlignment="1" applyProtection="1">
      <alignment vertical="center"/>
    </xf>
    <xf numFmtId="166" fontId="5" fillId="0" borderId="4" xfId="0" applyNumberFormat="1" applyFont="1" applyFill="1" applyBorder="1" applyAlignment="1" applyProtection="1">
      <alignment vertical="center"/>
    </xf>
    <xf numFmtId="0" fontId="4" fillId="0" borderId="0" xfId="0" applyFont="1" applyBorder="1" applyAlignment="1" applyProtection="1">
      <alignment vertical="center"/>
    </xf>
    <xf numFmtId="0" fontId="4" fillId="0" borderId="6" xfId="0" applyFont="1" applyFill="1" applyBorder="1" applyAlignment="1" applyProtection="1">
      <alignment horizontal="centerContinuous"/>
      <protection locked="0"/>
    </xf>
    <xf numFmtId="0" fontId="37" fillId="0" borderId="0" xfId="0" applyFont="1" applyAlignment="1" applyProtection="1"/>
    <xf numFmtId="0" fontId="37" fillId="0" borderId="0" xfId="0" applyFont="1" applyAlignment="1" applyProtection="1">
      <alignment wrapText="1"/>
    </xf>
    <xf numFmtId="0" fontId="37" fillId="0" borderId="0" xfId="3" applyFont="1" applyAlignment="1" applyProtection="1"/>
    <xf numFmtId="0" fontId="38" fillId="0" borderId="0" xfId="0" applyFont="1" applyFill="1" applyAlignment="1" applyProtection="1"/>
    <xf numFmtId="0" fontId="4" fillId="13" borderId="2" xfId="0" applyFont="1" applyFill="1" applyBorder="1" applyAlignment="1" applyProtection="1"/>
    <xf numFmtId="0" fontId="4" fillId="13" borderId="3" xfId="0" applyFont="1" applyFill="1" applyBorder="1" applyAlignment="1" applyProtection="1"/>
    <xf numFmtId="0" fontId="4" fillId="13" borderId="4" xfId="0" applyFont="1" applyFill="1" applyBorder="1" applyAlignment="1" applyProtection="1"/>
    <xf numFmtId="0" fontId="4" fillId="13" borderId="2" xfId="0" applyFont="1" applyFill="1" applyBorder="1" applyAlignment="1"/>
    <xf numFmtId="0" fontId="4" fillId="13" borderId="3" xfId="0" applyFont="1" applyFill="1" applyBorder="1" applyAlignment="1"/>
    <xf numFmtId="0" fontId="4" fillId="13" borderId="4" xfId="0" applyFont="1" applyFill="1" applyBorder="1" applyAlignment="1"/>
    <xf numFmtId="0" fontId="6" fillId="13" borderId="2" xfId="0" applyFont="1" applyFill="1" applyBorder="1" applyAlignment="1">
      <alignment wrapText="1"/>
    </xf>
    <xf numFmtId="0" fontId="6" fillId="13" borderId="3" xfId="0" applyFont="1" applyFill="1" applyBorder="1" applyAlignment="1">
      <alignment wrapText="1"/>
    </xf>
    <xf numFmtId="0" fontId="6" fillId="13" borderId="4" xfId="0" applyFont="1" applyFill="1" applyBorder="1" applyAlignment="1">
      <alignment wrapText="1"/>
    </xf>
    <xf numFmtId="0" fontId="6" fillId="13" borderId="6" xfId="0" applyFont="1" applyFill="1" applyBorder="1" applyAlignment="1" applyProtection="1">
      <alignment horizontal="centerContinuous"/>
    </xf>
    <xf numFmtId="0" fontId="4" fillId="13" borderId="2" xfId="0" applyFont="1" applyFill="1" applyBorder="1" applyAlignment="1" applyProtection="1">
      <alignment vertical="center"/>
    </xf>
    <xf numFmtId="0" fontId="4" fillId="13" borderId="3" xfId="0" applyFont="1" applyFill="1" applyBorder="1" applyAlignment="1" applyProtection="1">
      <alignment vertical="center"/>
    </xf>
    <xf numFmtId="0" fontId="4" fillId="13" borderId="4" xfId="0" applyFont="1" applyFill="1" applyBorder="1" applyAlignment="1" applyProtection="1">
      <alignment vertical="center"/>
    </xf>
    <xf numFmtId="0" fontId="4" fillId="0" borderId="0" xfId="0" applyFont="1" applyAlignment="1" applyProtection="1">
      <alignment vertical="top"/>
    </xf>
    <xf numFmtId="0" fontId="6" fillId="0" borderId="0" xfId="0" applyFont="1" applyAlignment="1" applyProtection="1">
      <alignment vertical="top"/>
    </xf>
    <xf numFmtId="0" fontId="10" fillId="4" borderId="1" xfId="0" applyFont="1" applyFill="1" applyBorder="1" applyAlignment="1" applyProtection="1">
      <protection locked="0"/>
    </xf>
    <xf numFmtId="14" fontId="10" fillId="4" borderId="1" xfId="0" applyNumberFormat="1" applyFont="1" applyFill="1" applyBorder="1" applyAlignment="1" applyProtection="1">
      <protection locked="0"/>
    </xf>
    <xf numFmtId="0" fontId="4" fillId="0" borderId="0" xfId="0" applyFont="1" applyAlignment="1" applyProtection="1"/>
    <xf numFmtId="0" fontId="5" fillId="5" borderId="1" xfId="0" applyFont="1" applyFill="1" applyBorder="1" applyAlignment="1" applyProtection="1">
      <alignment vertical="center" wrapText="1"/>
    </xf>
    <xf numFmtId="0" fontId="4" fillId="5" borderId="1" xfId="0" applyFont="1" applyFill="1" applyBorder="1" applyAlignment="1" applyProtection="1">
      <alignment vertical="center" wrapText="1"/>
    </xf>
    <xf numFmtId="0" fontId="4" fillId="9" borderId="1" xfId="0" applyFont="1" applyFill="1" applyBorder="1" applyAlignment="1" applyProtection="1">
      <alignment vertical="center" wrapText="1"/>
    </xf>
    <xf numFmtId="0" fontId="5" fillId="9" borderId="1" xfId="0" applyFont="1" applyFill="1" applyBorder="1" applyAlignment="1" applyProtection="1">
      <alignment vertical="center" wrapText="1"/>
    </xf>
    <xf numFmtId="0" fontId="5" fillId="6" borderId="1" xfId="0" applyFont="1" applyFill="1" applyBorder="1" applyAlignment="1" applyProtection="1">
      <alignment vertical="center" wrapText="1"/>
    </xf>
    <xf numFmtId="0" fontId="4" fillId="6" borderId="1" xfId="0" applyFont="1" applyFill="1" applyBorder="1" applyAlignment="1" applyProtection="1">
      <alignment vertical="center" wrapText="1"/>
    </xf>
    <xf numFmtId="0" fontId="4" fillId="6" borderId="2" xfId="0" applyFont="1" applyFill="1" applyBorder="1" applyAlignment="1" applyProtection="1">
      <alignment horizontal="centerContinuous" vertical="center" wrapText="1"/>
    </xf>
    <xf numFmtId="0" fontId="5" fillId="8" borderId="1" xfId="0" applyFont="1" applyFill="1" applyBorder="1" applyAlignment="1" applyProtection="1">
      <alignment vertical="center" wrapText="1"/>
    </xf>
    <xf numFmtId="3" fontId="4" fillId="10" borderId="1" xfId="0" applyNumberFormat="1" applyFont="1" applyFill="1" applyBorder="1" applyAlignment="1" applyProtection="1">
      <alignment horizontal="centerContinuous" vertical="center" wrapText="1"/>
    </xf>
    <xf numFmtId="0" fontId="5" fillId="10" borderId="1" xfId="0" applyFont="1" applyFill="1" applyBorder="1" applyAlignment="1" applyProtection="1">
      <alignment vertical="center" wrapText="1"/>
    </xf>
    <xf numFmtId="0" fontId="4" fillId="7" borderId="1" xfId="0" applyFont="1" applyFill="1" applyBorder="1" applyAlignment="1" applyProtection="1">
      <alignment vertical="center" wrapText="1"/>
    </xf>
    <xf numFmtId="0" fontId="5" fillId="6" borderId="1" xfId="0" applyFont="1" applyFill="1" applyBorder="1" applyAlignment="1" applyProtection="1">
      <alignment vertical="top" wrapText="1"/>
    </xf>
    <xf numFmtId="0" fontId="4" fillId="6" borderId="4" xfId="0" applyFont="1" applyFill="1" applyBorder="1" applyAlignment="1" applyProtection="1">
      <alignment horizontal="centerContinuous" vertical="center" wrapText="1"/>
    </xf>
    <xf numFmtId="0" fontId="5" fillId="11" borderId="1" xfId="0" applyFont="1" applyFill="1" applyBorder="1" applyAlignment="1" applyProtection="1">
      <alignment vertical="center" wrapText="1"/>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9" fillId="0" borderId="2" xfId="1" applyFont="1" applyBorder="1" applyAlignment="1" applyProtection="1">
      <alignment vertical="center"/>
    </xf>
    <xf numFmtId="0" fontId="9" fillId="0" borderId="3" xfId="1" applyFont="1" applyBorder="1" applyAlignment="1" applyProtection="1">
      <alignment vertical="center"/>
    </xf>
    <xf numFmtId="0" fontId="6" fillId="0" borderId="0" xfId="0" applyFont="1" applyAlignment="1" applyProtection="1">
      <alignment horizontal="centerContinuous"/>
    </xf>
    <xf numFmtId="0" fontId="5" fillId="0" borderId="4" xfId="0" applyFont="1" applyBorder="1" applyAlignment="1" applyProtection="1">
      <alignment vertical="center"/>
    </xf>
    <xf numFmtId="0" fontId="9" fillId="0" borderId="4" xfId="1" applyFont="1" applyBorder="1" applyAlignment="1" applyProtection="1">
      <alignment vertical="center"/>
    </xf>
    <xf numFmtId="0" fontId="4" fillId="5" borderId="1" xfId="0" applyFont="1" applyFill="1" applyBorder="1" applyAlignment="1" applyProtection="1">
      <alignment horizontal="centerContinuous" vertical="center" wrapText="1"/>
    </xf>
    <xf numFmtId="0" fontId="4" fillId="9" borderId="1" xfId="0" applyFont="1" applyFill="1" applyBorder="1" applyAlignment="1" applyProtection="1">
      <alignment horizontal="centerContinuous" vertical="center" wrapText="1"/>
    </xf>
    <xf numFmtId="0" fontId="5" fillId="6" borderId="1" xfId="0" applyFont="1" applyFill="1" applyBorder="1" applyAlignment="1" applyProtection="1">
      <alignment horizontal="centerContinuous" vertical="center" wrapText="1"/>
    </xf>
    <xf numFmtId="0" fontId="5" fillId="8" borderId="1" xfId="0" applyFont="1" applyFill="1" applyBorder="1" applyAlignment="1" applyProtection="1">
      <alignment horizontal="centerContinuous" vertical="center" wrapText="1"/>
    </xf>
    <xf numFmtId="0" fontId="5" fillId="11" borderId="1" xfId="0" applyFont="1" applyFill="1" applyBorder="1" applyAlignment="1" applyProtection="1">
      <alignment horizontal="centerContinuous" vertical="center" wrapText="1"/>
    </xf>
    <xf numFmtId="0" fontId="4" fillId="7" borderId="1" xfId="0" applyFont="1" applyFill="1" applyBorder="1" applyAlignment="1" applyProtection="1">
      <alignment horizontal="centerContinuous" vertical="center" wrapText="1"/>
    </xf>
    <xf numFmtId="0" fontId="4" fillId="13" borderId="2" xfId="0" applyFont="1" applyFill="1" applyBorder="1" applyAlignment="1" applyProtection="1">
      <alignment horizontal="left" indent="2"/>
    </xf>
    <xf numFmtId="0" fontId="4" fillId="13" borderId="3" xfId="0" applyFont="1" applyFill="1" applyBorder="1" applyAlignment="1" applyProtection="1">
      <alignment horizontal="left" indent="2"/>
    </xf>
    <xf numFmtId="0" fontId="40" fillId="0" borderId="0" xfId="0" applyFont="1" applyBorder="1" applyAlignment="1">
      <alignment horizontal="right" wrapText="1"/>
    </xf>
    <xf numFmtId="172" fontId="41" fillId="0" borderId="0" xfId="2" applyNumberFormat="1" applyFont="1" applyBorder="1" applyAlignment="1">
      <alignment horizontal="right"/>
    </xf>
    <xf numFmtId="172" fontId="41" fillId="0" borderId="0" xfId="2" applyNumberFormat="1" applyFont="1" applyFill="1" applyBorder="1" applyAlignment="1">
      <alignment horizontal="right"/>
    </xf>
    <xf numFmtId="166" fontId="41" fillId="0" borderId="0" xfId="0" applyNumberFormat="1" applyFont="1" applyAlignment="1">
      <alignment horizontal="right"/>
    </xf>
    <xf numFmtId="166" fontId="41" fillId="0" borderId="0" xfId="0" applyNumberFormat="1" applyFont="1" applyFill="1" applyAlignment="1">
      <alignment horizontal="right"/>
    </xf>
    <xf numFmtId="172" fontId="41" fillId="13" borderId="0" xfId="2" applyNumberFormat="1" applyFont="1" applyFill="1" applyBorder="1" applyAlignment="1">
      <alignment horizontal="right"/>
    </xf>
    <xf numFmtId="170" fontId="4" fillId="2" borderId="1" xfId="0" applyNumberFormat="1" applyFont="1" applyFill="1" applyBorder="1" applyAlignment="1" applyProtection="1">
      <alignment horizontal="right" vertical="center"/>
    </xf>
    <xf numFmtId="0" fontId="6" fillId="8" borderId="1" xfId="0" applyFont="1" applyFill="1" applyBorder="1" applyAlignment="1" applyProtection="1">
      <alignment horizontal="centerContinuous" vertical="center" wrapText="1"/>
    </xf>
    <xf numFmtId="0" fontId="6" fillId="6" borderId="1" xfId="0" applyFont="1" applyFill="1" applyBorder="1" applyAlignment="1" applyProtection="1">
      <alignment horizontal="centerContinuous" vertical="center" wrapText="1"/>
    </xf>
    <xf numFmtId="0" fontId="6" fillId="9" borderId="1" xfId="0" applyFont="1" applyFill="1" applyBorder="1" applyAlignment="1" applyProtection="1">
      <alignment horizontal="centerContinuous" vertical="center" wrapText="1"/>
    </xf>
    <xf numFmtId="0" fontId="6" fillId="5" borderId="1" xfId="0" applyFont="1" applyFill="1" applyBorder="1" applyAlignment="1" applyProtection="1">
      <alignment horizontal="centerContinuous" vertical="center" wrapText="1"/>
    </xf>
    <xf numFmtId="0" fontId="6" fillId="11" borderId="5" xfId="0" applyFont="1" applyFill="1" applyBorder="1" applyAlignment="1" applyProtection="1">
      <alignment horizontal="centerContinuous" vertical="center" wrapText="1"/>
    </xf>
    <xf numFmtId="3" fontId="6" fillId="10" borderId="1" xfId="0" applyNumberFormat="1" applyFont="1" applyFill="1" applyBorder="1" applyAlignment="1" applyProtection="1">
      <alignment horizontal="centerContinuous" vertical="center" wrapText="1"/>
    </xf>
    <xf numFmtId="0" fontId="6" fillId="7" borderId="1" xfId="0" applyFont="1" applyFill="1" applyBorder="1" applyAlignment="1" applyProtection="1">
      <alignment horizontal="centerContinuous" vertical="center" wrapText="1"/>
    </xf>
    <xf numFmtId="0" fontId="4" fillId="3" borderId="1" xfId="0" applyFont="1" applyFill="1" applyBorder="1" applyAlignment="1" applyProtection="1">
      <alignment horizontal="right"/>
      <protection locked="0"/>
    </xf>
    <xf numFmtId="0" fontId="4" fillId="0" borderId="1" xfId="0" applyFont="1" applyBorder="1" applyAlignment="1" applyProtection="1">
      <alignment horizontal="left" vertical="center" wrapText="1"/>
    </xf>
    <xf numFmtId="173" fontId="26" fillId="0" borderId="0" xfId="3" applyNumberFormat="1" applyFont="1" applyFill="1" applyAlignment="1" applyProtection="1">
      <alignment horizontal="center"/>
    </xf>
    <xf numFmtId="0" fontId="5" fillId="0" borderId="0" xfId="0" applyFont="1" applyFill="1" applyAlignment="1" applyProtection="1">
      <alignment horizontal="left" vertical="top"/>
    </xf>
    <xf numFmtId="0" fontId="12" fillId="13" borderId="0" xfId="3" applyFont="1" applyFill="1" applyAlignment="1" applyProtection="1">
      <alignment horizontal="center"/>
    </xf>
    <xf numFmtId="173" fontId="26" fillId="13" borderId="0" xfId="3" applyNumberFormat="1" applyFont="1" applyFill="1" applyAlignment="1" applyProtection="1">
      <alignment horizontal="center"/>
    </xf>
    <xf numFmtId="0" fontId="1" fillId="0" borderId="0" xfId="0" applyFont="1" applyAlignment="1" applyProtection="1">
      <alignment vertical="center"/>
    </xf>
    <xf numFmtId="0" fontId="1" fillId="0" borderId="0" xfId="0" applyFont="1" applyProtection="1"/>
    <xf numFmtId="0" fontId="4" fillId="0" borderId="1" xfId="0" applyFont="1" applyBorder="1" applyAlignment="1" applyProtection="1">
      <alignment vertical="center"/>
    </xf>
    <xf numFmtId="0" fontId="4" fillId="0" borderId="5" xfId="0" applyFont="1" applyBorder="1" applyAlignment="1" applyProtection="1">
      <alignment vertical="center"/>
    </xf>
    <xf numFmtId="0" fontId="4" fillId="0" borderId="1" xfId="0" applyFont="1" applyFill="1" applyBorder="1" applyAlignment="1" applyProtection="1">
      <alignment vertical="center" wrapText="1"/>
    </xf>
    <xf numFmtId="0" fontId="4" fillId="0" borderId="1" xfId="0" applyFont="1" applyBorder="1" applyAlignment="1" applyProtection="1">
      <alignment wrapText="1"/>
    </xf>
    <xf numFmtId="0" fontId="4" fillId="0" borderId="18" xfId="0" applyFont="1" applyBorder="1" applyAlignment="1" applyProtection="1">
      <alignment wrapText="1"/>
    </xf>
    <xf numFmtId="170" fontId="4" fillId="5" borderId="1" xfId="0" applyNumberFormat="1" applyFont="1" applyFill="1" applyBorder="1" applyAlignment="1" applyProtection="1">
      <alignment horizontal="right" vertical="center"/>
      <protection locked="0"/>
    </xf>
    <xf numFmtId="0" fontId="26" fillId="0" borderId="0" xfId="0" applyFont="1" applyAlignment="1" applyProtection="1">
      <alignment vertical="center"/>
    </xf>
    <xf numFmtId="0" fontId="45" fillId="0" borderId="0" xfId="0" applyFont="1"/>
    <xf numFmtId="0" fontId="1" fillId="0" borderId="0" xfId="0" applyFont="1"/>
    <xf numFmtId="166" fontId="0" fillId="0" borderId="0" xfId="0" applyNumberFormat="1" applyFill="1" applyBorder="1"/>
    <xf numFmtId="3" fontId="4" fillId="13" borderId="0" xfId="0" applyNumberFormat="1" applyFont="1" applyFill="1" applyBorder="1" applyAlignment="1" applyProtection="1">
      <alignment vertical="center"/>
    </xf>
    <xf numFmtId="0" fontId="0" fillId="0" borderId="0" xfId="0" applyAlignment="1">
      <alignment horizontal="left" vertical="center"/>
    </xf>
    <xf numFmtId="0" fontId="46" fillId="0" borderId="0" xfId="0" applyFont="1" applyAlignment="1">
      <alignment vertical="center"/>
    </xf>
    <xf numFmtId="0" fontId="4" fillId="0" borderId="1" xfId="0" applyFont="1" applyBorder="1" applyAlignment="1" applyProtection="1">
      <alignment horizontal="lef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center" wrapText="1"/>
    </xf>
    <xf numFmtId="0" fontId="4" fillId="0" borderId="7" xfId="0" applyFont="1" applyFill="1" applyBorder="1" applyAlignment="1" applyProtection="1">
      <alignment horizontal="left" vertical="center"/>
    </xf>
    <xf numFmtId="0" fontId="4" fillId="0" borderId="7" xfId="0" applyFont="1" applyBorder="1" applyAlignment="1" applyProtection="1">
      <alignment horizontal="left" vertical="center"/>
    </xf>
    <xf numFmtId="0" fontId="4" fillId="0" borderId="7" xfId="0" applyFont="1" applyBorder="1" applyAlignment="1">
      <alignment horizontal="left" vertical="center" wrapText="1"/>
    </xf>
    <xf numFmtId="0" fontId="4" fillId="0" borderId="11" xfId="0" applyFont="1" applyBorder="1" applyAlignment="1" applyProtection="1">
      <alignment horizontal="left" vertical="center"/>
    </xf>
    <xf numFmtId="0" fontId="6" fillId="0" borderId="8" xfId="0" applyFont="1" applyBorder="1" applyAlignment="1" applyProtection="1">
      <alignment horizontal="left"/>
    </xf>
    <xf numFmtId="0" fontId="6" fillId="0" borderId="9" xfId="0" applyFont="1" applyBorder="1" applyAlignment="1">
      <alignment horizontal="left"/>
    </xf>
    <xf numFmtId="0" fontId="4" fillId="0" borderId="9" xfId="0" applyFont="1" applyBorder="1" applyAlignment="1" applyProtection="1"/>
    <xf numFmtId="0" fontId="6" fillId="0" borderId="8" xfId="0" applyFont="1" applyBorder="1" applyAlignment="1">
      <alignment horizontal="left"/>
    </xf>
    <xf numFmtId="0" fontId="0" fillId="0" borderId="23" xfId="0" applyBorder="1" applyAlignment="1">
      <alignment horizontal="left"/>
    </xf>
    <xf numFmtId="0" fontId="6" fillId="0" borderId="23" xfId="0" applyFont="1" applyBorder="1" applyAlignment="1">
      <alignment horizontal="left"/>
    </xf>
    <xf numFmtId="9" fontId="4" fillId="0" borderId="23" xfId="0" applyNumberFormat="1" applyFont="1" applyBorder="1" applyAlignment="1" applyProtection="1">
      <alignment horizontal="left" vertical="center"/>
    </xf>
    <xf numFmtId="0" fontId="4" fillId="0" borderId="1" xfId="0" applyFont="1" applyBorder="1" applyAlignment="1" applyProtection="1">
      <alignment vertical="top" wrapText="1"/>
    </xf>
    <xf numFmtId="0" fontId="20" fillId="0" borderId="0" xfId="0" applyFont="1" applyAlignment="1">
      <alignment horizontal="left" vertical="center" wrapText="1"/>
    </xf>
    <xf numFmtId="3" fontId="20" fillId="0" borderId="0" xfId="0" applyNumberFormat="1"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4" fillId="0" borderId="4" xfId="0" applyFont="1" applyFill="1" applyBorder="1" applyAlignment="1" applyProtection="1">
      <alignment vertical="center" wrapText="1"/>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xf>
    <xf numFmtId="0" fontId="6" fillId="0" borderId="21"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vertical="center"/>
    </xf>
    <xf numFmtId="0" fontId="4" fillId="0" borderId="7" xfId="0" applyFont="1" applyBorder="1" applyAlignment="1" applyProtection="1">
      <alignment vertical="center" wrapText="1"/>
    </xf>
    <xf numFmtId="0" fontId="4" fillId="0" borderId="26" xfId="0" applyFont="1" applyBorder="1" applyAlignment="1" applyProtection="1">
      <alignment vertical="center"/>
    </xf>
    <xf numFmtId="171" fontId="4" fillId="0" borderId="27" xfId="2" applyNumberFormat="1" applyFont="1" applyBorder="1" applyAlignment="1" applyProtection="1">
      <alignment horizontal="left" vertical="center"/>
    </xf>
    <xf numFmtId="0" fontId="4" fillId="0" borderId="28" xfId="0" applyFont="1" applyBorder="1" applyAlignment="1" applyProtection="1">
      <alignment horizontal="left" vertical="center"/>
    </xf>
    <xf numFmtId="0" fontId="47" fillId="0" borderId="0" xfId="0" applyFont="1" applyProtection="1"/>
    <xf numFmtId="0" fontId="4" fillId="0" borderId="17" xfId="0" applyFont="1" applyFill="1" applyBorder="1" applyAlignment="1" applyProtection="1">
      <alignment vertical="center"/>
    </xf>
    <xf numFmtId="0" fontId="4" fillId="0" borderId="1" xfId="0" applyFont="1" applyBorder="1" applyAlignment="1" applyProtection="1">
      <alignment horizontal="left" vertical="top" wrapText="1"/>
    </xf>
    <xf numFmtId="0" fontId="4" fillId="0" borderId="11" xfId="0" applyFont="1" applyBorder="1" applyAlignment="1" applyProtection="1"/>
    <xf numFmtId="0" fontId="0" fillId="0" borderId="0" xfId="0" applyAlignment="1" applyProtection="1">
      <alignment horizontal="centerContinuous" vertical="center" wrapText="1"/>
    </xf>
    <xf numFmtId="0" fontId="6" fillId="0" borderId="22" xfId="0" applyFont="1" applyBorder="1" applyAlignment="1" applyProtection="1">
      <alignment wrapText="1"/>
    </xf>
    <xf numFmtId="0" fontId="4" fillId="0" borderId="0" xfId="0" applyFont="1" applyAlignment="1">
      <alignment vertical="center" wrapText="1"/>
    </xf>
    <xf numFmtId="0" fontId="4" fillId="2" borderId="1" xfId="0" applyFont="1" applyFill="1" applyBorder="1" applyAlignment="1" applyProtection="1">
      <alignment vertical="center"/>
    </xf>
    <xf numFmtId="9" fontId="4" fillId="2" borderId="1" xfId="13" applyFont="1" applyFill="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left" vertical="center"/>
    </xf>
    <xf numFmtId="0" fontId="6" fillId="0" borderId="0" xfId="0" applyFont="1" applyAlignment="1" applyProtection="1"/>
    <xf numFmtId="0" fontId="4" fillId="0" borderId="1" xfId="0" applyFont="1" applyBorder="1" applyAlignment="1" applyProtection="1">
      <alignment horizontal="left" vertical="center" wrapText="1"/>
    </xf>
    <xf numFmtId="0" fontId="4" fillId="0" borderId="30" xfId="0" applyFont="1" applyFill="1" applyBorder="1" applyAlignment="1" applyProtection="1"/>
    <xf numFmtId="0" fontId="4" fillId="0" borderId="10" xfId="0" applyFont="1" applyFill="1" applyBorder="1" applyAlignment="1">
      <alignment horizontal="left" vertical="center" wrapText="1"/>
    </xf>
    <xf numFmtId="9" fontId="4" fillId="0" borderId="10" xfId="13" applyFont="1" applyFill="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protection locked="0"/>
    </xf>
    <xf numFmtId="9" fontId="4" fillId="5" borderId="2" xfId="13" applyFont="1" applyFill="1" applyBorder="1" applyAlignment="1" applyProtection="1">
      <alignment horizontal="center" vertical="center"/>
      <protection locked="0"/>
    </xf>
    <xf numFmtId="171" fontId="4" fillId="5" borderId="19" xfId="2"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24" xfId="0" applyFont="1" applyFill="1" applyBorder="1" applyAlignment="1" applyProtection="1">
      <alignment horizontal="left" vertical="center"/>
      <protection locked="0"/>
    </xf>
    <xf numFmtId="0" fontId="4" fillId="5" borderId="24" xfId="0" applyFont="1" applyFill="1" applyBorder="1" applyAlignment="1" applyProtection="1">
      <alignment horizontal="center" vertical="center"/>
      <protection locked="0"/>
    </xf>
    <xf numFmtId="0" fontId="0" fillId="5" borderId="29" xfId="0" applyFont="1" applyFill="1" applyBorder="1" applyAlignment="1" applyProtection="1">
      <alignment horizontal="left" vertical="center"/>
      <protection locked="0"/>
    </xf>
    <xf numFmtId="171" fontId="4" fillId="5" borderId="24" xfId="2" applyNumberFormat="1" applyFont="1" applyFill="1" applyBorder="1" applyAlignment="1" applyProtection="1">
      <alignment horizontal="center" vertical="center"/>
      <protection locked="0"/>
    </xf>
    <xf numFmtId="9" fontId="4" fillId="5" borderId="24" xfId="13"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4" fillId="5" borderId="1" xfId="0" applyFont="1" applyFill="1" applyBorder="1" applyAlignment="1" applyProtection="1">
      <alignment vertical="center"/>
      <protection locked="0"/>
    </xf>
    <xf numFmtId="9" fontId="0" fillId="5" borderId="2" xfId="13" applyFont="1" applyFill="1" applyBorder="1" applyAlignment="1" applyProtection="1">
      <alignment horizontal="left" vertical="center"/>
      <protection locked="0"/>
    </xf>
    <xf numFmtId="0" fontId="0" fillId="5" borderId="1" xfId="0" applyFill="1" applyBorder="1" applyAlignment="1" applyProtection="1">
      <alignment vertical="top"/>
      <protection locked="0"/>
    </xf>
    <xf numFmtId="0" fontId="4" fillId="5" borderId="5" xfId="0" applyFont="1" applyFill="1" applyBorder="1" applyAlignment="1" applyProtection="1">
      <alignment horizontal="right" vertical="center"/>
      <protection locked="0"/>
    </xf>
    <xf numFmtId="0" fontId="6" fillId="0" borderId="1" xfId="0" applyFont="1" applyBorder="1" applyProtection="1">
      <protection locked="0"/>
    </xf>
    <xf numFmtId="0" fontId="4" fillId="5"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protection locked="0"/>
    </xf>
    <xf numFmtId="0" fontId="4" fillId="5" borderId="5" xfId="0" applyFont="1" applyFill="1" applyBorder="1" applyAlignment="1" applyProtection="1">
      <alignment horizontal="left"/>
      <protection locked="0"/>
    </xf>
    <xf numFmtId="0" fontId="4" fillId="5" borderId="18" xfId="0" applyFont="1" applyFill="1" applyBorder="1" applyAlignment="1" applyProtection="1">
      <alignment vertical="center"/>
      <protection locked="0"/>
    </xf>
    <xf numFmtId="0" fontId="23" fillId="0" borderId="1" xfId="0" applyFont="1" applyBorder="1" applyAlignment="1">
      <alignment vertical="top" wrapText="1"/>
    </xf>
    <xf numFmtId="0" fontId="46" fillId="17" borderId="17" xfId="0" applyFont="1" applyFill="1" applyBorder="1" applyAlignment="1" applyProtection="1">
      <alignment vertical="top"/>
      <protection locked="0"/>
    </xf>
    <xf numFmtId="0" fontId="23" fillId="0" borderId="17" xfId="0" applyFont="1" applyBorder="1" applyAlignment="1">
      <alignment vertical="top" wrapText="1"/>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0" fillId="0" borderId="0" xfId="0" applyFill="1" applyAlignment="1" applyProtection="1"/>
    <xf numFmtId="0" fontId="0" fillId="0" borderId="0" xfId="0" applyFill="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centerContinuous"/>
    </xf>
    <xf numFmtId="0" fontId="4" fillId="0" borderId="0" xfId="0" applyFont="1" applyFill="1" applyBorder="1" applyAlignment="1">
      <alignment horizontal="left" vertical="center" wrapText="1"/>
    </xf>
    <xf numFmtId="9" fontId="4" fillId="0" borderId="0" xfId="13" applyFont="1" applyFill="1" applyBorder="1" applyAlignment="1" applyProtection="1">
      <alignment horizontal="center" vertical="center"/>
    </xf>
    <xf numFmtId="3" fontId="4" fillId="3" borderId="4" xfId="0" applyNumberFormat="1" applyFont="1" applyFill="1" applyBorder="1" applyAlignment="1" applyProtection="1">
      <alignment horizontal="right" vertical="center" wrapText="1"/>
      <protection locked="0"/>
    </xf>
    <xf numFmtId="0" fontId="0" fillId="5" borderId="1" xfId="0" applyFill="1" applyBorder="1" applyAlignment="1" applyProtection="1">
      <alignment vertical="top" wrapText="1"/>
      <protection locked="0"/>
    </xf>
    <xf numFmtId="0" fontId="46" fillId="17" borderId="17" xfId="0" applyFont="1" applyFill="1" applyBorder="1" applyAlignment="1" applyProtection="1">
      <alignment vertical="top" wrapText="1"/>
      <protection locked="0"/>
    </xf>
    <xf numFmtId="0" fontId="5" fillId="6" borderId="17" xfId="0" applyFont="1" applyFill="1" applyBorder="1" applyAlignment="1" applyProtection="1">
      <alignment vertical="center" wrapText="1"/>
    </xf>
    <xf numFmtId="0" fontId="4" fillId="6" borderId="17"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5" fillId="6" borderId="5" xfId="0" applyFont="1" applyFill="1" applyBorder="1" applyAlignment="1" applyProtection="1">
      <alignment vertical="center" wrapText="1"/>
    </xf>
    <xf numFmtId="0" fontId="23" fillId="6" borderId="1" xfId="0" applyFont="1" applyFill="1" applyBorder="1" applyAlignment="1">
      <alignment vertical="center" wrapText="1"/>
    </xf>
    <xf numFmtId="0" fontId="6" fillId="0" borderId="0" xfId="0" applyFont="1" applyAlignment="1" applyProtection="1">
      <alignment vertical="top" wrapText="1"/>
    </xf>
    <xf numFmtId="0" fontId="9" fillId="0" borderId="0" xfId="1" applyFont="1"/>
    <xf numFmtId="173" fontId="49" fillId="0" borderId="0" xfId="3" applyNumberFormat="1" applyFont="1" applyFill="1" applyAlignment="1" applyProtection="1">
      <alignment horizontal="center"/>
    </xf>
    <xf numFmtId="0" fontId="50" fillId="0" borderId="0" xfId="0" applyFont="1" applyAlignment="1" applyProtection="1">
      <alignment horizontal="center"/>
    </xf>
    <xf numFmtId="3" fontId="4" fillId="10" borderId="2" xfId="0" applyNumberFormat="1" applyFont="1" applyFill="1" applyBorder="1" applyAlignment="1" applyProtection="1">
      <alignment horizontal="left" vertical="center" wrapText="1"/>
    </xf>
    <xf numFmtId="3" fontId="4" fillId="10" borderId="4" xfId="0" applyNumberFormat="1"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horizontal="left"/>
    </xf>
    <xf numFmtId="0" fontId="4" fillId="0" borderId="2"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4" xfId="0" applyFont="1" applyFill="1" applyBorder="1" applyAlignment="1" applyProtection="1">
      <alignment horizontal="left"/>
    </xf>
    <xf numFmtId="0" fontId="9" fillId="0" borderId="1" xfId="1"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0" xfId="0" applyFont="1" applyAlignment="1" applyProtection="1">
      <alignment horizontal="left" wrapText="1"/>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3" xfId="1" applyFont="1" applyBorder="1" applyAlignment="1" applyProtection="1">
      <alignment horizontal="left" vertical="center" wrapText="1"/>
    </xf>
    <xf numFmtId="0" fontId="9" fillId="0" borderId="4" xfId="1" applyFont="1" applyBorder="1" applyAlignment="1" applyProtection="1">
      <alignment horizontal="left" vertical="center" wrapText="1"/>
    </xf>
    <xf numFmtId="0" fontId="4" fillId="0" borderId="0" xfId="0" applyFont="1" applyAlignment="1">
      <alignment horizontal="left" vertical="center"/>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6" fillId="0" borderId="0" xfId="0" applyFont="1" applyFill="1" applyBorder="1" applyAlignment="1" applyProtection="1">
      <alignment horizontal="center"/>
    </xf>
    <xf numFmtId="0" fontId="4" fillId="13" borderId="2" xfId="0" applyFont="1" applyFill="1" applyBorder="1" applyAlignment="1" applyProtection="1">
      <alignment horizontal="left" vertical="center" wrapText="1"/>
    </xf>
    <xf numFmtId="0" fontId="4" fillId="13" borderId="3" xfId="0" applyFont="1" applyFill="1" applyBorder="1" applyAlignment="1" applyProtection="1">
      <alignment horizontal="left" vertical="center" wrapText="1"/>
    </xf>
    <xf numFmtId="0" fontId="4" fillId="13" borderId="4" xfId="0" applyFont="1" applyFill="1" applyBorder="1" applyAlignment="1" applyProtection="1">
      <alignment horizontal="left" vertical="center" wrapText="1"/>
    </xf>
    <xf numFmtId="0" fontId="0" fillId="13" borderId="10" xfId="0" applyFill="1" applyBorder="1" applyAlignment="1">
      <alignment horizontal="center"/>
    </xf>
    <xf numFmtId="0" fontId="4" fillId="13" borderId="0" xfId="0" applyFont="1" applyFill="1" applyAlignment="1" applyProtection="1">
      <alignment horizontal="left" wrapText="1"/>
    </xf>
    <xf numFmtId="0" fontId="6" fillId="13" borderId="0" xfId="0" applyFont="1" applyFill="1" applyBorder="1" applyAlignment="1" applyProtection="1">
      <alignment horizontal="center"/>
    </xf>
    <xf numFmtId="0" fontId="6" fillId="13" borderId="3" xfId="0" applyFont="1" applyFill="1" applyBorder="1" applyAlignment="1" applyProtection="1">
      <alignment horizontal="left" vertical="center" wrapText="1"/>
    </xf>
    <xf numFmtId="0" fontId="6" fillId="13" borderId="4" xfId="0" applyFont="1" applyFill="1" applyBorder="1" applyAlignment="1" applyProtection="1">
      <alignment horizontal="left" vertical="center" wrapText="1"/>
    </xf>
    <xf numFmtId="0" fontId="4" fillId="0" borderId="1" xfId="0" applyFont="1" applyBorder="1" applyAlignment="1" applyProtection="1">
      <alignment horizontal="left"/>
    </xf>
    <xf numFmtId="0" fontId="6" fillId="0" borderId="6" xfId="0" applyFont="1" applyBorder="1" applyAlignment="1" applyProtection="1">
      <alignment horizontal="center" wrapText="1"/>
    </xf>
  </cellXfs>
  <cellStyles count="14">
    <cellStyle name="Comma" xfId="2" builtinId="3"/>
    <cellStyle name="Comma 3" xfId="4" xr:uid="{00000000-0005-0000-0000-000001000000}"/>
    <cellStyle name="Hyperlink" xfId="1" builtinId="8"/>
    <cellStyle name="Hyperlink 2" xfId="11" xr:uid="{00000000-0005-0000-0000-000003000000}"/>
    <cellStyle name="Hyperlink 3" xfId="12" xr:uid="{00000000-0005-0000-0000-000004000000}"/>
    <cellStyle name="Hyperlink 4" xfId="6" xr:uid="{00000000-0005-0000-0000-000005000000}"/>
    <cellStyle name="Normal" xfId="0" builtinId="0"/>
    <cellStyle name="Normal 10" xfId="10" xr:uid="{00000000-0005-0000-0000-000007000000}"/>
    <cellStyle name="Normal 13" xfId="3" xr:uid="{00000000-0005-0000-0000-000008000000}"/>
    <cellStyle name="Normal 14" xfId="8" xr:uid="{00000000-0005-0000-0000-000009000000}"/>
    <cellStyle name="Normal 16" xfId="9" xr:uid="{00000000-0005-0000-0000-00000A000000}"/>
    <cellStyle name="Normal 3" xfId="7" xr:uid="{00000000-0005-0000-0000-00000B000000}"/>
    <cellStyle name="Normal 9" xfId="5" xr:uid="{00000000-0005-0000-0000-00000C000000}"/>
    <cellStyle name="Percent" xfId="13" builtinId="5"/>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6FE94"/>
      <color rgb="FF0000FF"/>
      <color rgb="FFF8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476758</xdr:colOff>
      <xdr:row>8</xdr:row>
      <xdr:rowOff>22225</xdr:rowOff>
    </xdr:to>
    <xdr:pic>
      <xdr:nvPicPr>
        <xdr:cNvPr id="3" name="Picture 2" title="California Climate Investments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486283</xdr:colOff>
      <xdr:row>7</xdr:row>
      <xdr:rowOff>161925</xdr:rowOff>
    </xdr:to>
    <xdr:pic>
      <xdr:nvPicPr>
        <xdr:cNvPr id="6" name="Picture 5" title="California Climate Investments Logo">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11850</xdr:colOff>
      <xdr:row>10</xdr:row>
      <xdr:rowOff>183300</xdr:rowOff>
    </xdr:from>
    <xdr:to>
      <xdr:col>10</xdr:col>
      <xdr:colOff>559147</xdr:colOff>
      <xdr:row>27</xdr:row>
      <xdr:rowOff>54194</xdr:rowOff>
    </xdr:to>
    <xdr:grpSp>
      <xdr:nvGrpSpPr>
        <xdr:cNvPr id="9" name="Group 8" title="Coverage map for the Western Sierra Nevada (WS) variant">
          <a:extLst>
            <a:ext uri="{FF2B5EF4-FFF2-40B4-BE49-F238E27FC236}">
              <a16:creationId xmlns:a16="http://schemas.microsoft.com/office/drawing/2014/main" id="{00000000-0008-0000-0A00-000009000000}"/>
            </a:ext>
          </a:extLst>
        </xdr:cNvPr>
        <xdr:cNvGrpSpPr/>
      </xdr:nvGrpSpPr>
      <xdr:grpSpPr>
        <a:xfrm>
          <a:off x="12591534" y="2455932"/>
          <a:ext cx="4517718" cy="3052578"/>
          <a:chOff x="12861075" y="3212250"/>
          <a:chExt cx="4023922" cy="3109394"/>
        </a:xfrm>
      </xdr:grpSpPr>
      <xdr:pic>
        <xdr:nvPicPr>
          <xdr:cNvPr id="5" name="Picture 4" descr="Coverage includes the Sierra Nevada Mountains and also the Transverse Ranges and southern Coastal Range." title="Coverage map for the Western Sierra Nevada (WS) variant">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61075" y="3212250"/>
            <a:ext cx="4023922" cy="3109394"/>
          </a:xfrm>
          <a:prstGeom prst="rect">
            <a:avLst/>
          </a:prstGeom>
        </xdr:spPr>
      </xdr:pic>
      <xdr:sp macro="" textlink="">
        <xdr:nvSpPr>
          <xdr:cNvPr id="6" name="TextBox 5" title="Coverage map for the Western Sierra Nevada (WS) variant">
            <a:extLst>
              <a:ext uri="{FF2B5EF4-FFF2-40B4-BE49-F238E27FC236}">
                <a16:creationId xmlns:a16="http://schemas.microsoft.com/office/drawing/2014/main" id="{00000000-0008-0000-0A00-000006000000}"/>
              </a:ext>
            </a:extLst>
          </xdr:cNvPr>
          <xdr:cNvSpPr txBox="1"/>
        </xdr:nvSpPr>
        <xdr:spPr>
          <a:xfrm>
            <a:off x="12906375" y="3248025"/>
            <a:ext cx="1295400"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Coverage</a:t>
            </a:r>
            <a:r>
              <a:rPr lang="en-US" sz="1200" baseline="0">
                <a:latin typeface="Arial" panose="020B0604020202020204" pitchFamily="34" charset="0"/>
                <a:cs typeface="Arial" panose="020B0604020202020204" pitchFamily="34" charset="0"/>
              </a:rPr>
              <a:t> map for the Western Sierra Nevada (WS) variant</a:t>
            </a:r>
            <a:endParaRPr lang="en-US" sz="1200">
              <a:latin typeface="Arial" panose="020B0604020202020204" pitchFamily="34" charset="0"/>
              <a:cs typeface="Arial" panose="020B0604020202020204" pitchFamily="34" charset="0"/>
            </a:endParaRPr>
          </a:p>
        </xdr:txBody>
      </xdr:sp>
    </xdr:grpSp>
    <xdr:clientData/>
  </xdr:twoCellAnchor>
  <xdr:twoCellAnchor>
    <xdr:from>
      <xdr:col>10</xdr:col>
      <xdr:colOff>581025</xdr:colOff>
      <xdr:row>10</xdr:row>
      <xdr:rowOff>161925</xdr:rowOff>
    </xdr:from>
    <xdr:to>
      <xdr:col>13</xdr:col>
      <xdr:colOff>499672</xdr:colOff>
      <xdr:row>27</xdr:row>
      <xdr:rowOff>32819</xdr:rowOff>
    </xdr:to>
    <xdr:grpSp>
      <xdr:nvGrpSpPr>
        <xdr:cNvPr id="10" name="Group 9" title="Coverage map for the South Central Oregon &amp; Northeast California (SO) variant">
          <a:extLst>
            <a:ext uri="{FF2B5EF4-FFF2-40B4-BE49-F238E27FC236}">
              <a16:creationId xmlns:a16="http://schemas.microsoft.com/office/drawing/2014/main" id="{00000000-0008-0000-0A00-00000A000000}"/>
            </a:ext>
          </a:extLst>
        </xdr:cNvPr>
        <xdr:cNvGrpSpPr/>
      </xdr:nvGrpSpPr>
      <xdr:grpSpPr>
        <a:xfrm>
          <a:off x="17131130" y="2434557"/>
          <a:ext cx="4610963" cy="3052578"/>
          <a:chOff x="17011650" y="3190875"/>
          <a:chExt cx="4023922" cy="3109394"/>
        </a:xfrm>
      </xdr:grpSpPr>
      <xdr:pic>
        <xdr:nvPicPr>
          <xdr:cNvPr id="2" name="Picture 1" title="Coverage map for the South Central Oregon &amp; Northeast California (SO) variant">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011650" y="3190875"/>
            <a:ext cx="4023922" cy="3109394"/>
          </a:xfrm>
          <a:prstGeom prst="rect">
            <a:avLst/>
          </a:prstGeom>
        </xdr:spPr>
      </xdr:pic>
      <xdr:sp macro="" textlink="">
        <xdr:nvSpPr>
          <xdr:cNvPr id="7" name="TextBox 6" descr="Shows coverage in the southeastern quarter of Oregon and the northeastern corner of California, including Modoc National Forest and parts of Lassen National Forest and Shasta-Trinity National Forest." title="Coverage map for the South Central Oregon &amp; Northeast California (SO) variant">
            <a:extLst>
              <a:ext uri="{FF2B5EF4-FFF2-40B4-BE49-F238E27FC236}">
                <a16:creationId xmlns:a16="http://schemas.microsoft.com/office/drawing/2014/main" id="{00000000-0008-0000-0A00-000007000000}"/>
              </a:ext>
            </a:extLst>
          </xdr:cNvPr>
          <xdr:cNvSpPr txBox="1"/>
        </xdr:nvSpPr>
        <xdr:spPr>
          <a:xfrm>
            <a:off x="17011650" y="3190875"/>
            <a:ext cx="1295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Coverage</a:t>
            </a:r>
            <a:r>
              <a:rPr lang="en-US" sz="1200" baseline="0">
                <a:latin typeface="Arial" panose="020B0604020202020204" pitchFamily="34" charset="0"/>
                <a:cs typeface="Arial" panose="020B0604020202020204" pitchFamily="34" charset="0"/>
              </a:rPr>
              <a:t> map for the South Central Oregon &amp; Northeast California (SO) variant</a:t>
            </a:r>
            <a:endParaRPr lang="en-US" sz="1200">
              <a:latin typeface="Arial" panose="020B0604020202020204" pitchFamily="34" charset="0"/>
              <a:cs typeface="Arial" panose="020B0604020202020204" pitchFamily="34" charset="0"/>
            </a:endParaRPr>
          </a:p>
        </xdr:txBody>
      </xdr:sp>
    </xdr:grpSp>
    <xdr:clientData/>
  </xdr:twoCellAnchor>
  <xdr:twoCellAnchor>
    <xdr:from>
      <xdr:col>10</xdr:col>
      <xdr:colOff>528600</xdr:colOff>
      <xdr:row>27</xdr:row>
      <xdr:rowOff>23775</xdr:rowOff>
    </xdr:from>
    <xdr:to>
      <xdr:col>13</xdr:col>
      <xdr:colOff>571231</xdr:colOff>
      <xdr:row>43</xdr:row>
      <xdr:rowOff>180975</xdr:rowOff>
    </xdr:to>
    <xdr:grpSp>
      <xdr:nvGrpSpPr>
        <xdr:cNvPr id="12" name="Group 11" descr="Coverage map includes the Sacramento-San Joaquin Valley, the adjacent interior Coast Range and Sierra Nevada foothills, and north to the Oregon border including the Klamath and Shasta-Trinity Areas. " title="Coverage map for the Inland California and Southern Cascades (CA) variant">
          <a:extLst>
            <a:ext uri="{FF2B5EF4-FFF2-40B4-BE49-F238E27FC236}">
              <a16:creationId xmlns:a16="http://schemas.microsoft.com/office/drawing/2014/main" id="{00000000-0008-0000-0A00-00000C000000}"/>
            </a:ext>
          </a:extLst>
        </xdr:cNvPr>
        <xdr:cNvGrpSpPr/>
      </xdr:nvGrpSpPr>
      <xdr:grpSpPr>
        <a:xfrm>
          <a:off x="17078705" y="5478091"/>
          <a:ext cx="4734947" cy="3151726"/>
          <a:chOff x="16949700" y="6300750"/>
          <a:chExt cx="4147906" cy="3205200"/>
        </a:xfrm>
      </xdr:grpSpPr>
      <xdr:pic>
        <xdr:nvPicPr>
          <xdr:cNvPr id="4" name="Picture 3" title="Coverage map for the Inland California and Southern Cascades (CA) variant">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49700" y="6300750"/>
            <a:ext cx="4147906" cy="3205200"/>
          </a:xfrm>
          <a:prstGeom prst="rect">
            <a:avLst/>
          </a:prstGeom>
        </xdr:spPr>
      </xdr:pic>
      <xdr:sp macro="" textlink="">
        <xdr:nvSpPr>
          <xdr:cNvPr id="8" name="TextBox 7" title="Coverage map for the Inland California and Southern Cascades (CA) variant">
            <a:extLst>
              <a:ext uri="{FF2B5EF4-FFF2-40B4-BE49-F238E27FC236}">
                <a16:creationId xmlns:a16="http://schemas.microsoft.com/office/drawing/2014/main" id="{00000000-0008-0000-0A00-000008000000}"/>
              </a:ext>
            </a:extLst>
          </xdr:cNvPr>
          <xdr:cNvSpPr txBox="1"/>
        </xdr:nvSpPr>
        <xdr:spPr>
          <a:xfrm>
            <a:off x="17006850" y="6386475"/>
            <a:ext cx="1295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Coverage</a:t>
            </a:r>
            <a:r>
              <a:rPr lang="en-US" sz="1200" baseline="0">
                <a:latin typeface="Arial" panose="020B0604020202020204" pitchFamily="34" charset="0"/>
                <a:cs typeface="Arial" panose="020B0604020202020204" pitchFamily="34" charset="0"/>
              </a:rPr>
              <a:t> map for the Inland California and Southern Cascades (CA) variant</a:t>
            </a:r>
            <a:endParaRPr lang="en-US" sz="1200">
              <a:latin typeface="Arial" panose="020B0604020202020204" pitchFamily="34" charset="0"/>
              <a:cs typeface="Arial" panose="020B0604020202020204" pitchFamily="34" charset="0"/>
            </a:endParaRPr>
          </a:p>
        </xdr:txBody>
      </xdr:sp>
    </xdr:grpSp>
    <xdr:clientData/>
  </xdr:twoCellAnchor>
  <xdr:twoCellAnchor>
    <xdr:from>
      <xdr:col>8</xdr:col>
      <xdr:colOff>7125</xdr:colOff>
      <xdr:row>27</xdr:row>
      <xdr:rowOff>92850</xdr:rowOff>
    </xdr:from>
    <xdr:to>
      <xdr:col>10</xdr:col>
      <xdr:colOff>554422</xdr:colOff>
      <xdr:row>43</xdr:row>
      <xdr:rowOff>154244</xdr:rowOff>
    </xdr:to>
    <xdr:grpSp>
      <xdr:nvGrpSpPr>
        <xdr:cNvPr id="13" name="Group 12" title="Coverage map for the Klamath/North Coast (NC) variant">
          <a:extLst>
            <a:ext uri="{FF2B5EF4-FFF2-40B4-BE49-F238E27FC236}">
              <a16:creationId xmlns:a16="http://schemas.microsoft.com/office/drawing/2014/main" id="{00000000-0008-0000-0A00-00000D000000}"/>
            </a:ext>
          </a:extLst>
        </xdr:cNvPr>
        <xdr:cNvGrpSpPr/>
      </xdr:nvGrpSpPr>
      <xdr:grpSpPr>
        <a:xfrm>
          <a:off x="12586809" y="5547166"/>
          <a:ext cx="4517718" cy="3055920"/>
          <a:chOff x="12856350" y="6369825"/>
          <a:chExt cx="4023922" cy="3109394"/>
        </a:xfrm>
      </xdr:grpSpPr>
      <xdr:pic>
        <xdr:nvPicPr>
          <xdr:cNvPr id="3" name="Picture 2" title="Coverage map for the Klamath/North Coast (NC) variant">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56350" y="6369825"/>
            <a:ext cx="4023922" cy="3109394"/>
          </a:xfrm>
          <a:prstGeom prst="rect">
            <a:avLst/>
          </a:prstGeom>
        </xdr:spPr>
      </xdr:pic>
      <xdr:sp macro="" textlink="">
        <xdr:nvSpPr>
          <xdr:cNvPr id="11" name="TextBox 10" title="Coverage map for the Klamath/North Coast (NC) variant">
            <a:extLst>
              <a:ext uri="{FF2B5EF4-FFF2-40B4-BE49-F238E27FC236}">
                <a16:creationId xmlns:a16="http://schemas.microsoft.com/office/drawing/2014/main" id="{00000000-0008-0000-0A00-00000B000000}"/>
              </a:ext>
            </a:extLst>
          </xdr:cNvPr>
          <xdr:cNvSpPr txBox="1"/>
        </xdr:nvSpPr>
        <xdr:spPr>
          <a:xfrm>
            <a:off x="12856350" y="6369825"/>
            <a:ext cx="1295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Coverage</a:t>
            </a:r>
            <a:r>
              <a:rPr lang="en-US" sz="1200" baseline="0">
                <a:latin typeface="Arial" panose="020B0604020202020204" pitchFamily="34" charset="0"/>
                <a:cs typeface="Arial" panose="020B0604020202020204" pitchFamily="34" charset="0"/>
              </a:rPr>
              <a:t> map for the Klamath/North Coast (NC) variant</a:t>
            </a:r>
            <a:endParaRPr lang="en-US" sz="1200">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2324608</xdr:colOff>
      <xdr:row>7</xdr:row>
      <xdr:rowOff>146050</xdr:rowOff>
    </xdr:to>
    <xdr:pic>
      <xdr:nvPicPr>
        <xdr:cNvPr id="5" name="Picture 4" title="California Climate Investments Logo">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1705483</xdr:colOff>
      <xdr:row>8</xdr:row>
      <xdr:rowOff>9525</xdr:rowOff>
    </xdr:to>
    <xdr:pic>
      <xdr:nvPicPr>
        <xdr:cNvPr id="5" name="Picture 4" title="California Climate Investments Logo">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1076833</xdr:colOff>
      <xdr:row>8</xdr:row>
      <xdr:rowOff>6703</xdr:rowOff>
    </xdr:to>
    <xdr:pic>
      <xdr:nvPicPr>
        <xdr:cNvPr id="4" name="Picture 3" title="California Climate Investments 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twoCellAnchor editAs="oneCell">
    <xdr:from>
      <xdr:col>0</xdr:col>
      <xdr:colOff>0</xdr:colOff>
      <xdr:row>0</xdr:row>
      <xdr:rowOff>0</xdr:rowOff>
    </xdr:from>
    <xdr:to>
      <xdr:col>1</xdr:col>
      <xdr:colOff>1076833</xdr:colOff>
      <xdr:row>8</xdr:row>
      <xdr:rowOff>61384</xdr:rowOff>
    </xdr:to>
    <xdr:pic>
      <xdr:nvPicPr>
        <xdr:cNvPr id="3" name="Picture 2" title="California Climate Investments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2325666" cy="1913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610108</xdr:colOff>
      <xdr:row>7</xdr:row>
      <xdr:rowOff>124883</xdr:rowOff>
    </xdr:to>
    <xdr:pic>
      <xdr:nvPicPr>
        <xdr:cNvPr id="6" name="Picture 5" title="California Climate Investments 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610108</xdr:colOff>
      <xdr:row>7</xdr:row>
      <xdr:rowOff>124883</xdr:rowOff>
    </xdr:to>
    <xdr:pic>
      <xdr:nvPicPr>
        <xdr:cNvPr id="5" name="Picture 4" title="California Climate Investments Logo">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610108</xdr:colOff>
      <xdr:row>7</xdr:row>
      <xdr:rowOff>124883</xdr:rowOff>
    </xdr:to>
    <xdr:pic>
      <xdr:nvPicPr>
        <xdr:cNvPr id="7" name="Picture 6" title="California Climate Investments Logo">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31751</xdr:colOff>
      <xdr:row>0</xdr:row>
      <xdr:rowOff>31748</xdr:rowOff>
    </xdr:from>
    <xdr:to>
      <xdr:col>1</xdr:col>
      <xdr:colOff>641859</xdr:colOff>
      <xdr:row>7</xdr:row>
      <xdr:rowOff>156631</xdr:rowOff>
    </xdr:to>
    <xdr:pic>
      <xdr:nvPicPr>
        <xdr:cNvPr id="6" name="Picture 5" title="California Climate Investments Logo">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31751" y="31748"/>
          <a:ext cx="2324608" cy="1828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472525</xdr:colOff>
      <xdr:row>7</xdr:row>
      <xdr:rowOff>124883</xdr:rowOff>
    </xdr:to>
    <xdr:pic>
      <xdr:nvPicPr>
        <xdr:cNvPr id="5" name="Picture 4" title="California Climate Investments Logo">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524383</xdr:colOff>
      <xdr:row>7</xdr:row>
      <xdr:rowOff>161925</xdr:rowOff>
    </xdr:to>
    <xdr:pic>
      <xdr:nvPicPr>
        <xdr:cNvPr id="4" name="Picture 3" title="California Climate Investments 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505333</xdr:colOff>
      <xdr:row>7</xdr:row>
      <xdr:rowOff>204258</xdr:rowOff>
    </xdr:to>
    <xdr:pic>
      <xdr:nvPicPr>
        <xdr:cNvPr id="5" name="Picture 4" title="California Climate Investments Logo">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0"/>
          <a:ext cx="2324608"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alhelm/Downloads/calfire-fh-draftcalculatortool-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ERF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rb.ca.gov/auctionproceeds." TargetMode="External"/><Relationship Id="rId7" Type="http://schemas.openxmlformats.org/officeDocument/2006/relationships/hyperlink" Target="https://ww2.arb.ca.gov/sites/default/files/classic/cc/capandtrade/auctionproceeds/FRM%20FY20-21%20User%20Guide.pdf" TargetMode="External"/><Relationship Id="rId2" Type="http://schemas.openxmlformats.org/officeDocument/2006/relationships/hyperlink" Target="mailto:ForestHealth@fire.ca.gov" TargetMode="External"/><Relationship Id="rId1" Type="http://schemas.openxmlformats.org/officeDocument/2006/relationships/hyperlink" Target="mailto:GGRFProgram@arb.ca.gov" TargetMode="External"/><Relationship Id="rId6" Type="http://schemas.openxmlformats.org/officeDocument/2006/relationships/hyperlink" Target="http://www.arb.ca.gov/cci-quantification" TargetMode="External"/><Relationship Id="rId5" Type="http://schemas.openxmlformats.org/officeDocument/2006/relationships/hyperlink" Target="https://www.arb.ca.gov/auctionproceeds." TargetMode="External"/><Relationship Id="rId4" Type="http://schemas.openxmlformats.org/officeDocument/2006/relationships/hyperlink" Target="http://www.arb.ca.gov/cci-quantification"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s.fed.us/research/publications/misc/73326-wo-gtr-76d-cleland2007.pdf" TargetMode="External"/><Relationship Id="rId3" Type="http://schemas.openxmlformats.org/officeDocument/2006/relationships/hyperlink" Target="https://www.fs.fed.us/research/publications/misc/73326-wo-gtr-76d-cleland2007.pdf" TargetMode="External"/><Relationship Id="rId7" Type="http://schemas.openxmlformats.org/officeDocument/2006/relationships/hyperlink" Target="https://www.fs.fed.us/research/publications/misc/73326-wo-gtr-76d-cleland2007.pdf" TargetMode="External"/><Relationship Id="rId12" Type="http://schemas.openxmlformats.org/officeDocument/2006/relationships/drawing" Target="../drawings/drawing3.xml"/><Relationship Id="rId2" Type="http://schemas.openxmlformats.org/officeDocument/2006/relationships/hyperlink" Target="https://www.fs.fed.us/research/publications/misc/73326-wo-gtr-76d-cleland2007.pdf" TargetMode="External"/><Relationship Id="rId1" Type="http://schemas.openxmlformats.org/officeDocument/2006/relationships/hyperlink" Target="https://www.fs.fed.us/research/publications/misc/73326-wo-gtr-76d-cleland2007.pdf" TargetMode="External"/><Relationship Id="rId6" Type="http://schemas.openxmlformats.org/officeDocument/2006/relationships/hyperlink" Target="https://www.fs.fed.us/research/publications/misc/73326-wo-gtr-76d-cleland2007.pdf" TargetMode="External"/><Relationship Id="rId11" Type="http://schemas.openxmlformats.org/officeDocument/2006/relationships/printerSettings" Target="../printerSettings/printerSettings3.bin"/><Relationship Id="rId5" Type="http://schemas.openxmlformats.org/officeDocument/2006/relationships/hyperlink" Target="https://www.fs.fed.us/research/publications/misc/73326-wo-gtr-76d-cleland2007.pdf" TargetMode="External"/><Relationship Id="rId10" Type="http://schemas.openxmlformats.org/officeDocument/2006/relationships/hyperlink" Target="https://www.fs.fed.us/research/publications/misc/73326-wo-gtr-76d-cleland2007.pdf" TargetMode="External"/><Relationship Id="rId4" Type="http://schemas.openxmlformats.org/officeDocument/2006/relationships/hyperlink" Target="https://www.fs.fed.us/research/publications/misc/73326-wo-gtr-76d-cleland2007.pdf" TargetMode="External"/><Relationship Id="rId9" Type="http://schemas.openxmlformats.org/officeDocument/2006/relationships/hyperlink" Target="https://www.fs.fed.us/research/publications/misc/73326-wo-gtr-76d-cleland2007.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usfs.maps.arcgis.com/apps/webappviewer/index.html?id=52cb2bcc3c2b4868ac87b66f622062ab" TargetMode="External"/><Relationship Id="rId3" Type="http://schemas.openxmlformats.org/officeDocument/2006/relationships/hyperlink" Target="https://usfs.maps.arcgis.com/apps/webappviewer/index.html?id=52cb2bcc3c2b4868ac87b66f622062ab" TargetMode="External"/><Relationship Id="rId7" Type="http://schemas.openxmlformats.org/officeDocument/2006/relationships/hyperlink" Target="https://usfs.maps.arcgis.com/apps/webappviewer/index.html?id=52cb2bcc3c2b4868ac87b66f622062ab" TargetMode="External"/><Relationship Id="rId12" Type="http://schemas.openxmlformats.org/officeDocument/2006/relationships/drawing" Target="../drawings/drawing4.xml"/><Relationship Id="rId2" Type="http://schemas.openxmlformats.org/officeDocument/2006/relationships/hyperlink" Target="https://usfs.maps.arcgis.com/apps/webappviewer/index.html?id=52cb2bcc3c2b4868ac87b66f622062ab" TargetMode="External"/><Relationship Id="rId1" Type="http://schemas.openxmlformats.org/officeDocument/2006/relationships/hyperlink" Target="https://usfs.maps.arcgis.com/apps/webappviewer/index.html?id=52cb2bcc3c2b4868ac87b66f622062ab" TargetMode="External"/><Relationship Id="rId6" Type="http://schemas.openxmlformats.org/officeDocument/2006/relationships/hyperlink" Target="https://usfs.maps.arcgis.com/apps/webappviewer/index.html?id=52cb2bcc3c2b4868ac87b66f622062ab" TargetMode="External"/><Relationship Id="rId11" Type="http://schemas.openxmlformats.org/officeDocument/2006/relationships/printerSettings" Target="../printerSettings/printerSettings4.bin"/><Relationship Id="rId5" Type="http://schemas.openxmlformats.org/officeDocument/2006/relationships/hyperlink" Target="https://usfs.maps.arcgis.com/apps/webappviewer/index.html?id=52cb2bcc3c2b4868ac87b66f622062ab" TargetMode="External"/><Relationship Id="rId10" Type="http://schemas.openxmlformats.org/officeDocument/2006/relationships/hyperlink" Target="https://usfs.maps.arcgis.com/apps/webappviewer/index.html?id=52cb2bcc3c2b4868ac87b66f622062ab" TargetMode="External"/><Relationship Id="rId4" Type="http://schemas.openxmlformats.org/officeDocument/2006/relationships/hyperlink" Target="https://usfs.maps.arcgis.com/apps/webappviewer/index.html?id=52cb2bcc3c2b4868ac87b66f622062ab" TargetMode="External"/><Relationship Id="rId9" Type="http://schemas.openxmlformats.org/officeDocument/2006/relationships/hyperlink" Target="https://usfs.maps.arcgis.com/apps/webappviewer/index.html?id=52cb2bcc3c2b4868ac87b66f622062ab"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frap.fire.ca.gov/frap-projects/fire-probability-and-carbon-accounting/" TargetMode="External"/><Relationship Id="rId3" Type="http://schemas.openxmlformats.org/officeDocument/2006/relationships/hyperlink" Target="https://frap.fire.ca.gov/frap-projects/fire-probability-and-carbon-accounting/" TargetMode="External"/><Relationship Id="rId7" Type="http://schemas.openxmlformats.org/officeDocument/2006/relationships/hyperlink" Target="https://frap.fire.ca.gov/frap-projects/fire-probability-and-carbon-accounting/" TargetMode="External"/><Relationship Id="rId12" Type="http://schemas.openxmlformats.org/officeDocument/2006/relationships/drawing" Target="../drawings/drawing5.xml"/><Relationship Id="rId2" Type="http://schemas.openxmlformats.org/officeDocument/2006/relationships/hyperlink" Target="https://frap.fire.ca.gov/frap-projects/fire-probability-and-carbon-accounting/" TargetMode="External"/><Relationship Id="rId1" Type="http://schemas.openxmlformats.org/officeDocument/2006/relationships/hyperlink" Target="https://frap.fire.ca.gov/frap-projects/fire-probability-and-carbon-accounting/" TargetMode="External"/><Relationship Id="rId6" Type="http://schemas.openxmlformats.org/officeDocument/2006/relationships/hyperlink" Target="https://frap.fire.ca.gov/frap-projects/fire-probability-and-carbon-accounting/" TargetMode="External"/><Relationship Id="rId11" Type="http://schemas.openxmlformats.org/officeDocument/2006/relationships/printerSettings" Target="../printerSettings/printerSettings5.bin"/><Relationship Id="rId5" Type="http://schemas.openxmlformats.org/officeDocument/2006/relationships/hyperlink" Target="https://frap.fire.ca.gov/frap-projects/fire-probability-and-carbon-accounting/" TargetMode="External"/><Relationship Id="rId10" Type="http://schemas.openxmlformats.org/officeDocument/2006/relationships/hyperlink" Target="https://frap.fire.ca.gov/frap-projects/fire-probability-and-carbon-accounting/" TargetMode="External"/><Relationship Id="rId4" Type="http://schemas.openxmlformats.org/officeDocument/2006/relationships/hyperlink" Target="https://frap.fire.ca.gov/frap-projects/fire-probability-and-carbon-accounting/" TargetMode="External"/><Relationship Id="rId9" Type="http://schemas.openxmlformats.org/officeDocument/2006/relationships/hyperlink" Target="https://frap.fire.ca.gov/frap-projects/fire-probability-and-carbon-accountin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9"/>
  <sheetViews>
    <sheetView showGridLines="0" tabSelected="1" showRuler="0" zoomScaleNormal="100" workbookViewId="0">
      <selection activeCell="B7" sqref="B7"/>
    </sheetView>
  </sheetViews>
  <sheetFormatPr baseColWidth="10" defaultColWidth="9.1640625" defaultRowHeight="15"/>
  <cols>
    <col min="1" max="1" width="27.6640625" style="1" customWidth="1"/>
    <col min="2" max="2" width="36" style="1" customWidth="1"/>
    <col min="3" max="3" width="26.6640625" style="1" customWidth="1"/>
    <col min="4" max="4" width="58.6640625" style="1" customWidth="1"/>
    <col min="5" max="23" width="5.6640625" style="1" customWidth="1"/>
    <col min="24" max="16384" width="9.1640625" style="1"/>
  </cols>
  <sheetData>
    <row r="1" spans="1:10" ht="19">
      <c r="C1" s="3" t="s">
        <v>278</v>
      </c>
      <c r="E1" s="28"/>
      <c r="F1" s="3"/>
    </row>
    <row r="2" spans="1:10" ht="19">
      <c r="C2" s="3" t="s">
        <v>585</v>
      </c>
      <c r="E2" s="28"/>
      <c r="F2" s="3"/>
    </row>
    <row r="3" spans="1:10" ht="19">
      <c r="C3" s="3" t="s">
        <v>586</v>
      </c>
      <c r="E3" s="14"/>
    </row>
    <row r="4" spans="1:10" ht="19">
      <c r="C4" s="118" t="s">
        <v>587</v>
      </c>
      <c r="E4" s="28"/>
      <c r="F4" s="3"/>
    </row>
    <row r="5" spans="1:10" ht="19">
      <c r="C5" s="217"/>
      <c r="E5" s="28"/>
      <c r="F5" s="3"/>
    </row>
    <row r="6" spans="1:10" ht="19">
      <c r="C6" s="471">
        <v>44312</v>
      </c>
      <c r="E6" s="28"/>
      <c r="F6" s="3"/>
    </row>
    <row r="7" spans="1:10">
      <c r="C7" s="472" t="s">
        <v>720</v>
      </c>
    </row>
    <row r="10" spans="1:10" ht="19">
      <c r="A10" s="4" t="s">
        <v>1</v>
      </c>
    </row>
    <row r="11" spans="1:10" ht="20" customHeight="1">
      <c r="A11" s="96" t="s">
        <v>590</v>
      </c>
      <c r="B11" s="18"/>
      <c r="C11" s="18"/>
      <c r="D11" s="18"/>
      <c r="E11" s="18"/>
      <c r="F11" s="18"/>
      <c r="G11" s="18"/>
      <c r="H11" s="18"/>
      <c r="I11" s="18"/>
    </row>
    <row r="12" spans="1:10" ht="15" customHeight="1">
      <c r="A12" s="96" t="s">
        <v>591</v>
      </c>
      <c r="B12" s="18"/>
      <c r="C12" s="18"/>
      <c r="D12" s="18"/>
      <c r="E12" s="18"/>
      <c r="F12" s="18"/>
      <c r="G12" s="18"/>
      <c r="H12" s="18"/>
      <c r="I12" s="18"/>
    </row>
    <row r="13" spans="1:10" ht="15" customHeight="1">
      <c r="A13" s="254"/>
      <c r="B13" s="18"/>
      <c r="C13" s="18"/>
      <c r="D13" s="18"/>
      <c r="E13" s="18"/>
      <c r="F13" s="18"/>
      <c r="G13" s="18"/>
      <c r="H13" s="18"/>
      <c r="I13" s="18"/>
    </row>
    <row r="14" spans="1:10" ht="15" customHeight="1">
      <c r="A14" s="366" t="s">
        <v>592</v>
      </c>
      <c r="B14" s="18"/>
      <c r="C14" s="18"/>
      <c r="D14" s="18"/>
      <c r="E14" s="18"/>
      <c r="F14" s="18"/>
      <c r="G14" s="18"/>
      <c r="H14" s="18"/>
      <c r="I14" s="18"/>
      <c r="J14" s="18"/>
    </row>
    <row r="15" spans="1:10" ht="15" customHeight="1">
      <c r="A15" s="5" t="s">
        <v>561</v>
      </c>
      <c r="B15" s="36" t="s">
        <v>120</v>
      </c>
      <c r="C15" s="101"/>
      <c r="D15" s="101"/>
      <c r="E15" s="101"/>
      <c r="F15" s="101"/>
      <c r="G15" s="36"/>
      <c r="H15" s="36"/>
      <c r="I15" s="36"/>
    </row>
    <row r="16" spans="1:10" ht="15" customHeight="1">
      <c r="A16" s="91"/>
      <c r="B16" s="93"/>
      <c r="C16" s="93"/>
      <c r="D16" s="93"/>
      <c r="E16" s="93"/>
      <c r="F16" s="93"/>
      <c r="G16" s="93"/>
      <c r="H16" s="36"/>
      <c r="I16" s="36"/>
      <c r="J16" s="36"/>
    </row>
    <row r="17" spans="1:15" ht="18" customHeight="1">
      <c r="A17" s="312" t="s">
        <v>593</v>
      </c>
      <c r="B17" s="5"/>
      <c r="C17" s="5"/>
      <c r="D17" s="5"/>
      <c r="E17" s="5"/>
      <c r="F17" s="5"/>
      <c r="G17" s="5"/>
      <c r="H17" s="5"/>
      <c r="I17" s="5"/>
    </row>
    <row r="18" spans="1:15" ht="18" customHeight="1">
      <c r="A18" s="312" t="s">
        <v>594</v>
      </c>
      <c r="B18" s="5"/>
      <c r="C18" s="5"/>
      <c r="D18" s="5"/>
      <c r="E18" s="5"/>
      <c r="F18" s="5"/>
      <c r="G18" s="5"/>
      <c r="H18" s="5"/>
      <c r="I18" s="5"/>
    </row>
    <row r="19" spans="1:15" ht="15" customHeight="1">
      <c r="A19" s="313" t="s">
        <v>718</v>
      </c>
      <c r="B19" s="312"/>
      <c r="C19" s="312"/>
      <c r="D19" s="312"/>
      <c r="E19" s="5"/>
      <c r="F19" s="5"/>
      <c r="G19" s="5"/>
      <c r="H19" s="5"/>
      <c r="I19" s="5"/>
      <c r="J19" s="5"/>
      <c r="K19" s="5"/>
      <c r="L19" s="5"/>
      <c r="M19" s="5"/>
      <c r="N19" s="5"/>
      <c r="O19" s="5"/>
    </row>
    <row r="20" spans="1:15" ht="15" customHeight="1">
      <c r="A20" s="469" t="s">
        <v>714</v>
      </c>
      <c r="B20" s="470" t="s">
        <v>715</v>
      </c>
      <c r="C20" s="312"/>
      <c r="D20" s="312"/>
      <c r="E20" s="5"/>
      <c r="F20" s="5"/>
      <c r="G20" s="5"/>
      <c r="H20" s="5"/>
      <c r="I20" s="5"/>
      <c r="J20" s="5"/>
      <c r="K20" s="5"/>
      <c r="L20" s="5"/>
      <c r="M20" s="5"/>
      <c r="N20" s="5"/>
      <c r="O20" s="5"/>
    </row>
    <row r="21" spans="1:15" ht="15" customHeight="1">
      <c r="A21" s="469"/>
      <c r="B21" s="470"/>
      <c r="C21" s="312"/>
      <c r="D21" s="312"/>
      <c r="E21" s="5"/>
      <c r="F21" s="5"/>
      <c r="G21" s="5"/>
      <c r="H21" s="5"/>
      <c r="I21" s="5"/>
      <c r="J21" s="5"/>
      <c r="K21" s="5"/>
      <c r="L21" s="5"/>
      <c r="M21" s="5"/>
      <c r="N21" s="5"/>
      <c r="O21" s="5"/>
    </row>
    <row r="22" spans="1:15" ht="19.5" customHeight="1">
      <c r="A22" s="312" t="s">
        <v>562</v>
      </c>
      <c r="B22" s="312"/>
      <c r="C22" s="312"/>
      <c r="D22" s="312"/>
      <c r="E22" s="5"/>
      <c r="F22" s="5"/>
      <c r="G22" s="5"/>
      <c r="H22" s="5"/>
      <c r="I22" s="5"/>
      <c r="J22" s="5"/>
      <c r="K22" s="5"/>
      <c r="L22" s="5"/>
      <c r="M22" s="5"/>
      <c r="N22" s="5"/>
      <c r="O22" s="5"/>
    </row>
    <row r="23" spans="1:15" ht="15" customHeight="1">
      <c r="A23" s="312" t="s">
        <v>563</v>
      </c>
      <c r="B23" s="312"/>
      <c r="C23" s="312"/>
      <c r="D23" s="312"/>
      <c r="E23" s="5"/>
      <c r="F23" s="5"/>
      <c r="G23" s="5"/>
      <c r="H23" s="5"/>
      <c r="I23" s="5"/>
      <c r="J23" s="5"/>
      <c r="K23" s="5"/>
      <c r="L23" s="5"/>
      <c r="M23" s="5"/>
      <c r="N23" s="5"/>
      <c r="O23" s="5"/>
    </row>
    <row r="24" spans="1:15" ht="15" customHeight="1">
      <c r="A24" s="312" t="s">
        <v>564</v>
      </c>
      <c r="B24" s="312"/>
      <c r="C24" s="312"/>
      <c r="D24" s="312"/>
      <c r="E24" s="5"/>
      <c r="F24" s="5"/>
      <c r="G24" s="5"/>
      <c r="H24" s="5"/>
      <c r="I24" s="5"/>
      <c r="J24" s="5"/>
      <c r="K24" s="5"/>
      <c r="L24" s="5"/>
      <c r="M24" s="5"/>
      <c r="N24" s="5"/>
      <c r="O24" s="5"/>
    </row>
    <row r="25" spans="1:15" ht="15" customHeight="1">
      <c r="A25" s="5"/>
      <c r="B25" s="5"/>
      <c r="C25" s="5"/>
      <c r="D25" s="5"/>
      <c r="E25" s="5"/>
      <c r="F25" s="5"/>
      <c r="G25" s="5"/>
      <c r="H25" s="5"/>
      <c r="I25" s="5"/>
      <c r="J25" s="5"/>
      <c r="K25" s="5"/>
      <c r="L25" s="5"/>
      <c r="M25" s="5"/>
    </row>
    <row r="26" spans="1:15" ht="18" customHeight="1">
      <c r="A26" s="94" t="s">
        <v>0</v>
      </c>
      <c r="B26" s="314"/>
      <c r="C26" s="102"/>
      <c r="D26" s="102"/>
      <c r="E26" s="102"/>
      <c r="F26" s="102"/>
    </row>
    <row r="27" spans="1:15" ht="18" customHeight="1">
      <c r="A27" s="68" t="s">
        <v>10</v>
      </c>
      <c r="B27" s="314"/>
      <c r="C27" s="102"/>
      <c r="D27" s="102"/>
      <c r="E27" s="102"/>
      <c r="F27" s="102"/>
    </row>
    <row r="28" spans="1:15" ht="18" customHeight="1">
      <c r="A28" s="94" t="s">
        <v>5</v>
      </c>
      <c r="B28" s="314"/>
      <c r="C28" s="102"/>
      <c r="D28" s="102"/>
      <c r="E28" s="102"/>
      <c r="F28" s="102"/>
    </row>
    <row r="29" spans="1:15" ht="18" customHeight="1">
      <c r="A29" s="94" t="s">
        <v>6</v>
      </c>
      <c r="B29" s="314"/>
      <c r="C29" s="102"/>
      <c r="D29" s="102"/>
      <c r="E29" s="102"/>
      <c r="F29" s="102"/>
      <c r="J29" s="19"/>
      <c r="K29" s="19"/>
      <c r="L29" s="19"/>
      <c r="M29" s="19"/>
    </row>
    <row r="30" spans="1:15" ht="18" customHeight="1">
      <c r="A30" s="94" t="s">
        <v>7</v>
      </c>
      <c r="B30" s="315"/>
      <c r="C30" s="99"/>
      <c r="D30" s="99"/>
      <c r="E30" s="99"/>
      <c r="F30" s="99"/>
      <c r="J30" s="19"/>
      <c r="K30" s="19"/>
      <c r="L30" s="19"/>
      <c r="M30" s="19"/>
    </row>
    <row r="31" spans="1:15" ht="18" customHeight="1">
      <c r="A31" s="94" t="s">
        <v>3</v>
      </c>
      <c r="B31" s="315"/>
      <c r="C31" s="99"/>
      <c r="D31" s="99"/>
      <c r="E31" s="99"/>
      <c r="F31" s="99"/>
      <c r="J31" s="19"/>
      <c r="K31" s="19"/>
      <c r="L31" s="19"/>
      <c r="M31" s="19"/>
    </row>
    <row r="32" spans="1:15" ht="15" customHeight="1">
      <c r="A32" s="92"/>
      <c r="B32" s="92"/>
      <c r="C32" s="92"/>
      <c r="D32" s="99"/>
      <c r="E32" s="99"/>
      <c r="F32" s="99"/>
      <c r="G32" s="99"/>
      <c r="H32" s="99"/>
      <c r="I32" s="99"/>
      <c r="K32" s="19"/>
      <c r="L32" s="19"/>
      <c r="M32" s="19"/>
      <c r="N32" s="19"/>
    </row>
    <row r="33" spans="1:15" ht="15" customHeight="1">
      <c r="A33" s="8" t="s">
        <v>588</v>
      </c>
      <c r="B33" s="37"/>
      <c r="C33" s="8"/>
      <c r="D33" s="8"/>
      <c r="E33" s="8"/>
      <c r="F33" s="8"/>
      <c r="G33" s="8"/>
      <c r="H33" s="8"/>
      <c r="I33" s="8"/>
      <c r="J33" s="8"/>
      <c r="K33" s="8"/>
      <c r="L33" s="8"/>
      <c r="M33" s="8"/>
      <c r="N33" s="8"/>
      <c r="O33" s="8"/>
    </row>
    <row r="34" spans="1:15" ht="15" customHeight="1">
      <c r="A34" s="37" t="s">
        <v>565</v>
      </c>
      <c r="B34" s="37"/>
      <c r="C34" s="8"/>
      <c r="D34" s="8"/>
      <c r="E34" s="8"/>
      <c r="F34" s="8"/>
      <c r="G34" s="8"/>
      <c r="H34" s="8"/>
      <c r="I34" s="8"/>
      <c r="J34" s="8"/>
      <c r="K34" s="8"/>
      <c r="L34" s="8"/>
      <c r="M34" s="8"/>
      <c r="N34" s="8"/>
      <c r="O34" s="8"/>
    </row>
    <row r="35" spans="1:15" ht="15" customHeight="1">
      <c r="A35" s="37" t="s">
        <v>566</v>
      </c>
      <c r="B35" s="37"/>
      <c r="C35" s="37"/>
      <c r="D35" s="37"/>
      <c r="E35" s="8"/>
      <c r="F35" s="8"/>
      <c r="G35" s="8"/>
      <c r="H35" s="8"/>
      <c r="I35" s="8"/>
      <c r="J35" s="8"/>
      <c r="K35" s="8"/>
      <c r="L35" s="8"/>
      <c r="M35" s="8"/>
      <c r="N35" s="8"/>
      <c r="O35" s="8"/>
    </row>
    <row r="36" spans="1:15" ht="15" customHeight="1">
      <c r="A36" s="37" t="s">
        <v>595</v>
      </c>
      <c r="B36" s="37"/>
      <c r="C36" s="37"/>
      <c r="D36" s="37"/>
      <c r="E36" s="8"/>
      <c r="F36" s="8"/>
      <c r="G36" s="8"/>
      <c r="H36" s="8"/>
      <c r="I36" s="8"/>
      <c r="J36" s="8"/>
      <c r="K36" s="8"/>
      <c r="L36" s="8"/>
      <c r="M36" s="8"/>
      <c r="N36" s="8"/>
      <c r="O36" s="8"/>
    </row>
    <row r="37" spans="1:15" ht="15" customHeight="1">
      <c r="A37" s="37" t="s">
        <v>567</v>
      </c>
      <c r="B37" s="37"/>
      <c r="C37" s="37"/>
      <c r="D37" s="37"/>
      <c r="E37" s="8"/>
      <c r="F37" s="8"/>
      <c r="G37" s="8"/>
      <c r="H37" s="8"/>
      <c r="I37" s="8"/>
      <c r="J37" s="8"/>
      <c r="K37" s="8"/>
      <c r="L37" s="8"/>
      <c r="M37" s="8"/>
      <c r="N37" s="8"/>
      <c r="O37" s="8"/>
    </row>
    <row r="38" spans="1:15" ht="15" customHeight="1">
      <c r="A38" s="37" t="s">
        <v>568</v>
      </c>
      <c r="B38" s="37"/>
      <c r="C38" s="37"/>
      <c r="D38" s="37"/>
      <c r="E38" s="8"/>
      <c r="F38" s="8"/>
      <c r="G38" s="8"/>
      <c r="H38" s="8"/>
      <c r="I38" s="8"/>
      <c r="J38" s="8"/>
      <c r="K38" s="8"/>
      <c r="L38" s="8"/>
      <c r="M38" s="8"/>
      <c r="N38" s="8"/>
      <c r="O38" s="8"/>
    </row>
    <row r="39" spans="1:15" ht="15" customHeight="1">
      <c r="A39" s="37" t="s">
        <v>569</v>
      </c>
      <c r="B39" s="37"/>
      <c r="C39" s="37"/>
      <c r="D39" s="37"/>
      <c r="E39" s="8"/>
      <c r="F39" s="8"/>
      <c r="G39" s="8"/>
      <c r="H39" s="8"/>
      <c r="I39" s="8"/>
      <c r="J39" s="8"/>
      <c r="K39" s="8"/>
      <c r="L39" s="8"/>
      <c r="M39" s="8"/>
      <c r="N39" s="8"/>
      <c r="O39" s="8"/>
    </row>
    <row r="40" spans="1:15" ht="15" customHeight="1">
      <c r="A40" s="37" t="s">
        <v>570</v>
      </c>
      <c r="B40" s="37"/>
      <c r="C40" s="37"/>
      <c r="D40" s="37"/>
      <c r="E40" s="8"/>
      <c r="F40" s="8"/>
      <c r="G40" s="8"/>
      <c r="H40" s="8"/>
      <c r="I40" s="8"/>
      <c r="J40" s="8"/>
      <c r="K40" s="8"/>
      <c r="L40" s="8"/>
      <c r="M40" s="8"/>
      <c r="N40" s="8"/>
      <c r="O40" s="8"/>
    </row>
    <row r="41" spans="1:15" ht="15" customHeight="1">
      <c r="A41" s="37" t="s">
        <v>571</v>
      </c>
      <c r="B41" s="37"/>
      <c r="C41" s="37"/>
      <c r="D41" s="37"/>
      <c r="E41" s="8"/>
      <c r="F41" s="8"/>
      <c r="G41" s="8"/>
      <c r="H41" s="8"/>
      <c r="I41" s="8"/>
      <c r="J41" s="8"/>
      <c r="K41" s="8"/>
      <c r="L41" s="8"/>
      <c r="M41" s="8"/>
      <c r="N41" s="8"/>
      <c r="O41" s="8"/>
    </row>
    <row r="42" spans="1:15" ht="15" customHeight="1">
      <c r="A42" s="37"/>
      <c r="B42" s="37"/>
      <c r="C42" s="37"/>
      <c r="D42" s="37"/>
      <c r="E42" s="8"/>
      <c r="F42" s="8"/>
      <c r="G42" s="8"/>
      <c r="H42" s="8"/>
      <c r="I42" s="8"/>
      <c r="J42" s="8"/>
      <c r="K42" s="8"/>
      <c r="L42" s="8"/>
      <c r="M42" s="8"/>
      <c r="N42" s="8"/>
      <c r="O42" s="8"/>
    </row>
    <row r="43" spans="1:15" s="6" customFormat="1" ht="15" customHeight="1">
      <c r="A43" s="253" t="s">
        <v>589</v>
      </c>
      <c r="B43" s="253"/>
      <c r="C43" s="253"/>
      <c r="D43" s="253"/>
      <c r="E43" s="18"/>
      <c r="F43" s="18"/>
      <c r="G43" s="18"/>
      <c r="H43" s="18"/>
      <c r="I43" s="18"/>
      <c r="J43" s="18"/>
      <c r="K43" s="18"/>
      <c r="L43" s="18"/>
      <c r="M43" s="18"/>
      <c r="N43" s="18"/>
      <c r="O43" s="18"/>
    </row>
    <row r="44" spans="1:15" s="6" customFormat="1" ht="15" customHeight="1">
      <c r="A44" s="253" t="s">
        <v>597</v>
      </c>
      <c r="B44" s="253"/>
      <c r="C44" s="253"/>
      <c r="D44" s="253"/>
      <c r="E44" s="18"/>
      <c r="F44" s="18"/>
      <c r="G44" s="18"/>
      <c r="H44" s="18"/>
      <c r="I44" s="18"/>
      <c r="J44" s="18"/>
      <c r="K44" s="18"/>
      <c r="L44" s="18"/>
      <c r="M44" s="18"/>
      <c r="N44" s="18"/>
      <c r="O44" s="18"/>
    </row>
    <row r="45" spans="1:15" s="6" customFormat="1" ht="15" customHeight="1">
      <c r="A45" s="253" t="s">
        <v>596</v>
      </c>
      <c r="B45" s="253"/>
      <c r="C45" s="253"/>
      <c r="D45" s="253"/>
      <c r="E45" s="18"/>
      <c r="F45" s="18"/>
      <c r="G45" s="18"/>
      <c r="H45" s="18"/>
      <c r="I45" s="18"/>
      <c r="J45" s="18"/>
      <c r="K45" s="18"/>
      <c r="L45" s="18"/>
      <c r="M45" s="18"/>
      <c r="N45" s="18"/>
      <c r="O45" s="18"/>
    </row>
    <row r="46" spans="1:15" s="6" customFormat="1" ht="15" customHeight="1">
      <c r="A46" s="253" t="s">
        <v>702</v>
      </c>
      <c r="B46" s="253"/>
      <c r="C46" s="253"/>
      <c r="D46" s="253"/>
      <c r="E46" s="18"/>
      <c r="F46" s="18"/>
      <c r="G46" s="18"/>
      <c r="H46" s="18"/>
      <c r="I46" s="18"/>
      <c r="J46" s="18"/>
      <c r="K46" s="18"/>
      <c r="L46" s="18"/>
      <c r="M46" s="18"/>
      <c r="N46" s="18"/>
      <c r="O46" s="18"/>
    </row>
    <row r="47" spans="1:15" s="6" customFormat="1" ht="15" customHeight="1">
      <c r="A47" s="253" t="s">
        <v>637</v>
      </c>
      <c r="B47" s="253"/>
      <c r="C47" s="253"/>
      <c r="D47" s="253"/>
      <c r="E47" s="18"/>
      <c r="F47" s="18"/>
      <c r="G47" s="18"/>
      <c r="H47" s="18"/>
      <c r="I47" s="18"/>
      <c r="J47" s="18"/>
      <c r="K47" s="18"/>
      <c r="L47" s="18"/>
      <c r="M47" s="18"/>
      <c r="N47" s="18"/>
      <c r="O47" s="18"/>
    </row>
    <row r="48" spans="1:15" s="6" customFormat="1" ht="15" customHeight="1">
      <c r="A48" s="253" t="s">
        <v>638</v>
      </c>
      <c r="B48" s="253"/>
      <c r="C48" s="253"/>
      <c r="D48" s="253"/>
      <c r="E48" s="18"/>
      <c r="F48" s="18"/>
      <c r="G48" s="18"/>
      <c r="H48" s="18"/>
      <c r="I48" s="18"/>
      <c r="J48" s="18"/>
      <c r="K48" s="18"/>
      <c r="L48" s="18"/>
      <c r="M48" s="18"/>
      <c r="N48" s="18"/>
      <c r="O48" s="18"/>
    </row>
    <row r="49" spans="1:15" s="6" customFormat="1" ht="15" customHeight="1">
      <c r="A49" s="253" t="s">
        <v>639</v>
      </c>
      <c r="B49" s="253"/>
      <c r="C49" s="253"/>
      <c r="D49" s="253"/>
      <c r="E49" s="18"/>
      <c r="F49" s="18"/>
      <c r="G49" s="18"/>
      <c r="H49" s="18"/>
      <c r="I49" s="18"/>
      <c r="J49" s="18"/>
      <c r="K49" s="18"/>
      <c r="L49" s="18"/>
      <c r="M49" s="18"/>
      <c r="N49" s="18"/>
      <c r="O49" s="18"/>
    </row>
    <row r="50" spans="1:15" s="6" customFormat="1" ht="15" customHeight="1">
      <c r="A50" s="96" t="s">
        <v>640</v>
      </c>
      <c r="B50" s="18"/>
      <c r="C50" s="18"/>
      <c r="D50" s="18"/>
      <c r="E50" s="18"/>
      <c r="F50" s="18"/>
      <c r="G50" s="18"/>
      <c r="H50" s="18"/>
      <c r="I50" s="18"/>
      <c r="J50" s="18"/>
      <c r="K50" s="18"/>
      <c r="L50" s="18"/>
    </row>
    <row r="51" spans="1:15" s="6" customFormat="1" ht="15" customHeight="1">
      <c r="A51" s="253" t="s">
        <v>641</v>
      </c>
      <c r="B51" s="18"/>
      <c r="C51" s="18"/>
      <c r="D51" s="18"/>
      <c r="E51" s="18"/>
      <c r="F51" s="18"/>
      <c r="G51" s="18"/>
      <c r="H51" s="18"/>
      <c r="I51" s="18"/>
      <c r="J51" s="18"/>
      <c r="K51" s="18"/>
    </row>
    <row r="52" spans="1:15" s="6" customFormat="1" ht="15" customHeight="1">
      <c r="A52" s="253"/>
      <c r="B52" s="18"/>
      <c r="C52" s="18"/>
      <c r="D52" s="18"/>
      <c r="E52" s="18"/>
      <c r="F52" s="18"/>
      <c r="G52" s="18"/>
      <c r="H52" s="18"/>
      <c r="I52" s="18"/>
      <c r="J52" s="18"/>
      <c r="K52" s="18"/>
    </row>
    <row r="53" spans="1:15" ht="15" customHeight="1">
      <c r="A53" s="96" t="s">
        <v>144</v>
      </c>
      <c r="B53" s="96"/>
      <c r="C53" s="96"/>
      <c r="D53" s="96"/>
      <c r="E53" s="96"/>
      <c r="F53" s="96"/>
      <c r="G53" s="96"/>
      <c r="H53" s="96"/>
      <c r="I53" s="96"/>
      <c r="J53" s="96"/>
      <c r="K53" s="96"/>
      <c r="L53" s="96"/>
      <c r="M53" s="81"/>
    </row>
    <row r="54" spans="1:15" ht="15" customHeight="1">
      <c r="A54" s="36" t="s">
        <v>716</v>
      </c>
      <c r="B54" s="36"/>
      <c r="C54" s="36"/>
      <c r="D54" s="36"/>
      <c r="E54" s="5"/>
      <c r="F54" s="5"/>
      <c r="G54" s="5"/>
      <c r="H54" s="5"/>
      <c r="I54" s="5"/>
      <c r="J54" s="5"/>
      <c r="K54" s="5"/>
      <c r="L54" s="5"/>
    </row>
    <row r="55" spans="1:15" ht="15" customHeight="1">
      <c r="A55" s="316" t="s">
        <v>12</v>
      </c>
      <c r="B55" s="316"/>
      <c r="C55" s="38" t="s">
        <v>4</v>
      </c>
      <c r="D55" s="38"/>
      <c r="E55" s="95"/>
      <c r="F55" s="95"/>
      <c r="I55" s="7"/>
      <c r="J55" s="7"/>
      <c r="K55" s="7"/>
      <c r="L55" s="7"/>
    </row>
    <row r="56" spans="1:15" ht="15" customHeight="1">
      <c r="A56" s="37" t="s">
        <v>15</v>
      </c>
      <c r="B56" s="37"/>
      <c r="C56" s="38" t="s">
        <v>717</v>
      </c>
      <c r="D56" s="37"/>
      <c r="E56" s="37"/>
      <c r="F56" s="37"/>
      <c r="H56" s="37"/>
      <c r="I56" s="37"/>
      <c r="J56" s="37"/>
      <c r="K56" s="37"/>
      <c r="L56" s="37"/>
      <c r="M56" s="37"/>
      <c r="N56" s="37"/>
      <c r="O56" s="37"/>
    </row>
    <row r="57" spans="1:15" ht="15" customHeight="1">
      <c r="A57" s="8"/>
      <c r="B57" s="8"/>
      <c r="C57" s="8"/>
      <c r="D57" s="8"/>
      <c r="E57" s="8"/>
      <c r="F57" s="8"/>
      <c r="G57" s="8"/>
      <c r="H57" s="38"/>
      <c r="I57" s="38"/>
      <c r="J57" s="38"/>
      <c r="K57" s="38"/>
      <c r="L57" s="38"/>
      <c r="M57" s="38"/>
      <c r="N57" s="38"/>
      <c r="O57" s="38"/>
    </row>
    <row r="58" spans="1:15" ht="15" customHeight="1">
      <c r="B58" s="8"/>
      <c r="C58" s="8"/>
      <c r="D58" s="8"/>
      <c r="E58" s="8"/>
      <c r="F58" s="8"/>
      <c r="G58" s="8"/>
      <c r="H58" s="8"/>
      <c r="I58" s="8"/>
      <c r="J58" s="8"/>
      <c r="K58" s="8"/>
      <c r="L58" s="8"/>
      <c r="M58" s="8"/>
    </row>
    <row r="59" spans="1:15" ht="15" customHeight="1">
      <c r="B59" s="8"/>
      <c r="C59" s="8"/>
      <c r="D59" s="8"/>
      <c r="E59" s="8"/>
      <c r="F59" s="8"/>
      <c r="G59" s="8"/>
      <c r="H59" s="8"/>
      <c r="I59" s="8"/>
      <c r="J59" s="8"/>
      <c r="K59" s="8"/>
      <c r="L59" s="8"/>
      <c r="M59" s="8"/>
    </row>
  </sheetData>
  <sheetProtection algorithmName="SHA-512" hashValue="EKunCepkWicZ0dm9wQ66bhMo05HYsCQkCak4g8IedWnJtj+j2Zt4KRKnKoAPRUg9kwz0z5biyv8LGWuCaiRUhQ==" saltValue="lZSb9fXD+CqJdObpDpJTiQ==" spinCount="100000" sheet="1" objects="1" scenarios="1"/>
  <hyperlinks>
    <hyperlink ref="C55" r:id="rId1" xr:uid="{00000000-0004-0000-0000-000000000000}"/>
    <hyperlink ref="C56" r:id="rId2" xr:uid="{00000000-0004-0000-0000-000001000000}"/>
    <hyperlink ref="A54" r:id="rId3" tooltip="California Climate Investments (CCI) Homepage" xr:uid="{00000000-0004-0000-0000-000002000000}"/>
    <hyperlink ref="B15" r:id="rId4" tooltip="CCI Quantification Materials webpage" xr:uid="{00000000-0004-0000-0000-000003000000}"/>
    <hyperlink ref="A54:B54" r:id="rId5" tooltip="California Climate Investments (CCI) Homepage" display="https://www.arb.ca.gov/auctionproceeds." xr:uid="{00000000-0004-0000-0000-000004000000}"/>
    <hyperlink ref="B15" r:id="rId6" tooltip="CCI Quantification Materials webpage" xr:uid="{00000000-0004-0000-0000-000005000000}"/>
    <hyperlink ref="B20" r:id="rId7" tooltip="Forest Restoration and Management User Guide" xr:uid="{00000000-0004-0000-0000-000006000000}"/>
  </hyperlinks>
  <pageMargins left="0.7" right="0.7" top="0.7" bottom="0.75" header="0.3" footer="0.3"/>
  <pageSetup scale="33" orientation="portrait" r:id="rId8"/>
  <headerFooter>
    <oddFooter>&amp;CPage 1 of 12
Read Me Worksheet</oddFooter>
  </headerFooter>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59999389629810485"/>
  </sheetPr>
  <dimension ref="A1:M36"/>
  <sheetViews>
    <sheetView topLeftCell="A6" zoomScale="90" zoomScaleNormal="90" workbookViewId="0">
      <selection activeCell="D26" sqref="D26"/>
    </sheetView>
  </sheetViews>
  <sheetFormatPr baseColWidth="10" defaultColWidth="9.1640625" defaultRowHeight="15"/>
  <cols>
    <col min="1" max="1" width="25.6640625" style="123" customWidth="1"/>
    <col min="2" max="3" width="30.6640625" style="123" customWidth="1"/>
    <col min="4" max="4" width="15.6640625" style="123" customWidth="1"/>
    <col min="5" max="5" width="16.33203125" style="123" customWidth="1"/>
    <col min="6" max="6" width="15.5" style="123" customWidth="1"/>
    <col min="7" max="7" width="14" style="123" customWidth="1"/>
    <col min="8" max="8" width="11.1640625" style="123" customWidth="1"/>
    <col min="9" max="9" width="10.5" style="123" customWidth="1"/>
    <col min="10" max="11" width="9.1640625" style="123"/>
    <col min="12" max="12" width="15.6640625" style="123" customWidth="1"/>
    <col min="13" max="16384" width="9.1640625" style="123"/>
  </cols>
  <sheetData>
    <row r="1" spans="1:5" ht="18.75" customHeight="1">
      <c r="A1" s="122"/>
      <c r="B1" s="122"/>
      <c r="C1" s="214" t="s">
        <v>278</v>
      </c>
      <c r="D1" s="122"/>
      <c r="E1" s="122"/>
    </row>
    <row r="2" spans="1:5" ht="18.75" customHeight="1">
      <c r="A2" s="122"/>
      <c r="B2" s="122"/>
      <c r="C2" s="214" t="s">
        <v>585</v>
      </c>
      <c r="D2" s="122"/>
      <c r="E2" s="122"/>
    </row>
    <row r="3" spans="1:5" ht="18.75" customHeight="1">
      <c r="A3" s="122"/>
      <c r="B3" s="122"/>
      <c r="C3" s="214" t="s">
        <v>586</v>
      </c>
      <c r="D3" s="122"/>
      <c r="E3" s="122"/>
    </row>
    <row r="4" spans="1:5" ht="18.75" customHeight="1">
      <c r="A4" s="122"/>
      <c r="B4" s="122"/>
      <c r="C4" s="215" t="s">
        <v>587</v>
      </c>
      <c r="D4" s="122"/>
      <c r="E4" s="122"/>
    </row>
    <row r="5" spans="1:5" ht="18.75" customHeight="1">
      <c r="A5" s="122"/>
      <c r="B5" s="122"/>
      <c r="C5" s="367"/>
      <c r="D5" s="122"/>
      <c r="E5" s="122"/>
    </row>
    <row r="6" spans="1:5" ht="18.75" customHeight="1">
      <c r="A6" s="122"/>
      <c r="B6" s="122"/>
      <c r="C6" s="368"/>
      <c r="D6" s="122"/>
      <c r="E6" s="122"/>
    </row>
    <row r="7" spans="1:5" ht="18.75" customHeight="1">
      <c r="A7" s="124"/>
      <c r="B7" s="124"/>
      <c r="C7" s="367"/>
      <c r="D7" s="122"/>
      <c r="E7" s="122"/>
    </row>
    <row r="8" spans="1:5" ht="18.75" customHeight="1">
      <c r="A8" s="124"/>
      <c r="B8" s="124"/>
      <c r="C8" s="122"/>
      <c r="D8" s="124"/>
      <c r="E8" s="122"/>
    </row>
    <row r="9" spans="1:5" ht="18.75" customHeight="1">
      <c r="A9" s="125" t="s">
        <v>0</v>
      </c>
      <c r="B9" s="260" t="str">
        <f>IF('Read Me'!B26="","",'Read Me'!B26)</f>
        <v/>
      </c>
      <c r="C9" s="261"/>
      <c r="D9" s="126"/>
      <c r="E9" s="126"/>
    </row>
    <row r="10" spans="1:5" ht="18.75" customHeight="1">
      <c r="A10" s="127" t="s">
        <v>10</v>
      </c>
      <c r="B10" s="258" t="str">
        <f>IF('Read Me'!B27="","",'Read Me'!B27)</f>
        <v/>
      </c>
      <c r="C10" s="259"/>
      <c r="D10" s="128"/>
      <c r="E10" s="128"/>
    </row>
    <row r="11" spans="1:5" ht="18.75" customHeight="1">
      <c r="A11" s="124"/>
      <c r="B11" s="142"/>
      <c r="C11" s="143"/>
      <c r="D11" s="143"/>
      <c r="E11" s="144"/>
    </row>
    <row r="12" spans="1:5" ht="18.75" customHeight="1">
      <c r="A12" s="146" t="s">
        <v>253</v>
      </c>
      <c r="B12" s="142"/>
      <c r="C12" s="143"/>
      <c r="D12" s="143"/>
      <c r="E12" s="144"/>
    </row>
    <row r="13" spans="1:5" ht="18.75" customHeight="1">
      <c r="A13" s="124"/>
      <c r="B13" s="142"/>
      <c r="C13" s="143"/>
      <c r="D13" s="143"/>
      <c r="E13" s="144"/>
    </row>
    <row r="14" spans="1:5" ht="16">
      <c r="A14" s="145" t="s">
        <v>576</v>
      </c>
      <c r="B14" s="122"/>
      <c r="C14" s="122"/>
      <c r="D14" s="122"/>
      <c r="E14" s="122"/>
    </row>
    <row r="15" spans="1:5" ht="19.5" customHeight="1">
      <c r="A15" s="299" t="s">
        <v>469</v>
      </c>
      <c r="B15" s="300"/>
      <c r="C15" s="301"/>
      <c r="D15" s="116">
        <f>MAX(LISTS!C14:C63)</f>
        <v>0</v>
      </c>
    </row>
    <row r="16" spans="1:5" ht="18" customHeight="1">
      <c r="A16" s="347" t="s">
        <v>249</v>
      </c>
      <c r="B16" s="300"/>
      <c r="C16" s="301"/>
      <c r="D16" s="116">
        <f>Reforestation!C19+Reforestation!C34+Reforestation!C49+Reforestation!C64+Reforestation!C79+Reforestation!C94+Reforestation!C109+Reforestation!C124+Reforestation!C139+Reforestation!C154</f>
        <v>0</v>
      </c>
      <c r="E16" s="122"/>
    </row>
    <row r="17" spans="1:13" ht="18" customHeight="1">
      <c r="A17" s="347" t="s">
        <v>241</v>
      </c>
      <c r="B17" s="300"/>
      <c r="C17" s="301"/>
      <c r="D17" s="116">
        <f>'Pest Management'!D16+'Pest Management'!D29+'Pest Management'!D42+'Pest Management'!D55+'Pest Management'!D68+'Pest Management'!D81+'Pest Management'!D94+'Pest Management'!D107+'Pest Management'!D120+'Pest Management'!D133</f>
        <v>0</v>
      </c>
      <c r="E17" s="122"/>
    </row>
    <row r="18" spans="1:13" ht="18" customHeight="1">
      <c r="A18" s="347" t="s">
        <v>251</v>
      </c>
      <c r="B18" s="300"/>
      <c r="C18" s="301"/>
      <c r="D18" s="116">
        <f>'Pest Management'!D18+'Pest Management'!D31+'Pest Management'!D44+'Pest Management'!D57+'Pest Management'!D70+'Pest Management'!D83+'Pest Management'!D96+'Pest Management'!D109+'Pest Management'!D122+'Pest Management'!D135</f>
        <v>0</v>
      </c>
      <c r="E18" s="122"/>
    </row>
    <row r="19" spans="1:13" ht="18" customHeight="1">
      <c r="A19" s="347" t="s">
        <v>242</v>
      </c>
      <c r="B19" s="300"/>
      <c r="C19" s="301"/>
      <c r="D19" s="116">
        <f>'Fuels Reduction'!D16+'Fuels Reduction'!D39+'Fuels Reduction'!D62+'Fuels Reduction'!D85+'Fuels Reduction'!D108+'Fuels Reduction'!D131+'Fuels Reduction'!D154+'Fuels Reduction'!D177+'Fuels Reduction'!D200+'Fuels Reduction'!D223</f>
        <v>0</v>
      </c>
      <c r="E19" s="122"/>
    </row>
    <row r="20" spans="1:13" ht="18" customHeight="1">
      <c r="A20" s="347" t="s">
        <v>243</v>
      </c>
      <c r="B20" s="300"/>
      <c r="C20" s="301"/>
      <c r="D20" s="116">
        <f>'Fuels Reduction'!D120+'Fuels Reduction'!D97+'Fuels Reduction'!D74+'Fuels Reduction'!D51+'Fuels Reduction'!D28+'Fuels Reduction'!D143+'Fuels Reduction'!D166+'Fuels Reduction'!D189+'Fuels Reduction'!D212+'Fuels Reduction'!D235</f>
        <v>0</v>
      </c>
      <c r="E20" s="122"/>
    </row>
    <row r="21" spans="1:13" ht="18" customHeight="1">
      <c r="A21" s="248" t="s">
        <v>577</v>
      </c>
      <c r="B21" s="249"/>
      <c r="C21" s="250"/>
      <c r="D21" s="116">
        <f>D16+D17+D19</f>
        <v>0</v>
      </c>
      <c r="E21" s="122"/>
    </row>
    <row r="22" spans="1:13" ht="18" customHeight="1">
      <c r="A22" s="348" t="s">
        <v>248</v>
      </c>
      <c r="B22" s="300"/>
      <c r="C22" s="300"/>
      <c r="D22" s="116">
        <f>'Easement--Avoided Conversion'!D16+'Easement--Avoided Conversion'!D33+'Easement--Avoided Conversion'!D50+'Easement--Avoided Conversion'!D67+'Easement--Avoided Conversion'!D84+'Easement--Avoided Conversion'!D101+'Easement--Avoided Conversion'!D118+'Easement--Avoided Conversion'!D135+'Easement--Avoided Conversion'!D152+'Easement--Avoided Conversion'!D169</f>
        <v>0</v>
      </c>
      <c r="E22" s="122"/>
    </row>
    <row r="23" spans="1:13" ht="18" customHeight="1">
      <c r="A23" s="348" t="s">
        <v>247</v>
      </c>
      <c r="B23" s="300"/>
      <c r="C23" s="300"/>
      <c r="D23" s="116">
        <f>'Easement--Forest Management'!D16+'Easement--Forest Management'!D31+'Easement--Forest Management'!D46+'Easement--Forest Management'!D61+'Easement--Forest Management'!D76+'Easement--Forest Management'!D91+'Easement--Forest Management'!D106+'Easement--Forest Management'!D121+'Easement--Forest Management'!D136+'Easement--Forest Management'!D151</f>
        <v>0</v>
      </c>
      <c r="E23" s="122"/>
    </row>
    <row r="24" spans="1:13" ht="18" customHeight="1">
      <c r="A24" s="248" t="s">
        <v>578</v>
      </c>
      <c r="B24" s="249"/>
      <c r="C24" s="250"/>
      <c r="D24" s="116">
        <f>D22+D23</f>
        <v>0</v>
      </c>
      <c r="E24" s="122"/>
    </row>
    <row r="25" spans="1:13" ht="16">
      <c r="A25" s="299" t="s">
        <v>579</v>
      </c>
      <c r="B25" s="300"/>
      <c r="C25" s="301"/>
      <c r="D25" s="116">
        <f>D22+D23</f>
        <v>0</v>
      </c>
    </row>
    <row r="26" spans="1:13" ht="18" customHeight="1">
      <c r="A26" s="299" t="s">
        <v>240</v>
      </c>
      <c r="B26" s="300"/>
      <c r="C26" s="301"/>
      <c r="D26" s="116">
        <f>Reforestation!C24+Reforestation!C39+Reforestation!C54+Reforestation!C69+Reforestation!C84+Reforestation!C99+Reforestation!C114+Reforestation!C129+Reforestation!C144+Reforestation!C159</f>
        <v>0</v>
      </c>
      <c r="E26" s="122"/>
    </row>
    <row r="27" spans="1:13" ht="18" customHeight="1">
      <c r="A27" s="299" t="s">
        <v>580</v>
      </c>
      <c r="B27" s="300"/>
      <c r="C27" s="301"/>
      <c r="D27" s="116">
        <f>('Biomass Utilization'!F30-'Biomass Utilization'!F31+'Biomass Utilization'!F32)*ERFs!B53*1000+('Biomass Utilization'!F33-'Biomass Utilization'!F34+'Biomass Utilization'!F35)*ERFs!B54*1000</f>
        <v>0</v>
      </c>
      <c r="E27" s="122"/>
    </row>
    <row r="28" spans="1:13">
      <c r="A28" s="122"/>
      <c r="B28" s="122"/>
      <c r="C28" s="122"/>
      <c r="D28" s="122"/>
      <c r="E28" s="122"/>
    </row>
    <row r="30" spans="1:13" ht="16">
      <c r="A30" s="145" t="s">
        <v>499</v>
      </c>
      <c r="B30" s="122"/>
      <c r="C30" s="122"/>
      <c r="D30" s="308" t="s">
        <v>498</v>
      </c>
      <c r="E30" s="308"/>
      <c r="F30" s="308"/>
      <c r="G30" s="308"/>
      <c r="H30" s="308"/>
      <c r="I30" s="308"/>
      <c r="J30" s="308"/>
      <c r="K30" s="308"/>
      <c r="L30" s="308"/>
    </row>
    <row r="31" spans="1:13" s="212" customFormat="1" ht="51">
      <c r="A31" s="305" t="s">
        <v>371</v>
      </c>
      <c r="B31" s="306"/>
      <c r="C31" s="307"/>
      <c r="D31" s="211" t="s">
        <v>382</v>
      </c>
      <c r="E31" s="211" t="s">
        <v>383</v>
      </c>
      <c r="F31" s="211" t="s">
        <v>381</v>
      </c>
      <c r="G31" s="211" t="s">
        <v>378</v>
      </c>
      <c r="H31" s="211" t="s">
        <v>375</v>
      </c>
      <c r="I31" s="211" t="s">
        <v>379</v>
      </c>
      <c r="J31" s="211" t="s">
        <v>376</v>
      </c>
      <c r="K31" s="211" t="s">
        <v>377</v>
      </c>
      <c r="L31" s="211" t="s">
        <v>380</v>
      </c>
      <c r="M31" s="210"/>
    </row>
    <row r="32" spans="1:13" ht="16">
      <c r="A32" s="299" t="s">
        <v>16</v>
      </c>
      <c r="B32" s="300"/>
      <c r="C32" s="301"/>
      <c r="D32" s="116">
        <f>LISTS!I15</f>
        <v>0</v>
      </c>
      <c r="E32" s="116">
        <f>LISTS!J15</f>
        <v>0</v>
      </c>
      <c r="F32" s="116">
        <f>LISTS!K15</f>
        <v>0</v>
      </c>
      <c r="G32" s="116">
        <f>LISTS!L15</f>
        <v>0</v>
      </c>
      <c r="H32" s="116">
        <f>LISTS!M15</f>
        <v>0</v>
      </c>
      <c r="I32" s="116">
        <f>LISTS!N15</f>
        <v>0</v>
      </c>
      <c r="J32" s="116">
        <f>LISTS!O15</f>
        <v>0</v>
      </c>
      <c r="K32" s="116">
        <f>LISTS!P15</f>
        <v>0</v>
      </c>
      <c r="L32" s="116">
        <f>LISTS!Q15</f>
        <v>0</v>
      </c>
    </row>
    <row r="33" spans="1:12" ht="16">
      <c r="A33" s="302" t="s">
        <v>17</v>
      </c>
      <c r="B33" s="303"/>
      <c r="C33" s="304"/>
      <c r="D33" s="213">
        <f>LISTS!I25</f>
        <v>0</v>
      </c>
      <c r="E33" s="213">
        <f>LISTS!J25</f>
        <v>0</v>
      </c>
      <c r="F33" s="213">
        <f>LISTS!K25</f>
        <v>0</v>
      </c>
      <c r="G33" s="213">
        <f>LISTS!L25</f>
        <v>0</v>
      </c>
      <c r="H33" s="213">
        <f>LISTS!M25</f>
        <v>0</v>
      </c>
      <c r="I33" s="213">
        <f>LISTS!N25</f>
        <v>0</v>
      </c>
      <c r="J33" s="213">
        <f>LISTS!O25</f>
        <v>0</v>
      </c>
      <c r="K33" s="213">
        <f>LISTS!P25</f>
        <v>0</v>
      </c>
      <c r="L33" s="213">
        <f>LISTS!Q25</f>
        <v>0</v>
      </c>
    </row>
    <row r="34" spans="1:12" ht="16">
      <c r="A34" s="302" t="s">
        <v>18</v>
      </c>
      <c r="B34" s="303"/>
      <c r="C34" s="304"/>
      <c r="D34" s="213">
        <f>LISTS!I35</f>
        <v>0</v>
      </c>
      <c r="E34" s="213">
        <f>LISTS!J35</f>
        <v>0</v>
      </c>
      <c r="F34" s="213">
        <f>LISTS!K35</f>
        <v>0</v>
      </c>
      <c r="G34" s="213">
        <f>LISTS!L35</f>
        <v>0</v>
      </c>
      <c r="H34" s="213">
        <f>LISTS!M35</f>
        <v>0</v>
      </c>
      <c r="I34" s="213">
        <f>LISTS!N35</f>
        <v>0</v>
      </c>
      <c r="J34" s="213">
        <f>LISTS!O35</f>
        <v>0</v>
      </c>
      <c r="K34" s="213">
        <f>LISTS!P35</f>
        <v>0</v>
      </c>
      <c r="L34" s="213">
        <f>LISTS!Q35</f>
        <v>0</v>
      </c>
    </row>
    <row r="35" spans="1:12" ht="16">
      <c r="A35" s="302" t="s">
        <v>496</v>
      </c>
      <c r="B35" s="303"/>
      <c r="C35" s="304"/>
      <c r="D35" s="213">
        <f>LISTS!I45</f>
        <v>0</v>
      </c>
      <c r="E35" s="213">
        <f>LISTS!J45</f>
        <v>0</v>
      </c>
      <c r="F35" s="213">
        <f>LISTS!K45</f>
        <v>0</v>
      </c>
      <c r="G35" s="213">
        <f>LISTS!L45</f>
        <v>0</v>
      </c>
      <c r="H35" s="213">
        <f>LISTS!M45</f>
        <v>0</v>
      </c>
      <c r="I35" s="213">
        <f>LISTS!N45</f>
        <v>0</v>
      </c>
      <c r="J35" s="213">
        <f>LISTS!O45</f>
        <v>0</v>
      </c>
      <c r="K35" s="213">
        <f>LISTS!P45</f>
        <v>0</v>
      </c>
      <c r="L35" s="213">
        <f>LISTS!Q45</f>
        <v>0</v>
      </c>
    </row>
    <row r="36" spans="1:12" ht="16">
      <c r="A36" s="302" t="s">
        <v>497</v>
      </c>
      <c r="B36" s="303"/>
      <c r="C36" s="304"/>
      <c r="D36" s="213">
        <f>LISTS!I55</f>
        <v>0</v>
      </c>
      <c r="E36" s="213">
        <f>LISTS!J55</f>
        <v>0</v>
      </c>
      <c r="F36" s="213">
        <f>LISTS!K55</f>
        <v>0</v>
      </c>
      <c r="G36" s="213">
        <f>LISTS!L55</f>
        <v>0</v>
      </c>
      <c r="H36" s="213">
        <f>LISTS!M55</f>
        <v>0</v>
      </c>
      <c r="I36" s="213">
        <f>LISTS!N55</f>
        <v>0</v>
      </c>
      <c r="J36" s="213">
        <f>LISTS!O55</f>
        <v>0</v>
      </c>
      <c r="K36" s="213">
        <f>LISTS!P55</f>
        <v>0</v>
      </c>
      <c r="L36" s="213">
        <f>LISTS!Q55</f>
        <v>0</v>
      </c>
    </row>
  </sheetData>
  <sheetProtection algorithmName="SHA-512" hashValue="n1NCTqlnB9ZUz6hwpQyh5PFbkaR8GFexBSMF0XIXT9WjYGeCt1f2JcJQmIJ3TkChw8Gsrcbz+3+7km/Oto8sXg==" saltValue="KbOjNfxza6WQSeUtM41/UQ==" spinCount="100000" sheet="1"/>
  <pageMargins left="0.7" right="0.7" top="0.75" bottom="0.75" header="0.3" footer="0.3"/>
  <pageSetup orientation="landscape" r:id="rId1"/>
  <headerFooter>
    <oddFooter>&amp;CPage 10 of 12
Co Benefits Summary Worksheet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Q115"/>
  <sheetViews>
    <sheetView zoomScaleNormal="100" workbookViewId="0">
      <selection activeCell="C12" sqref="C12"/>
    </sheetView>
  </sheetViews>
  <sheetFormatPr baseColWidth="10" defaultColWidth="8.83203125" defaultRowHeight="15"/>
  <cols>
    <col min="1" max="1" width="57.6640625" customWidth="1"/>
  </cols>
  <sheetData>
    <row r="1" spans="1:17" s="53" customFormat="1" ht="18" customHeight="1">
      <c r="A1" s="55" t="s">
        <v>84</v>
      </c>
      <c r="B1" s="161" t="s">
        <v>371</v>
      </c>
      <c r="C1" s="163" t="s">
        <v>366</v>
      </c>
      <c r="D1" s="167" t="s">
        <v>367</v>
      </c>
      <c r="E1" s="163" t="s">
        <v>368</v>
      </c>
      <c r="F1" s="163" t="s">
        <v>369</v>
      </c>
    </row>
    <row r="2" spans="1:17" s="53" customFormat="1" ht="18" customHeight="1">
      <c r="A2" s="55" t="s">
        <v>85</v>
      </c>
      <c r="B2" s="171">
        <v>1</v>
      </c>
      <c r="C2" s="164" t="str">
        <f>IF(Reforestation!$C17="North Coast","NorthCoast",IF(Reforestation!$C17="Central &amp; Southern Coast, Central Valley","CentralSouth",IF(Reforestation!$C17="Sierra Nevada/Klamath/Cascades","Sierra",IF(Reforestation!$C17="Great Basin","GreatBasin",IF(Reforestation!$C17="Mojave","Mojave", "")))))</f>
        <v/>
      </c>
      <c r="D2" s="166" t="str">
        <f>CONCATENATE(Reforestation!C17,Reforestation!C18)</f>
        <v/>
      </c>
      <c r="E2" s="168" t="str">
        <f>IF(D2="North CoastI",'Baseline Reforestation'!J$2,IF(D2="North CoastII",'Baseline Reforestation'!$J$3,IF(D2="North CoastIII",'Baseline Reforestation'!$J$4,IF(D2="North CoastIV",'Baseline Reforestation'!$J$5,IF(D2="North CoastV",'Baseline Reforestation'!$J$6,IF(D2="Great BasinV",'Baseline Reforestation'!$J$7,IF(D2="Central &amp; Southern Coast, Central ValleyI-III",'Baseline Reforestation'!$J$8,IF(D2="Central &amp; Southern Coast, Central ValleyIV",'Baseline Reforestation'!$J$9,IF(D2="Central &amp; Southern Coast, Central ValleyV",'Baseline Reforestation'!$J$10,IF(D2="MojaveV",'Baseline Reforestation'!$J$11,IF(D2="Sierra Nevada/Klamath/CascadesI",'Baseline Reforestation'!$J$12,IF(D2="Sierra Nevada/Klamath/CascadesII",'Baseline Reforestation'!$J$13,IF(D2="Sierra Nevada/Klamath/CascadesIII",'Baseline Reforestation'!$J$14,IF(D2="Sierra Nevada/Klamath/CascadesIV",'Baseline Reforestation'!$J$15,IF(D2="Sierra Nevada/Klamath/CascadesV",'Baseline Reforestation'!$J$16,"")))))))))))))))</f>
        <v/>
      </c>
      <c r="F2" s="164" t="str">
        <f>IF(D2="North CoastI",'Baseline Reforestation'!D$2,IF(D2="North CoastII",'Baseline Reforestation'!$D$3,IF(D2="North CoastIII",'Baseline Reforestation'!$D$4,IF(D2="North CoastIV",'Baseline Reforestation'!$D$5,IF(D2="North CoastV",'Baseline Reforestation'!$D$6,IF(D2="Great BasinV",'Baseline Reforestation'!$D$7,IF(D2="Central &amp; Southern Coast, Central ValleyI-III",'Baseline Reforestation'!$D$8,IF(D2="Central &amp; Southern Coast, Central ValleyIV",'Baseline Reforestation'!$D$9,IF(D2="Central &amp; Southern Coast, Central ValleyV",'Baseline Reforestation'!$D$10,IF(D2="MojaveV",'Baseline Reforestation'!$D$11,IF(D2="Sierra Nevada/Klamath/CascadesI",'Baseline Reforestation'!$D$12,IF(D2="Sierra Nevada/Klamath/CascadesII",'Baseline Reforestation'!$D$13,IF(D2="Sierra Nevada/Klamath/CascadesIII",'Baseline Reforestation'!$D$14,IF(D2="Sierra Nevada/Klamath/CascadesIV",'Baseline Reforestation'!$D$15,IF(D2="Sierra Nevada/Klamath/CascadesV",'Baseline Reforestation'!$D$16,"")))))))))))))))</f>
        <v/>
      </c>
    </row>
    <row r="3" spans="1:17" s="53" customFormat="1" ht="18" customHeight="1">
      <c r="A3" s="55" t="s">
        <v>86</v>
      </c>
      <c r="B3" s="171">
        <v>2</v>
      </c>
      <c r="C3" s="165" t="str">
        <f>IF(Reforestation!$C32="North Coast","NorthCoast",IF(Reforestation!$C32="Central &amp; Southern Coast, Central Valley","CentralSouth",IF(Reforestation!$C32="Sierra Nevada/Klamath/Cascades","Sierra",IF(Reforestation!$C32="Great Basin","GreatBasin",IF(Reforestation!$C32="Mojave","Mojave","")))))</f>
        <v/>
      </c>
      <c r="D3" s="166" t="str">
        <f>CONCATENATE(Reforestation!C32,Reforestation!C33)</f>
        <v/>
      </c>
      <c r="E3" s="169" t="str">
        <f>IF(D3="North CoastI",'Baseline Reforestation'!J$2,IF(D3="North CoastII",'Baseline Reforestation'!$J$3,IF(D3="North CoastIII",'Baseline Reforestation'!$J$4,IF(D3="North CoastIV",'Baseline Reforestation'!$J$5,IF(D3="North CoastV",'Baseline Reforestation'!$J$6,IF(D3="Great BasinV",'Baseline Reforestation'!$J$7,IF(D3="Central &amp; Southern Coast, Central ValleyI-III",'Baseline Reforestation'!$J$8,IF(D3="Central &amp; Southern Coast, Central ValleyIV",'Baseline Reforestation'!$J$9,IF(D3="Central &amp; Southern Coast, Central ValleyV",'Baseline Reforestation'!$J$10,IF(D3="MojaveV",'Baseline Reforestation'!$J$11,IF(D3="Sierra Nevada/Klamath/CascadesI",'Baseline Reforestation'!$J$12,IF(D3="Sierra Nevada/Klamath/CascadesII",'Baseline Reforestation'!$J$13,IF(D3="Sierra Nevada/Klamath/CascadesIII",'Baseline Reforestation'!$J$14,IF(D3="Sierra Nevada/Klamath/CascadesIV",'Baseline Reforestation'!$J$15,IF(D3="Sierra Nevada/Klamath/CascadesV",'Baseline Reforestation'!$J$16,"")))))))))))))))</f>
        <v/>
      </c>
      <c r="F3" s="170" t="str">
        <f>IF(D3="North CoastI",'Baseline Reforestation'!D$2,IF(D3="North CoastII",'Baseline Reforestation'!$D$3,IF(D3="North CoastIII",'Baseline Reforestation'!$D$4,IF(D3="North CoastIV",'Baseline Reforestation'!$D$5,IF(D3="North CoastV",'Baseline Reforestation'!$D$6,IF(D3="Great BasinV",'Baseline Reforestation'!$D$7,IF(D3="Central &amp; Southern Coast, Central ValleyI-III",'Baseline Reforestation'!$D$8,IF(D3="Central &amp; Southern Coast, Central ValleyIV",'Baseline Reforestation'!$D$9,IF(D3="Central &amp; Southern Coast, Central ValleyV",'Baseline Reforestation'!$D$10,IF(D3="MojaveV",'Baseline Reforestation'!$D$11,IF(D3="Sierra Nevada/Klamath/CascadesI",'Baseline Reforestation'!$D$12,IF(D3="Sierra Nevada/Klamath/CascadesII",'Baseline Reforestation'!$D$13,IF(D3="Sierra Nevada/Klamath/CascadesIII",'Baseline Reforestation'!$D$14,IF(D3="Sierra Nevada/Klamath/CascadesIV",'Baseline Reforestation'!$D$15,IF(D3="Sierra Nevada/Klamath/CascadesV",'Baseline Reforestation'!$D$16,"")))))))))))))))</f>
        <v/>
      </c>
    </row>
    <row r="4" spans="1:17" ht="18" customHeight="1">
      <c r="A4" s="56"/>
      <c r="B4" s="171">
        <v>3</v>
      </c>
      <c r="C4" s="164" t="str">
        <f>IF(Reforestation!$C47="North Coast","NorthCoast",IF(Reforestation!$C47="Central &amp; Southern Coast, Central Valley","CentralSouth",IF(Reforestation!$C47="Sierra Nevada/Klamath/Cascades","Sierra",IF(Reforestation!$C47="Great Basin","GreatBasin",IF(Reforestation!$C47="Mojave","Mojave","")))))</f>
        <v/>
      </c>
      <c r="D4" s="166" t="str">
        <f>CONCATENATE(Reforestation!C47,Reforestation!C48)</f>
        <v/>
      </c>
      <c r="E4" s="168" t="str">
        <f>IF(D4="North CoastI",'Baseline Reforestation'!J$2,IF(D4="North CoastII",'Baseline Reforestation'!$J$3,IF(D4="North CoastIII",'Baseline Reforestation'!$J$4,IF(D4="North CoastIV",'Baseline Reforestation'!$J$5,IF(D4="North CoastV",'Baseline Reforestation'!$J$6,IF(D4="Great BasinV",'Baseline Reforestation'!$J$7,IF(D4="Central &amp; Southern Coast, Central ValleyI-III",'Baseline Reforestation'!$J$8,IF(D4="Central &amp; Southern Coast, Central ValleyIV",'Baseline Reforestation'!$J$9,IF(D4="Central &amp; Southern Coast, Central ValleyV",'Baseline Reforestation'!$J$10,IF(D4="MojaveV",'Baseline Reforestation'!$J$11,IF(D4="Sierra Nevada/Klamath/CascadesI",'Baseline Reforestation'!$J$12,IF(D4="Sierra Nevada/Klamath/CascadesII",'Baseline Reforestation'!$J$13,IF(D4="Sierra Nevada/Klamath/CascadesIII",'Baseline Reforestation'!$J$14,IF(D4="Sierra Nevada/Klamath/CascadesIV",'Baseline Reforestation'!$J$15,IF(D4="Sierra Nevada/Klamath/CascadesV",'Baseline Reforestation'!$J$16,"")))))))))))))))</f>
        <v/>
      </c>
      <c r="F4" s="164" t="str">
        <f>IF(D4="North CoastI",'Baseline Reforestation'!D$2,IF(D4="North CoastII",'Baseline Reforestation'!$D$3,IF(D4="North CoastIII",'Baseline Reforestation'!$D$4,IF(D4="North CoastIV",'Baseline Reforestation'!$D$5,IF(D4="North CoastV",'Baseline Reforestation'!$D$6,IF(D4="Great BasinV",'Baseline Reforestation'!$D$7,IF(D4="Central &amp; Southern Coast, Central ValleyI-III",'Baseline Reforestation'!$D$8,IF(D4="Central &amp; Southern Coast, Central ValleyIV",'Baseline Reforestation'!$D$9,IF(D4="Central &amp; Southern Coast, Central ValleyV",'Baseline Reforestation'!$D$10,IF(D4="MojaveV",'Baseline Reforestation'!$D$11,IF(D4="Sierra Nevada/Klamath/CascadesI",'Baseline Reforestation'!$D$12,IF(D4="Sierra Nevada/Klamath/CascadesII",'Baseline Reforestation'!$D$13,IF(D4="Sierra Nevada/Klamath/CascadesIII",'Baseline Reforestation'!$D$14,IF(D4="Sierra Nevada/Klamath/CascadesIV",'Baseline Reforestation'!$D$15,IF(D4="Sierra Nevada/Klamath/CascadesV",'Baseline Reforestation'!$D$16,"")))))))))))))))</f>
        <v/>
      </c>
    </row>
    <row r="5" spans="1:17" ht="18" customHeight="1">
      <c r="A5" s="54" t="s">
        <v>81</v>
      </c>
      <c r="B5" s="171">
        <v>4</v>
      </c>
      <c r="C5" s="165" t="str">
        <f>IF(Reforestation!$C62="North Coast","NorthCoast",IF(Reforestation!$C62="Central &amp; Southern Coast, Central Valley","CentralSouth",IF(Reforestation!$C62="Sierra Nevada/Klamath/Cascades","Sierra",IF(Reforestation!$C62="Great Basin","GreatBasin",IF(Reforestation!$C62="Mojave","Mojave","")))))</f>
        <v/>
      </c>
      <c r="D5" s="166" t="str">
        <f>CONCATENATE(Reforestation!C62,Reforestation!C63)</f>
        <v/>
      </c>
      <c r="E5" s="169" t="str">
        <f>IF(D5="North CoastI",'Baseline Reforestation'!J$2,IF(D5="North CoastII",'Baseline Reforestation'!$J$3,IF(D5="North CoastIII",'Baseline Reforestation'!$J$4,IF(D5="North CoastIV",'Baseline Reforestation'!$J$5,IF(D5="North CoastV",'Baseline Reforestation'!$J$6,IF(D5="Great BasinV",'Baseline Reforestation'!$J$7,IF(D5="Central &amp; Southern Coast, Central ValleyI-III",'Baseline Reforestation'!$J$8,IF(D5="Central &amp; Southern Coast, Central ValleyIV",'Baseline Reforestation'!$J$9,IF(D5="Central &amp; Southern Coast, Central ValleyV",'Baseline Reforestation'!$J$10,IF(D5="MojaveV",'Baseline Reforestation'!$J$11,IF(D5="Sierra Nevada/Klamath/CascadesI",'Baseline Reforestation'!$J$12,IF(D5="Sierra Nevada/Klamath/CascadesII",'Baseline Reforestation'!$J$13,IF(D5="Sierra Nevada/Klamath/CascadesIII",'Baseline Reforestation'!$J$14,IF(D5="Sierra Nevada/Klamath/CascadesIV",'Baseline Reforestation'!$J$15,IF(D5="Sierra Nevada/Klamath/CascadesV",'Baseline Reforestation'!$J$16,"")))))))))))))))</f>
        <v/>
      </c>
      <c r="F5" s="170" t="str">
        <f>IF(D5="North CoastI",'Baseline Reforestation'!D$2,IF(D5="North CoastII",'Baseline Reforestation'!$D$3,IF(D5="North CoastIII",'Baseline Reforestation'!$D$4,IF(D5="North CoastIV",'Baseline Reforestation'!$D$5,IF(D5="North CoastV",'Baseline Reforestation'!$D$6,IF(D5="Great BasinV",'Baseline Reforestation'!$D$7,IF(D5="Central &amp; Southern Coast, Central ValleyI-III",'Baseline Reforestation'!$D$8,IF(D5="Central &amp; Southern Coast, Central ValleyIV",'Baseline Reforestation'!$D$9,IF(D5="Central &amp; Southern Coast, Central ValleyV",'Baseline Reforestation'!$D$10,IF(D5="MojaveV",'Baseline Reforestation'!$D$11,IF(D5="Sierra Nevada/Klamath/CascadesI",'Baseline Reforestation'!$D$12,IF(D5="Sierra Nevada/Klamath/CascadesII",'Baseline Reforestation'!$D$13,IF(D5="Sierra Nevada/Klamath/CascadesIII",'Baseline Reforestation'!$D$14,IF(D5="Sierra Nevada/Klamath/CascadesIV",'Baseline Reforestation'!$D$15,IF(D5="Sierra Nevada/Klamath/CascadesV",'Baseline Reforestation'!$D$16,"")))))))))))))))</f>
        <v/>
      </c>
    </row>
    <row r="6" spans="1:17" ht="18" customHeight="1">
      <c r="A6" s="54" t="s">
        <v>83</v>
      </c>
      <c r="B6" s="171">
        <v>5</v>
      </c>
      <c r="C6" s="164" t="str">
        <f>IF(Reforestation!$C77="North Coast","NorthCoast",IF(Reforestation!$C77="Central &amp; Southern Coast, Central Valley","CentralSouth",IF(Reforestation!$C77="Sierra Nevada/Klamath/Cascades","Sierra",IF(Reforestation!$C77="Great Basin","GreatBasin",IF(Reforestation!$C77="Mojave","Mojave","")))))</f>
        <v/>
      </c>
      <c r="D6" s="166" t="str">
        <f>CONCATENATE(Reforestation!C77,Reforestation!C78)</f>
        <v/>
      </c>
      <c r="E6" s="168" t="str">
        <f>IF(D6="North CoastI",'Baseline Reforestation'!J$2,IF(D6="North CoastII",'Baseline Reforestation'!$J$3,IF(D6="North CoastIII",'Baseline Reforestation'!$J$4,IF(D6="North CoastIV",'Baseline Reforestation'!$J$5,IF(D6="North CoastV",'Baseline Reforestation'!$J$6,IF(D6="Great BasinV",'Baseline Reforestation'!$J$7,IF(D6="Central &amp; Southern Coast, Central ValleyI-III",'Baseline Reforestation'!$J$8,IF(D6="Central &amp; Southern Coast, Central ValleyIV",'Baseline Reforestation'!$J$9,IF(D6="Central &amp; Southern Coast, Central ValleyV",'Baseline Reforestation'!$J$10,IF(D6="MojaveV",'Baseline Reforestation'!$J$11,IF(D6="Sierra Nevada/Klamath/CascadesI",'Baseline Reforestation'!$J$12,IF(D6="Sierra Nevada/Klamath/CascadesII",'Baseline Reforestation'!$J$13,IF(D6="Sierra Nevada/Klamath/CascadesIII",'Baseline Reforestation'!$J$14,IF(D6="Sierra Nevada/Klamath/CascadesIV",'Baseline Reforestation'!$J$15,IF(D6="Sierra Nevada/Klamath/CascadesV",'Baseline Reforestation'!$J$16,"")))))))))))))))</f>
        <v/>
      </c>
      <c r="F6" s="164" t="str">
        <f>IF(D6="North CoastI",'Baseline Reforestation'!D$2,IF(D6="North CoastII",'Baseline Reforestation'!$D$3,IF(D6="North CoastIII",'Baseline Reforestation'!$D$4,IF(D6="North CoastIV",'Baseline Reforestation'!$D$5,IF(D6="North CoastV",'Baseline Reforestation'!$D$6,IF(D6="Great BasinV",'Baseline Reforestation'!$D$7,IF(D6="Central &amp; Southern Coast, Central ValleyI-III",'Baseline Reforestation'!$D$8,IF(D6="Central &amp; Southern Coast, Central ValleyIV",'Baseline Reforestation'!$D$9,IF(D6="Central &amp; Southern Coast, Central ValleyV",'Baseline Reforestation'!$D$10,IF(D6="MojaveV",'Baseline Reforestation'!$D$11,IF(D6="Sierra Nevada/Klamath/CascadesI",'Baseline Reforestation'!$D$12,IF(D6="Sierra Nevada/Klamath/CascadesII",'Baseline Reforestation'!$D$13,IF(D6="Sierra Nevada/Klamath/CascadesIII",'Baseline Reforestation'!$D$14,IF(D6="Sierra Nevada/Klamath/CascadesIV",'Baseline Reforestation'!$D$15,IF(D6="Sierra Nevada/Klamath/CascadesV",'Baseline Reforestation'!$D$16,"")))))))))))))))</f>
        <v/>
      </c>
    </row>
    <row r="7" spans="1:17" ht="18" customHeight="1">
      <c r="A7" s="54" t="s">
        <v>82</v>
      </c>
      <c r="B7" s="171">
        <v>6</v>
      </c>
      <c r="C7" s="165" t="str">
        <f>IF(Reforestation!$C92="North Coast","NorthCoast",IF(Reforestation!$C92="Central &amp; Southern Coast, Central Valley","CentralSouth",IF(Reforestation!$C92="Sierra Nevada/Klamath/Cascades","Sierra",IF(Reforestation!$C92="Great Basin","GreatBasin",IF(Reforestation!$C92="Mojave","Mojave","")))))</f>
        <v/>
      </c>
      <c r="D7" s="166" t="str">
        <f>CONCATENATE(Reforestation!C92,Reforestation!C93)</f>
        <v/>
      </c>
      <c r="E7" s="169" t="str">
        <f>IF(D7="North CoastI",'Baseline Reforestation'!J$2,IF(D7="North CoastII",'Baseline Reforestation'!$J$3,IF(D7="North CoastIII",'Baseline Reforestation'!$J$4,IF(D7="North CoastIV",'Baseline Reforestation'!$J$5,IF(D7="North CoastV",'Baseline Reforestation'!$J$6,IF(D7="Great BasinV",'Baseline Reforestation'!$J$7,IF(D7="Central &amp; Southern Coast, Central ValleyI-III",'Baseline Reforestation'!$J$8,IF(D7="Central &amp; Southern Coast, Central ValleyIV",'Baseline Reforestation'!$J$9,IF(D7="Central &amp; Southern Coast, Central ValleyV",'Baseline Reforestation'!$J$10,IF(D7="MojaveV",'Baseline Reforestation'!$J$11,IF(D7="Sierra Nevada/Klamath/CascadesI",'Baseline Reforestation'!$J$12,IF(D7="Sierra Nevada/Klamath/CascadesII",'Baseline Reforestation'!$J$13,IF(D7="Sierra Nevada/Klamath/CascadesIII",'Baseline Reforestation'!$J$14,IF(D7="Sierra Nevada/Klamath/CascadesIV",'Baseline Reforestation'!$J$15,IF(D7="Sierra Nevada/Klamath/CascadesV",'Baseline Reforestation'!$J$16,"")))))))))))))))</f>
        <v/>
      </c>
      <c r="F7" s="170" t="str">
        <f>IF(D7="North CoastI",'Baseline Reforestation'!D$2,IF(D7="North CoastII",'Baseline Reforestation'!$D$3,IF(D7="North CoastIII",'Baseline Reforestation'!$D$4,IF(D7="North CoastIV",'Baseline Reforestation'!$D$5,IF(D7="North CoastV",'Baseline Reforestation'!$D$6,IF(D7="Great BasinV",'Baseline Reforestation'!$D$7,IF(D7="Central &amp; Southern Coast, Central ValleyI-III",'Baseline Reforestation'!$D$8,IF(D7="Central &amp; Southern Coast, Central ValleyIV",'Baseline Reforestation'!$D$9,IF(D7="Central &amp; Southern Coast, Central ValleyV",'Baseline Reforestation'!$D$10,IF(D7="MojaveV",'Baseline Reforestation'!$D$11,IF(D7="Sierra Nevada/Klamath/CascadesI",'Baseline Reforestation'!$D$12,IF(D7="Sierra Nevada/Klamath/CascadesII",'Baseline Reforestation'!$D$13,IF(D7="Sierra Nevada/Klamath/CascadesIII",'Baseline Reforestation'!$D$14,IF(D7="Sierra Nevada/Klamath/CascadesIV",'Baseline Reforestation'!$D$15,IF(D7="Sierra Nevada/Klamath/CascadesV",'Baseline Reforestation'!$D$16,"")))))))))))))))</f>
        <v/>
      </c>
    </row>
    <row r="8" spans="1:17">
      <c r="B8" s="171">
        <v>7</v>
      </c>
      <c r="C8" s="164" t="str">
        <f>IF(Reforestation!$C107="North Coast","NorthCoast",IF(Reforestation!$C107="Central &amp; Southern Coast, Central Valley","CentralSouth",IF(Reforestation!$C107="Sierra Nevada/Klamath/Cascades","Sierra",IF(Reforestation!$C107="Great Basin","GreatBasin",IF(Reforestation!$C107="Mojave","Mojave","")))))</f>
        <v/>
      </c>
      <c r="D8" s="166" t="str">
        <f>CONCATENATE(Reforestation!C107,Reforestation!C108)</f>
        <v/>
      </c>
      <c r="E8" s="168" t="str">
        <f>IF(D8="North CoastI",'Baseline Reforestation'!J$2,IF(D8="North CoastII",'Baseline Reforestation'!$J$3,IF(D8="North CoastIII",'Baseline Reforestation'!$J$4,IF(D8="North CoastIV",'Baseline Reforestation'!$J$5,IF(D8="North CoastV",'Baseline Reforestation'!$J$6,IF(D8="Great BasinV",'Baseline Reforestation'!$J$7,IF(D8="Central &amp; Southern Coast, Central ValleyI-III",'Baseline Reforestation'!$J$8,IF(D8="Central &amp; Southern Coast, Central ValleyIV",'Baseline Reforestation'!$J$9,IF(D8="Central &amp; Southern Coast, Central ValleyV",'Baseline Reforestation'!$J$10,IF(D8="MojaveV",'Baseline Reforestation'!$J$11,IF(D8="Sierra Nevada/Klamath/CascadesI",'Baseline Reforestation'!$J$12,IF(D8="Sierra Nevada/Klamath/CascadesII",'Baseline Reforestation'!$J$13,IF(D8="Sierra Nevada/Klamath/CascadesIII",'Baseline Reforestation'!$J$14,IF(D8="Sierra Nevada/Klamath/CascadesIV",'Baseline Reforestation'!$J$15,IF(D8="Sierra Nevada/Klamath/CascadesV",'Baseline Reforestation'!$J$16,"")))))))))))))))</f>
        <v/>
      </c>
      <c r="F8" s="164" t="str">
        <f>IF(D8="North CoastI",'Baseline Reforestation'!D$2,IF(D8="North CoastII",'Baseline Reforestation'!$D$3,IF(D8="North CoastIII",'Baseline Reforestation'!$D$4,IF(D8="North CoastIV",'Baseline Reforestation'!$D$5,IF(D8="North CoastV",'Baseline Reforestation'!$D$6,IF(D8="Great BasinV",'Baseline Reforestation'!$D$7,IF(D8="Central &amp; Southern Coast, Central ValleyI-III",'Baseline Reforestation'!$D$8,IF(D8="Central &amp; Southern Coast, Central ValleyIV",'Baseline Reforestation'!$D$9,IF(D8="Central &amp; Southern Coast, Central ValleyV",'Baseline Reforestation'!$D$10,IF(D8="MojaveV",'Baseline Reforestation'!$D$11,IF(D8="Sierra Nevada/Klamath/CascadesI",'Baseline Reforestation'!$D$12,IF(D8="Sierra Nevada/Klamath/CascadesII",'Baseline Reforestation'!$D$13,IF(D8="Sierra Nevada/Klamath/CascadesIII",'Baseline Reforestation'!$D$14,IF(D8="Sierra Nevada/Klamath/CascadesIV",'Baseline Reforestation'!$D$15,IF(D8="Sierra Nevada/Klamath/CascadesV",'Baseline Reforestation'!$D$16,"")))))))))))))))</f>
        <v/>
      </c>
    </row>
    <row r="9" spans="1:17" ht="17">
      <c r="A9" s="54" t="s">
        <v>90</v>
      </c>
      <c r="B9" s="171">
        <v>8</v>
      </c>
      <c r="C9" s="165" t="str">
        <f>IF(Reforestation!$C122="North Coast","NorthCoast",IF(Reforestation!$C122="Central &amp; Southern Coast, Central Valley","CentralSouth",IF(Reforestation!$C122="Sierra Nevada/Klamath/Cascades","Sierra",IF(Reforestation!$C122="Great Basin","GreatBasin",IF(Reforestation!$C122="Mojave","Mojave","")))))</f>
        <v/>
      </c>
      <c r="D9" s="166" t="str">
        <f>CONCATENATE(Reforestation!C122,Reforestation!C123)</f>
        <v/>
      </c>
      <c r="E9" s="169" t="str">
        <f>IF(D9="North CoastI",'Baseline Reforestation'!J$2,IF(D9="North CoastII",'Baseline Reforestation'!$J$3,IF(D9="North CoastIII",'Baseline Reforestation'!$J$4,IF(D9="North CoastIV",'Baseline Reforestation'!$J$5,IF(D9="North CoastV",'Baseline Reforestation'!$J$6,IF(D9="Great BasinV",'Baseline Reforestation'!$J$7,IF(D9="Central &amp; Southern Coast, Central ValleyI-III",'Baseline Reforestation'!$J$8,IF(D9="Central &amp; Southern Coast, Central ValleyIV",'Baseline Reforestation'!$J$9,IF(D9="Central &amp; Southern Coast, Central ValleyV",'Baseline Reforestation'!$J$10,IF(D9="MojaveV",'Baseline Reforestation'!$J$11,IF(D9="Sierra Nevada/Klamath/CascadesI",'Baseline Reforestation'!$J$12,IF(D9="Sierra Nevada/Klamath/CascadesII",'Baseline Reforestation'!$J$13,IF(D9="Sierra Nevada/Klamath/CascadesIII",'Baseline Reforestation'!$J$14,IF(D9="Sierra Nevada/Klamath/CascadesIV",'Baseline Reforestation'!$J$15,IF(D9="Sierra Nevada/Klamath/CascadesV",'Baseline Reforestation'!$J$16,"")))))))))))))))</f>
        <v/>
      </c>
      <c r="F9" s="170" t="str">
        <f>IF(D9="North CoastI",'Baseline Reforestation'!D$2,IF(D9="North CoastII",'Baseline Reforestation'!$D$3,IF(D9="North CoastIII",'Baseline Reforestation'!$D$4,IF(D9="North CoastIV",'Baseline Reforestation'!$D$5,IF(D9="North CoastV",'Baseline Reforestation'!$D$6,IF(D9="Great BasinV",'Baseline Reforestation'!$D$7,IF(D9="Central &amp; Southern Coast, Central ValleyI-III",'Baseline Reforestation'!$D$8,IF(D9="Central &amp; Southern Coast, Central ValleyIV",'Baseline Reforestation'!$D$9,IF(D9="Central &amp; Southern Coast, Central ValleyV",'Baseline Reforestation'!$D$10,IF(D9="MojaveV",'Baseline Reforestation'!$D$11,IF(D9="Sierra Nevada/Klamath/CascadesI",'Baseline Reforestation'!$D$12,IF(D9="Sierra Nevada/Klamath/CascadesII",'Baseline Reforestation'!$D$13,IF(D9="Sierra Nevada/Klamath/CascadesIII",'Baseline Reforestation'!$D$14,IF(D9="Sierra Nevada/Klamath/CascadesIV",'Baseline Reforestation'!$D$15,IF(D9="Sierra Nevada/Klamath/CascadesV",'Baseline Reforestation'!$D$16,"")))))))))))))))</f>
        <v/>
      </c>
    </row>
    <row r="10" spans="1:17" ht="17">
      <c r="A10" s="54" t="s">
        <v>91</v>
      </c>
      <c r="B10" s="171">
        <v>9</v>
      </c>
      <c r="C10" s="164" t="str">
        <f>IF(Reforestation!$C137="North Coast","NorthCoast",IF(Reforestation!$C137="Central &amp; Southern Coast, Central Valley","CentralSouth",IF(Reforestation!$C137="Sierra Nevada/Klamath/Cascades","Sierra",IF(Reforestation!$C137="Great Basin","GreatBasin",IF(Reforestation!$C137="Mojave","Mojave","")))))</f>
        <v/>
      </c>
      <c r="D10" s="166" t="str">
        <f>CONCATENATE(Reforestation!C137,Reforestation!C138)</f>
        <v/>
      </c>
      <c r="E10" s="168" t="str">
        <f>IF(D10="North CoastI",'Baseline Reforestation'!J$2,IF(D10="North CoastII",'Baseline Reforestation'!$J$3,IF(D10="North CoastIII",'Baseline Reforestation'!$J$4,IF(D10="North CoastIV",'Baseline Reforestation'!$J$5,IF(D10="North CoastV",'Baseline Reforestation'!$J$6,IF(D10="Great BasinV",'Baseline Reforestation'!$J$7,IF(D10="Central &amp; Southern Coast, Central ValleyI-III",'Baseline Reforestation'!$J$8,IF(D10="Central &amp; Southern Coast, Central ValleyIV",'Baseline Reforestation'!$J$9,IF(D10="Central &amp; Southern Coast, Central ValleyV",'Baseline Reforestation'!$J$10,IF(D10="MojaveV",'Baseline Reforestation'!$J$11,IF(D10="Sierra Nevada/Klamath/CascadesI",'Baseline Reforestation'!$J$12,IF(D10="Sierra Nevada/Klamath/CascadesII",'Baseline Reforestation'!$J$13,IF(D10="Sierra Nevada/Klamath/CascadesIII",'Baseline Reforestation'!$J$14,IF(D10="Sierra Nevada/Klamath/CascadesIV",'Baseline Reforestation'!$J$15,IF(D10="Sierra Nevada/Klamath/CascadesV",'Baseline Reforestation'!$J$16,"")))))))))))))))</f>
        <v/>
      </c>
      <c r="F10" s="164" t="str">
        <f>IF(D10="North CoastI",'Baseline Reforestation'!D$2,IF(D10="North CoastII",'Baseline Reforestation'!$D$3,IF(D10="North CoastIII",'Baseline Reforestation'!$D$4,IF(D10="North CoastIV",'Baseline Reforestation'!$D$5,IF(D10="North CoastV",'Baseline Reforestation'!$D$6,IF(D10="Great BasinV",'Baseline Reforestation'!$D$7,IF(D10="Central &amp; Southern Coast, Central ValleyI-III",'Baseline Reforestation'!$D$8,IF(D10="Central &amp; Southern Coast, Central ValleyIV",'Baseline Reforestation'!$D$9,IF(D10="Central &amp; Southern Coast, Central ValleyV",'Baseline Reforestation'!$D$10,IF(D10="MojaveV",'Baseline Reforestation'!$D$11,IF(D10="Sierra Nevada/Klamath/CascadesI",'Baseline Reforestation'!$D$12,IF(D10="Sierra Nevada/Klamath/CascadesII",'Baseline Reforestation'!$D$13,IF(D10="Sierra Nevada/Klamath/CascadesIII",'Baseline Reforestation'!$D$14,IF(D10="Sierra Nevada/Klamath/CascadesIV",'Baseline Reforestation'!$D$15,IF(D10="Sierra Nevada/Klamath/CascadesV",'Baseline Reforestation'!$D$16,"")))))))))))))))</f>
        <v/>
      </c>
    </row>
    <row r="11" spans="1:17" ht="17">
      <c r="A11" s="54" t="s">
        <v>92</v>
      </c>
      <c r="B11" s="171">
        <v>10</v>
      </c>
      <c r="C11" s="165" t="str">
        <f>IF(Reforestation!$C152="North Coast","NorthCoast",IF(Reforestation!$C152="Central &amp; Southern Coast, Central Valley","CentralSouth",IF(Reforestation!$C152="Sierra Nevada/Klamath/Cascades","Sierra",IF(Reforestation!$C152="Great Basin","GreatBasin",IF(Reforestation!$C152="Mojave","Mojave","")))))</f>
        <v/>
      </c>
      <c r="D11" s="166" t="str">
        <f>CONCATENATE(Reforestation!C152,Reforestation!C153)</f>
        <v/>
      </c>
      <c r="E11" s="169" t="str">
        <f>IF(D11="North CoastI",'Baseline Reforestation'!J$2,IF(D11="North CoastII",'Baseline Reforestation'!$J$3,IF(D11="North CoastIII",'Baseline Reforestation'!$J$4,IF(D11="North CoastIV",'Baseline Reforestation'!$J$5,IF(D11="North CoastV",'Baseline Reforestation'!$J$6,IF(D11="Great BasinV",'Baseline Reforestation'!$J$7,IF(D11="Central &amp; Southern Coast, Central ValleyI-III",'Baseline Reforestation'!$J$8,IF(D11="Central &amp; Southern Coast, Central ValleyIV",'Baseline Reforestation'!$J$9,IF(D11="Central &amp; Southern Coast, Central ValleyV",'Baseline Reforestation'!$J$10,IF(D11="MojaveV",'Baseline Reforestation'!$J$11,IF(D11="Sierra Nevada/Klamath/CascadesI",'Baseline Reforestation'!$J$12,IF(D11="Sierra Nevada/Klamath/CascadesII",'Baseline Reforestation'!$J$13,IF(D11="Sierra Nevada/Klamath/CascadesIII",'Baseline Reforestation'!$J$14,IF(D11="Sierra Nevada/Klamath/CascadesIV",'Baseline Reforestation'!$J$15,IF(D11="Sierra Nevada/Klamath/CascadesV",'Baseline Reforestation'!$J$16,"")))))))))))))))</f>
        <v/>
      </c>
      <c r="F11" s="170" t="str">
        <f>IF(D11="North CoastI",'Baseline Reforestation'!D$2,IF(D11="North CoastII",'Baseline Reforestation'!$D$3,IF(D11="North CoastIII",'Baseline Reforestation'!$D$4,IF(D11="North CoastIV",'Baseline Reforestation'!$D$5,IF(D11="North CoastV",'Baseline Reforestation'!$D$6,IF(D11="Great BasinV",'Baseline Reforestation'!$D$7,IF(D11="Central &amp; Southern Coast, Central ValleyI-III",'Baseline Reforestation'!$D$8,IF(D11="Central &amp; Southern Coast, Central ValleyIV",'Baseline Reforestation'!$D$9,IF(D11="Central &amp; Southern Coast, Central ValleyV",'Baseline Reforestation'!$D$10,IF(D11="MojaveV",'Baseline Reforestation'!$D$11,IF(D11="Sierra Nevada/Klamath/CascadesI",'Baseline Reforestation'!$D$12,IF(D11="Sierra Nevada/Klamath/CascadesII",'Baseline Reforestation'!$D$13,IF(D11="Sierra Nevada/Klamath/CascadesIII",'Baseline Reforestation'!$D$14,IF(D11="Sierra Nevada/Klamath/CascadesIV",'Baseline Reforestation'!$D$15,IF(D11="Sierra Nevada/Klamath/CascadesV",'Baseline Reforestation'!$D$16,"")))))))))))))))</f>
        <v/>
      </c>
    </row>
    <row r="12" spans="1:17" ht="17">
      <c r="A12" s="54" t="s">
        <v>93</v>
      </c>
    </row>
    <row r="13" spans="1:17" ht="17">
      <c r="A13" s="54" t="s">
        <v>94</v>
      </c>
      <c r="B13" s="180" t="s">
        <v>468</v>
      </c>
      <c r="C13" s="181" t="s">
        <v>467</v>
      </c>
      <c r="E13" s="161" t="s">
        <v>493</v>
      </c>
      <c r="F13" s="161"/>
      <c r="G13" s="161"/>
      <c r="H13" s="161"/>
      <c r="I13" s="161"/>
      <c r="J13" s="161"/>
      <c r="K13" s="161"/>
      <c r="L13" s="161"/>
      <c r="M13" s="161"/>
      <c r="N13" s="161"/>
      <c r="O13" s="161"/>
      <c r="P13" s="161"/>
      <c r="Q13" s="161"/>
    </row>
    <row r="14" spans="1:17" ht="17">
      <c r="A14" s="54" t="s">
        <v>95</v>
      </c>
      <c r="B14" s="182" t="s">
        <v>417</v>
      </c>
      <c r="C14" s="183" t="str">
        <f>Reforestation!C22</f>
        <v/>
      </c>
      <c r="E14" s="161" t="s">
        <v>494</v>
      </c>
      <c r="F14" s="161" t="s">
        <v>371</v>
      </c>
      <c r="G14" s="161" t="s">
        <v>495</v>
      </c>
      <c r="H14" s="161" t="s">
        <v>107</v>
      </c>
      <c r="I14" s="161" t="s">
        <v>382</v>
      </c>
      <c r="J14" s="216" t="s">
        <v>383</v>
      </c>
      <c r="K14" s="216" t="s">
        <v>381</v>
      </c>
      <c r="L14" s="216" t="s">
        <v>378</v>
      </c>
      <c r="M14" s="216" t="s">
        <v>375</v>
      </c>
      <c r="N14" s="216" t="s">
        <v>379</v>
      </c>
      <c r="O14" s="216" t="s">
        <v>376</v>
      </c>
      <c r="P14" s="216" t="s">
        <v>377</v>
      </c>
      <c r="Q14" s="216" t="s">
        <v>380</v>
      </c>
    </row>
    <row r="15" spans="1:17">
      <c r="B15" s="182" t="s">
        <v>418</v>
      </c>
      <c r="C15" s="183" t="str">
        <f>Reforestation!C37</f>
        <v/>
      </c>
      <c r="E15" t="s">
        <v>16</v>
      </c>
      <c r="F15">
        <v>1</v>
      </c>
      <c r="G15" s="172">
        <f>Reforestation!C20</f>
        <v>0</v>
      </c>
      <c r="H15" s="172">
        <f>Reforestation!C19</f>
        <v>0</v>
      </c>
      <c r="I15">
        <f>SUMIF(G15:G24,I14,H15:H24)</f>
        <v>0</v>
      </c>
      <c r="J15">
        <f t="shared" ref="J15:Q15" si="0">SUMIF($G15:$G24,J14,$H15:$H24)</f>
        <v>0</v>
      </c>
      <c r="K15" s="190">
        <f t="shared" si="0"/>
        <v>0</v>
      </c>
      <c r="L15" s="190">
        <f t="shared" si="0"/>
        <v>0</v>
      </c>
      <c r="M15" s="190">
        <f t="shared" si="0"/>
        <v>0</v>
      </c>
      <c r="N15" s="190">
        <f t="shared" si="0"/>
        <v>0</v>
      </c>
      <c r="O15" s="190">
        <f t="shared" si="0"/>
        <v>0</v>
      </c>
      <c r="P15" s="190">
        <f t="shared" si="0"/>
        <v>0</v>
      </c>
      <c r="Q15" s="190">
        <f t="shared" si="0"/>
        <v>0</v>
      </c>
    </row>
    <row r="16" spans="1:17" ht="17">
      <c r="A16" s="54" t="s">
        <v>372</v>
      </c>
      <c r="B16" s="182" t="s">
        <v>419</v>
      </c>
      <c r="C16" s="183" t="str">
        <f>Reforestation!C52</f>
        <v/>
      </c>
      <c r="E16" s="190" t="s">
        <v>16</v>
      </c>
      <c r="F16">
        <v>2</v>
      </c>
      <c r="G16" s="172">
        <f>Reforestation!C35</f>
        <v>0</v>
      </c>
      <c r="H16" s="172">
        <f>Reforestation!C34</f>
        <v>0</v>
      </c>
    </row>
    <row r="17" spans="1:17" ht="17">
      <c r="A17" s="54" t="s">
        <v>373</v>
      </c>
      <c r="B17" s="182" t="s">
        <v>420</v>
      </c>
      <c r="C17" s="183" t="str">
        <f>Reforestation!C67</f>
        <v/>
      </c>
      <c r="E17" s="190" t="s">
        <v>16</v>
      </c>
      <c r="F17">
        <v>3</v>
      </c>
      <c r="G17" s="172">
        <f>Reforestation!C50</f>
        <v>0</v>
      </c>
      <c r="H17" s="172">
        <f>Reforestation!C49</f>
        <v>0</v>
      </c>
    </row>
    <row r="18" spans="1:17" ht="16">
      <c r="A18" s="54"/>
      <c r="B18" s="182" t="s">
        <v>421</v>
      </c>
      <c r="C18" s="183" t="str">
        <f>Reforestation!C82</f>
        <v/>
      </c>
      <c r="E18" s="190" t="s">
        <v>16</v>
      </c>
      <c r="F18">
        <v>4</v>
      </c>
      <c r="G18" s="172">
        <f>Reforestation!C65</f>
        <v>0</v>
      </c>
      <c r="H18" s="172">
        <f>Reforestation!C64</f>
        <v>0</v>
      </c>
    </row>
    <row r="19" spans="1:17" ht="16">
      <c r="A19" s="176" t="s">
        <v>374</v>
      </c>
      <c r="B19" s="182" t="s">
        <v>422</v>
      </c>
      <c r="C19" s="183" t="str">
        <f>Reforestation!C97</f>
        <v/>
      </c>
      <c r="E19" s="190" t="s">
        <v>16</v>
      </c>
      <c r="F19">
        <v>5</v>
      </c>
      <c r="G19" s="172">
        <f>Reforestation!C79</f>
        <v>0</v>
      </c>
      <c r="H19" s="172">
        <f>Reforestation!C78</f>
        <v>0</v>
      </c>
    </row>
    <row r="20" spans="1:17" ht="16">
      <c r="A20" s="177" t="s">
        <v>382</v>
      </c>
      <c r="B20" s="182" t="s">
        <v>423</v>
      </c>
      <c r="C20" s="183" t="str">
        <f>Reforestation!C112</f>
        <v/>
      </c>
      <c r="E20" s="190" t="s">
        <v>16</v>
      </c>
      <c r="F20">
        <v>6</v>
      </c>
      <c r="G20" s="172">
        <f>Reforestation!C94</f>
        <v>0</v>
      </c>
      <c r="H20" s="172">
        <f>Reforestation!C93</f>
        <v>0</v>
      </c>
    </row>
    <row r="21" spans="1:17" ht="16">
      <c r="A21" s="177" t="s">
        <v>383</v>
      </c>
      <c r="B21" s="182" t="s">
        <v>424</v>
      </c>
      <c r="C21" s="183" t="str">
        <f>Reforestation!C127</f>
        <v/>
      </c>
      <c r="E21" s="190" t="s">
        <v>16</v>
      </c>
      <c r="F21">
        <v>7</v>
      </c>
      <c r="G21" s="172">
        <f>Reforestation!C109</f>
        <v>0</v>
      </c>
      <c r="H21" s="172">
        <f>Reforestation!C108</f>
        <v>0</v>
      </c>
    </row>
    <row r="22" spans="1:17" ht="16">
      <c r="A22" s="177" t="s">
        <v>381</v>
      </c>
      <c r="B22" s="182" t="s">
        <v>425</v>
      </c>
      <c r="C22" s="183" t="str">
        <f>Reforestation!C142</f>
        <v/>
      </c>
      <c r="E22" s="190" t="s">
        <v>16</v>
      </c>
      <c r="F22">
        <v>8</v>
      </c>
      <c r="G22" s="172">
        <f>Reforestation!C124</f>
        <v>0</v>
      </c>
      <c r="H22" s="172">
        <f>Reforestation!C123</f>
        <v>0</v>
      </c>
    </row>
    <row r="23" spans="1:17" ht="16">
      <c r="A23" s="177" t="s">
        <v>378</v>
      </c>
      <c r="B23" s="182" t="s">
        <v>426</v>
      </c>
      <c r="C23" s="183" t="str">
        <f>Reforestation!C157</f>
        <v/>
      </c>
      <c r="E23" s="190" t="s">
        <v>16</v>
      </c>
      <c r="F23" s="190">
        <v>9</v>
      </c>
      <c r="G23" s="172">
        <f>Reforestation!C139</f>
        <v>0</v>
      </c>
      <c r="H23" s="172">
        <f>Reforestation!C138</f>
        <v>0</v>
      </c>
    </row>
    <row r="24" spans="1:17" ht="16">
      <c r="A24" s="177" t="s">
        <v>375</v>
      </c>
      <c r="B24" s="182" t="s">
        <v>427</v>
      </c>
      <c r="C24" s="183" t="str">
        <f>'Pest Management'!D20</f>
        <v/>
      </c>
      <c r="E24" s="190" t="s">
        <v>16</v>
      </c>
      <c r="F24" s="190">
        <v>10</v>
      </c>
      <c r="G24" s="172">
        <f>Reforestation!C154</f>
        <v>0</v>
      </c>
      <c r="H24" s="172">
        <f>Reforestation!C153</f>
        <v>0</v>
      </c>
    </row>
    <row r="25" spans="1:17" ht="16">
      <c r="A25" s="177" t="s">
        <v>379</v>
      </c>
      <c r="B25" s="182" t="s">
        <v>428</v>
      </c>
      <c r="C25" s="183" t="str">
        <f>'Pest Management'!D33</f>
        <v/>
      </c>
      <c r="E25" t="s">
        <v>17</v>
      </c>
      <c r="F25" s="190">
        <v>1</v>
      </c>
      <c r="G25" s="172">
        <f>'Pest Management'!D17</f>
        <v>0</v>
      </c>
      <c r="H25" s="172">
        <f>'Pest Management'!D16</f>
        <v>0</v>
      </c>
      <c r="I25" s="190">
        <f>SUMIF($G25:$G34,I$14,$H25:$H34)</f>
        <v>0</v>
      </c>
      <c r="J25" s="190">
        <f t="shared" ref="J25:Q25" si="1">SUMIF($G25:$G34,J$14,$H25:$H34)</f>
        <v>0</v>
      </c>
      <c r="K25" s="190">
        <f t="shared" si="1"/>
        <v>0</v>
      </c>
      <c r="L25" s="190">
        <f t="shared" si="1"/>
        <v>0</v>
      </c>
      <c r="M25" s="190">
        <f t="shared" si="1"/>
        <v>0</v>
      </c>
      <c r="N25" s="190">
        <f t="shared" si="1"/>
        <v>0</v>
      </c>
      <c r="O25" s="190">
        <f t="shared" si="1"/>
        <v>0</v>
      </c>
      <c r="P25" s="190">
        <f t="shared" si="1"/>
        <v>0</v>
      </c>
      <c r="Q25" s="190">
        <f t="shared" si="1"/>
        <v>0</v>
      </c>
    </row>
    <row r="26" spans="1:17" ht="16">
      <c r="A26" s="177" t="s">
        <v>376</v>
      </c>
      <c r="B26" s="182" t="s">
        <v>429</v>
      </c>
      <c r="C26" s="183" t="str">
        <f>'Pest Management'!D46</f>
        <v/>
      </c>
      <c r="E26" s="190" t="s">
        <v>17</v>
      </c>
      <c r="F26" s="190">
        <v>2</v>
      </c>
      <c r="G26" s="172">
        <f>'Pest Management'!D30</f>
        <v>0</v>
      </c>
      <c r="H26" s="172">
        <f>'Pest Management'!D29</f>
        <v>0</v>
      </c>
    </row>
    <row r="27" spans="1:17" ht="16">
      <c r="A27" s="177" t="s">
        <v>377</v>
      </c>
      <c r="B27" s="182" t="s">
        <v>430</v>
      </c>
      <c r="C27" s="183" t="str">
        <f>'Pest Management'!D59</f>
        <v/>
      </c>
      <c r="E27" s="190" t="s">
        <v>17</v>
      </c>
      <c r="F27" s="190">
        <v>3</v>
      </c>
      <c r="G27" s="172">
        <f>'Pest Management'!D43</f>
        <v>0</v>
      </c>
      <c r="H27" s="172">
        <f>'Pest Management'!D42</f>
        <v>0</v>
      </c>
    </row>
    <row r="28" spans="1:17" ht="16">
      <c r="A28" s="177" t="s">
        <v>380</v>
      </c>
      <c r="B28" s="182" t="s">
        <v>431</v>
      </c>
      <c r="C28" s="183" t="str">
        <f>'Pest Management'!D72</f>
        <v/>
      </c>
      <c r="E28" s="190" t="s">
        <v>17</v>
      </c>
      <c r="F28" s="190">
        <v>4</v>
      </c>
      <c r="G28" s="172">
        <f>'Pest Management'!D56</f>
        <v>0</v>
      </c>
      <c r="H28" s="172">
        <f>'Pest Management'!D55</f>
        <v>0</v>
      </c>
    </row>
    <row r="29" spans="1:17">
      <c r="B29" s="182" t="s">
        <v>432</v>
      </c>
      <c r="C29" s="183" t="str">
        <f>'Pest Management'!D85</f>
        <v/>
      </c>
      <c r="E29" s="190" t="s">
        <v>17</v>
      </c>
      <c r="F29" s="190">
        <v>5</v>
      </c>
      <c r="G29" s="172">
        <f>'Pest Management'!D69</f>
        <v>0</v>
      </c>
      <c r="H29" s="172">
        <f>'Pest Management'!D68</f>
        <v>0</v>
      </c>
    </row>
    <row r="30" spans="1:17" ht="16">
      <c r="A30" s="177" t="s">
        <v>406</v>
      </c>
      <c r="B30" s="182" t="s">
        <v>433</v>
      </c>
      <c r="C30" s="183" t="str">
        <f>'Pest Management'!D98</f>
        <v/>
      </c>
      <c r="E30" s="190" t="s">
        <v>17</v>
      </c>
      <c r="F30" s="190">
        <v>6</v>
      </c>
      <c r="G30" s="172">
        <f>'Pest Management'!D82</f>
        <v>0</v>
      </c>
      <c r="H30" s="172">
        <f>'Pest Management'!D81</f>
        <v>0</v>
      </c>
    </row>
    <row r="31" spans="1:17" ht="16">
      <c r="A31" s="177" t="s">
        <v>403</v>
      </c>
      <c r="B31" s="182" t="s">
        <v>434</v>
      </c>
      <c r="C31" s="183" t="str">
        <f>'Pest Management'!D111</f>
        <v/>
      </c>
      <c r="E31" s="190" t="s">
        <v>17</v>
      </c>
      <c r="F31" s="190">
        <v>7</v>
      </c>
      <c r="G31" s="172">
        <f>'Pest Management'!D95</f>
        <v>0</v>
      </c>
      <c r="H31" s="172">
        <f>'Pest Management'!D94</f>
        <v>0</v>
      </c>
    </row>
    <row r="32" spans="1:17" ht="16">
      <c r="A32" s="177" t="s">
        <v>404</v>
      </c>
      <c r="B32" s="182" t="s">
        <v>435</v>
      </c>
      <c r="C32" s="183" t="str">
        <f>'Pest Management'!D124</f>
        <v/>
      </c>
      <c r="E32" s="190" t="s">
        <v>17</v>
      </c>
      <c r="F32" s="190">
        <v>8</v>
      </c>
      <c r="G32" s="172">
        <f>'Pest Management'!D108</f>
        <v>0</v>
      </c>
      <c r="H32" s="172">
        <f>'Pest Management'!D107</f>
        <v>0</v>
      </c>
    </row>
    <row r="33" spans="1:17" ht="16">
      <c r="A33" s="177" t="s">
        <v>405</v>
      </c>
      <c r="B33" s="182" t="s">
        <v>436</v>
      </c>
      <c r="C33" s="183" t="str">
        <f>'Pest Management'!D137</f>
        <v/>
      </c>
      <c r="E33" s="190" t="s">
        <v>17</v>
      </c>
      <c r="F33" s="190">
        <v>9</v>
      </c>
      <c r="G33" s="172">
        <f>'Pest Management'!D121</f>
        <v>0</v>
      </c>
      <c r="H33" s="172">
        <f>'Pest Management'!D120</f>
        <v>0</v>
      </c>
    </row>
    <row r="34" spans="1:17">
      <c r="B34" s="182" t="s">
        <v>437</v>
      </c>
      <c r="C34" s="183" t="str">
        <f>'Fuels Reduction'!D19</f>
        <v/>
      </c>
      <c r="E34" s="190" t="s">
        <v>17</v>
      </c>
      <c r="F34" s="190">
        <v>10</v>
      </c>
      <c r="G34" s="172">
        <f>'Pest Management'!D134</f>
        <v>0</v>
      </c>
      <c r="H34" s="172">
        <f>'Pest Management'!D133</f>
        <v>0</v>
      </c>
    </row>
    <row r="35" spans="1:17">
      <c r="A35" s="161" t="s">
        <v>348</v>
      </c>
      <c r="B35" s="182" t="s">
        <v>438</v>
      </c>
      <c r="C35" s="183" t="str">
        <f>'Fuels Reduction'!D42</f>
        <v/>
      </c>
      <c r="E35" t="s">
        <v>18</v>
      </c>
      <c r="F35" s="190">
        <v>1</v>
      </c>
      <c r="G35" s="172">
        <f>'Fuels Reduction'!D17</f>
        <v>0</v>
      </c>
      <c r="H35">
        <f>'Fuels Reduction'!D16</f>
        <v>0</v>
      </c>
      <c r="I35" s="190">
        <f>SUMIF($G35:$G44,I$14,$H35:$H44)</f>
        <v>0</v>
      </c>
      <c r="J35" s="190">
        <f>SUMIF($G35:$G44,J$14,$H35:$H44)</f>
        <v>0</v>
      </c>
      <c r="K35" s="190">
        <f t="shared" ref="K35:Q35" si="2">SUMIF($G35:$G44,K$14,$H35:$H44)</f>
        <v>0</v>
      </c>
      <c r="L35" s="190">
        <f t="shared" si="2"/>
        <v>0</v>
      </c>
      <c r="M35" s="190">
        <f t="shared" si="2"/>
        <v>0</v>
      </c>
      <c r="N35" s="190">
        <f t="shared" si="2"/>
        <v>0</v>
      </c>
      <c r="O35" s="190">
        <f t="shared" si="2"/>
        <v>0</v>
      </c>
      <c r="P35" s="190">
        <f t="shared" si="2"/>
        <v>0</v>
      </c>
      <c r="Q35" s="190">
        <f t="shared" si="2"/>
        <v>0</v>
      </c>
    </row>
    <row r="36" spans="1:17">
      <c r="A36" t="s">
        <v>344</v>
      </c>
      <c r="B36" s="182" t="s">
        <v>439</v>
      </c>
      <c r="C36" s="183" t="str">
        <f>'Fuels Reduction'!D65</f>
        <v/>
      </c>
      <c r="E36" s="190" t="s">
        <v>18</v>
      </c>
      <c r="F36" s="190">
        <v>2</v>
      </c>
      <c r="G36" s="172">
        <f>'Fuels Reduction'!D40</f>
        <v>0</v>
      </c>
      <c r="H36">
        <f>'Fuels Reduction'!D39</f>
        <v>0</v>
      </c>
    </row>
    <row r="37" spans="1:17">
      <c r="A37" t="s">
        <v>470</v>
      </c>
      <c r="B37" s="182" t="s">
        <v>440</v>
      </c>
      <c r="C37" s="183" t="str">
        <f>'Fuels Reduction'!D88</f>
        <v/>
      </c>
      <c r="E37" s="190" t="s">
        <v>18</v>
      </c>
      <c r="F37" s="190">
        <v>3</v>
      </c>
      <c r="G37" s="172">
        <f>'Fuels Reduction'!D63</f>
        <v>0</v>
      </c>
      <c r="H37">
        <f>'Fuels Reduction'!D62</f>
        <v>0</v>
      </c>
    </row>
    <row r="38" spans="1:17">
      <c r="A38" t="s">
        <v>345</v>
      </c>
      <c r="B38" s="182" t="s">
        <v>441</v>
      </c>
      <c r="C38" s="183" t="str">
        <f>'Fuels Reduction'!D111</f>
        <v/>
      </c>
      <c r="E38" s="190" t="s">
        <v>18</v>
      </c>
      <c r="F38" s="190">
        <v>4</v>
      </c>
      <c r="G38" s="172">
        <f>'Fuels Reduction'!D86</f>
        <v>0</v>
      </c>
      <c r="H38">
        <f>'Fuels Reduction'!D85</f>
        <v>0</v>
      </c>
    </row>
    <row r="39" spans="1:17">
      <c r="A39" t="s">
        <v>346</v>
      </c>
      <c r="B39" s="182" t="s">
        <v>442</v>
      </c>
      <c r="C39" s="183" t="str">
        <f>'Fuels Reduction'!D134</f>
        <v/>
      </c>
      <c r="E39" s="190" t="s">
        <v>18</v>
      </c>
      <c r="F39" s="190">
        <v>5</v>
      </c>
      <c r="G39" s="172">
        <f>'Fuels Reduction'!D109</f>
        <v>0</v>
      </c>
      <c r="H39">
        <f>'Fuels Reduction'!D108</f>
        <v>0</v>
      </c>
    </row>
    <row r="40" spans="1:17">
      <c r="A40" t="s">
        <v>347</v>
      </c>
      <c r="B40" s="182" t="s">
        <v>443</v>
      </c>
      <c r="C40" s="183" t="str">
        <f>'Fuels Reduction'!D157</f>
        <v/>
      </c>
      <c r="E40" s="190" t="s">
        <v>18</v>
      </c>
      <c r="F40" s="190">
        <v>6</v>
      </c>
      <c r="G40" s="172">
        <f>'Fuels Reduction'!D132</f>
        <v>0</v>
      </c>
      <c r="H40">
        <f>'Fuels Reduction'!D131</f>
        <v>0</v>
      </c>
    </row>
    <row r="41" spans="1:17">
      <c r="B41" s="182" t="s">
        <v>444</v>
      </c>
      <c r="C41" s="183" t="str">
        <f>'Fuels Reduction'!D180</f>
        <v/>
      </c>
      <c r="E41" s="190" t="s">
        <v>18</v>
      </c>
      <c r="F41" s="190">
        <v>7</v>
      </c>
      <c r="G41" s="172">
        <f>'Fuels Reduction'!D155</f>
        <v>0</v>
      </c>
      <c r="H41">
        <f>'Fuels Reduction'!D154</f>
        <v>0</v>
      </c>
    </row>
    <row r="42" spans="1:17">
      <c r="B42" s="182" t="s">
        <v>445</v>
      </c>
      <c r="C42" s="183" t="str">
        <f>'Fuels Reduction'!D203</f>
        <v/>
      </c>
      <c r="E42" s="190" t="s">
        <v>18</v>
      </c>
      <c r="F42" s="190">
        <v>8</v>
      </c>
      <c r="G42" s="172">
        <f>'Fuels Reduction'!D178</f>
        <v>0</v>
      </c>
      <c r="H42">
        <f>'Fuels Reduction'!D177</f>
        <v>0</v>
      </c>
    </row>
    <row r="43" spans="1:17">
      <c r="B43" s="182" t="s">
        <v>446</v>
      </c>
      <c r="C43" s="183" t="str">
        <f>'Fuels Reduction'!D226</f>
        <v/>
      </c>
      <c r="E43" s="190" t="s">
        <v>18</v>
      </c>
      <c r="F43" s="190">
        <v>9</v>
      </c>
      <c r="G43" s="172">
        <f>'Fuels Reduction'!D201</f>
        <v>0</v>
      </c>
      <c r="H43">
        <f>'Fuels Reduction'!D200</f>
        <v>0</v>
      </c>
    </row>
    <row r="44" spans="1:17">
      <c r="B44" s="182" t="s">
        <v>447</v>
      </c>
      <c r="C44" s="183" t="str">
        <f>'Easement--Avoided Conversion'!D21</f>
        <v/>
      </c>
      <c r="E44" s="190" t="s">
        <v>18</v>
      </c>
      <c r="F44" s="190">
        <v>10</v>
      </c>
      <c r="G44" s="172">
        <f>'Fuels Reduction'!D224</f>
        <v>0</v>
      </c>
      <c r="H44">
        <f>'Fuels Reduction'!D223</f>
        <v>0</v>
      </c>
    </row>
    <row r="45" spans="1:17">
      <c r="B45" s="182" t="s">
        <v>448</v>
      </c>
      <c r="C45" s="183" t="str">
        <f>'Easement--Avoided Conversion'!D38</f>
        <v/>
      </c>
      <c r="E45" t="s">
        <v>496</v>
      </c>
      <c r="F45" s="190">
        <v>1</v>
      </c>
      <c r="G45" s="172">
        <f>'Easement--Avoided Conversion'!D19</f>
        <v>0</v>
      </c>
      <c r="H45" s="172">
        <f>'Easement--Avoided Conversion'!D16</f>
        <v>0</v>
      </c>
      <c r="I45" s="190">
        <f>SUMIF($G45:$G54,I$14,$H45:$H54)</f>
        <v>0</v>
      </c>
      <c r="J45" s="190">
        <f t="shared" ref="J45:Q45" si="3">SUMIF($G45:$G54,J$14,$H45:$H54)</f>
        <v>0</v>
      </c>
      <c r="K45" s="190">
        <f t="shared" si="3"/>
        <v>0</v>
      </c>
      <c r="L45" s="190">
        <f t="shared" si="3"/>
        <v>0</v>
      </c>
      <c r="M45" s="190">
        <f t="shared" si="3"/>
        <v>0</v>
      </c>
      <c r="N45" s="190">
        <f t="shared" si="3"/>
        <v>0</v>
      </c>
      <c r="O45" s="190">
        <f t="shared" si="3"/>
        <v>0</v>
      </c>
      <c r="P45" s="190">
        <f t="shared" si="3"/>
        <v>0</v>
      </c>
      <c r="Q45" s="190">
        <f t="shared" si="3"/>
        <v>0</v>
      </c>
    </row>
    <row r="46" spans="1:17">
      <c r="B46" s="182" t="s">
        <v>449</v>
      </c>
      <c r="C46" s="183" t="str">
        <f>'Easement--Avoided Conversion'!D55</f>
        <v/>
      </c>
      <c r="E46" s="190" t="s">
        <v>496</v>
      </c>
      <c r="F46" s="190">
        <v>2</v>
      </c>
      <c r="G46" s="172">
        <f>'Easement--Avoided Conversion'!D36</f>
        <v>0</v>
      </c>
      <c r="H46" s="172">
        <f>'Easement--Avoided Conversion'!D33</f>
        <v>0</v>
      </c>
    </row>
    <row r="47" spans="1:17">
      <c r="B47" s="182" t="s">
        <v>450</v>
      </c>
      <c r="C47" s="183" t="str">
        <f>'Easement--Avoided Conversion'!D72</f>
        <v/>
      </c>
      <c r="E47" s="190" t="s">
        <v>496</v>
      </c>
      <c r="F47" s="190">
        <v>3</v>
      </c>
      <c r="G47" s="172">
        <f>'Easement--Avoided Conversion'!D53</f>
        <v>0</v>
      </c>
      <c r="H47" s="172">
        <f>'Easement--Avoided Conversion'!D50</f>
        <v>0</v>
      </c>
    </row>
    <row r="48" spans="1:17">
      <c r="B48" s="182" t="s">
        <v>451</v>
      </c>
      <c r="C48" s="183" t="str">
        <f>'Easement--Avoided Conversion'!D89</f>
        <v/>
      </c>
      <c r="E48" s="190" t="s">
        <v>496</v>
      </c>
      <c r="F48" s="190">
        <v>4</v>
      </c>
      <c r="G48" s="172">
        <f>'Easement--Avoided Conversion'!D70</f>
        <v>0</v>
      </c>
      <c r="H48" s="172">
        <f>'Easement--Avoided Conversion'!D67</f>
        <v>0</v>
      </c>
    </row>
    <row r="49" spans="2:17">
      <c r="B49" s="182" t="s">
        <v>452</v>
      </c>
      <c r="C49" s="183" t="str">
        <f>'Easement--Avoided Conversion'!D106</f>
        <v/>
      </c>
      <c r="E49" s="190" t="s">
        <v>496</v>
      </c>
      <c r="F49" s="190">
        <v>5</v>
      </c>
      <c r="G49" s="172">
        <f>'Easement--Avoided Conversion'!D87</f>
        <v>0</v>
      </c>
      <c r="H49" s="172">
        <f>'Easement--Avoided Conversion'!D84</f>
        <v>0</v>
      </c>
    </row>
    <row r="50" spans="2:17">
      <c r="B50" s="182" t="s">
        <v>453</v>
      </c>
      <c r="C50" s="183" t="str">
        <f>'Easement--Avoided Conversion'!D123</f>
        <v/>
      </c>
      <c r="E50" s="190" t="s">
        <v>496</v>
      </c>
      <c r="F50" s="190">
        <v>6</v>
      </c>
      <c r="G50" s="172">
        <f>'Easement--Avoided Conversion'!D104</f>
        <v>0</v>
      </c>
      <c r="H50" s="172">
        <f>'Easement--Avoided Conversion'!D101</f>
        <v>0</v>
      </c>
    </row>
    <row r="51" spans="2:17">
      <c r="B51" s="182" t="s">
        <v>454</v>
      </c>
      <c r="C51" s="183" t="str">
        <f>'Easement--Avoided Conversion'!D140</f>
        <v/>
      </c>
      <c r="E51" s="190" t="s">
        <v>496</v>
      </c>
      <c r="F51" s="190">
        <v>7</v>
      </c>
      <c r="G51" s="172">
        <f>'Easement--Avoided Conversion'!D121</f>
        <v>0</v>
      </c>
      <c r="H51" s="172">
        <f>'Easement--Avoided Conversion'!D118</f>
        <v>0</v>
      </c>
    </row>
    <row r="52" spans="2:17">
      <c r="B52" s="182" t="s">
        <v>455</v>
      </c>
      <c r="C52" s="183" t="str">
        <f>'Easement--Avoided Conversion'!D157</f>
        <v/>
      </c>
      <c r="E52" s="190" t="s">
        <v>496</v>
      </c>
      <c r="F52" s="190">
        <v>8</v>
      </c>
      <c r="G52" s="172">
        <f>'Easement--Avoided Conversion'!D138</f>
        <v>0</v>
      </c>
      <c r="H52" s="172">
        <f>'Easement--Avoided Conversion'!D135</f>
        <v>0</v>
      </c>
    </row>
    <row r="53" spans="2:17">
      <c r="B53" s="182" t="s">
        <v>456</v>
      </c>
      <c r="C53" s="183" t="str">
        <f>'Easement--Avoided Conversion'!D174</f>
        <v/>
      </c>
      <c r="E53" s="190" t="s">
        <v>496</v>
      </c>
      <c r="F53" s="190">
        <v>9</v>
      </c>
      <c r="G53" s="172">
        <f>'Easement--Avoided Conversion'!D155</f>
        <v>0</v>
      </c>
      <c r="H53" s="172">
        <f>'Easement--Avoided Conversion'!D152</f>
        <v>0</v>
      </c>
    </row>
    <row r="54" spans="2:17">
      <c r="B54" s="182" t="s">
        <v>457</v>
      </c>
      <c r="C54" s="183">
        <f>'Easement--Forest Management'!D20</f>
        <v>0</v>
      </c>
      <c r="E54" s="190" t="s">
        <v>496</v>
      </c>
      <c r="F54" s="190">
        <v>10</v>
      </c>
      <c r="G54" s="172">
        <f>'Easement--Avoided Conversion'!D172</f>
        <v>0</v>
      </c>
      <c r="H54" s="172">
        <f>'Easement--Avoided Conversion'!D169</f>
        <v>0</v>
      </c>
    </row>
    <row r="55" spans="2:17">
      <c r="B55" s="182" t="s">
        <v>458</v>
      </c>
      <c r="C55" s="183" t="str">
        <f>'Easement--Forest Management'!D35</f>
        <v/>
      </c>
      <c r="E55" t="s">
        <v>497</v>
      </c>
      <c r="F55" s="190">
        <v>1</v>
      </c>
      <c r="G55" s="172">
        <f>'Easement--Forest Management'!D18</f>
        <v>0</v>
      </c>
      <c r="H55" s="172">
        <f>'Easement--Forest Management'!D16</f>
        <v>0</v>
      </c>
      <c r="I55" s="190">
        <f>SUMIF($G55:$G64,I$14,$H55:$H64)</f>
        <v>0</v>
      </c>
      <c r="J55" s="190">
        <f t="shared" ref="J55:Q55" si="4">SUMIF($G55:$G64,J$14,$H55:$H64)</f>
        <v>0</v>
      </c>
      <c r="K55" s="190">
        <f t="shared" si="4"/>
        <v>0</v>
      </c>
      <c r="L55" s="190">
        <f t="shared" si="4"/>
        <v>0</v>
      </c>
      <c r="M55" s="190">
        <f t="shared" si="4"/>
        <v>0</v>
      </c>
      <c r="N55" s="190">
        <f t="shared" si="4"/>
        <v>0</v>
      </c>
      <c r="O55" s="190">
        <f t="shared" si="4"/>
        <v>0</v>
      </c>
      <c r="P55" s="190">
        <f t="shared" si="4"/>
        <v>0</v>
      </c>
      <c r="Q55" s="190">
        <f t="shared" si="4"/>
        <v>0</v>
      </c>
    </row>
    <row r="56" spans="2:17">
      <c r="B56" s="182" t="s">
        <v>459</v>
      </c>
      <c r="C56" s="183" t="str">
        <f>'Easement--Forest Management'!D50</f>
        <v/>
      </c>
      <c r="E56" s="190" t="s">
        <v>497</v>
      </c>
      <c r="F56" s="190">
        <v>2</v>
      </c>
      <c r="G56" s="172">
        <f>'Easement--Forest Management'!D33</f>
        <v>0</v>
      </c>
      <c r="H56" s="172">
        <f>'Easement--Forest Management'!D31</f>
        <v>0</v>
      </c>
    </row>
    <row r="57" spans="2:17">
      <c r="B57" s="182" t="s">
        <v>460</v>
      </c>
      <c r="C57" s="183" t="str">
        <f>'Easement--Forest Management'!D65</f>
        <v/>
      </c>
      <c r="E57" s="190" t="s">
        <v>497</v>
      </c>
      <c r="F57" s="190">
        <v>3</v>
      </c>
      <c r="G57" s="172">
        <f>'Easement--Forest Management'!D48</f>
        <v>0</v>
      </c>
      <c r="H57" s="172">
        <f>'Easement--Forest Management'!D46</f>
        <v>0</v>
      </c>
    </row>
    <row r="58" spans="2:17">
      <c r="B58" s="182" t="s">
        <v>461</v>
      </c>
      <c r="C58" s="183" t="str">
        <f>'Easement--Forest Management'!D80</f>
        <v/>
      </c>
      <c r="E58" s="190" t="s">
        <v>497</v>
      </c>
      <c r="F58" s="190">
        <v>4</v>
      </c>
      <c r="G58" s="172">
        <f>'Easement--Forest Management'!D63</f>
        <v>0</v>
      </c>
      <c r="H58" s="172">
        <f>'Easement--Forest Management'!D61</f>
        <v>0</v>
      </c>
    </row>
    <row r="59" spans="2:17">
      <c r="B59" s="182" t="s">
        <v>462</v>
      </c>
      <c r="C59" s="183" t="str">
        <f>'Easement--Forest Management'!D95</f>
        <v/>
      </c>
      <c r="E59" s="190" t="s">
        <v>497</v>
      </c>
      <c r="F59" s="190">
        <v>5</v>
      </c>
      <c r="G59" s="172">
        <f>'Easement--Forest Management'!D78</f>
        <v>0</v>
      </c>
      <c r="H59" s="172">
        <f>'Easement--Forest Management'!D76</f>
        <v>0</v>
      </c>
    </row>
    <row r="60" spans="2:17">
      <c r="B60" s="182" t="s">
        <v>463</v>
      </c>
      <c r="C60" s="183" t="str">
        <f>'Easement--Forest Management'!D110</f>
        <v/>
      </c>
      <c r="E60" s="190" t="s">
        <v>497</v>
      </c>
      <c r="F60" s="190">
        <v>6</v>
      </c>
      <c r="G60" s="172">
        <f>'Easement--Forest Management'!D93</f>
        <v>0</v>
      </c>
      <c r="H60" s="172">
        <f>'Easement--Forest Management'!D91</f>
        <v>0</v>
      </c>
    </row>
    <row r="61" spans="2:17">
      <c r="B61" s="182" t="s">
        <v>464</v>
      </c>
      <c r="C61" s="183" t="str">
        <f>'Easement--Forest Management'!D125</f>
        <v/>
      </c>
      <c r="E61" s="190" t="s">
        <v>497</v>
      </c>
      <c r="F61" s="190">
        <v>7</v>
      </c>
      <c r="G61" s="172">
        <f>'Easement--Forest Management'!D108</f>
        <v>0</v>
      </c>
      <c r="H61" s="172">
        <f>'Easement--Forest Management'!D106</f>
        <v>0</v>
      </c>
    </row>
    <row r="62" spans="2:17">
      <c r="B62" s="182" t="s">
        <v>465</v>
      </c>
      <c r="C62" s="183" t="str">
        <f>'Easement--Forest Management'!D140</f>
        <v/>
      </c>
      <c r="E62" s="190" t="s">
        <v>497</v>
      </c>
      <c r="F62" s="190">
        <v>8</v>
      </c>
      <c r="G62" s="172">
        <f>'Easement--Forest Management'!D123</f>
        <v>0</v>
      </c>
      <c r="H62" s="172">
        <f>'Easement--Forest Management'!D121</f>
        <v>0</v>
      </c>
    </row>
    <row r="63" spans="2:17">
      <c r="B63" s="182" t="s">
        <v>466</v>
      </c>
      <c r="C63" s="183" t="str">
        <f>'Easement--Forest Management'!D155</f>
        <v/>
      </c>
      <c r="E63" s="190" t="s">
        <v>497</v>
      </c>
      <c r="F63" s="190">
        <v>9</v>
      </c>
      <c r="G63" s="172">
        <f>'Easement--Forest Management'!D138</f>
        <v>0</v>
      </c>
      <c r="H63" s="172">
        <f>'Easement--Forest Management'!D136</f>
        <v>0</v>
      </c>
    </row>
    <row r="64" spans="2:17">
      <c r="B64" s="182" t="s">
        <v>581</v>
      </c>
      <c r="C64" s="183">
        <f>'Fuels Reduction'!D245</f>
        <v>0</v>
      </c>
      <c r="E64" s="190" t="s">
        <v>497</v>
      </c>
      <c r="F64" s="190">
        <v>10</v>
      </c>
      <c r="G64" s="172">
        <f>'Easement--Forest Management'!D153</f>
        <v>0</v>
      </c>
      <c r="H64" s="172">
        <f>'Easement--Forest Management'!D151</f>
        <v>0</v>
      </c>
    </row>
    <row r="65" spans="1:7">
      <c r="B65" s="182" t="s">
        <v>582</v>
      </c>
      <c r="C65" s="183">
        <f>'Fuels Reduction'!D264</f>
        <v>0</v>
      </c>
    </row>
    <row r="66" spans="1:7">
      <c r="B66" s="182" t="s">
        <v>583</v>
      </c>
      <c r="C66" s="183">
        <f>'Fuels Reduction'!D283</f>
        <v>0</v>
      </c>
    </row>
    <row r="67" spans="1:7">
      <c r="B67" s="182" t="s">
        <v>584</v>
      </c>
      <c r="C67" s="183">
        <f>'Fuels Reduction'!D302</f>
        <v>0</v>
      </c>
    </row>
    <row r="69" spans="1:7">
      <c r="A69" t="s">
        <v>523</v>
      </c>
      <c r="B69" s="380" t="s">
        <v>523</v>
      </c>
      <c r="C69" t="s">
        <v>629</v>
      </c>
      <c r="E69" s="161" t="s">
        <v>371</v>
      </c>
      <c r="F69" s="163" t="s">
        <v>366</v>
      </c>
      <c r="G69" s="167" t="s">
        <v>367</v>
      </c>
    </row>
    <row r="70" spans="1:7" ht="16">
      <c r="A70" s="234" t="s">
        <v>545</v>
      </c>
      <c r="B70" s="380" t="s">
        <v>631</v>
      </c>
      <c r="C70" s="378">
        <v>505</v>
      </c>
      <c r="E70" s="171">
        <v>1</v>
      </c>
      <c r="F70" s="164" t="str">
        <f>IF(Reforestation!$G28="Inland California and Southern Cascades (CA)","CA",IF(Reforestation!$G28="Klamath/North Coast (NC)","NC",IF(Reforestation!$G28="South Central Oregon &amp; Northeast California (SO)","SO",IF(Reforestation!$G28="Western Sierra Nevada (WS)","WS",""))))</f>
        <v/>
      </c>
      <c r="G70" s="166" t="str">
        <f>CONCATENATE(Reforestation!F89,Reforestation!F91)</f>
        <v>Location Code</v>
      </c>
    </row>
    <row r="71" spans="1:7" ht="16">
      <c r="A71" s="234" t="s">
        <v>541</v>
      </c>
      <c r="B71" s="380" t="s">
        <v>631</v>
      </c>
      <c r="C71" s="378">
        <v>506</v>
      </c>
      <c r="E71" s="171">
        <v>2</v>
      </c>
      <c r="F71" s="165" t="str">
        <f>IF(Reforestation!$C104="North Coast","NorthCoast",IF(Reforestation!$C104="Central &amp; Southern Coast, Central Valley","CentralSouthCoast",IF(Reforestation!$C104="Sierra Nevada/Klamath/Cascades","Sierra",IF(Reforestation!$C104="Great Basin","GreatBasin",IF(Reforestation!$C104="Mojave","Mojave","")))))</f>
        <v/>
      </c>
      <c r="G71" s="166" t="str">
        <f>CONCATENATE(Reforestation!F104,Reforestation!F106)</f>
        <v>Location Code</v>
      </c>
    </row>
    <row r="72" spans="1:7" ht="16">
      <c r="A72" s="234" t="s">
        <v>543</v>
      </c>
      <c r="B72" s="380" t="s">
        <v>631</v>
      </c>
      <c r="C72" s="378">
        <v>508</v>
      </c>
      <c r="E72" s="171">
        <v>3</v>
      </c>
      <c r="F72" s="164" t="str">
        <f>IF(Reforestation!$C119="North Coast","NorthCoast",IF(Reforestation!$C119="Central &amp; Southern Coast, Central Valley","CentralSouth",IF(Reforestation!$C119="Sierra Nevada/Klamath/Cascades","Sierra",IF(Reforestation!$C119="Great Basin","GreatBasin",IF(Reforestation!$C119="Mojave","Mojave","")))))</f>
        <v/>
      </c>
      <c r="G72" s="166" t="str">
        <f>CONCATENATE(Reforestation!F119,Reforestation!F121)</f>
        <v>Location Code</v>
      </c>
    </row>
    <row r="73" spans="1:7" ht="16">
      <c r="A73" s="220" t="s">
        <v>534</v>
      </c>
      <c r="B73" s="380" t="s">
        <v>631</v>
      </c>
      <c r="C73" s="378">
        <v>511</v>
      </c>
      <c r="E73" s="171">
        <v>4</v>
      </c>
      <c r="F73" s="165" t="str">
        <f>IF(Reforestation!$C134="North Coast","NorthCoast",IF(Reforestation!$C134="Central &amp; Southern Coast, Central Valley","CentralSouthCoast",IF(Reforestation!$C134="Sierra Nevada/Klamath/Cascades","Sierra",IF(Reforestation!$C134="Great Basin","GreatBasin",IF(Reforestation!$C134="Mojave","Mojave","")))))</f>
        <v/>
      </c>
      <c r="G73" s="166" t="str">
        <f>CONCATENATE(Reforestation!F134,Reforestation!F136)</f>
        <v>Location Code</v>
      </c>
    </row>
    <row r="74" spans="1:7" ht="16">
      <c r="B74" s="380" t="s">
        <v>631</v>
      </c>
      <c r="C74" s="378">
        <v>514</v>
      </c>
      <c r="E74" s="171">
        <v>5</v>
      </c>
      <c r="F74" s="164" t="str">
        <f>IF(Reforestation!$C151="North Coast","NorthCoast",IF(Reforestation!$C151="Central &amp; Southern Coast, Central Valley","CentralSouth",IF(Reforestation!$C151="Sierra Nevada/Klamath/Cascades","Sierra",IF(Reforestation!$C151="Great Basin","GreatBasin",IF(Reforestation!$C151="Mojave","Mojave","")))))</f>
        <v/>
      </c>
      <c r="G74" s="166" t="str">
        <f>CONCATENATE(Reforestation!F151,Reforestation!F152)</f>
        <v>0</v>
      </c>
    </row>
    <row r="75" spans="1:7" ht="16">
      <c r="A75" s="234" t="s">
        <v>634</v>
      </c>
      <c r="B75" s="380" t="s">
        <v>631</v>
      </c>
      <c r="C75" s="378">
        <v>518</v>
      </c>
      <c r="E75" s="171">
        <v>6</v>
      </c>
      <c r="F75" s="165" t="str">
        <f>IF(Reforestation!$C165="North Coast","NorthCoast",IF(Reforestation!$C165="Central &amp; Southern Coast, Central Valley","CentralSouthCoast",IF(Reforestation!$C165="Sierra Nevada/Klamath/Cascades","Sierra",IF(Reforestation!$C165="Great Basin","GreatBasin",IF(Reforestation!$C165="Mojave","Mojave","")))))</f>
        <v/>
      </c>
      <c r="G75" s="166" t="str">
        <f>CONCATENATE(Reforestation!F165,Reforestation!F166)</f>
        <v/>
      </c>
    </row>
    <row r="76" spans="1:7" ht="16">
      <c r="A76" s="234" t="s">
        <v>542</v>
      </c>
      <c r="B76" s="380" t="s">
        <v>631</v>
      </c>
      <c r="C76" s="378">
        <v>610</v>
      </c>
      <c r="E76" s="171">
        <v>7</v>
      </c>
      <c r="F76" s="164" t="str">
        <f>IF(Reforestation!$C179="North Coast","NorthCoast",IF(Reforestation!$C179="Central &amp; Southern Coast, Central Valley","CentralSouth",IF(Reforestation!$C179="Sierra Nevada/Klamath/Cascades","Sierra",IF(Reforestation!$C179="Great Basin","GreatBasin",IF(Reforestation!$C179="Mojave","Mojave","")))))</f>
        <v/>
      </c>
      <c r="G76" s="166" t="str">
        <f>CONCATENATE(Reforestation!F179,Reforestation!F180)</f>
        <v/>
      </c>
    </row>
    <row r="77" spans="1:7" ht="16">
      <c r="A77" s="219" t="s">
        <v>544</v>
      </c>
      <c r="B77" s="380" t="s">
        <v>631</v>
      </c>
      <c r="C77" s="378">
        <v>611</v>
      </c>
      <c r="E77" s="171">
        <v>8</v>
      </c>
      <c r="F77" s="165" t="str">
        <f>IF(Reforestation!$C193="North Coast","NorthCoast",IF(Reforestation!$C193="Central &amp; Southern Coast, Central Valley","CentralSouthCoast",IF(Reforestation!$C193="Sierra Nevada/Klamath/Cascades","Sierra",IF(Reforestation!$C193="Great Basin","GreatBasin",IF(Reforestation!$C193="Mojave","Mojave","")))))</f>
        <v/>
      </c>
      <c r="G77" s="166" t="str">
        <f>CONCATENATE(Reforestation!F193,Reforestation!F194)</f>
        <v/>
      </c>
    </row>
    <row r="78" spans="1:7" ht="16">
      <c r="A78" s="220" t="s">
        <v>535</v>
      </c>
      <c r="B78" s="380" t="s">
        <v>631</v>
      </c>
      <c r="C78" s="378">
        <v>710</v>
      </c>
      <c r="E78" s="171">
        <v>9</v>
      </c>
      <c r="F78" s="164" t="str">
        <f>IF(Reforestation!$C207="North Coast","NorthCoast",IF(Reforestation!$C207="Central &amp; Southern Coast, Central Valley","CentralSouth",IF(Reforestation!$C207="Sierra Nevada/Klamath/Cascades","Sierra",IF(Reforestation!$C207="Great Basin","GreatBasin",IF(Reforestation!$C207="Mojave","Mojave","")))))</f>
        <v/>
      </c>
      <c r="G78" s="166" t="str">
        <f>CONCATENATE(Reforestation!F207,Reforestation!F208)</f>
        <v/>
      </c>
    </row>
    <row r="79" spans="1:7" ht="16">
      <c r="A79" s="220" t="s">
        <v>538</v>
      </c>
      <c r="B79" s="380" t="s">
        <v>631</v>
      </c>
      <c r="C79" s="378">
        <v>711</v>
      </c>
      <c r="E79" s="171">
        <v>10</v>
      </c>
      <c r="F79" s="165" t="str">
        <f>IF(Reforestation!$C221="North Coast","NorthCoast",IF(Reforestation!$C221="Central &amp; Southern Coast, Central Valley","CentralSouthCoast",IF(Reforestation!$C221="Sierra Nevada/Klamath/Cascades","Sierra",IF(Reforestation!$C221="Great Basin","GreatBasin",IF(Reforestation!$C221="Mojave","Mojave","")))))</f>
        <v/>
      </c>
      <c r="G79" s="166" t="str">
        <f>CONCATENATE(Reforestation!F221,Reforestation!F222)</f>
        <v/>
      </c>
    </row>
    <row r="80" spans="1:7" ht="16">
      <c r="A80" s="220" t="s">
        <v>539</v>
      </c>
      <c r="B80" s="380" t="s">
        <v>631</v>
      </c>
      <c r="C80" s="378">
        <v>712</v>
      </c>
    </row>
    <row r="81" spans="1:4" ht="16">
      <c r="A81" s="234" t="s">
        <v>628</v>
      </c>
      <c r="B81" t="s">
        <v>630</v>
      </c>
      <c r="C81" s="379">
        <v>505</v>
      </c>
    </row>
    <row r="82" spans="1:4" ht="16">
      <c r="B82" s="190" t="s">
        <v>630</v>
      </c>
      <c r="C82" s="379">
        <v>507</v>
      </c>
    </row>
    <row r="83" spans="1:4" ht="16">
      <c r="B83" s="190" t="s">
        <v>630</v>
      </c>
      <c r="C83" s="379">
        <v>508</v>
      </c>
    </row>
    <row r="84" spans="1:4" ht="16">
      <c r="A84" s="234" t="s">
        <v>649</v>
      </c>
      <c r="B84" s="190" t="s">
        <v>630</v>
      </c>
      <c r="C84" s="379">
        <v>510</v>
      </c>
    </row>
    <row r="85" spans="1:4" ht="16">
      <c r="A85" s="383" t="s">
        <v>650</v>
      </c>
      <c r="B85" s="190" t="s">
        <v>630</v>
      </c>
      <c r="C85" s="379">
        <v>514</v>
      </c>
    </row>
    <row r="86" spans="1:4" ht="16">
      <c r="A86" s="383" t="s">
        <v>651</v>
      </c>
      <c r="B86" s="190" t="s">
        <v>630</v>
      </c>
      <c r="C86" s="379">
        <v>518</v>
      </c>
    </row>
    <row r="87" spans="1:4" ht="16">
      <c r="A87" s="383" t="s">
        <v>652</v>
      </c>
      <c r="B87" s="190" t="s">
        <v>630</v>
      </c>
      <c r="C87" s="379">
        <v>611</v>
      </c>
    </row>
    <row r="88" spans="1:4" ht="16">
      <c r="A88" s="383" t="s">
        <v>653</v>
      </c>
      <c r="B88" s="190" t="s">
        <v>630</v>
      </c>
      <c r="C88" s="379">
        <v>705</v>
      </c>
    </row>
    <row r="89" spans="1:4" ht="16">
      <c r="B89" s="190" t="s">
        <v>630</v>
      </c>
      <c r="C89" s="379">
        <v>712</v>
      </c>
    </row>
    <row r="90" spans="1:4" ht="16">
      <c r="A90" s="383" t="s">
        <v>654</v>
      </c>
      <c r="B90" s="190" t="s">
        <v>630</v>
      </c>
      <c r="C90" s="379">
        <v>715</v>
      </c>
    </row>
    <row r="91" spans="1:4" ht="16">
      <c r="A91" s="383" t="s">
        <v>655</v>
      </c>
      <c r="B91" s="190" t="s">
        <v>630</v>
      </c>
      <c r="C91" s="379">
        <v>800</v>
      </c>
    </row>
    <row r="92" spans="1:4" ht="16">
      <c r="A92" s="383" t="s">
        <v>656</v>
      </c>
      <c r="B92" t="s">
        <v>632</v>
      </c>
      <c r="C92" s="379">
        <v>505</v>
      </c>
      <c r="D92" s="379"/>
    </row>
    <row r="93" spans="1:4" ht="16">
      <c r="B93" s="190" t="s">
        <v>632</v>
      </c>
      <c r="C93" s="379">
        <v>506</v>
      </c>
    </row>
    <row r="94" spans="1:4" ht="16">
      <c r="A94" s="383" t="s">
        <v>660</v>
      </c>
      <c r="B94" s="190" t="s">
        <v>632</v>
      </c>
      <c r="C94" s="379">
        <v>509</v>
      </c>
      <c r="D94" s="379"/>
    </row>
    <row r="95" spans="1:4" ht="16">
      <c r="A95" s="382" t="s">
        <v>661</v>
      </c>
      <c r="B95" s="190" t="s">
        <v>632</v>
      </c>
      <c r="C95" s="379">
        <v>511</v>
      </c>
    </row>
    <row r="96" spans="1:4" ht="16">
      <c r="A96" s="21" t="s">
        <v>662</v>
      </c>
      <c r="B96" s="190" t="s">
        <v>632</v>
      </c>
      <c r="C96" s="379">
        <v>514</v>
      </c>
    </row>
    <row r="97" spans="1:3" ht="16">
      <c r="A97" s="21" t="s">
        <v>663</v>
      </c>
      <c r="B97" s="190" t="s">
        <v>632</v>
      </c>
      <c r="C97" s="379">
        <v>601</v>
      </c>
    </row>
    <row r="98" spans="1:3" ht="16">
      <c r="A98" s="190" t="s">
        <v>664</v>
      </c>
      <c r="B98" s="190" t="s">
        <v>632</v>
      </c>
      <c r="C98" s="379">
        <v>602</v>
      </c>
    </row>
    <row r="99" spans="1:3" ht="16">
      <c r="A99" t="s">
        <v>628</v>
      </c>
      <c r="B99" s="190" t="s">
        <v>632</v>
      </c>
      <c r="C99" s="379">
        <v>620</v>
      </c>
    </row>
    <row r="100" spans="1:3" ht="16">
      <c r="B100" s="190" t="s">
        <v>632</v>
      </c>
      <c r="C100" s="379">
        <v>701</v>
      </c>
    </row>
    <row r="101" spans="1:3" ht="16">
      <c r="A101" t="s">
        <v>667</v>
      </c>
      <c r="B101" s="190" t="s">
        <v>632</v>
      </c>
      <c r="C101" s="379">
        <v>702</v>
      </c>
    </row>
    <row r="102" spans="1:3" ht="16">
      <c r="A102" s="382" t="s">
        <v>668</v>
      </c>
      <c r="B102" s="190" t="s">
        <v>632</v>
      </c>
      <c r="C102" s="379">
        <v>799</v>
      </c>
    </row>
    <row r="103" spans="1:3" ht="16">
      <c r="A103" s="190" t="s">
        <v>669</v>
      </c>
      <c r="B103" t="s">
        <v>633</v>
      </c>
      <c r="C103" s="379">
        <v>417</v>
      </c>
    </row>
    <row r="104" spans="1:3" ht="16">
      <c r="A104" s="21" t="s">
        <v>670</v>
      </c>
      <c r="B104" s="190" t="s">
        <v>633</v>
      </c>
      <c r="C104" s="379">
        <v>501</v>
      </c>
    </row>
    <row r="105" spans="1:3" ht="16">
      <c r="A105" s="21" t="s">
        <v>671</v>
      </c>
      <c r="B105" s="190" t="s">
        <v>633</v>
      </c>
      <c r="C105" s="379">
        <v>502</v>
      </c>
    </row>
    <row r="106" spans="1:3" ht="16">
      <c r="B106" s="190" t="s">
        <v>633</v>
      </c>
      <c r="C106" s="379">
        <v>503</v>
      </c>
    </row>
    <row r="107" spans="1:3" ht="16">
      <c r="A107" t="s">
        <v>675</v>
      </c>
      <c r="B107" s="190" t="s">
        <v>633</v>
      </c>
      <c r="C107" s="379">
        <v>504</v>
      </c>
    </row>
    <row r="108" spans="1:3" ht="16">
      <c r="A108" s="382" t="s">
        <v>676</v>
      </c>
      <c r="B108" s="190" t="s">
        <v>633</v>
      </c>
      <c r="C108" s="379">
        <v>507</v>
      </c>
    </row>
    <row r="109" spans="1:3" ht="16">
      <c r="A109" s="382" t="s">
        <v>677</v>
      </c>
      <c r="B109" s="190" t="s">
        <v>633</v>
      </c>
      <c r="C109" s="379">
        <v>511</v>
      </c>
    </row>
    <row r="110" spans="1:3" ht="16">
      <c r="A110" s="382" t="s">
        <v>678</v>
      </c>
      <c r="B110" s="190" t="s">
        <v>633</v>
      </c>
      <c r="C110" s="379">
        <v>512</v>
      </c>
    </row>
    <row r="111" spans="1:3" ht="16">
      <c r="B111" s="190" t="s">
        <v>633</v>
      </c>
      <c r="C111" s="379">
        <v>513</v>
      </c>
    </row>
    <row r="112" spans="1:3" ht="16">
      <c r="A112" s="382" t="s">
        <v>684</v>
      </c>
      <c r="B112" s="190" t="s">
        <v>633</v>
      </c>
      <c r="C112" s="379">
        <v>515</v>
      </c>
    </row>
    <row r="113" spans="1:3" ht="16">
      <c r="A113" s="382" t="s">
        <v>685</v>
      </c>
      <c r="B113" s="190" t="s">
        <v>633</v>
      </c>
      <c r="C113" s="379">
        <v>516</v>
      </c>
    </row>
    <row r="114" spans="1:3" ht="16">
      <c r="A114" s="382" t="s">
        <v>686</v>
      </c>
      <c r="B114" s="190" t="s">
        <v>633</v>
      </c>
      <c r="C114" s="379">
        <v>517</v>
      </c>
    </row>
    <row r="115" spans="1:3" ht="16">
      <c r="B115" s="190" t="s">
        <v>633</v>
      </c>
      <c r="C115" s="379">
        <v>519</v>
      </c>
    </row>
  </sheetData>
  <sheetProtection algorithmName="SHA-512" hashValue="88yqyadHqoG/WSq0g1yYRlZPWI6YuhPFkfEfPAwyEtW7YfRl8Sh3CNYyelkjMPcAvHczEwr2TEGgk/lky7X+iA==" saltValue="WEvLKsCSw9WSaXCbhOOYqw==" spinCount="100000" sheet="1" objects="1" scenarios="1"/>
  <sortState xmlns:xlrd2="http://schemas.microsoft.com/office/spreadsheetml/2017/richdata2" ref="A76:A80">
    <sortCondition ref="A76"/>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P391"/>
  <sheetViews>
    <sheetView zoomScale="95" workbookViewId="0">
      <selection activeCell="M21" sqref="M21"/>
    </sheetView>
  </sheetViews>
  <sheetFormatPr baseColWidth="10" defaultColWidth="9.1640625" defaultRowHeight="15"/>
  <cols>
    <col min="1" max="1" width="48.1640625" style="220" customWidth="1"/>
    <col min="2" max="2" width="12.5" style="231" customWidth="1"/>
    <col min="3" max="3" width="12.5" style="232" customWidth="1"/>
    <col min="4" max="4" width="44" style="220" customWidth="1"/>
    <col min="5" max="5" width="9.33203125" style="220" customWidth="1"/>
    <col min="6" max="6" width="15.5" style="220" customWidth="1"/>
    <col min="7" max="7" width="14" style="232" customWidth="1"/>
    <col min="8" max="8" width="9.1640625" style="56"/>
    <col min="9" max="9" width="32.5" style="190" customWidth="1"/>
    <col min="10" max="10" width="19.6640625" style="190" customWidth="1"/>
    <col min="11" max="11" width="23" style="190" customWidth="1"/>
    <col min="12" max="12" width="17.6640625" style="190" customWidth="1"/>
    <col min="13" max="13" width="20.83203125" style="190" customWidth="1"/>
    <col min="14" max="16384" width="9.1640625" style="190"/>
  </cols>
  <sheetData>
    <row r="1" spans="1:16" s="177" customFormat="1" ht="46">
      <c r="A1" s="226" t="s">
        <v>523</v>
      </c>
      <c r="B1" s="226" t="s">
        <v>521</v>
      </c>
      <c r="C1" s="227" t="s">
        <v>522</v>
      </c>
      <c r="D1" s="226" t="s">
        <v>524</v>
      </c>
      <c r="E1" s="228" t="s">
        <v>525</v>
      </c>
      <c r="F1" s="228" t="s">
        <v>526</v>
      </c>
      <c r="G1" s="349" t="s">
        <v>527</v>
      </c>
      <c r="H1" s="229"/>
      <c r="I1" s="218" t="s">
        <v>528</v>
      </c>
      <c r="J1" s="218" t="s">
        <v>529</v>
      </c>
      <c r="K1" s="218" t="s">
        <v>530</v>
      </c>
      <c r="L1" s="218" t="s">
        <v>531</v>
      </c>
      <c r="M1" s="218" t="s">
        <v>532</v>
      </c>
      <c r="N1" s="230"/>
      <c r="O1" s="230"/>
      <c r="P1" s="230"/>
    </row>
    <row r="2" spans="1:16">
      <c r="A2" s="234" t="s">
        <v>545</v>
      </c>
      <c r="B2" s="231" t="s">
        <v>540</v>
      </c>
      <c r="C2" s="232">
        <v>505</v>
      </c>
      <c r="D2" s="220" t="s">
        <v>535</v>
      </c>
      <c r="E2" s="220">
        <v>1</v>
      </c>
      <c r="F2" s="220">
        <v>150</v>
      </c>
      <c r="G2" s="350">
        <v>54.660829365253456</v>
      </c>
      <c r="I2" s="219" t="s">
        <v>558</v>
      </c>
      <c r="J2" s="219">
        <v>0</v>
      </c>
      <c r="K2" s="219">
        <v>70</v>
      </c>
      <c r="L2" s="219">
        <v>10</v>
      </c>
      <c r="M2" s="219">
        <v>20</v>
      </c>
    </row>
    <row r="3" spans="1:16">
      <c r="A3" s="234" t="s">
        <v>545</v>
      </c>
      <c r="B3" s="231" t="s">
        <v>540</v>
      </c>
      <c r="C3" s="232">
        <v>505</v>
      </c>
      <c r="D3" s="220" t="s">
        <v>535</v>
      </c>
      <c r="E3" s="220">
        <v>2</v>
      </c>
      <c r="F3" s="220">
        <v>150</v>
      </c>
      <c r="G3" s="350">
        <v>60.597436919808352</v>
      </c>
      <c r="I3" s="219" t="s">
        <v>553</v>
      </c>
      <c r="J3" s="219">
        <v>80</v>
      </c>
      <c r="K3" s="219">
        <v>10</v>
      </c>
      <c r="L3" s="219">
        <v>10</v>
      </c>
      <c r="M3" s="219">
        <v>20</v>
      </c>
    </row>
    <row r="4" spans="1:16">
      <c r="A4" s="234" t="s">
        <v>545</v>
      </c>
      <c r="B4" s="231" t="s">
        <v>540</v>
      </c>
      <c r="C4" s="232">
        <v>505</v>
      </c>
      <c r="D4" s="220" t="s">
        <v>535</v>
      </c>
      <c r="E4" s="220">
        <v>3</v>
      </c>
      <c r="F4" s="220">
        <v>150</v>
      </c>
      <c r="G4" s="350">
        <v>43.420369997620533</v>
      </c>
      <c r="I4" s="219" t="s">
        <v>556</v>
      </c>
      <c r="J4" s="219">
        <v>5</v>
      </c>
      <c r="K4" s="219">
        <v>10</v>
      </c>
      <c r="L4" s="219">
        <v>10</v>
      </c>
      <c r="M4" s="219">
        <v>20</v>
      </c>
    </row>
    <row r="5" spans="1:16">
      <c r="A5" s="234" t="s">
        <v>545</v>
      </c>
      <c r="B5" s="231" t="s">
        <v>540</v>
      </c>
      <c r="C5" s="232">
        <v>505</v>
      </c>
      <c r="D5" s="220" t="s">
        <v>535</v>
      </c>
      <c r="E5" s="220">
        <v>4</v>
      </c>
      <c r="F5" s="220">
        <v>150</v>
      </c>
      <c r="G5" s="350">
        <v>62.570892333984418</v>
      </c>
      <c r="I5" s="233" t="s">
        <v>554</v>
      </c>
      <c r="J5" s="219">
        <v>0</v>
      </c>
      <c r="K5" s="219">
        <v>10</v>
      </c>
      <c r="L5" s="219">
        <v>70</v>
      </c>
      <c r="M5" s="219">
        <v>30</v>
      </c>
    </row>
    <row r="6" spans="1:16">
      <c r="A6" s="234" t="s">
        <v>545</v>
      </c>
      <c r="B6" s="231" t="s">
        <v>540</v>
      </c>
      <c r="C6" s="232">
        <v>505</v>
      </c>
      <c r="D6" s="220" t="s">
        <v>535</v>
      </c>
      <c r="E6" s="220">
        <v>5</v>
      </c>
      <c r="F6" s="220">
        <v>150</v>
      </c>
      <c r="G6" s="350">
        <v>46.299379765987375</v>
      </c>
      <c r="I6" s="220" t="s">
        <v>555</v>
      </c>
      <c r="J6" s="219">
        <v>0</v>
      </c>
      <c r="K6" s="219">
        <v>0</v>
      </c>
      <c r="L6" s="219">
        <v>0</v>
      </c>
      <c r="M6" s="219">
        <v>10</v>
      </c>
    </row>
    <row r="7" spans="1:16">
      <c r="A7" s="234" t="s">
        <v>545</v>
      </c>
      <c r="B7" s="231" t="s">
        <v>540</v>
      </c>
      <c r="C7" s="232">
        <v>505</v>
      </c>
      <c r="D7" s="220" t="s">
        <v>535</v>
      </c>
      <c r="E7" s="220">
        <v>1</v>
      </c>
      <c r="F7" s="234">
        <v>300</v>
      </c>
      <c r="G7" s="350">
        <v>78.881734251976013</v>
      </c>
      <c r="I7" s="220" t="s">
        <v>557</v>
      </c>
      <c r="J7" s="220">
        <v>5</v>
      </c>
      <c r="K7" s="219">
        <v>0</v>
      </c>
      <c r="L7" s="219">
        <v>0</v>
      </c>
      <c r="M7" s="219">
        <v>0</v>
      </c>
    </row>
    <row r="8" spans="1:16">
      <c r="A8" s="234" t="s">
        <v>545</v>
      </c>
      <c r="B8" s="231" t="s">
        <v>540</v>
      </c>
      <c r="C8" s="232">
        <v>505</v>
      </c>
      <c r="D8" s="220" t="s">
        <v>535</v>
      </c>
      <c r="E8" s="220">
        <v>2</v>
      </c>
      <c r="F8" s="234">
        <v>300</v>
      </c>
      <c r="G8" s="350">
        <v>85.403863430023208</v>
      </c>
      <c r="I8" s="220" t="s">
        <v>536</v>
      </c>
      <c r="J8" s="220">
        <v>5</v>
      </c>
      <c r="K8" s="219">
        <v>0</v>
      </c>
      <c r="L8" s="219">
        <v>0</v>
      </c>
      <c r="M8" s="219">
        <v>0</v>
      </c>
    </row>
    <row r="9" spans="1:16">
      <c r="A9" s="234" t="s">
        <v>545</v>
      </c>
      <c r="B9" s="231" t="s">
        <v>540</v>
      </c>
      <c r="C9" s="232">
        <v>505</v>
      </c>
      <c r="D9" s="220" t="s">
        <v>535</v>
      </c>
      <c r="E9" s="220">
        <v>3</v>
      </c>
      <c r="F9" s="234">
        <v>300</v>
      </c>
      <c r="G9" s="350">
        <v>66.092151761054993</v>
      </c>
      <c r="I9" s="220" t="s">
        <v>537</v>
      </c>
      <c r="J9" s="220">
        <v>5</v>
      </c>
      <c r="K9" s="219">
        <v>0</v>
      </c>
      <c r="L9" s="219">
        <v>0</v>
      </c>
      <c r="M9" s="219">
        <v>0</v>
      </c>
    </row>
    <row r="10" spans="1:16">
      <c r="A10" s="234" t="s">
        <v>545</v>
      </c>
      <c r="B10" s="231" t="s">
        <v>540</v>
      </c>
      <c r="C10" s="232">
        <v>505</v>
      </c>
      <c r="D10" s="220" t="s">
        <v>535</v>
      </c>
      <c r="E10" s="220">
        <v>4</v>
      </c>
      <c r="F10" s="234">
        <v>300</v>
      </c>
      <c r="G10" s="350">
        <v>85.513252019882273</v>
      </c>
    </row>
    <row r="11" spans="1:16">
      <c r="A11" s="234" t="s">
        <v>545</v>
      </c>
      <c r="B11" s="231" t="s">
        <v>540</v>
      </c>
      <c r="C11" s="232">
        <v>505</v>
      </c>
      <c r="D11" s="220" t="s">
        <v>535</v>
      </c>
      <c r="E11" s="220">
        <v>5</v>
      </c>
      <c r="F11" s="234">
        <v>300</v>
      </c>
      <c r="G11" s="350">
        <v>67.987156212329836</v>
      </c>
      <c r="I11" s="251" t="s">
        <v>559</v>
      </c>
    </row>
    <row r="12" spans="1:16">
      <c r="A12" s="234" t="s">
        <v>545</v>
      </c>
      <c r="B12" s="231" t="s">
        <v>540</v>
      </c>
      <c r="C12" s="232">
        <v>505</v>
      </c>
      <c r="D12" s="220" t="s">
        <v>538</v>
      </c>
      <c r="E12" s="220">
        <v>1</v>
      </c>
      <c r="F12" s="220">
        <v>150</v>
      </c>
      <c r="G12" s="350">
        <v>57.066130697727225</v>
      </c>
    </row>
    <row r="13" spans="1:16">
      <c r="A13" s="234" t="s">
        <v>545</v>
      </c>
      <c r="B13" s="231" t="s">
        <v>540</v>
      </c>
      <c r="C13" s="232">
        <v>505</v>
      </c>
      <c r="D13" s="220" t="s">
        <v>538</v>
      </c>
      <c r="E13" s="220">
        <v>2</v>
      </c>
      <c r="F13" s="220">
        <v>150</v>
      </c>
      <c r="G13" s="350">
        <v>59.131429195404081</v>
      </c>
    </row>
    <row r="14" spans="1:16">
      <c r="A14" s="234" t="s">
        <v>545</v>
      </c>
      <c r="B14" s="231" t="s">
        <v>540</v>
      </c>
      <c r="C14" s="232">
        <v>505</v>
      </c>
      <c r="D14" s="220" t="s">
        <v>538</v>
      </c>
      <c r="E14" s="220">
        <v>3</v>
      </c>
      <c r="F14" s="220">
        <v>150</v>
      </c>
      <c r="G14" s="350">
        <v>44.467058330774293</v>
      </c>
    </row>
    <row r="15" spans="1:16">
      <c r="A15" s="234" t="s">
        <v>545</v>
      </c>
      <c r="B15" s="231" t="s">
        <v>540</v>
      </c>
      <c r="C15" s="232">
        <v>505</v>
      </c>
      <c r="D15" s="220" t="s">
        <v>538</v>
      </c>
      <c r="E15" s="220">
        <v>4</v>
      </c>
      <c r="F15" s="220">
        <v>150</v>
      </c>
      <c r="G15" s="350">
        <v>55.772008061408954</v>
      </c>
    </row>
    <row r="16" spans="1:16">
      <c r="A16" s="234" t="s">
        <v>545</v>
      </c>
      <c r="B16" s="231" t="s">
        <v>540</v>
      </c>
      <c r="C16" s="232">
        <v>505</v>
      </c>
      <c r="D16" s="220" t="s">
        <v>538</v>
      </c>
      <c r="E16" s="220">
        <v>5</v>
      </c>
      <c r="F16" s="220">
        <v>150</v>
      </c>
      <c r="G16" s="350">
        <v>43.917047806084192</v>
      </c>
      <c r="I16" s="235"/>
      <c r="J16" s="235"/>
    </row>
    <row r="17" spans="1:10">
      <c r="A17" s="234" t="s">
        <v>545</v>
      </c>
      <c r="B17" s="231" t="s">
        <v>540</v>
      </c>
      <c r="C17" s="232">
        <v>505</v>
      </c>
      <c r="D17" s="220" t="s">
        <v>538</v>
      </c>
      <c r="E17" s="220">
        <v>1</v>
      </c>
      <c r="F17" s="234">
        <v>300</v>
      </c>
      <c r="G17" s="350">
        <v>67.297110080719023</v>
      </c>
      <c r="I17" s="236"/>
      <c r="J17" s="236"/>
    </row>
    <row r="18" spans="1:10">
      <c r="A18" s="234" t="s">
        <v>545</v>
      </c>
      <c r="B18" s="231" t="s">
        <v>540</v>
      </c>
      <c r="C18" s="232">
        <v>505</v>
      </c>
      <c r="D18" s="220" t="s">
        <v>538</v>
      </c>
      <c r="E18" s="220">
        <v>2</v>
      </c>
      <c r="F18" s="234">
        <v>300</v>
      </c>
      <c r="G18" s="350">
        <v>67.147992610931411</v>
      </c>
      <c r="I18" s="236"/>
      <c r="J18" s="236"/>
    </row>
    <row r="19" spans="1:10">
      <c r="A19" s="234" t="s">
        <v>545</v>
      </c>
      <c r="B19" s="231" t="s">
        <v>540</v>
      </c>
      <c r="C19" s="232">
        <v>505</v>
      </c>
      <c r="D19" s="220" t="s">
        <v>538</v>
      </c>
      <c r="E19" s="220">
        <v>3</v>
      </c>
      <c r="F19" s="234">
        <v>300</v>
      </c>
      <c r="G19" s="350">
        <v>56.667856216430707</v>
      </c>
      <c r="I19" s="56"/>
      <c r="J19" s="56"/>
    </row>
    <row r="20" spans="1:10">
      <c r="A20" s="234" t="s">
        <v>545</v>
      </c>
      <c r="B20" s="231" t="s">
        <v>540</v>
      </c>
      <c r="C20" s="232">
        <v>505</v>
      </c>
      <c r="D20" s="220" t="s">
        <v>538</v>
      </c>
      <c r="E20" s="220">
        <v>4</v>
      </c>
      <c r="F20" s="234">
        <v>300</v>
      </c>
      <c r="G20" s="350">
        <v>63.620050191879322</v>
      </c>
      <c r="I20" s="56"/>
      <c r="J20" s="56"/>
    </row>
    <row r="21" spans="1:10">
      <c r="A21" s="234" t="s">
        <v>545</v>
      </c>
      <c r="B21" s="231" t="s">
        <v>540</v>
      </c>
      <c r="C21" s="232">
        <v>505</v>
      </c>
      <c r="D21" s="220" t="s">
        <v>538</v>
      </c>
      <c r="E21" s="220">
        <v>5</v>
      </c>
      <c r="F21" s="234">
        <v>300</v>
      </c>
      <c r="G21" s="350">
        <v>55.976776480674772</v>
      </c>
    </row>
    <row r="22" spans="1:10">
      <c r="A22" s="234" t="s">
        <v>545</v>
      </c>
      <c r="B22" s="231" t="s">
        <v>540</v>
      </c>
      <c r="C22" s="232">
        <v>505</v>
      </c>
      <c r="D22" s="220" t="s">
        <v>539</v>
      </c>
      <c r="E22" s="220">
        <v>1</v>
      </c>
      <c r="F22" s="220">
        <v>150</v>
      </c>
      <c r="G22" s="350">
        <v>49.642622008919744</v>
      </c>
    </row>
    <row r="23" spans="1:10">
      <c r="A23" s="234" t="s">
        <v>545</v>
      </c>
      <c r="B23" s="231" t="s">
        <v>540</v>
      </c>
      <c r="C23" s="232">
        <v>505</v>
      </c>
      <c r="D23" s="220" t="s">
        <v>539</v>
      </c>
      <c r="E23" s="220">
        <v>2</v>
      </c>
      <c r="F23" s="220">
        <v>150</v>
      </c>
      <c r="G23" s="350">
        <v>57.806346490979237</v>
      </c>
    </row>
    <row r="24" spans="1:10">
      <c r="A24" s="234" t="s">
        <v>545</v>
      </c>
      <c r="B24" s="231" t="s">
        <v>540</v>
      </c>
      <c r="C24" s="232">
        <v>505</v>
      </c>
      <c r="D24" s="220" t="s">
        <v>539</v>
      </c>
      <c r="E24" s="220">
        <v>3</v>
      </c>
      <c r="F24" s="220">
        <v>150</v>
      </c>
      <c r="G24" s="350">
        <v>44.501217693090439</v>
      </c>
    </row>
    <row r="25" spans="1:10">
      <c r="A25" s="234" t="s">
        <v>545</v>
      </c>
      <c r="B25" s="231" t="s">
        <v>540</v>
      </c>
      <c r="C25" s="232">
        <v>505</v>
      </c>
      <c r="D25" s="220" t="s">
        <v>539</v>
      </c>
      <c r="E25" s="220">
        <v>4</v>
      </c>
      <c r="F25" s="220">
        <v>150</v>
      </c>
      <c r="G25" s="350">
        <v>73.179390579462094</v>
      </c>
    </row>
    <row r="26" spans="1:10">
      <c r="A26" s="234" t="s">
        <v>545</v>
      </c>
      <c r="B26" s="231" t="s">
        <v>540</v>
      </c>
      <c r="C26" s="232">
        <v>505</v>
      </c>
      <c r="D26" s="220" t="s">
        <v>539</v>
      </c>
      <c r="E26" s="220">
        <v>5</v>
      </c>
      <c r="F26" s="220">
        <v>150</v>
      </c>
      <c r="G26" s="350">
        <v>56.470542401075349</v>
      </c>
    </row>
    <row r="27" spans="1:10">
      <c r="A27" s="234" t="s">
        <v>545</v>
      </c>
      <c r="B27" s="231" t="s">
        <v>540</v>
      </c>
      <c r="C27" s="232">
        <v>505</v>
      </c>
      <c r="D27" s="220" t="s">
        <v>539</v>
      </c>
      <c r="E27" s="220">
        <v>1</v>
      </c>
      <c r="F27" s="234">
        <v>300</v>
      </c>
      <c r="G27" s="350">
        <v>78.27366471290587</v>
      </c>
    </row>
    <row r="28" spans="1:10">
      <c r="A28" s="234" t="s">
        <v>545</v>
      </c>
      <c r="B28" s="231" t="s">
        <v>540</v>
      </c>
      <c r="C28" s="232">
        <v>505</v>
      </c>
      <c r="D28" s="220" t="s">
        <v>539</v>
      </c>
      <c r="E28" s="220">
        <v>2</v>
      </c>
      <c r="F28" s="234">
        <v>300</v>
      </c>
      <c r="G28" s="350">
        <v>88.857390880584674</v>
      </c>
    </row>
    <row r="29" spans="1:10">
      <c r="A29" s="234" t="s">
        <v>545</v>
      </c>
      <c r="B29" s="231" t="s">
        <v>540</v>
      </c>
      <c r="C29" s="232">
        <v>505</v>
      </c>
      <c r="D29" s="220" t="s">
        <v>539</v>
      </c>
      <c r="E29" s="220">
        <v>3</v>
      </c>
      <c r="F29" s="234">
        <v>300</v>
      </c>
      <c r="G29" s="350">
        <v>72.380607053637533</v>
      </c>
    </row>
    <row r="30" spans="1:10">
      <c r="A30" s="234" t="s">
        <v>545</v>
      </c>
      <c r="B30" s="231" t="s">
        <v>540</v>
      </c>
      <c r="C30" s="232">
        <v>505</v>
      </c>
      <c r="D30" s="220" t="s">
        <v>539</v>
      </c>
      <c r="E30" s="220">
        <v>4</v>
      </c>
      <c r="F30" s="234">
        <v>300</v>
      </c>
      <c r="G30" s="350">
        <v>101.26193201541906</v>
      </c>
    </row>
    <row r="31" spans="1:10">
      <c r="A31" s="234" t="s">
        <v>545</v>
      </c>
      <c r="B31" s="231" t="s">
        <v>540</v>
      </c>
      <c r="C31" s="232">
        <v>505</v>
      </c>
      <c r="D31" s="220" t="s">
        <v>539</v>
      </c>
      <c r="E31" s="220">
        <v>5</v>
      </c>
      <c r="F31" s="234">
        <v>300</v>
      </c>
      <c r="G31" s="350">
        <v>86.024991750717106</v>
      </c>
    </row>
    <row r="32" spans="1:10">
      <c r="A32" s="234" t="s">
        <v>545</v>
      </c>
      <c r="B32" s="231" t="s">
        <v>546</v>
      </c>
      <c r="C32" s="232">
        <v>506</v>
      </c>
      <c r="D32" s="220" t="s">
        <v>535</v>
      </c>
      <c r="E32" s="220">
        <v>1</v>
      </c>
      <c r="F32" s="220">
        <v>150</v>
      </c>
      <c r="G32" s="350">
        <v>51.780937463045078</v>
      </c>
    </row>
    <row r="33" spans="1:7">
      <c r="A33" s="234" t="s">
        <v>545</v>
      </c>
      <c r="B33" s="231" t="s">
        <v>546</v>
      </c>
      <c r="C33" s="232">
        <v>506</v>
      </c>
      <c r="D33" s="220" t="s">
        <v>535</v>
      </c>
      <c r="E33" s="220">
        <v>2</v>
      </c>
      <c r="F33" s="220">
        <v>150</v>
      </c>
      <c r="G33" s="350">
        <v>57.037490487098665</v>
      </c>
    </row>
    <row r="34" spans="1:7">
      <c r="A34" s="234" t="s">
        <v>545</v>
      </c>
      <c r="B34" s="231" t="s">
        <v>546</v>
      </c>
      <c r="C34" s="232">
        <v>506</v>
      </c>
      <c r="D34" s="220" t="s">
        <v>535</v>
      </c>
      <c r="E34" s="220">
        <v>3</v>
      </c>
      <c r="F34" s="220">
        <v>150</v>
      </c>
      <c r="G34" s="350">
        <v>40.746324189007254</v>
      </c>
    </row>
    <row r="35" spans="1:7">
      <c r="A35" s="234" t="s">
        <v>545</v>
      </c>
      <c r="B35" s="231" t="s">
        <v>546</v>
      </c>
      <c r="C35" s="232">
        <v>506</v>
      </c>
      <c r="D35" s="220" t="s">
        <v>535</v>
      </c>
      <c r="E35" s="220">
        <v>4</v>
      </c>
      <c r="F35" s="220">
        <v>150</v>
      </c>
      <c r="G35" s="350">
        <v>59.410475328564566</v>
      </c>
    </row>
    <row r="36" spans="1:7">
      <c r="A36" s="234" t="s">
        <v>545</v>
      </c>
      <c r="B36" s="231" t="s">
        <v>546</v>
      </c>
      <c r="C36" s="232">
        <v>506</v>
      </c>
      <c r="D36" s="220" t="s">
        <v>535</v>
      </c>
      <c r="E36" s="220">
        <v>5</v>
      </c>
      <c r="F36" s="220">
        <v>150</v>
      </c>
      <c r="G36" s="350">
        <v>43.813070893287623</v>
      </c>
    </row>
    <row r="37" spans="1:7">
      <c r="A37" s="234" t="s">
        <v>545</v>
      </c>
      <c r="B37" s="231" t="s">
        <v>546</v>
      </c>
      <c r="C37" s="232">
        <v>506</v>
      </c>
      <c r="D37" s="220" t="s">
        <v>535</v>
      </c>
      <c r="E37" s="220">
        <v>1</v>
      </c>
      <c r="F37" s="234">
        <v>300</v>
      </c>
      <c r="G37" s="350">
        <v>75.543496251106205</v>
      </c>
    </row>
    <row r="38" spans="1:7">
      <c r="A38" s="234" t="s">
        <v>545</v>
      </c>
      <c r="B38" s="231" t="s">
        <v>546</v>
      </c>
      <c r="C38" s="232">
        <v>506</v>
      </c>
      <c r="D38" s="220" t="s">
        <v>535</v>
      </c>
      <c r="E38" s="220">
        <v>2</v>
      </c>
      <c r="F38" s="234">
        <v>300</v>
      </c>
      <c r="G38" s="350">
        <v>81.083025693893404</v>
      </c>
    </row>
    <row r="39" spans="1:7">
      <c r="A39" s="234" t="s">
        <v>545</v>
      </c>
      <c r="B39" s="231" t="s">
        <v>546</v>
      </c>
      <c r="C39" s="232">
        <v>506</v>
      </c>
      <c r="D39" s="220" t="s">
        <v>535</v>
      </c>
      <c r="E39" s="220">
        <v>3</v>
      </c>
      <c r="F39" s="234">
        <v>300</v>
      </c>
      <c r="G39" s="350">
        <v>62.762058079242678</v>
      </c>
    </row>
    <row r="40" spans="1:7">
      <c r="A40" s="234" t="s">
        <v>545</v>
      </c>
      <c r="B40" s="231" t="s">
        <v>546</v>
      </c>
      <c r="C40" s="232">
        <v>506</v>
      </c>
      <c r="D40" s="220" t="s">
        <v>535</v>
      </c>
      <c r="E40" s="220">
        <v>4</v>
      </c>
      <c r="F40" s="234">
        <v>300</v>
      </c>
      <c r="G40" s="350">
        <v>81.545843601226849</v>
      </c>
    </row>
    <row r="41" spans="1:7">
      <c r="A41" s="234" t="s">
        <v>545</v>
      </c>
      <c r="B41" s="231" t="s">
        <v>546</v>
      </c>
      <c r="C41" s="232">
        <v>506</v>
      </c>
      <c r="D41" s="220" t="s">
        <v>535</v>
      </c>
      <c r="E41" s="220">
        <v>5</v>
      </c>
      <c r="F41" s="234">
        <v>300</v>
      </c>
      <c r="G41" s="350">
        <v>65.603014707565237</v>
      </c>
    </row>
    <row r="42" spans="1:7">
      <c r="A42" s="234" t="s">
        <v>545</v>
      </c>
      <c r="B42" s="231" t="s">
        <v>546</v>
      </c>
      <c r="C42" s="232">
        <v>506</v>
      </c>
      <c r="D42" s="220" t="s">
        <v>538</v>
      </c>
      <c r="E42" s="220">
        <v>1</v>
      </c>
      <c r="F42" s="220">
        <v>150</v>
      </c>
      <c r="G42" s="350">
        <v>56.23545151948926</v>
      </c>
    </row>
    <row r="43" spans="1:7">
      <c r="A43" s="234" t="s">
        <v>545</v>
      </c>
      <c r="B43" s="231" t="s">
        <v>546</v>
      </c>
      <c r="C43" s="232">
        <v>506</v>
      </c>
      <c r="D43" s="220" t="s">
        <v>538</v>
      </c>
      <c r="E43" s="220">
        <v>2</v>
      </c>
      <c r="F43" s="220">
        <v>150</v>
      </c>
      <c r="G43" s="350">
        <v>57.92442685365679</v>
      </c>
    </row>
    <row r="44" spans="1:7">
      <c r="A44" s="234" t="s">
        <v>545</v>
      </c>
      <c r="B44" s="231" t="s">
        <v>546</v>
      </c>
      <c r="C44" s="232">
        <v>506</v>
      </c>
      <c r="D44" s="220" t="s">
        <v>538</v>
      </c>
      <c r="E44" s="220">
        <v>3</v>
      </c>
      <c r="F44" s="220">
        <v>150</v>
      </c>
      <c r="G44" s="350">
        <v>43.199099212884924</v>
      </c>
    </row>
    <row r="45" spans="1:7">
      <c r="A45" s="234" t="s">
        <v>545</v>
      </c>
      <c r="B45" s="231" t="s">
        <v>546</v>
      </c>
      <c r="C45" s="232">
        <v>506</v>
      </c>
      <c r="D45" s="220" t="s">
        <v>538</v>
      </c>
      <c r="E45" s="220">
        <v>4</v>
      </c>
      <c r="F45" s="220">
        <v>150</v>
      </c>
      <c r="G45" s="350">
        <v>54.079323887824998</v>
      </c>
    </row>
    <row r="46" spans="1:7">
      <c r="A46" s="234" t="s">
        <v>545</v>
      </c>
      <c r="B46" s="231" t="s">
        <v>546</v>
      </c>
      <c r="C46" s="232">
        <v>506</v>
      </c>
      <c r="D46" s="220" t="s">
        <v>538</v>
      </c>
      <c r="E46" s="220">
        <v>5</v>
      </c>
      <c r="F46" s="220">
        <v>150</v>
      </c>
      <c r="G46" s="350">
        <v>43.286706455051885</v>
      </c>
    </row>
    <row r="47" spans="1:7">
      <c r="A47" s="234" t="s">
        <v>545</v>
      </c>
      <c r="B47" s="231" t="s">
        <v>546</v>
      </c>
      <c r="C47" s="232">
        <v>506</v>
      </c>
      <c r="D47" s="220" t="s">
        <v>538</v>
      </c>
      <c r="E47" s="220">
        <v>1</v>
      </c>
      <c r="F47" s="234">
        <v>300</v>
      </c>
      <c r="G47" s="350">
        <v>66.665954589843807</v>
      </c>
    </row>
    <row r="48" spans="1:7">
      <c r="A48" s="234" t="s">
        <v>545</v>
      </c>
      <c r="B48" s="231" t="s">
        <v>546</v>
      </c>
      <c r="C48" s="232">
        <v>506</v>
      </c>
      <c r="D48" s="220" t="s">
        <v>538</v>
      </c>
      <c r="E48" s="220">
        <v>2</v>
      </c>
      <c r="F48" s="234">
        <v>300</v>
      </c>
      <c r="G48" s="350">
        <v>66.250983715057387</v>
      </c>
    </row>
    <row r="49" spans="1:7">
      <c r="A49" s="234" t="s">
        <v>545</v>
      </c>
      <c r="B49" s="231" t="s">
        <v>546</v>
      </c>
      <c r="C49" s="232">
        <v>506</v>
      </c>
      <c r="D49" s="220" t="s">
        <v>538</v>
      </c>
      <c r="E49" s="220">
        <v>3</v>
      </c>
      <c r="F49" s="234">
        <v>300</v>
      </c>
      <c r="G49" s="350">
        <v>55.796143174171455</v>
      </c>
    </row>
    <row r="50" spans="1:7">
      <c r="A50" s="234" t="s">
        <v>545</v>
      </c>
      <c r="B50" s="231" t="s">
        <v>546</v>
      </c>
      <c r="C50" s="232">
        <v>506</v>
      </c>
      <c r="D50" s="220" t="s">
        <v>538</v>
      </c>
      <c r="E50" s="220">
        <v>4</v>
      </c>
      <c r="F50" s="234">
        <v>300</v>
      </c>
      <c r="G50" s="350">
        <v>62.71299803256985</v>
      </c>
    </row>
    <row r="51" spans="1:7">
      <c r="A51" s="234" t="s">
        <v>545</v>
      </c>
      <c r="B51" s="231" t="s">
        <v>546</v>
      </c>
      <c r="C51" s="232">
        <v>506</v>
      </c>
      <c r="D51" s="220" t="s">
        <v>538</v>
      </c>
      <c r="E51" s="220">
        <v>5</v>
      </c>
      <c r="F51" s="234">
        <v>300</v>
      </c>
      <c r="G51" s="350">
        <v>55.193585872650146</v>
      </c>
    </row>
    <row r="52" spans="1:7">
      <c r="A52" s="234" t="s">
        <v>545</v>
      </c>
      <c r="B52" s="231" t="s">
        <v>546</v>
      </c>
      <c r="C52" s="232">
        <v>506</v>
      </c>
      <c r="D52" s="220" t="s">
        <v>539</v>
      </c>
      <c r="E52" s="220">
        <v>1</v>
      </c>
      <c r="F52" s="220">
        <v>150</v>
      </c>
      <c r="G52" s="350">
        <v>48.329855352640202</v>
      </c>
    </row>
    <row r="53" spans="1:7">
      <c r="A53" s="234" t="s">
        <v>545</v>
      </c>
      <c r="B53" s="231" t="s">
        <v>546</v>
      </c>
      <c r="C53" s="232">
        <v>506</v>
      </c>
      <c r="D53" s="220" t="s">
        <v>539</v>
      </c>
      <c r="E53" s="220">
        <v>2</v>
      </c>
      <c r="F53" s="220">
        <v>150</v>
      </c>
      <c r="G53" s="350">
        <v>56.578679934143977</v>
      </c>
    </row>
    <row r="54" spans="1:7">
      <c r="A54" s="234" t="s">
        <v>545</v>
      </c>
      <c r="B54" s="231" t="s">
        <v>546</v>
      </c>
      <c r="C54" s="232">
        <v>506</v>
      </c>
      <c r="D54" s="220" t="s">
        <v>539</v>
      </c>
      <c r="E54" s="220">
        <v>3</v>
      </c>
      <c r="F54" s="220">
        <v>150</v>
      </c>
      <c r="G54" s="350">
        <v>43.52895449101927</v>
      </c>
    </row>
    <row r="55" spans="1:7">
      <c r="A55" s="234" t="s">
        <v>545</v>
      </c>
      <c r="B55" s="231" t="s">
        <v>546</v>
      </c>
      <c r="C55" s="232">
        <v>506</v>
      </c>
      <c r="D55" s="220" t="s">
        <v>539</v>
      </c>
      <c r="E55" s="220">
        <v>4</v>
      </c>
      <c r="F55" s="220">
        <v>150</v>
      </c>
      <c r="G55" s="350">
        <v>71.82127541303629</v>
      </c>
    </row>
    <row r="56" spans="1:7">
      <c r="A56" s="234" t="s">
        <v>545</v>
      </c>
      <c r="B56" s="231" t="s">
        <v>546</v>
      </c>
      <c r="C56" s="232">
        <v>506</v>
      </c>
      <c r="D56" s="220" t="s">
        <v>539</v>
      </c>
      <c r="E56" s="220">
        <v>5</v>
      </c>
      <c r="F56" s="220">
        <v>150</v>
      </c>
      <c r="G56" s="350">
        <v>55.80705042183402</v>
      </c>
    </row>
    <row r="57" spans="1:7">
      <c r="A57" s="234" t="s">
        <v>545</v>
      </c>
      <c r="B57" s="231" t="s">
        <v>546</v>
      </c>
      <c r="C57" s="232">
        <v>506</v>
      </c>
      <c r="D57" s="220" t="s">
        <v>539</v>
      </c>
      <c r="E57" s="220">
        <v>1</v>
      </c>
      <c r="F57" s="234">
        <v>300</v>
      </c>
      <c r="G57" s="350">
        <v>76.644617199897766</v>
      </c>
    </row>
    <row r="58" spans="1:7">
      <c r="A58" s="234" t="s">
        <v>545</v>
      </c>
      <c r="B58" s="231" t="s">
        <v>546</v>
      </c>
      <c r="C58" s="232">
        <v>506</v>
      </c>
      <c r="D58" s="220" t="s">
        <v>539</v>
      </c>
      <c r="E58" s="220">
        <v>2</v>
      </c>
      <c r="F58" s="234">
        <v>300</v>
      </c>
      <c r="G58" s="350">
        <v>86.173580288886967</v>
      </c>
    </row>
    <row r="59" spans="1:7">
      <c r="A59" s="234" t="s">
        <v>545</v>
      </c>
      <c r="B59" s="231" t="s">
        <v>546</v>
      </c>
      <c r="C59" s="232">
        <v>506</v>
      </c>
      <c r="D59" s="220" t="s">
        <v>539</v>
      </c>
      <c r="E59" s="220">
        <v>3</v>
      </c>
      <c r="F59" s="234">
        <v>300</v>
      </c>
      <c r="G59" s="350">
        <v>71.121710903942613</v>
      </c>
    </row>
    <row r="60" spans="1:7">
      <c r="A60" s="234" t="s">
        <v>545</v>
      </c>
      <c r="B60" s="231" t="s">
        <v>546</v>
      </c>
      <c r="C60" s="232">
        <v>506</v>
      </c>
      <c r="D60" s="220" t="s">
        <v>539</v>
      </c>
      <c r="E60" s="220">
        <v>4</v>
      </c>
      <c r="F60" s="234">
        <v>300</v>
      </c>
      <c r="G60" s="350">
        <v>100.33997654914855</v>
      </c>
    </row>
    <row r="61" spans="1:7">
      <c r="A61" s="234" t="s">
        <v>545</v>
      </c>
      <c r="B61" s="231" t="s">
        <v>546</v>
      </c>
      <c r="C61" s="232">
        <v>506</v>
      </c>
      <c r="D61" s="220" t="s">
        <v>539</v>
      </c>
      <c r="E61" s="220">
        <v>5</v>
      </c>
      <c r="F61" s="234">
        <v>300</v>
      </c>
      <c r="G61" s="350">
        <v>86.399605214595837</v>
      </c>
    </row>
    <row r="62" spans="1:7">
      <c r="A62" s="234" t="s">
        <v>545</v>
      </c>
      <c r="B62" s="231" t="s">
        <v>547</v>
      </c>
      <c r="C62" s="232">
        <v>508</v>
      </c>
      <c r="D62" s="220" t="s">
        <v>535</v>
      </c>
      <c r="E62" s="220">
        <v>1</v>
      </c>
      <c r="F62" s="220">
        <v>150</v>
      </c>
      <c r="G62" s="350">
        <v>51.780937463045078</v>
      </c>
    </row>
    <row r="63" spans="1:7">
      <c r="A63" s="234" t="s">
        <v>545</v>
      </c>
      <c r="B63" s="231" t="s">
        <v>547</v>
      </c>
      <c r="C63" s="232">
        <v>508</v>
      </c>
      <c r="D63" s="220" t="s">
        <v>535</v>
      </c>
      <c r="E63" s="220">
        <v>2</v>
      </c>
      <c r="F63" s="220">
        <v>150</v>
      </c>
      <c r="G63" s="350">
        <v>57.037490487098665</v>
      </c>
    </row>
    <row r="64" spans="1:7">
      <c r="A64" s="234" t="s">
        <v>545</v>
      </c>
      <c r="B64" s="231" t="s">
        <v>547</v>
      </c>
      <c r="C64" s="232">
        <v>508</v>
      </c>
      <c r="D64" s="220" t="s">
        <v>535</v>
      </c>
      <c r="E64" s="220">
        <v>3</v>
      </c>
      <c r="F64" s="220">
        <v>150</v>
      </c>
      <c r="G64" s="350">
        <v>40.746324189007254</v>
      </c>
    </row>
    <row r="65" spans="1:7">
      <c r="A65" s="234" t="s">
        <v>545</v>
      </c>
      <c r="B65" s="231" t="s">
        <v>547</v>
      </c>
      <c r="C65" s="232">
        <v>508</v>
      </c>
      <c r="D65" s="220" t="s">
        <v>535</v>
      </c>
      <c r="E65" s="220">
        <v>4</v>
      </c>
      <c r="F65" s="220">
        <v>150</v>
      </c>
      <c r="G65" s="350">
        <v>59.410475328564566</v>
      </c>
    </row>
    <row r="66" spans="1:7">
      <c r="A66" s="234" t="s">
        <v>545</v>
      </c>
      <c r="B66" s="231" t="s">
        <v>547</v>
      </c>
      <c r="C66" s="232">
        <v>508</v>
      </c>
      <c r="D66" s="220" t="s">
        <v>535</v>
      </c>
      <c r="E66" s="220">
        <v>5</v>
      </c>
      <c r="F66" s="220">
        <v>150</v>
      </c>
      <c r="G66" s="350">
        <v>43.813070893287623</v>
      </c>
    </row>
    <row r="67" spans="1:7">
      <c r="A67" s="234" t="s">
        <v>545</v>
      </c>
      <c r="B67" s="231" t="s">
        <v>547</v>
      </c>
      <c r="C67" s="232">
        <v>508</v>
      </c>
      <c r="D67" s="220" t="s">
        <v>535</v>
      </c>
      <c r="E67" s="220">
        <v>1</v>
      </c>
      <c r="F67" s="234">
        <v>300</v>
      </c>
      <c r="G67" s="350">
        <v>75.543496251106205</v>
      </c>
    </row>
    <row r="68" spans="1:7">
      <c r="A68" s="234" t="s">
        <v>545</v>
      </c>
      <c r="B68" s="231" t="s">
        <v>547</v>
      </c>
      <c r="C68" s="232">
        <v>508</v>
      </c>
      <c r="D68" s="220" t="s">
        <v>535</v>
      </c>
      <c r="E68" s="220">
        <v>2</v>
      </c>
      <c r="F68" s="234">
        <v>300</v>
      </c>
      <c r="G68" s="350">
        <v>81.083025693893404</v>
      </c>
    </row>
    <row r="69" spans="1:7">
      <c r="A69" s="234" t="s">
        <v>545</v>
      </c>
      <c r="B69" s="231" t="s">
        <v>547</v>
      </c>
      <c r="C69" s="232">
        <v>508</v>
      </c>
      <c r="D69" s="220" t="s">
        <v>535</v>
      </c>
      <c r="E69" s="220">
        <v>3</v>
      </c>
      <c r="F69" s="234">
        <v>300</v>
      </c>
      <c r="G69" s="350">
        <v>62.762058079242678</v>
      </c>
    </row>
    <row r="70" spans="1:7">
      <c r="A70" s="234" t="s">
        <v>545</v>
      </c>
      <c r="B70" s="231" t="s">
        <v>547</v>
      </c>
      <c r="C70" s="232">
        <v>508</v>
      </c>
      <c r="D70" s="220" t="s">
        <v>535</v>
      </c>
      <c r="E70" s="220">
        <v>4</v>
      </c>
      <c r="F70" s="234">
        <v>300</v>
      </c>
      <c r="G70" s="350">
        <v>81.545843601226849</v>
      </c>
    </row>
    <row r="71" spans="1:7">
      <c r="A71" s="234" t="s">
        <v>545</v>
      </c>
      <c r="B71" s="231" t="s">
        <v>547</v>
      </c>
      <c r="C71" s="232">
        <v>508</v>
      </c>
      <c r="D71" s="220" t="s">
        <v>535</v>
      </c>
      <c r="E71" s="220">
        <v>5</v>
      </c>
      <c r="F71" s="234">
        <v>300</v>
      </c>
      <c r="G71" s="350">
        <v>65.603014707565237</v>
      </c>
    </row>
    <row r="72" spans="1:7">
      <c r="A72" s="234" t="s">
        <v>545</v>
      </c>
      <c r="B72" s="231" t="s">
        <v>547</v>
      </c>
      <c r="C72" s="232">
        <v>508</v>
      </c>
      <c r="D72" s="220" t="s">
        <v>538</v>
      </c>
      <c r="E72" s="220">
        <v>1</v>
      </c>
      <c r="F72" s="220">
        <v>150</v>
      </c>
      <c r="G72" s="350">
        <v>56.23545151948926</v>
      </c>
    </row>
    <row r="73" spans="1:7">
      <c r="A73" s="234" t="s">
        <v>545</v>
      </c>
      <c r="B73" s="231" t="s">
        <v>547</v>
      </c>
      <c r="C73" s="232">
        <v>508</v>
      </c>
      <c r="D73" s="220" t="s">
        <v>538</v>
      </c>
      <c r="E73" s="220">
        <v>2</v>
      </c>
      <c r="F73" s="220">
        <v>150</v>
      </c>
      <c r="G73" s="350">
        <v>57.92442685365679</v>
      </c>
    </row>
    <row r="74" spans="1:7">
      <c r="A74" s="234" t="s">
        <v>545</v>
      </c>
      <c r="B74" s="231" t="s">
        <v>547</v>
      </c>
      <c r="C74" s="232">
        <v>508</v>
      </c>
      <c r="D74" s="220" t="s">
        <v>538</v>
      </c>
      <c r="E74" s="220">
        <v>3</v>
      </c>
      <c r="F74" s="220">
        <v>150</v>
      </c>
      <c r="G74" s="350">
        <v>43.199099212884924</v>
      </c>
    </row>
    <row r="75" spans="1:7">
      <c r="A75" s="234" t="s">
        <v>545</v>
      </c>
      <c r="B75" s="231" t="s">
        <v>547</v>
      </c>
      <c r="C75" s="232">
        <v>508</v>
      </c>
      <c r="D75" s="220" t="s">
        <v>538</v>
      </c>
      <c r="E75" s="220">
        <v>4</v>
      </c>
      <c r="F75" s="220">
        <v>150</v>
      </c>
      <c r="G75" s="350">
        <v>54.079323887824998</v>
      </c>
    </row>
    <row r="76" spans="1:7">
      <c r="A76" s="234" t="s">
        <v>545</v>
      </c>
      <c r="B76" s="231" t="s">
        <v>547</v>
      </c>
      <c r="C76" s="232">
        <v>508</v>
      </c>
      <c r="D76" s="220" t="s">
        <v>538</v>
      </c>
      <c r="E76" s="220">
        <v>5</v>
      </c>
      <c r="F76" s="220">
        <v>150</v>
      </c>
      <c r="G76" s="350">
        <v>43.286706455051885</v>
      </c>
    </row>
    <row r="77" spans="1:7">
      <c r="A77" s="234" t="s">
        <v>545</v>
      </c>
      <c r="B77" s="231" t="s">
        <v>547</v>
      </c>
      <c r="C77" s="232">
        <v>508</v>
      </c>
      <c r="D77" s="220" t="s">
        <v>538</v>
      </c>
      <c r="E77" s="220">
        <v>1</v>
      </c>
      <c r="F77" s="234">
        <v>300</v>
      </c>
      <c r="G77" s="350">
        <v>66.665954589843807</v>
      </c>
    </row>
    <row r="78" spans="1:7">
      <c r="A78" s="234" t="s">
        <v>545</v>
      </c>
      <c r="B78" s="231" t="s">
        <v>547</v>
      </c>
      <c r="C78" s="232">
        <v>508</v>
      </c>
      <c r="D78" s="220" t="s">
        <v>538</v>
      </c>
      <c r="E78" s="220">
        <v>2</v>
      </c>
      <c r="F78" s="234">
        <v>300</v>
      </c>
      <c r="G78" s="350">
        <v>66.250983715057387</v>
      </c>
    </row>
    <row r="79" spans="1:7">
      <c r="A79" s="234" t="s">
        <v>545</v>
      </c>
      <c r="B79" s="231" t="s">
        <v>547</v>
      </c>
      <c r="C79" s="232">
        <v>508</v>
      </c>
      <c r="D79" s="220" t="s">
        <v>538</v>
      </c>
      <c r="E79" s="220">
        <v>3</v>
      </c>
      <c r="F79" s="234">
        <v>300</v>
      </c>
      <c r="G79" s="350">
        <v>55.796143174171455</v>
      </c>
    </row>
    <row r="80" spans="1:7">
      <c r="A80" s="234" t="s">
        <v>545</v>
      </c>
      <c r="B80" s="231" t="s">
        <v>547</v>
      </c>
      <c r="C80" s="232">
        <v>508</v>
      </c>
      <c r="D80" s="220" t="s">
        <v>538</v>
      </c>
      <c r="E80" s="220">
        <v>4</v>
      </c>
      <c r="F80" s="234">
        <v>300</v>
      </c>
      <c r="G80" s="350">
        <v>62.71299803256985</v>
      </c>
    </row>
    <row r="81" spans="1:7">
      <c r="A81" s="234" t="s">
        <v>545</v>
      </c>
      <c r="B81" s="231" t="s">
        <v>547</v>
      </c>
      <c r="C81" s="232">
        <v>508</v>
      </c>
      <c r="D81" s="220" t="s">
        <v>538</v>
      </c>
      <c r="E81" s="220">
        <v>5</v>
      </c>
      <c r="F81" s="234">
        <v>300</v>
      </c>
      <c r="G81" s="350">
        <v>55.193585872650146</v>
      </c>
    </row>
    <row r="82" spans="1:7">
      <c r="A82" s="234" t="s">
        <v>545</v>
      </c>
      <c r="B82" s="231" t="s">
        <v>547</v>
      </c>
      <c r="C82" s="232">
        <v>508</v>
      </c>
      <c r="D82" s="220" t="s">
        <v>539</v>
      </c>
      <c r="E82" s="220">
        <v>1</v>
      </c>
      <c r="F82" s="220">
        <v>150</v>
      </c>
      <c r="G82" s="350">
        <v>48.329855352640202</v>
      </c>
    </row>
    <row r="83" spans="1:7">
      <c r="A83" s="234" t="s">
        <v>545</v>
      </c>
      <c r="B83" s="231" t="s">
        <v>547</v>
      </c>
      <c r="C83" s="232">
        <v>508</v>
      </c>
      <c r="D83" s="220" t="s">
        <v>539</v>
      </c>
      <c r="E83" s="220">
        <v>2</v>
      </c>
      <c r="F83" s="220">
        <v>150</v>
      </c>
      <c r="G83" s="350">
        <v>56.578679934143977</v>
      </c>
    </row>
    <row r="84" spans="1:7">
      <c r="A84" s="234" t="s">
        <v>545</v>
      </c>
      <c r="B84" s="231" t="s">
        <v>547</v>
      </c>
      <c r="C84" s="232">
        <v>508</v>
      </c>
      <c r="D84" s="220" t="s">
        <v>539</v>
      </c>
      <c r="E84" s="220">
        <v>3</v>
      </c>
      <c r="F84" s="220">
        <v>150</v>
      </c>
      <c r="G84" s="350">
        <v>43.52895449101927</v>
      </c>
    </row>
    <row r="85" spans="1:7">
      <c r="A85" s="234" t="s">
        <v>545</v>
      </c>
      <c r="B85" s="231" t="s">
        <v>547</v>
      </c>
      <c r="C85" s="232">
        <v>508</v>
      </c>
      <c r="D85" s="220" t="s">
        <v>539</v>
      </c>
      <c r="E85" s="220">
        <v>4</v>
      </c>
      <c r="F85" s="220">
        <v>150</v>
      </c>
      <c r="G85" s="350">
        <v>71.82127541303629</v>
      </c>
    </row>
    <row r="86" spans="1:7">
      <c r="A86" s="234" t="s">
        <v>545</v>
      </c>
      <c r="B86" s="231" t="s">
        <v>547</v>
      </c>
      <c r="C86" s="232">
        <v>508</v>
      </c>
      <c r="D86" s="220" t="s">
        <v>539</v>
      </c>
      <c r="E86" s="220">
        <v>5</v>
      </c>
      <c r="F86" s="220">
        <v>150</v>
      </c>
      <c r="G86" s="350">
        <v>55.80705042183402</v>
      </c>
    </row>
    <row r="87" spans="1:7">
      <c r="A87" s="234" t="s">
        <v>545</v>
      </c>
      <c r="B87" s="231" t="s">
        <v>547</v>
      </c>
      <c r="C87" s="232">
        <v>508</v>
      </c>
      <c r="D87" s="220" t="s">
        <v>539</v>
      </c>
      <c r="E87" s="220">
        <v>1</v>
      </c>
      <c r="F87" s="234">
        <v>300</v>
      </c>
      <c r="G87" s="350">
        <v>76.644617199897766</v>
      </c>
    </row>
    <row r="88" spans="1:7">
      <c r="A88" s="234" t="s">
        <v>545</v>
      </c>
      <c r="B88" s="231" t="s">
        <v>547</v>
      </c>
      <c r="C88" s="232">
        <v>508</v>
      </c>
      <c r="D88" s="220" t="s">
        <v>539</v>
      </c>
      <c r="E88" s="220">
        <v>2</v>
      </c>
      <c r="F88" s="234">
        <v>300</v>
      </c>
      <c r="G88" s="350">
        <v>86.173580288886967</v>
      </c>
    </row>
    <row r="89" spans="1:7">
      <c r="A89" s="234" t="s">
        <v>545</v>
      </c>
      <c r="B89" s="231" t="s">
        <v>547</v>
      </c>
      <c r="C89" s="232">
        <v>508</v>
      </c>
      <c r="D89" s="220" t="s">
        <v>539</v>
      </c>
      <c r="E89" s="220">
        <v>3</v>
      </c>
      <c r="F89" s="234">
        <v>300</v>
      </c>
      <c r="G89" s="350">
        <v>71.121710903942613</v>
      </c>
    </row>
    <row r="90" spans="1:7">
      <c r="A90" s="234" t="s">
        <v>545</v>
      </c>
      <c r="B90" s="231" t="s">
        <v>547</v>
      </c>
      <c r="C90" s="232">
        <v>508</v>
      </c>
      <c r="D90" s="220" t="s">
        <v>539</v>
      </c>
      <c r="E90" s="220">
        <v>4</v>
      </c>
      <c r="F90" s="234">
        <v>300</v>
      </c>
      <c r="G90" s="350">
        <v>100.33997654914855</v>
      </c>
    </row>
    <row r="91" spans="1:7">
      <c r="A91" s="234" t="s">
        <v>545</v>
      </c>
      <c r="B91" s="231" t="s">
        <v>547</v>
      </c>
      <c r="C91" s="232">
        <v>508</v>
      </c>
      <c r="D91" s="220" t="s">
        <v>539</v>
      </c>
      <c r="E91" s="220">
        <v>5</v>
      </c>
      <c r="F91" s="234">
        <v>300</v>
      </c>
      <c r="G91" s="350">
        <v>86.399605214595837</v>
      </c>
    </row>
    <row r="92" spans="1:7">
      <c r="A92" s="234" t="s">
        <v>545</v>
      </c>
      <c r="B92" s="241" t="s">
        <v>549</v>
      </c>
      <c r="C92" s="242">
        <v>511</v>
      </c>
      <c r="D92" s="234" t="s">
        <v>535</v>
      </c>
      <c r="E92" s="234">
        <v>1</v>
      </c>
      <c r="F92" s="234">
        <v>150</v>
      </c>
      <c r="G92" s="351">
        <v>54.660829365253456</v>
      </c>
    </row>
    <row r="93" spans="1:7">
      <c r="A93" s="234" t="s">
        <v>545</v>
      </c>
      <c r="B93" s="241" t="s">
        <v>549</v>
      </c>
      <c r="C93" s="242">
        <v>511</v>
      </c>
      <c r="D93" s="234" t="s">
        <v>535</v>
      </c>
      <c r="E93" s="234">
        <v>2</v>
      </c>
      <c r="F93" s="234">
        <v>150</v>
      </c>
      <c r="G93" s="351">
        <v>60.597436919808352</v>
      </c>
    </row>
    <row r="94" spans="1:7">
      <c r="A94" s="234" t="s">
        <v>545</v>
      </c>
      <c r="B94" s="241" t="s">
        <v>549</v>
      </c>
      <c r="C94" s="242">
        <v>511</v>
      </c>
      <c r="D94" s="234" t="s">
        <v>535</v>
      </c>
      <c r="E94" s="234">
        <v>3</v>
      </c>
      <c r="F94" s="234">
        <v>150</v>
      </c>
      <c r="G94" s="351">
        <v>43.420369997620533</v>
      </c>
    </row>
    <row r="95" spans="1:7">
      <c r="A95" s="234" t="s">
        <v>545</v>
      </c>
      <c r="B95" s="241" t="s">
        <v>549</v>
      </c>
      <c r="C95" s="242">
        <v>511</v>
      </c>
      <c r="D95" s="234" t="s">
        <v>535</v>
      </c>
      <c r="E95" s="234">
        <v>4</v>
      </c>
      <c r="F95" s="234">
        <v>150</v>
      </c>
      <c r="G95" s="351">
        <v>62.570892333984418</v>
      </c>
    </row>
    <row r="96" spans="1:7">
      <c r="A96" s="234" t="s">
        <v>545</v>
      </c>
      <c r="B96" s="241" t="s">
        <v>549</v>
      </c>
      <c r="C96" s="242">
        <v>511</v>
      </c>
      <c r="D96" s="234" t="s">
        <v>535</v>
      </c>
      <c r="E96" s="234">
        <v>5</v>
      </c>
      <c r="F96" s="234">
        <v>150</v>
      </c>
      <c r="G96" s="351">
        <v>46.299379765987375</v>
      </c>
    </row>
    <row r="97" spans="1:7">
      <c r="A97" s="234" t="s">
        <v>545</v>
      </c>
      <c r="B97" s="241" t="s">
        <v>549</v>
      </c>
      <c r="C97" s="242">
        <v>511</v>
      </c>
      <c r="D97" s="234" t="s">
        <v>535</v>
      </c>
      <c r="E97" s="234">
        <v>1</v>
      </c>
      <c r="F97" s="234">
        <v>300</v>
      </c>
      <c r="G97" s="351">
        <v>78.881734251976013</v>
      </c>
    </row>
    <row r="98" spans="1:7">
      <c r="A98" s="234" t="s">
        <v>545</v>
      </c>
      <c r="B98" s="241" t="s">
        <v>549</v>
      </c>
      <c r="C98" s="242">
        <v>511</v>
      </c>
      <c r="D98" s="234" t="s">
        <v>535</v>
      </c>
      <c r="E98" s="234">
        <v>2</v>
      </c>
      <c r="F98" s="234">
        <v>300</v>
      </c>
      <c r="G98" s="351">
        <v>85.403863430023208</v>
      </c>
    </row>
    <row r="99" spans="1:7">
      <c r="A99" s="234" t="s">
        <v>545</v>
      </c>
      <c r="B99" s="241" t="s">
        <v>549</v>
      </c>
      <c r="C99" s="242">
        <v>511</v>
      </c>
      <c r="D99" s="234" t="s">
        <v>535</v>
      </c>
      <c r="E99" s="234">
        <v>3</v>
      </c>
      <c r="F99" s="234">
        <v>300</v>
      </c>
      <c r="G99" s="351">
        <v>66.092151761054993</v>
      </c>
    </row>
    <row r="100" spans="1:7">
      <c r="A100" s="234" t="s">
        <v>545</v>
      </c>
      <c r="B100" s="241" t="s">
        <v>549</v>
      </c>
      <c r="C100" s="242">
        <v>511</v>
      </c>
      <c r="D100" s="234" t="s">
        <v>535</v>
      </c>
      <c r="E100" s="234">
        <v>4</v>
      </c>
      <c r="F100" s="234">
        <v>300</v>
      </c>
      <c r="G100" s="351">
        <v>85.513252019882273</v>
      </c>
    </row>
    <row r="101" spans="1:7">
      <c r="A101" s="234" t="s">
        <v>545</v>
      </c>
      <c r="B101" s="241" t="s">
        <v>549</v>
      </c>
      <c r="C101" s="242">
        <v>511</v>
      </c>
      <c r="D101" s="234" t="s">
        <v>535</v>
      </c>
      <c r="E101" s="234">
        <v>5</v>
      </c>
      <c r="F101" s="234">
        <v>300</v>
      </c>
      <c r="G101" s="351">
        <v>67.987156212329836</v>
      </c>
    </row>
    <row r="102" spans="1:7">
      <c r="A102" s="234" t="s">
        <v>545</v>
      </c>
      <c r="B102" s="241" t="s">
        <v>549</v>
      </c>
      <c r="C102" s="242">
        <v>511</v>
      </c>
      <c r="D102" s="220" t="s">
        <v>538</v>
      </c>
      <c r="E102" s="234">
        <v>1</v>
      </c>
      <c r="F102" s="234">
        <v>150</v>
      </c>
      <c r="G102" s="351">
        <v>57.066130697727225</v>
      </c>
    </row>
    <row r="103" spans="1:7">
      <c r="A103" s="234" t="s">
        <v>545</v>
      </c>
      <c r="B103" s="241" t="s">
        <v>549</v>
      </c>
      <c r="C103" s="242">
        <v>511</v>
      </c>
      <c r="D103" s="220" t="s">
        <v>538</v>
      </c>
      <c r="E103" s="234">
        <v>2</v>
      </c>
      <c r="F103" s="234">
        <v>150</v>
      </c>
      <c r="G103" s="351">
        <v>59.131429195404081</v>
      </c>
    </row>
    <row r="104" spans="1:7">
      <c r="A104" s="234" t="s">
        <v>545</v>
      </c>
      <c r="B104" s="241" t="s">
        <v>549</v>
      </c>
      <c r="C104" s="242">
        <v>511</v>
      </c>
      <c r="D104" s="220" t="s">
        <v>538</v>
      </c>
      <c r="E104" s="234">
        <v>3</v>
      </c>
      <c r="F104" s="234">
        <v>150</v>
      </c>
      <c r="G104" s="351">
        <v>44.467058330774293</v>
      </c>
    </row>
    <row r="105" spans="1:7">
      <c r="A105" s="234" t="s">
        <v>545</v>
      </c>
      <c r="B105" s="241" t="s">
        <v>549</v>
      </c>
      <c r="C105" s="242">
        <v>511</v>
      </c>
      <c r="D105" s="220" t="s">
        <v>538</v>
      </c>
      <c r="E105" s="234">
        <v>4</v>
      </c>
      <c r="F105" s="234">
        <v>150</v>
      </c>
      <c r="G105" s="351">
        <v>55.772008061408954</v>
      </c>
    </row>
    <row r="106" spans="1:7">
      <c r="A106" s="234" t="s">
        <v>545</v>
      </c>
      <c r="B106" s="241" t="s">
        <v>549</v>
      </c>
      <c r="C106" s="242">
        <v>511</v>
      </c>
      <c r="D106" s="220" t="s">
        <v>538</v>
      </c>
      <c r="E106" s="234">
        <v>5</v>
      </c>
      <c r="F106" s="234">
        <v>150</v>
      </c>
      <c r="G106" s="351">
        <v>43.917047806084192</v>
      </c>
    </row>
    <row r="107" spans="1:7">
      <c r="A107" s="234" t="s">
        <v>545</v>
      </c>
      <c r="B107" s="241" t="s">
        <v>549</v>
      </c>
      <c r="C107" s="242">
        <v>511</v>
      </c>
      <c r="D107" s="220" t="s">
        <v>538</v>
      </c>
      <c r="E107" s="234">
        <v>1</v>
      </c>
      <c r="F107" s="234">
        <v>300</v>
      </c>
      <c r="G107" s="351">
        <v>67.297110080719023</v>
      </c>
    </row>
    <row r="108" spans="1:7">
      <c r="A108" s="234" t="s">
        <v>545</v>
      </c>
      <c r="B108" s="241" t="s">
        <v>549</v>
      </c>
      <c r="C108" s="242">
        <v>511</v>
      </c>
      <c r="D108" s="220" t="s">
        <v>538</v>
      </c>
      <c r="E108" s="234">
        <v>2</v>
      </c>
      <c r="F108" s="234">
        <v>300</v>
      </c>
      <c r="G108" s="351">
        <v>67.147992610931411</v>
      </c>
    </row>
    <row r="109" spans="1:7">
      <c r="A109" s="234" t="s">
        <v>545</v>
      </c>
      <c r="B109" s="241" t="s">
        <v>549</v>
      </c>
      <c r="C109" s="242">
        <v>511</v>
      </c>
      <c r="D109" s="220" t="s">
        <v>538</v>
      </c>
      <c r="E109" s="234">
        <v>3</v>
      </c>
      <c r="F109" s="234">
        <v>300</v>
      </c>
      <c r="G109" s="351">
        <v>56.667856216430707</v>
      </c>
    </row>
    <row r="110" spans="1:7">
      <c r="A110" s="234" t="s">
        <v>545</v>
      </c>
      <c r="B110" s="241" t="s">
        <v>549</v>
      </c>
      <c r="C110" s="242">
        <v>511</v>
      </c>
      <c r="D110" s="220" t="s">
        <v>538</v>
      </c>
      <c r="E110" s="234">
        <v>4</v>
      </c>
      <c r="F110" s="234">
        <v>300</v>
      </c>
      <c r="G110" s="351">
        <v>63.620050191879322</v>
      </c>
    </row>
    <row r="111" spans="1:7">
      <c r="A111" s="234" t="s">
        <v>545</v>
      </c>
      <c r="B111" s="241" t="s">
        <v>549</v>
      </c>
      <c r="C111" s="242">
        <v>511</v>
      </c>
      <c r="D111" s="220" t="s">
        <v>538</v>
      </c>
      <c r="E111" s="234">
        <v>5</v>
      </c>
      <c r="F111" s="234">
        <v>300</v>
      </c>
      <c r="G111" s="351">
        <v>55.976776480674772</v>
      </c>
    </row>
    <row r="112" spans="1:7">
      <c r="A112" s="234" t="s">
        <v>545</v>
      </c>
      <c r="B112" s="241" t="s">
        <v>549</v>
      </c>
      <c r="C112" s="242">
        <v>511</v>
      </c>
      <c r="D112" s="220" t="s">
        <v>539</v>
      </c>
      <c r="E112" s="234">
        <v>1</v>
      </c>
      <c r="F112" s="234">
        <v>150</v>
      </c>
      <c r="G112" s="351">
        <v>49.642622008919744</v>
      </c>
    </row>
    <row r="113" spans="1:7">
      <c r="A113" s="234" t="s">
        <v>545</v>
      </c>
      <c r="B113" s="241" t="s">
        <v>549</v>
      </c>
      <c r="C113" s="242">
        <v>511</v>
      </c>
      <c r="D113" s="220" t="s">
        <v>539</v>
      </c>
      <c r="E113" s="234">
        <v>2</v>
      </c>
      <c r="F113" s="234">
        <v>150</v>
      </c>
      <c r="G113" s="351">
        <v>57.806346490979237</v>
      </c>
    </row>
    <row r="114" spans="1:7">
      <c r="A114" s="234" t="s">
        <v>545</v>
      </c>
      <c r="B114" s="241" t="s">
        <v>549</v>
      </c>
      <c r="C114" s="242">
        <v>511</v>
      </c>
      <c r="D114" s="220" t="s">
        <v>539</v>
      </c>
      <c r="E114" s="234">
        <v>3</v>
      </c>
      <c r="F114" s="234">
        <v>150</v>
      </c>
      <c r="G114" s="351">
        <v>44.501217693090439</v>
      </c>
    </row>
    <row r="115" spans="1:7">
      <c r="A115" s="234" t="s">
        <v>545</v>
      </c>
      <c r="B115" s="241" t="s">
        <v>549</v>
      </c>
      <c r="C115" s="242">
        <v>511</v>
      </c>
      <c r="D115" s="220" t="s">
        <v>539</v>
      </c>
      <c r="E115" s="234">
        <v>4</v>
      </c>
      <c r="F115" s="234">
        <v>150</v>
      </c>
      <c r="G115" s="351">
        <v>73.179390579462094</v>
      </c>
    </row>
    <row r="116" spans="1:7">
      <c r="A116" s="234" t="s">
        <v>545</v>
      </c>
      <c r="B116" s="241" t="s">
        <v>549</v>
      </c>
      <c r="C116" s="242">
        <v>511</v>
      </c>
      <c r="D116" s="220" t="s">
        <v>539</v>
      </c>
      <c r="E116" s="234">
        <v>5</v>
      </c>
      <c r="F116" s="234">
        <v>150</v>
      </c>
      <c r="G116" s="351">
        <v>56.470542401075349</v>
      </c>
    </row>
    <row r="117" spans="1:7">
      <c r="A117" s="234" t="s">
        <v>545</v>
      </c>
      <c r="B117" s="241" t="s">
        <v>549</v>
      </c>
      <c r="C117" s="242">
        <v>511</v>
      </c>
      <c r="D117" s="220" t="s">
        <v>539</v>
      </c>
      <c r="E117" s="234">
        <v>1</v>
      </c>
      <c r="F117" s="234">
        <v>300</v>
      </c>
      <c r="G117" s="351">
        <v>78.27366471290587</v>
      </c>
    </row>
    <row r="118" spans="1:7">
      <c r="A118" s="234" t="s">
        <v>545</v>
      </c>
      <c r="B118" s="241" t="s">
        <v>549</v>
      </c>
      <c r="C118" s="242">
        <v>511</v>
      </c>
      <c r="D118" s="220" t="s">
        <v>539</v>
      </c>
      <c r="E118" s="234">
        <v>2</v>
      </c>
      <c r="F118" s="234">
        <v>300</v>
      </c>
      <c r="G118" s="351">
        <v>88.857390880584674</v>
      </c>
    </row>
    <row r="119" spans="1:7">
      <c r="A119" s="234" t="s">
        <v>545</v>
      </c>
      <c r="B119" s="241" t="s">
        <v>549</v>
      </c>
      <c r="C119" s="242">
        <v>511</v>
      </c>
      <c r="D119" s="220" t="s">
        <v>539</v>
      </c>
      <c r="E119" s="234">
        <v>3</v>
      </c>
      <c r="F119" s="234">
        <v>300</v>
      </c>
      <c r="G119" s="351">
        <v>72.380607053637533</v>
      </c>
    </row>
    <row r="120" spans="1:7">
      <c r="A120" s="234" t="s">
        <v>545</v>
      </c>
      <c r="B120" s="241" t="s">
        <v>549</v>
      </c>
      <c r="C120" s="242">
        <v>511</v>
      </c>
      <c r="D120" s="220" t="s">
        <v>539</v>
      </c>
      <c r="E120" s="234">
        <v>4</v>
      </c>
      <c r="F120" s="234">
        <v>300</v>
      </c>
      <c r="G120" s="351">
        <v>101.26193201541906</v>
      </c>
    </row>
    <row r="121" spans="1:7">
      <c r="A121" s="234" t="s">
        <v>545</v>
      </c>
      <c r="B121" s="241" t="s">
        <v>549</v>
      </c>
      <c r="C121" s="242">
        <v>511</v>
      </c>
      <c r="D121" s="220" t="s">
        <v>539</v>
      </c>
      <c r="E121" s="234">
        <v>5</v>
      </c>
      <c r="F121" s="234">
        <v>300</v>
      </c>
      <c r="G121" s="351">
        <v>86.024991750717106</v>
      </c>
    </row>
    <row r="122" spans="1:7">
      <c r="A122" s="234" t="s">
        <v>541</v>
      </c>
      <c r="B122" s="237" t="s">
        <v>540</v>
      </c>
      <c r="C122" s="238">
        <v>505</v>
      </c>
      <c r="D122" s="234" t="s">
        <v>542</v>
      </c>
      <c r="E122" s="220">
        <v>1</v>
      </c>
      <c r="F122" s="220">
        <v>150</v>
      </c>
      <c r="G122" s="352">
        <v>93.786135733127608</v>
      </c>
    </row>
    <row r="123" spans="1:7">
      <c r="A123" s="234" t="s">
        <v>541</v>
      </c>
      <c r="B123" s="237" t="s">
        <v>540</v>
      </c>
      <c r="C123" s="238">
        <v>505</v>
      </c>
      <c r="D123" s="234" t="s">
        <v>542</v>
      </c>
      <c r="E123" s="220">
        <v>2</v>
      </c>
      <c r="F123" s="220">
        <v>150</v>
      </c>
      <c r="G123" s="352">
        <v>116.4597039222717</v>
      </c>
    </row>
    <row r="124" spans="1:7">
      <c r="A124" s="234" t="s">
        <v>541</v>
      </c>
      <c r="B124" s="237" t="s">
        <v>540</v>
      </c>
      <c r="C124" s="238">
        <v>505</v>
      </c>
      <c r="D124" s="234" t="s">
        <v>542</v>
      </c>
      <c r="E124" s="220">
        <v>3</v>
      </c>
      <c r="F124" s="220">
        <v>150</v>
      </c>
      <c r="G124" s="352">
        <v>96.313991546630845</v>
      </c>
    </row>
    <row r="125" spans="1:7">
      <c r="A125" s="234" t="s">
        <v>541</v>
      </c>
      <c r="B125" s="237" t="s">
        <v>540</v>
      </c>
      <c r="C125" s="238">
        <v>505</v>
      </c>
      <c r="D125" s="234" t="s">
        <v>542</v>
      </c>
      <c r="E125" s="220">
        <v>4</v>
      </c>
      <c r="F125" s="220">
        <v>150</v>
      </c>
      <c r="G125" s="352">
        <v>131.87860417366025</v>
      </c>
    </row>
    <row r="126" spans="1:7">
      <c r="A126" s="234" t="s">
        <v>541</v>
      </c>
      <c r="B126" s="237" t="s">
        <v>540</v>
      </c>
      <c r="C126" s="238">
        <v>505</v>
      </c>
      <c r="D126" s="234" t="s">
        <v>542</v>
      </c>
      <c r="E126" s="220">
        <v>5</v>
      </c>
      <c r="F126" s="220">
        <v>150</v>
      </c>
      <c r="G126" s="352">
        <v>115.48599398136139</v>
      </c>
    </row>
    <row r="127" spans="1:7">
      <c r="A127" s="234" t="s">
        <v>541</v>
      </c>
      <c r="B127" s="237" t="s">
        <v>540</v>
      </c>
      <c r="C127" s="238">
        <v>505</v>
      </c>
      <c r="D127" s="234" t="s">
        <v>542</v>
      </c>
      <c r="E127" s="220">
        <v>1</v>
      </c>
      <c r="F127" s="234">
        <v>300</v>
      </c>
      <c r="G127" s="352">
        <v>130.77029991149897</v>
      </c>
    </row>
    <row r="128" spans="1:7">
      <c r="A128" s="234" t="s">
        <v>541</v>
      </c>
      <c r="B128" s="237" t="s">
        <v>540</v>
      </c>
      <c r="C128" s="238">
        <v>505</v>
      </c>
      <c r="D128" s="234" t="s">
        <v>542</v>
      </c>
      <c r="E128" s="220">
        <v>2</v>
      </c>
      <c r="F128" s="234">
        <v>300</v>
      </c>
      <c r="G128" s="352">
        <v>145.16624450683591</v>
      </c>
    </row>
    <row r="129" spans="1:7">
      <c r="A129" s="234" t="s">
        <v>541</v>
      </c>
      <c r="B129" s="237" t="s">
        <v>540</v>
      </c>
      <c r="C129" s="238">
        <v>505</v>
      </c>
      <c r="D129" s="234" t="s">
        <v>542</v>
      </c>
      <c r="E129" s="220">
        <v>3</v>
      </c>
      <c r="F129" s="234">
        <v>300</v>
      </c>
      <c r="G129" s="352">
        <v>129.80149173736567</v>
      </c>
    </row>
    <row r="130" spans="1:7">
      <c r="A130" s="234" t="s">
        <v>541</v>
      </c>
      <c r="B130" s="237" t="s">
        <v>540</v>
      </c>
      <c r="C130" s="238">
        <v>505</v>
      </c>
      <c r="D130" s="234" t="s">
        <v>542</v>
      </c>
      <c r="E130" s="220">
        <v>4</v>
      </c>
      <c r="F130" s="234">
        <v>300</v>
      </c>
      <c r="G130" s="352">
        <v>143.64993572235133</v>
      </c>
    </row>
    <row r="131" spans="1:7">
      <c r="A131" s="234" t="s">
        <v>541</v>
      </c>
      <c r="B131" s="237" t="s">
        <v>540</v>
      </c>
      <c r="C131" s="238">
        <v>505</v>
      </c>
      <c r="D131" s="234" t="s">
        <v>542</v>
      </c>
      <c r="E131" s="220">
        <v>5</v>
      </c>
      <c r="F131" s="234">
        <v>300</v>
      </c>
      <c r="G131" s="352">
        <v>134.58320713043213</v>
      </c>
    </row>
    <row r="132" spans="1:7">
      <c r="A132" s="234" t="s">
        <v>541</v>
      </c>
      <c r="B132" s="237" t="s">
        <v>547</v>
      </c>
      <c r="C132" s="238">
        <v>514</v>
      </c>
      <c r="D132" s="234" t="s">
        <v>542</v>
      </c>
      <c r="E132" s="220">
        <v>1</v>
      </c>
      <c r="F132" s="220">
        <v>150</v>
      </c>
      <c r="G132" s="352">
        <v>93.786135733127608</v>
      </c>
    </row>
    <row r="133" spans="1:7">
      <c r="A133" s="234" t="s">
        <v>541</v>
      </c>
      <c r="B133" s="237" t="s">
        <v>547</v>
      </c>
      <c r="C133" s="238">
        <v>514</v>
      </c>
      <c r="D133" s="234" t="s">
        <v>542</v>
      </c>
      <c r="E133" s="220">
        <v>2</v>
      </c>
      <c r="F133" s="220">
        <v>150</v>
      </c>
      <c r="G133" s="352">
        <v>116.4597039222717</v>
      </c>
    </row>
    <row r="134" spans="1:7">
      <c r="A134" s="234" t="s">
        <v>541</v>
      </c>
      <c r="B134" s="237" t="s">
        <v>547</v>
      </c>
      <c r="C134" s="238">
        <v>514</v>
      </c>
      <c r="D134" s="234" t="s">
        <v>542</v>
      </c>
      <c r="E134" s="220">
        <v>3</v>
      </c>
      <c r="F134" s="220">
        <v>150</v>
      </c>
      <c r="G134" s="352">
        <v>96.313991546630845</v>
      </c>
    </row>
    <row r="135" spans="1:7">
      <c r="A135" s="234" t="s">
        <v>541</v>
      </c>
      <c r="B135" s="237" t="s">
        <v>547</v>
      </c>
      <c r="C135" s="238">
        <v>514</v>
      </c>
      <c r="D135" s="234" t="s">
        <v>542</v>
      </c>
      <c r="E135" s="220">
        <v>4</v>
      </c>
      <c r="F135" s="220">
        <v>150</v>
      </c>
      <c r="G135" s="352">
        <v>131.87860417366025</v>
      </c>
    </row>
    <row r="136" spans="1:7">
      <c r="A136" s="234" t="s">
        <v>541</v>
      </c>
      <c r="B136" s="237" t="s">
        <v>547</v>
      </c>
      <c r="C136" s="238">
        <v>514</v>
      </c>
      <c r="D136" s="234" t="s">
        <v>542</v>
      </c>
      <c r="E136" s="220">
        <v>5</v>
      </c>
      <c r="F136" s="220">
        <v>150</v>
      </c>
      <c r="G136" s="352">
        <v>115.48599398136139</v>
      </c>
    </row>
    <row r="137" spans="1:7">
      <c r="A137" s="234" t="s">
        <v>541</v>
      </c>
      <c r="B137" s="237" t="s">
        <v>547</v>
      </c>
      <c r="C137" s="238">
        <v>514</v>
      </c>
      <c r="D137" s="234" t="s">
        <v>542</v>
      </c>
      <c r="E137" s="220">
        <v>1</v>
      </c>
      <c r="F137" s="234">
        <v>300</v>
      </c>
      <c r="G137" s="352">
        <v>130.77029991149897</v>
      </c>
    </row>
    <row r="138" spans="1:7">
      <c r="A138" s="234" t="s">
        <v>541</v>
      </c>
      <c r="B138" s="237" t="s">
        <v>547</v>
      </c>
      <c r="C138" s="238">
        <v>514</v>
      </c>
      <c r="D138" s="234" t="s">
        <v>542</v>
      </c>
      <c r="E138" s="220">
        <v>2</v>
      </c>
      <c r="F138" s="234">
        <v>300</v>
      </c>
      <c r="G138" s="352">
        <v>145.16624450683591</v>
      </c>
    </row>
    <row r="139" spans="1:7">
      <c r="A139" s="234" t="s">
        <v>541</v>
      </c>
      <c r="B139" s="237" t="s">
        <v>547</v>
      </c>
      <c r="C139" s="238">
        <v>514</v>
      </c>
      <c r="D139" s="234" t="s">
        <v>542</v>
      </c>
      <c r="E139" s="220">
        <v>3</v>
      </c>
      <c r="F139" s="234">
        <v>300</v>
      </c>
      <c r="G139" s="352">
        <v>129.80149173736567</v>
      </c>
    </row>
    <row r="140" spans="1:7">
      <c r="A140" s="234" t="s">
        <v>541</v>
      </c>
      <c r="B140" s="237" t="s">
        <v>547</v>
      </c>
      <c r="C140" s="238">
        <v>514</v>
      </c>
      <c r="D140" s="234" t="s">
        <v>542</v>
      </c>
      <c r="E140" s="220">
        <v>4</v>
      </c>
      <c r="F140" s="234">
        <v>300</v>
      </c>
      <c r="G140" s="352">
        <v>143.64993572235133</v>
      </c>
    </row>
    <row r="141" spans="1:7">
      <c r="A141" s="234" t="s">
        <v>541</v>
      </c>
      <c r="B141" s="237" t="s">
        <v>547</v>
      </c>
      <c r="C141" s="238">
        <v>514</v>
      </c>
      <c r="D141" s="234" t="s">
        <v>542</v>
      </c>
      <c r="E141" s="220">
        <v>5</v>
      </c>
      <c r="F141" s="234">
        <v>300</v>
      </c>
      <c r="G141" s="352">
        <v>134.58320713043213</v>
      </c>
    </row>
    <row r="142" spans="1:7">
      <c r="A142" s="234" t="s">
        <v>541</v>
      </c>
      <c r="B142" s="237" t="s">
        <v>551</v>
      </c>
      <c r="C142" s="238">
        <v>510</v>
      </c>
      <c r="D142" s="234" t="s">
        <v>542</v>
      </c>
      <c r="E142" s="220">
        <v>1</v>
      </c>
      <c r="F142" s="220">
        <v>150</v>
      </c>
      <c r="G142" s="352">
        <v>93.786135733127608</v>
      </c>
    </row>
    <row r="143" spans="1:7">
      <c r="A143" s="234" t="s">
        <v>541</v>
      </c>
      <c r="B143" s="237" t="s">
        <v>551</v>
      </c>
      <c r="C143" s="238">
        <v>510</v>
      </c>
      <c r="D143" s="234" t="s">
        <v>542</v>
      </c>
      <c r="E143" s="220">
        <v>2</v>
      </c>
      <c r="F143" s="220">
        <v>150</v>
      </c>
      <c r="G143" s="352">
        <v>116.4597039222717</v>
      </c>
    </row>
    <row r="144" spans="1:7">
      <c r="A144" s="234" t="s">
        <v>541</v>
      </c>
      <c r="B144" s="237" t="s">
        <v>551</v>
      </c>
      <c r="C144" s="238">
        <v>510</v>
      </c>
      <c r="D144" s="234" t="s">
        <v>542</v>
      </c>
      <c r="E144" s="220">
        <v>3</v>
      </c>
      <c r="F144" s="220">
        <v>150</v>
      </c>
      <c r="G144" s="352">
        <v>96.313991546630845</v>
      </c>
    </row>
    <row r="145" spans="1:8">
      <c r="A145" s="234" t="s">
        <v>541</v>
      </c>
      <c r="B145" s="237" t="s">
        <v>551</v>
      </c>
      <c r="C145" s="238">
        <v>510</v>
      </c>
      <c r="D145" s="234" t="s">
        <v>542</v>
      </c>
      <c r="E145" s="220">
        <v>4</v>
      </c>
      <c r="F145" s="220">
        <v>150</v>
      </c>
      <c r="G145" s="352">
        <v>131.87860417366025</v>
      </c>
    </row>
    <row r="146" spans="1:8">
      <c r="A146" s="234" t="s">
        <v>541</v>
      </c>
      <c r="B146" s="237" t="s">
        <v>551</v>
      </c>
      <c r="C146" s="238">
        <v>510</v>
      </c>
      <c r="D146" s="234" t="s">
        <v>542</v>
      </c>
      <c r="E146" s="220">
        <v>5</v>
      </c>
      <c r="F146" s="220">
        <v>150</v>
      </c>
      <c r="G146" s="352">
        <v>115.48599398136139</v>
      </c>
    </row>
    <row r="147" spans="1:8">
      <c r="A147" s="234" t="s">
        <v>541</v>
      </c>
      <c r="B147" s="237" t="s">
        <v>551</v>
      </c>
      <c r="C147" s="238">
        <v>510</v>
      </c>
      <c r="D147" s="234" t="s">
        <v>542</v>
      </c>
      <c r="E147" s="220">
        <v>1</v>
      </c>
      <c r="F147" s="234">
        <v>300</v>
      </c>
      <c r="G147" s="352">
        <v>130.77029991149897</v>
      </c>
    </row>
    <row r="148" spans="1:8">
      <c r="A148" s="234" t="s">
        <v>541</v>
      </c>
      <c r="B148" s="237" t="s">
        <v>551</v>
      </c>
      <c r="C148" s="238">
        <v>510</v>
      </c>
      <c r="D148" s="234" t="s">
        <v>542</v>
      </c>
      <c r="E148" s="220">
        <v>2</v>
      </c>
      <c r="F148" s="234">
        <v>300</v>
      </c>
      <c r="G148" s="352">
        <v>145.16624450683591</v>
      </c>
    </row>
    <row r="149" spans="1:8">
      <c r="A149" s="234" t="s">
        <v>541</v>
      </c>
      <c r="B149" s="237" t="s">
        <v>551</v>
      </c>
      <c r="C149" s="238">
        <v>510</v>
      </c>
      <c r="D149" s="234" t="s">
        <v>542</v>
      </c>
      <c r="E149" s="220">
        <v>3</v>
      </c>
      <c r="F149" s="234">
        <v>300</v>
      </c>
      <c r="G149" s="352">
        <v>129.80149173736567</v>
      </c>
    </row>
    <row r="150" spans="1:8">
      <c r="A150" s="234" t="s">
        <v>541</v>
      </c>
      <c r="B150" s="237" t="s">
        <v>551</v>
      </c>
      <c r="C150" s="238">
        <v>510</v>
      </c>
      <c r="D150" s="234" t="s">
        <v>542</v>
      </c>
      <c r="E150" s="220">
        <v>4</v>
      </c>
      <c r="F150" s="234">
        <v>300</v>
      </c>
      <c r="G150" s="352">
        <v>143.64993572235133</v>
      </c>
    </row>
    <row r="151" spans="1:8">
      <c r="A151" s="234" t="s">
        <v>541</v>
      </c>
      <c r="B151" s="237" t="s">
        <v>551</v>
      </c>
      <c r="C151" s="238">
        <v>510</v>
      </c>
      <c r="D151" s="234" t="s">
        <v>542</v>
      </c>
      <c r="E151" s="220">
        <v>5</v>
      </c>
      <c r="F151" s="234">
        <v>300</v>
      </c>
      <c r="G151" s="352">
        <v>134.58320713043213</v>
      </c>
      <c r="H151" s="190"/>
    </row>
    <row r="152" spans="1:8">
      <c r="A152" s="234" t="s">
        <v>543</v>
      </c>
      <c r="B152" s="237" t="s">
        <v>540</v>
      </c>
      <c r="C152" s="238">
        <v>505</v>
      </c>
      <c r="D152" s="219" t="s">
        <v>544</v>
      </c>
      <c r="E152" s="220">
        <v>1</v>
      </c>
      <c r="F152" s="220">
        <v>150</v>
      </c>
      <c r="G152" s="352">
        <v>41.080044511705609</v>
      </c>
      <c r="H152" s="190"/>
    </row>
    <row r="153" spans="1:8">
      <c r="A153" s="234" t="s">
        <v>543</v>
      </c>
      <c r="B153" s="237" t="s">
        <v>540</v>
      </c>
      <c r="C153" s="238">
        <v>505</v>
      </c>
      <c r="D153" s="219" t="s">
        <v>544</v>
      </c>
      <c r="E153" s="220">
        <v>2</v>
      </c>
      <c r="F153" s="220">
        <v>150</v>
      </c>
      <c r="G153" s="352">
        <v>44.568858876824365</v>
      </c>
      <c r="H153" s="190"/>
    </row>
    <row r="154" spans="1:8">
      <c r="A154" s="234" t="s">
        <v>543</v>
      </c>
      <c r="B154" s="237" t="s">
        <v>540</v>
      </c>
      <c r="C154" s="238">
        <v>505</v>
      </c>
      <c r="D154" s="219" t="s">
        <v>544</v>
      </c>
      <c r="E154" s="220">
        <v>3</v>
      </c>
      <c r="F154" s="220">
        <v>150</v>
      </c>
      <c r="G154" s="352">
        <v>32.482876449823415</v>
      </c>
      <c r="H154" s="190"/>
    </row>
    <row r="155" spans="1:8">
      <c r="A155" s="234" t="s">
        <v>543</v>
      </c>
      <c r="B155" s="237" t="s">
        <v>540</v>
      </c>
      <c r="C155" s="238">
        <v>505</v>
      </c>
      <c r="D155" s="219" t="s">
        <v>544</v>
      </c>
      <c r="E155" s="220">
        <v>4</v>
      </c>
      <c r="F155" s="220">
        <v>150</v>
      </c>
      <c r="G155" s="352">
        <v>45.72860415279866</v>
      </c>
      <c r="H155" s="190"/>
    </row>
    <row r="156" spans="1:8">
      <c r="A156" s="234" t="s">
        <v>543</v>
      </c>
      <c r="B156" s="237" t="s">
        <v>540</v>
      </c>
      <c r="C156" s="238">
        <v>505</v>
      </c>
      <c r="D156" s="219" t="s">
        <v>544</v>
      </c>
      <c r="E156" s="220">
        <v>5</v>
      </c>
      <c r="F156" s="220">
        <v>150</v>
      </c>
      <c r="G156" s="352">
        <v>36.000008180737453</v>
      </c>
      <c r="H156" s="190"/>
    </row>
    <row r="157" spans="1:8">
      <c r="A157" s="234" t="s">
        <v>543</v>
      </c>
      <c r="B157" s="237" t="s">
        <v>540</v>
      </c>
      <c r="C157" s="238">
        <v>505</v>
      </c>
      <c r="D157" s="219" t="s">
        <v>544</v>
      </c>
      <c r="E157" s="220">
        <v>1</v>
      </c>
      <c r="F157" s="234">
        <v>300</v>
      </c>
      <c r="G157" s="352">
        <v>57.639130473136944</v>
      </c>
      <c r="H157" s="190"/>
    </row>
    <row r="158" spans="1:8">
      <c r="A158" s="234" t="s">
        <v>543</v>
      </c>
      <c r="B158" s="237" t="s">
        <v>540</v>
      </c>
      <c r="C158" s="238">
        <v>505</v>
      </c>
      <c r="D158" s="219" t="s">
        <v>544</v>
      </c>
      <c r="E158" s="220">
        <v>2</v>
      </c>
      <c r="F158" s="234">
        <v>300</v>
      </c>
      <c r="G158" s="352">
        <v>61.157340049743631</v>
      </c>
      <c r="H158" s="190"/>
    </row>
    <row r="159" spans="1:8">
      <c r="A159" s="234" t="s">
        <v>543</v>
      </c>
      <c r="B159" s="237" t="s">
        <v>540</v>
      </c>
      <c r="C159" s="238">
        <v>505</v>
      </c>
      <c r="D159" s="219" t="s">
        <v>544</v>
      </c>
      <c r="E159" s="220">
        <v>3</v>
      </c>
      <c r="F159" s="234">
        <v>300</v>
      </c>
      <c r="G159" s="352">
        <v>48.958302319049835</v>
      </c>
      <c r="H159" s="190"/>
    </row>
    <row r="160" spans="1:8">
      <c r="A160" s="234" t="s">
        <v>543</v>
      </c>
      <c r="B160" s="237" t="s">
        <v>540</v>
      </c>
      <c r="C160" s="238">
        <v>505</v>
      </c>
      <c r="D160" s="219" t="s">
        <v>544</v>
      </c>
      <c r="E160" s="220">
        <v>4</v>
      </c>
      <c r="F160" s="234">
        <v>300</v>
      </c>
      <c r="G160" s="352">
        <v>63.948393225669861</v>
      </c>
      <c r="H160" s="190"/>
    </row>
    <row r="161" spans="1:8">
      <c r="A161" s="234" t="s">
        <v>543</v>
      </c>
      <c r="B161" s="237" t="s">
        <v>540</v>
      </c>
      <c r="C161" s="238">
        <v>505</v>
      </c>
      <c r="D161" s="219" t="s">
        <v>544</v>
      </c>
      <c r="E161" s="220">
        <v>5</v>
      </c>
      <c r="F161" s="234">
        <v>300</v>
      </c>
      <c r="G161" s="352">
        <v>54.709093272686005</v>
      </c>
      <c r="H161" s="190"/>
    </row>
    <row r="162" spans="1:8">
      <c r="A162" s="234" t="s">
        <v>543</v>
      </c>
      <c r="B162" s="237" t="s">
        <v>540</v>
      </c>
      <c r="C162" s="238">
        <v>505</v>
      </c>
      <c r="D162" s="220" t="s">
        <v>535</v>
      </c>
      <c r="E162" s="220">
        <v>1</v>
      </c>
      <c r="F162" s="220">
        <v>150</v>
      </c>
      <c r="G162" s="350">
        <v>39.02196090668437</v>
      </c>
      <c r="H162" s="190"/>
    </row>
    <row r="163" spans="1:8">
      <c r="A163" s="234" t="s">
        <v>543</v>
      </c>
      <c r="B163" s="237" t="s">
        <v>540</v>
      </c>
      <c r="C163" s="238">
        <v>505</v>
      </c>
      <c r="D163" s="220" t="s">
        <v>535</v>
      </c>
      <c r="E163" s="220">
        <v>2</v>
      </c>
      <c r="F163" s="220">
        <v>150</v>
      </c>
      <c r="G163" s="350">
        <v>43.419049799442256</v>
      </c>
      <c r="H163" s="190"/>
    </row>
    <row r="164" spans="1:8">
      <c r="A164" s="234" t="s">
        <v>543</v>
      </c>
      <c r="B164" s="237" t="s">
        <v>540</v>
      </c>
      <c r="C164" s="238">
        <v>505</v>
      </c>
      <c r="D164" s="220" t="s">
        <v>535</v>
      </c>
      <c r="E164" s="220">
        <v>3</v>
      </c>
      <c r="F164" s="220">
        <v>150</v>
      </c>
      <c r="G164" s="350">
        <v>33.282216399908101</v>
      </c>
      <c r="H164" s="190"/>
    </row>
    <row r="165" spans="1:8">
      <c r="A165" s="234" t="s">
        <v>543</v>
      </c>
      <c r="B165" s="237" t="s">
        <v>540</v>
      </c>
      <c r="C165" s="238">
        <v>505</v>
      </c>
      <c r="D165" s="220" t="s">
        <v>535</v>
      </c>
      <c r="E165" s="220">
        <v>4</v>
      </c>
      <c r="F165" s="220">
        <v>150</v>
      </c>
      <c r="G165" s="350">
        <v>49.294129267334888</v>
      </c>
      <c r="H165" s="190"/>
    </row>
    <row r="166" spans="1:8">
      <c r="A166" s="234" t="s">
        <v>543</v>
      </c>
      <c r="B166" s="237" t="s">
        <v>540</v>
      </c>
      <c r="C166" s="238">
        <v>505</v>
      </c>
      <c r="D166" s="220" t="s">
        <v>535</v>
      </c>
      <c r="E166" s="220">
        <v>5</v>
      </c>
      <c r="F166" s="220">
        <v>150</v>
      </c>
      <c r="G166" s="350">
        <v>41.579796031117468</v>
      </c>
      <c r="H166" s="190"/>
    </row>
    <row r="167" spans="1:8">
      <c r="A167" s="234" t="s">
        <v>543</v>
      </c>
      <c r="B167" s="237" t="s">
        <v>540</v>
      </c>
      <c r="C167" s="238">
        <v>505</v>
      </c>
      <c r="D167" s="220" t="s">
        <v>535</v>
      </c>
      <c r="E167" s="220">
        <v>1</v>
      </c>
      <c r="F167" s="234">
        <v>300</v>
      </c>
      <c r="G167" s="350">
        <v>65.703300774097414</v>
      </c>
      <c r="H167" s="190"/>
    </row>
    <row r="168" spans="1:8">
      <c r="A168" s="234" t="s">
        <v>543</v>
      </c>
      <c r="B168" s="237" t="s">
        <v>540</v>
      </c>
      <c r="C168" s="238">
        <v>505</v>
      </c>
      <c r="D168" s="220" t="s">
        <v>535</v>
      </c>
      <c r="E168" s="220">
        <v>2</v>
      </c>
      <c r="F168" s="234">
        <v>300</v>
      </c>
      <c r="G168" s="350">
        <v>71.116526424884839</v>
      </c>
      <c r="H168" s="190"/>
    </row>
    <row r="169" spans="1:8">
      <c r="A169" s="234" t="s">
        <v>543</v>
      </c>
      <c r="B169" s="237" t="s">
        <v>540</v>
      </c>
      <c r="C169" s="238">
        <v>505</v>
      </c>
      <c r="D169" s="220" t="s">
        <v>535</v>
      </c>
      <c r="E169" s="220">
        <v>3</v>
      </c>
      <c r="F169" s="234">
        <v>300</v>
      </c>
      <c r="G169" s="350">
        <v>57.818441897630734</v>
      </c>
      <c r="H169" s="190"/>
    </row>
    <row r="170" spans="1:8">
      <c r="A170" s="234" t="s">
        <v>543</v>
      </c>
      <c r="B170" s="237" t="s">
        <v>540</v>
      </c>
      <c r="C170" s="238">
        <v>505</v>
      </c>
      <c r="D170" s="220" t="s">
        <v>535</v>
      </c>
      <c r="E170" s="220">
        <v>4</v>
      </c>
      <c r="F170" s="234">
        <v>300</v>
      </c>
      <c r="G170" s="350">
        <v>79.438554525375338</v>
      </c>
      <c r="H170" s="190"/>
    </row>
    <row r="171" spans="1:8">
      <c r="A171" s="234" t="s">
        <v>543</v>
      </c>
      <c r="B171" s="237" t="s">
        <v>540</v>
      </c>
      <c r="C171" s="238">
        <v>505</v>
      </c>
      <c r="D171" s="220" t="s">
        <v>535</v>
      </c>
      <c r="E171" s="220">
        <v>5</v>
      </c>
      <c r="F171" s="234">
        <v>300</v>
      </c>
      <c r="G171" s="350">
        <v>70.753381907939996</v>
      </c>
      <c r="H171" s="190"/>
    </row>
    <row r="172" spans="1:8">
      <c r="A172" s="234" t="s">
        <v>543</v>
      </c>
      <c r="B172" s="237" t="s">
        <v>540</v>
      </c>
      <c r="C172" s="238">
        <v>505</v>
      </c>
      <c r="D172" s="220" t="s">
        <v>539</v>
      </c>
      <c r="E172" s="234">
        <v>1</v>
      </c>
      <c r="F172" s="234">
        <v>150</v>
      </c>
      <c r="G172" s="350">
        <v>34.783490896225004</v>
      </c>
    </row>
    <row r="173" spans="1:8">
      <c r="A173" s="234" t="s">
        <v>543</v>
      </c>
      <c r="B173" s="237" t="s">
        <v>540</v>
      </c>
      <c r="C173" s="238">
        <v>505</v>
      </c>
      <c r="D173" s="220" t="s">
        <v>539</v>
      </c>
      <c r="E173" s="234">
        <v>2</v>
      </c>
      <c r="F173" s="234">
        <v>150</v>
      </c>
      <c r="G173" s="350">
        <v>41.067197471857043</v>
      </c>
    </row>
    <row r="174" spans="1:8">
      <c r="A174" s="234" t="s">
        <v>543</v>
      </c>
      <c r="B174" s="237" t="s">
        <v>540</v>
      </c>
      <c r="C174" s="238">
        <v>505</v>
      </c>
      <c r="D174" s="220" t="s">
        <v>539</v>
      </c>
      <c r="E174" s="234">
        <v>3</v>
      </c>
      <c r="F174" s="234">
        <v>150</v>
      </c>
      <c r="G174" s="350">
        <v>31.796339921653278</v>
      </c>
    </row>
    <row r="175" spans="1:8">
      <c r="A175" s="234" t="s">
        <v>543</v>
      </c>
      <c r="B175" s="237" t="s">
        <v>540</v>
      </c>
      <c r="C175" s="238">
        <v>505</v>
      </c>
      <c r="D175" s="220" t="s">
        <v>539</v>
      </c>
      <c r="E175" s="234">
        <v>4</v>
      </c>
      <c r="F175" s="234">
        <v>150</v>
      </c>
      <c r="G175" s="350">
        <v>51.180524140596361</v>
      </c>
    </row>
    <row r="176" spans="1:8">
      <c r="A176" s="234" t="s">
        <v>543</v>
      </c>
      <c r="B176" s="237" t="s">
        <v>540</v>
      </c>
      <c r="C176" s="238">
        <v>505</v>
      </c>
      <c r="D176" s="220" t="s">
        <v>539</v>
      </c>
      <c r="E176" s="234">
        <v>5</v>
      </c>
      <c r="F176" s="234">
        <v>150</v>
      </c>
      <c r="G176" s="350">
        <v>39.17043009400367</v>
      </c>
    </row>
    <row r="177" spans="1:8">
      <c r="A177" s="234" t="s">
        <v>543</v>
      </c>
      <c r="B177" s="237" t="s">
        <v>540</v>
      </c>
      <c r="C177" s="238">
        <v>505</v>
      </c>
      <c r="D177" s="220" t="s">
        <v>539</v>
      </c>
      <c r="E177" s="234">
        <v>1</v>
      </c>
      <c r="F177" s="234">
        <v>300</v>
      </c>
      <c r="G177" s="350">
        <v>62.439552620053291</v>
      </c>
    </row>
    <row r="178" spans="1:8">
      <c r="A178" s="234" t="s">
        <v>543</v>
      </c>
      <c r="B178" s="237" t="s">
        <v>540</v>
      </c>
      <c r="C178" s="238">
        <v>505</v>
      </c>
      <c r="D178" s="220" t="s">
        <v>539</v>
      </c>
      <c r="E178" s="234">
        <v>2</v>
      </c>
      <c r="F178" s="234">
        <v>300</v>
      </c>
      <c r="G178" s="350">
        <v>71.398101419210434</v>
      </c>
    </row>
    <row r="179" spans="1:8">
      <c r="A179" s="234" t="s">
        <v>543</v>
      </c>
      <c r="B179" s="237" t="s">
        <v>540</v>
      </c>
      <c r="C179" s="238">
        <v>505</v>
      </c>
      <c r="D179" s="220" t="s">
        <v>539</v>
      </c>
      <c r="E179" s="234">
        <v>3</v>
      </c>
      <c r="F179" s="234">
        <v>300</v>
      </c>
      <c r="G179" s="350">
        <v>56.582940444350236</v>
      </c>
    </row>
    <row r="180" spans="1:8">
      <c r="A180" s="234" t="s">
        <v>543</v>
      </c>
      <c r="B180" s="237" t="s">
        <v>540</v>
      </c>
      <c r="C180" s="238">
        <v>505</v>
      </c>
      <c r="D180" s="220" t="s">
        <v>539</v>
      </c>
      <c r="E180" s="234">
        <v>4</v>
      </c>
      <c r="F180" s="234">
        <v>300</v>
      </c>
      <c r="G180" s="350">
        <v>85.923251092433887</v>
      </c>
    </row>
    <row r="181" spans="1:8">
      <c r="A181" s="234" t="s">
        <v>543</v>
      </c>
      <c r="B181" s="237" t="s">
        <v>540</v>
      </c>
      <c r="C181" s="238">
        <v>505</v>
      </c>
      <c r="D181" s="220" t="s">
        <v>539</v>
      </c>
      <c r="E181" s="234">
        <v>5</v>
      </c>
      <c r="F181" s="234">
        <v>300</v>
      </c>
      <c r="G181" s="350">
        <v>69.948174148797946</v>
      </c>
    </row>
    <row r="182" spans="1:8">
      <c r="A182" s="234" t="s">
        <v>543</v>
      </c>
      <c r="B182" s="237" t="s">
        <v>546</v>
      </c>
      <c r="C182" s="238">
        <v>506</v>
      </c>
      <c r="D182" s="219" t="s">
        <v>544</v>
      </c>
      <c r="E182" s="220">
        <v>1</v>
      </c>
      <c r="F182" s="220">
        <v>150</v>
      </c>
      <c r="G182" s="352">
        <v>45.227378487586968</v>
      </c>
      <c r="H182" s="190"/>
    </row>
    <row r="183" spans="1:8">
      <c r="A183" s="234" t="s">
        <v>543</v>
      </c>
      <c r="B183" s="237" t="s">
        <v>546</v>
      </c>
      <c r="C183" s="238">
        <v>506</v>
      </c>
      <c r="D183" s="219" t="s">
        <v>544</v>
      </c>
      <c r="E183" s="220">
        <v>2</v>
      </c>
      <c r="F183" s="220">
        <v>150</v>
      </c>
      <c r="G183" s="352">
        <v>50.299673467874527</v>
      </c>
      <c r="H183" s="190"/>
    </row>
    <row r="184" spans="1:8">
      <c r="A184" s="234" t="s">
        <v>543</v>
      </c>
      <c r="B184" s="237" t="s">
        <v>546</v>
      </c>
      <c r="C184" s="238">
        <v>506</v>
      </c>
      <c r="D184" s="219" t="s">
        <v>544</v>
      </c>
      <c r="E184" s="220">
        <v>3</v>
      </c>
      <c r="F184" s="220">
        <v>150</v>
      </c>
      <c r="G184" s="352">
        <v>36.87706355005507</v>
      </c>
      <c r="H184" s="190"/>
    </row>
    <row r="185" spans="1:8">
      <c r="A185" s="234" t="s">
        <v>543</v>
      </c>
      <c r="B185" s="237" t="s">
        <v>546</v>
      </c>
      <c r="C185" s="238">
        <v>506</v>
      </c>
      <c r="D185" s="219" t="s">
        <v>544</v>
      </c>
      <c r="E185" s="220">
        <v>4</v>
      </c>
      <c r="F185" s="220">
        <v>150</v>
      </c>
      <c r="G185" s="352">
        <v>54.073471352457943</v>
      </c>
      <c r="H185" s="190"/>
    </row>
    <row r="186" spans="1:8">
      <c r="A186" s="234" t="s">
        <v>543</v>
      </c>
      <c r="B186" s="237" t="s">
        <v>546</v>
      </c>
      <c r="C186" s="238">
        <v>506</v>
      </c>
      <c r="D186" s="219" t="s">
        <v>544</v>
      </c>
      <c r="E186" s="220">
        <v>5</v>
      </c>
      <c r="F186" s="220">
        <v>150</v>
      </c>
      <c r="G186" s="352">
        <v>43.72943513095376</v>
      </c>
    </row>
    <row r="187" spans="1:8">
      <c r="A187" s="234" t="s">
        <v>543</v>
      </c>
      <c r="B187" s="237" t="s">
        <v>546</v>
      </c>
      <c r="C187" s="238">
        <v>506</v>
      </c>
      <c r="D187" s="219" t="s">
        <v>544</v>
      </c>
      <c r="E187" s="220">
        <v>1</v>
      </c>
      <c r="F187" s="234">
        <v>300</v>
      </c>
      <c r="G187" s="352">
        <v>65.913360238075256</v>
      </c>
    </row>
    <row r="188" spans="1:8">
      <c r="A188" s="234" t="s">
        <v>543</v>
      </c>
      <c r="B188" s="237" t="s">
        <v>546</v>
      </c>
      <c r="C188" s="238">
        <v>506</v>
      </c>
      <c r="D188" s="219" t="s">
        <v>544</v>
      </c>
      <c r="E188" s="220">
        <v>2</v>
      </c>
      <c r="F188" s="234">
        <v>300</v>
      </c>
      <c r="G188" s="352">
        <v>71.626190900802655</v>
      </c>
    </row>
    <row r="189" spans="1:8">
      <c r="A189" s="234" t="s">
        <v>543</v>
      </c>
      <c r="B189" s="237" t="s">
        <v>546</v>
      </c>
      <c r="C189" s="238">
        <v>506</v>
      </c>
      <c r="D189" s="219" t="s">
        <v>544</v>
      </c>
      <c r="E189" s="220">
        <v>3</v>
      </c>
      <c r="F189" s="234">
        <v>300</v>
      </c>
      <c r="G189" s="352">
        <v>56.914553344249761</v>
      </c>
    </row>
    <row r="190" spans="1:8">
      <c r="A190" s="234" t="s">
        <v>543</v>
      </c>
      <c r="B190" s="237" t="s">
        <v>546</v>
      </c>
      <c r="C190" s="238">
        <v>506</v>
      </c>
      <c r="D190" s="219" t="s">
        <v>544</v>
      </c>
      <c r="E190" s="220">
        <v>4</v>
      </c>
      <c r="F190" s="234">
        <v>300</v>
      </c>
      <c r="G190" s="352">
        <v>77.248523116111727</v>
      </c>
    </row>
    <row r="191" spans="1:8">
      <c r="A191" s="234" t="s">
        <v>543</v>
      </c>
      <c r="B191" s="237" t="s">
        <v>546</v>
      </c>
      <c r="C191" s="238">
        <v>506</v>
      </c>
      <c r="D191" s="219" t="s">
        <v>544</v>
      </c>
      <c r="E191" s="220">
        <v>5</v>
      </c>
      <c r="F191" s="234">
        <v>300</v>
      </c>
      <c r="G191" s="352">
        <v>68.573781251907334</v>
      </c>
    </row>
    <row r="192" spans="1:8">
      <c r="A192" s="234" t="s">
        <v>543</v>
      </c>
      <c r="B192" s="237" t="s">
        <v>546</v>
      </c>
      <c r="C192" s="238">
        <v>506</v>
      </c>
      <c r="D192" s="220" t="s">
        <v>535</v>
      </c>
      <c r="E192" s="220">
        <v>1</v>
      </c>
      <c r="F192" s="220">
        <v>150</v>
      </c>
      <c r="G192" s="350">
        <v>49.323225349187844</v>
      </c>
    </row>
    <row r="193" spans="1:7">
      <c r="A193" s="234" t="s">
        <v>543</v>
      </c>
      <c r="B193" s="237" t="s">
        <v>546</v>
      </c>
      <c r="C193" s="238">
        <v>506</v>
      </c>
      <c r="D193" s="220" t="s">
        <v>535</v>
      </c>
      <c r="E193" s="220">
        <v>2</v>
      </c>
      <c r="F193" s="220">
        <v>150</v>
      </c>
      <c r="G193" s="350">
        <v>57.409954920411089</v>
      </c>
    </row>
    <row r="194" spans="1:7">
      <c r="A194" s="234" t="s">
        <v>543</v>
      </c>
      <c r="B194" s="237" t="s">
        <v>546</v>
      </c>
      <c r="C194" s="238">
        <v>506</v>
      </c>
      <c r="D194" s="220" t="s">
        <v>535</v>
      </c>
      <c r="E194" s="220">
        <v>3</v>
      </c>
      <c r="F194" s="220">
        <v>150</v>
      </c>
      <c r="G194" s="350">
        <v>43.467737935483399</v>
      </c>
    </row>
    <row r="195" spans="1:7">
      <c r="A195" s="234" t="s">
        <v>543</v>
      </c>
      <c r="B195" s="237" t="s">
        <v>546</v>
      </c>
      <c r="C195" s="238">
        <v>506</v>
      </c>
      <c r="D195" s="220" t="s">
        <v>535</v>
      </c>
      <c r="E195" s="220">
        <v>4</v>
      </c>
      <c r="F195" s="220">
        <v>150</v>
      </c>
      <c r="G195" s="350">
        <v>66.989967167377515</v>
      </c>
    </row>
    <row r="196" spans="1:7">
      <c r="A196" s="234" t="s">
        <v>543</v>
      </c>
      <c r="B196" s="237" t="s">
        <v>546</v>
      </c>
      <c r="C196" s="238">
        <v>506</v>
      </c>
      <c r="D196" s="220" t="s">
        <v>535</v>
      </c>
      <c r="E196" s="220">
        <v>5</v>
      </c>
      <c r="F196" s="220">
        <v>150</v>
      </c>
      <c r="G196" s="350">
        <v>59.216654598712957</v>
      </c>
    </row>
    <row r="197" spans="1:7">
      <c r="A197" s="234" t="s">
        <v>543</v>
      </c>
      <c r="B197" s="237" t="s">
        <v>546</v>
      </c>
      <c r="C197" s="238">
        <v>506</v>
      </c>
      <c r="D197" s="220" t="s">
        <v>535</v>
      </c>
      <c r="E197" s="220">
        <v>1</v>
      </c>
      <c r="F197" s="234">
        <v>300</v>
      </c>
      <c r="G197" s="350">
        <v>82.123088836669936</v>
      </c>
    </row>
    <row r="198" spans="1:7">
      <c r="A198" s="234" t="s">
        <v>543</v>
      </c>
      <c r="B198" s="237" t="s">
        <v>546</v>
      </c>
      <c r="C198" s="238">
        <v>506</v>
      </c>
      <c r="D198" s="220" t="s">
        <v>535</v>
      </c>
      <c r="E198" s="220">
        <v>2</v>
      </c>
      <c r="F198" s="234">
        <v>300</v>
      </c>
      <c r="G198" s="350">
        <v>91.512305140495315</v>
      </c>
    </row>
    <row r="199" spans="1:7">
      <c r="A199" s="234" t="s">
        <v>543</v>
      </c>
      <c r="B199" s="237" t="s">
        <v>546</v>
      </c>
      <c r="C199" s="238">
        <v>506</v>
      </c>
      <c r="D199" s="220" t="s">
        <v>535</v>
      </c>
      <c r="E199" s="220">
        <v>3</v>
      </c>
      <c r="F199" s="234">
        <v>300</v>
      </c>
      <c r="G199" s="350">
        <v>73.953270256519275</v>
      </c>
    </row>
    <row r="200" spans="1:7">
      <c r="A200" s="234" t="s">
        <v>543</v>
      </c>
      <c r="B200" s="237" t="s">
        <v>546</v>
      </c>
      <c r="C200" s="238">
        <v>506</v>
      </c>
      <c r="D200" s="220" t="s">
        <v>535</v>
      </c>
      <c r="E200" s="220">
        <v>4</v>
      </c>
      <c r="F200" s="234">
        <v>300</v>
      </c>
      <c r="G200" s="350">
        <v>104.26069796085359</v>
      </c>
    </row>
    <row r="201" spans="1:7">
      <c r="A201" s="234" t="s">
        <v>543</v>
      </c>
      <c r="B201" s="237" t="s">
        <v>546</v>
      </c>
      <c r="C201" s="238">
        <v>506</v>
      </c>
      <c r="D201" s="220" t="s">
        <v>535</v>
      </c>
      <c r="E201" s="220">
        <v>5</v>
      </c>
      <c r="F201" s="234">
        <v>300</v>
      </c>
      <c r="G201" s="350">
        <v>95.525689125061035</v>
      </c>
    </row>
    <row r="202" spans="1:7">
      <c r="A202" s="234" t="s">
        <v>543</v>
      </c>
      <c r="B202" s="237" t="s">
        <v>546</v>
      </c>
      <c r="C202" s="238">
        <v>506</v>
      </c>
      <c r="D202" s="220" t="s">
        <v>539</v>
      </c>
      <c r="E202" s="234">
        <v>1</v>
      </c>
      <c r="F202" s="234">
        <v>150</v>
      </c>
      <c r="G202" s="350">
        <v>41.306895911693587</v>
      </c>
    </row>
    <row r="203" spans="1:7">
      <c r="A203" s="234" t="s">
        <v>543</v>
      </c>
      <c r="B203" s="237" t="s">
        <v>546</v>
      </c>
      <c r="C203" s="238">
        <v>506</v>
      </c>
      <c r="D203" s="220" t="s">
        <v>539</v>
      </c>
      <c r="E203" s="234">
        <v>2</v>
      </c>
      <c r="F203" s="234">
        <v>150</v>
      </c>
      <c r="G203" s="350">
        <v>49.730527132749607</v>
      </c>
    </row>
    <row r="204" spans="1:7">
      <c r="A204" s="234" t="s">
        <v>543</v>
      </c>
      <c r="B204" s="237" t="s">
        <v>546</v>
      </c>
      <c r="C204" s="238">
        <v>506</v>
      </c>
      <c r="D204" s="220" t="s">
        <v>539</v>
      </c>
      <c r="E204" s="234">
        <v>3</v>
      </c>
      <c r="F204" s="234">
        <v>150</v>
      </c>
      <c r="G204" s="350">
        <v>38.984805732965462</v>
      </c>
    </row>
    <row r="205" spans="1:7">
      <c r="A205" s="234" t="s">
        <v>543</v>
      </c>
      <c r="B205" s="237" t="s">
        <v>546</v>
      </c>
      <c r="C205" s="238">
        <v>506</v>
      </c>
      <c r="D205" s="220" t="s">
        <v>539</v>
      </c>
      <c r="E205" s="234">
        <v>4</v>
      </c>
      <c r="F205" s="234">
        <v>150</v>
      </c>
      <c r="G205" s="350">
        <v>62.900876939296658</v>
      </c>
    </row>
    <row r="206" spans="1:7">
      <c r="A206" s="234" t="s">
        <v>543</v>
      </c>
      <c r="B206" s="237" t="s">
        <v>546</v>
      </c>
      <c r="C206" s="238">
        <v>506</v>
      </c>
      <c r="D206" s="220" t="s">
        <v>539</v>
      </c>
      <c r="E206" s="234">
        <v>5</v>
      </c>
      <c r="F206" s="234">
        <v>150</v>
      </c>
      <c r="G206" s="350">
        <v>50.55797082185741</v>
      </c>
    </row>
    <row r="207" spans="1:7">
      <c r="A207" s="234" t="s">
        <v>543</v>
      </c>
      <c r="B207" s="237" t="s">
        <v>546</v>
      </c>
      <c r="C207" s="238">
        <v>506</v>
      </c>
      <c r="D207" s="220" t="s">
        <v>539</v>
      </c>
      <c r="E207" s="234">
        <v>1</v>
      </c>
      <c r="F207" s="234">
        <v>300</v>
      </c>
      <c r="G207" s="350">
        <v>74.008116647601128</v>
      </c>
    </row>
    <row r="208" spans="1:7">
      <c r="A208" s="234" t="s">
        <v>543</v>
      </c>
      <c r="B208" s="237" t="s">
        <v>546</v>
      </c>
      <c r="C208" s="238">
        <v>506</v>
      </c>
      <c r="D208" s="220" t="s">
        <v>539</v>
      </c>
      <c r="E208" s="234">
        <v>2</v>
      </c>
      <c r="F208" s="234">
        <v>300</v>
      </c>
      <c r="G208" s="350">
        <v>85.115401685237856</v>
      </c>
    </row>
    <row r="209" spans="1:7">
      <c r="A209" s="234" t="s">
        <v>543</v>
      </c>
      <c r="B209" s="237" t="s">
        <v>546</v>
      </c>
      <c r="C209" s="238">
        <v>506</v>
      </c>
      <c r="D209" s="220" t="s">
        <v>539</v>
      </c>
      <c r="E209" s="234">
        <v>3</v>
      </c>
      <c r="F209" s="234">
        <v>300</v>
      </c>
      <c r="G209" s="350">
        <v>69.336580529808998</v>
      </c>
    </row>
    <row r="210" spans="1:7">
      <c r="A210" s="234" t="s">
        <v>543</v>
      </c>
      <c r="B210" s="237" t="s">
        <v>546</v>
      </c>
      <c r="C210" s="238">
        <v>506</v>
      </c>
      <c r="D210" s="220" t="s">
        <v>539</v>
      </c>
      <c r="E210" s="234">
        <v>4</v>
      </c>
      <c r="F210" s="234">
        <v>300</v>
      </c>
      <c r="G210" s="350">
        <v>103.44805943965915</v>
      </c>
    </row>
    <row r="211" spans="1:7">
      <c r="A211" s="234" t="s">
        <v>543</v>
      </c>
      <c r="B211" s="237" t="s">
        <v>546</v>
      </c>
      <c r="C211" s="238">
        <v>506</v>
      </c>
      <c r="D211" s="220" t="s">
        <v>539</v>
      </c>
      <c r="E211" s="234">
        <v>5</v>
      </c>
      <c r="F211" s="234">
        <v>300</v>
      </c>
      <c r="G211" s="350">
        <v>87.57323101162909</v>
      </c>
    </row>
    <row r="212" spans="1:7">
      <c r="A212" s="234" t="s">
        <v>543</v>
      </c>
      <c r="B212" s="237" t="s">
        <v>548</v>
      </c>
      <c r="C212" s="238">
        <v>509</v>
      </c>
      <c r="D212" s="219" t="s">
        <v>544</v>
      </c>
      <c r="E212" s="220">
        <v>1</v>
      </c>
      <c r="F212" s="220">
        <v>150</v>
      </c>
      <c r="G212" s="352">
        <v>44.87284600734715</v>
      </c>
    </row>
    <row r="213" spans="1:7">
      <c r="A213" s="234" t="s">
        <v>543</v>
      </c>
      <c r="B213" s="237" t="s">
        <v>548</v>
      </c>
      <c r="C213" s="238">
        <v>509</v>
      </c>
      <c r="D213" s="219" t="s">
        <v>544</v>
      </c>
      <c r="E213" s="220">
        <v>2</v>
      </c>
      <c r="F213" s="220">
        <v>150</v>
      </c>
      <c r="G213" s="352">
        <v>49.133101314306273</v>
      </c>
    </row>
    <row r="214" spans="1:7">
      <c r="A214" s="234" t="s">
        <v>543</v>
      </c>
      <c r="B214" s="237" t="s">
        <v>548</v>
      </c>
      <c r="C214" s="238">
        <v>509</v>
      </c>
      <c r="D214" s="219" t="s">
        <v>544</v>
      </c>
      <c r="E214" s="220">
        <v>3</v>
      </c>
      <c r="F214" s="220">
        <v>150</v>
      </c>
      <c r="G214" s="352">
        <v>36.057440914213636</v>
      </c>
    </row>
    <row r="215" spans="1:7">
      <c r="A215" s="234" t="s">
        <v>543</v>
      </c>
      <c r="B215" s="237" t="s">
        <v>548</v>
      </c>
      <c r="C215" s="238">
        <v>509</v>
      </c>
      <c r="D215" s="219" t="s">
        <v>544</v>
      </c>
      <c r="E215" s="220">
        <v>4</v>
      </c>
      <c r="F215" s="220">
        <v>150</v>
      </c>
      <c r="G215" s="352">
        <v>51.101863622665412</v>
      </c>
    </row>
    <row r="216" spans="1:7">
      <c r="A216" s="234" t="s">
        <v>543</v>
      </c>
      <c r="B216" s="237" t="s">
        <v>548</v>
      </c>
      <c r="C216" s="238">
        <v>509</v>
      </c>
      <c r="D216" s="219" t="s">
        <v>544</v>
      </c>
      <c r="E216" s="220">
        <v>5</v>
      </c>
      <c r="F216" s="220">
        <v>150</v>
      </c>
      <c r="G216" s="352">
        <v>40.732834815978961</v>
      </c>
    </row>
    <row r="217" spans="1:7">
      <c r="A217" s="234" t="s">
        <v>543</v>
      </c>
      <c r="B217" s="237" t="s">
        <v>548</v>
      </c>
      <c r="C217" s="238">
        <v>509</v>
      </c>
      <c r="D217" s="219" t="s">
        <v>544</v>
      </c>
      <c r="E217" s="220">
        <v>1</v>
      </c>
      <c r="F217" s="234">
        <v>300</v>
      </c>
      <c r="G217" s="352">
        <v>62.092439174652093</v>
      </c>
    </row>
    <row r="218" spans="1:7">
      <c r="A218" s="234" t="s">
        <v>543</v>
      </c>
      <c r="B218" s="237" t="s">
        <v>548</v>
      </c>
      <c r="C218" s="238">
        <v>509</v>
      </c>
      <c r="D218" s="219" t="s">
        <v>544</v>
      </c>
      <c r="E218" s="220">
        <v>2</v>
      </c>
      <c r="F218" s="234">
        <v>300</v>
      </c>
      <c r="G218" s="352">
        <v>66.028889060020489</v>
      </c>
    </row>
    <row r="219" spans="1:7">
      <c r="A219" s="234" t="s">
        <v>543</v>
      </c>
      <c r="B219" s="237" t="s">
        <v>548</v>
      </c>
      <c r="C219" s="238">
        <v>509</v>
      </c>
      <c r="D219" s="219" t="s">
        <v>544</v>
      </c>
      <c r="E219" s="220">
        <v>3</v>
      </c>
      <c r="F219" s="234">
        <v>300</v>
      </c>
      <c r="G219" s="352">
        <v>53.195745825767474</v>
      </c>
    </row>
    <row r="220" spans="1:7">
      <c r="A220" s="234" t="s">
        <v>543</v>
      </c>
      <c r="B220" s="237" t="s">
        <v>548</v>
      </c>
      <c r="C220" s="238">
        <v>509</v>
      </c>
      <c r="D220" s="219" t="s">
        <v>544</v>
      </c>
      <c r="E220" s="220">
        <v>4</v>
      </c>
      <c r="F220" s="234">
        <v>300</v>
      </c>
      <c r="G220" s="352">
        <v>69.97732961177833</v>
      </c>
    </row>
    <row r="221" spans="1:7">
      <c r="A221" s="234" t="s">
        <v>543</v>
      </c>
      <c r="B221" s="237" t="s">
        <v>548</v>
      </c>
      <c r="C221" s="238">
        <v>509</v>
      </c>
      <c r="D221" s="219" t="s">
        <v>544</v>
      </c>
      <c r="E221" s="220">
        <v>5</v>
      </c>
      <c r="F221" s="234">
        <v>300</v>
      </c>
      <c r="G221" s="352">
        <v>61.108747959137048</v>
      </c>
    </row>
    <row r="222" spans="1:7">
      <c r="A222" s="234" t="s">
        <v>543</v>
      </c>
      <c r="B222" s="237" t="s">
        <v>548</v>
      </c>
      <c r="C222" s="238">
        <v>509</v>
      </c>
      <c r="D222" s="220" t="s">
        <v>535</v>
      </c>
      <c r="E222" s="220">
        <v>1</v>
      </c>
      <c r="F222" s="220">
        <v>150</v>
      </c>
      <c r="G222" s="350">
        <v>43.163454860448809</v>
      </c>
    </row>
    <row r="223" spans="1:7">
      <c r="A223" s="234" t="s">
        <v>543</v>
      </c>
      <c r="B223" s="237" t="s">
        <v>548</v>
      </c>
      <c r="C223" s="238">
        <v>509</v>
      </c>
      <c r="D223" s="220" t="s">
        <v>535</v>
      </c>
      <c r="E223" s="220">
        <v>2</v>
      </c>
      <c r="F223" s="220">
        <v>150</v>
      </c>
      <c r="G223" s="350">
        <v>48.803662255406422</v>
      </c>
    </row>
    <row r="224" spans="1:7">
      <c r="A224" s="234" t="s">
        <v>543</v>
      </c>
      <c r="B224" s="237" t="s">
        <v>548</v>
      </c>
      <c r="C224" s="238">
        <v>509</v>
      </c>
      <c r="D224" s="220" t="s">
        <v>535</v>
      </c>
      <c r="E224" s="220">
        <v>3</v>
      </c>
      <c r="F224" s="220">
        <v>150</v>
      </c>
      <c r="G224" s="350">
        <v>37.582911230623672</v>
      </c>
    </row>
    <row r="225" spans="1:7">
      <c r="A225" s="234" t="s">
        <v>543</v>
      </c>
      <c r="B225" s="237" t="s">
        <v>548</v>
      </c>
      <c r="C225" s="238">
        <v>509</v>
      </c>
      <c r="D225" s="220" t="s">
        <v>535</v>
      </c>
      <c r="E225" s="220">
        <v>4</v>
      </c>
      <c r="F225" s="220">
        <v>150</v>
      </c>
      <c r="G225" s="350">
        <v>56.150777786970096</v>
      </c>
    </row>
    <row r="226" spans="1:7">
      <c r="A226" s="234" t="s">
        <v>543</v>
      </c>
      <c r="B226" s="237" t="s">
        <v>548</v>
      </c>
      <c r="C226" s="238">
        <v>509</v>
      </c>
      <c r="D226" s="220" t="s">
        <v>535</v>
      </c>
      <c r="E226" s="220">
        <v>5</v>
      </c>
      <c r="F226" s="220">
        <v>150</v>
      </c>
      <c r="G226" s="350">
        <v>48.157175064086864</v>
      </c>
    </row>
    <row r="227" spans="1:7">
      <c r="A227" s="234" t="s">
        <v>543</v>
      </c>
      <c r="B227" s="237" t="s">
        <v>548</v>
      </c>
      <c r="C227" s="238">
        <v>509</v>
      </c>
      <c r="D227" s="220" t="s">
        <v>535</v>
      </c>
      <c r="E227" s="220">
        <v>1</v>
      </c>
      <c r="F227" s="234">
        <v>300</v>
      </c>
      <c r="G227" s="350">
        <v>72.076107740402236</v>
      </c>
    </row>
    <row r="228" spans="1:7">
      <c r="A228" s="234" t="s">
        <v>543</v>
      </c>
      <c r="B228" s="237" t="s">
        <v>548</v>
      </c>
      <c r="C228" s="238">
        <v>509</v>
      </c>
      <c r="D228" s="220" t="s">
        <v>535</v>
      </c>
      <c r="E228" s="220">
        <v>2</v>
      </c>
      <c r="F228" s="234">
        <v>300</v>
      </c>
      <c r="G228" s="350">
        <v>78.259598731994714</v>
      </c>
    </row>
    <row r="229" spans="1:7">
      <c r="A229" s="234" t="s">
        <v>543</v>
      </c>
      <c r="B229" s="237" t="s">
        <v>548</v>
      </c>
      <c r="C229" s="238">
        <v>509</v>
      </c>
      <c r="D229" s="220" t="s">
        <v>535</v>
      </c>
      <c r="E229" s="220">
        <v>3</v>
      </c>
      <c r="F229" s="234">
        <v>300</v>
      </c>
      <c r="G229" s="350">
        <v>64.228225111961322</v>
      </c>
    </row>
    <row r="230" spans="1:7">
      <c r="A230" s="234" t="s">
        <v>543</v>
      </c>
      <c r="B230" s="237" t="s">
        <v>548</v>
      </c>
      <c r="C230" s="238">
        <v>509</v>
      </c>
      <c r="D230" s="220" t="s">
        <v>535</v>
      </c>
      <c r="E230" s="220">
        <v>4</v>
      </c>
      <c r="F230" s="234">
        <v>300</v>
      </c>
      <c r="G230" s="350">
        <v>88.582546710968018</v>
      </c>
    </row>
    <row r="231" spans="1:7">
      <c r="A231" s="234" t="s">
        <v>543</v>
      </c>
      <c r="B231" s="237" t="s">
        <v>548</v>
      </c>
      <c r="C231" s="238">
        <v>509</v>
      </c>
      <c r="D231" s="220" t="s">
        <v>535</v>
      </c>
      <c r="E231" s="220">
        <v>5</v>
      </c>
      <c r="F231" s="234">
        <v>300</v>
      </c>
      <c r="G231" s="350">
        <v>79.753779590129938</v>
      </c>
    </row>
    <row r="232" spans="1:7">
      <c r="A232" s="234" t="s">
        <v>543</v>
      </c>
      <c r="B232" s="237" t="s">
        <v>548</v>
      </c>
      <c r="C232" s="238">
        <v>509</v>
      </c>
      <c r="D232" s="220" t="s">
        <v>539</v>
      </c>
      <c r="E232" s="234">
        <v>1</v>
      </c>
      <c r="F232" s="234">
        <v>150</v>
      </c>
      <c r="G232" s="350">
        <v>38.445138350129135</v>
      </c>
    </row>
    <row r="233" spans="1:7">
      <c r="A233" s="234" t="s">
        <v>543</v>
      </c>
      <c r="B233" s="237" t="s">
        <v>548</v>
      </c>
      <c r="C233" s="238">
        <v>509</v>
      </c>
      <c r="D233" s="220" t="s">
        <v>539</v>
      </c>
      <c r="E233" s="234">
        <v>2</v>
      </c>
      <c r="F233" s="234">
        <v>150</v>
      </c>
      <c r="G233" s="350">
        <v>45.925775796175017</v>
      </c>
    </row>
    <row r="234" spans="1:7">
      <c r="A234" s="234" t="s">
        <v>543</v>
      </c>
      <c r="B234" s="237" t="s">
        <v>548</v>
      </c>
      <c r="C234" s="238">
        <v>509</v>
      </c>
      <c r="D234" s="220" t="s">
        <v>539</v>
      </c>
      <c r="E234" s="234">
        <v>3</v>
      </c>
      <c r="F234" s="234">
        <v>150</v>
      </c>
      <c r="G234" s="350">
        <v>35.786499068140969</v>
      </c>
    </row>
    <row r="235" spans="1:7">
      <c r="A235" s="234" t="s">
        <v>543</v>
      </c>
      <c r="B235" s="237" t="s">
        <v>548</v>
      </c>
      <c r="C235" s="238">
        <v>509</v>
      </c>
      <c r="D235" s="220" t="s">
        <v>539</v>
      </c>
      <c r="E235" s="234">
        <v>4</v>
      </c>
      <c r="F235" s="234">
        <v>150</v>
      </c>
      <c r="G235" s="350">
        <v>58.085004955530195</v>
      </c>
    </row>
    <row r="236" spans="1:7">
      <c r="A236" s="234" t="s">
        <v>543</v>
      </c>
      <c r="B236" s="237" t="s">
        <v>548</v>
      </c>
      <c r="C236" s="238">
        <v>509</v>
      </c>
      <c r="D236" s="220" t="s">
        <v>539</v>
      </c>
      <c r="E236" s="234">
        <v>5</v>
      </c>
      <c r="F236" s="234">
        <v>150</v>
      </c>
      <c r="G236" s="350">
        <v>44.836662307381637</v>
      </c>
    </row>
    <row r="237" spans="1:7">
      <c r="A237" s="234" t="s">
        <v>543</v>
      </c>
      <c r="B237" s="237" t="s">
        <v>548</v>
      </c>
      <c r="C237" s="238">
        <v>509</v>
      </c>
      <c r="D237" s="220" t="s">
        <v>539</v>
      </c>
      <c r="E237" s="234">
        <v>1</v>
      </c>
      <c r="F237" s="234">
        <v>300</v>
      </c>
      <c r="G237" s="350">
        <v>69.183111205697031</v>
      </c>
    </row>
    <row r="238" spans="1:7">
      <c r="A238" s="234" t="s">
        <v>543</v>
      </c>
      <c r="B238" s="237" t="s">
        <v>548</v>
      </c>
      <c r="C238" s="238">
        <v>509</v>
      </c>
      <c r="D238" s="220" t="s">
        <v>539</v>
      </c>
      <c r="E238" s="234">
        <v>2</v>
      </c>
      <c r="F238" s="234">
        <v>300</v>
      </c>
      <c r="G238" s="350">
        <v>78.699110627174392</v>
      </c>
    </row>
    <row r="239" spans="1:7">
      <c r="A239" s="234" t="s">
        <v>543</v>
      </c>
      <c r="B239" s="237" t="s">
        <v>548</v>
      </c>
      <c r="C239" s="238">
        <v>509</v>
      </c>
      <c r="D239" s="220" t="s">
        <v>539</v>
      </c>
      <c r="E239" s="234">
        <v>3</v>
      </c>
      <c r="F239" s="234">
        <v>300</v>
      </c>
      <c r="G239" s="350">
        <v>63.280797496438041</v>
      </c>
    </row>
    <row r="240" spans="1:7">
      <c r="A240" s="234" t="s">
        <v>543</v>
      </c>
      <c r="B240" s="237" t="s">
        <v>548</v>
      </c>
      <c r="C240" s="238">
        <v>509</v>
      </c>
      <c r="D240" s="220" t="s">
        <v>539</v>
      </c>
      <c r="E240" s="234">
        <v>4</v>
      </c>
      <c r="F240" s="234">
        <v>300</v>
      </c>
      <c r="G240" s="350">
        <v>95.271362304687557</v>
      </c>
    </row>
    <row r="241" spans="1:7">
      <c r="A241" s="234" t="s">
        <v>543</v>
      </c>
      <c r="B241" s="237" t="s">
        <v>548</v>
      </c>
      <c r="C241" s="238">
        <v>509</v>
      </c>
      <c r="D241" s="220" t="s">
        <v>539</v>
      </c>
      <c r="E241" s="234">
        <v>5</v>
      </c>
      <c r="F241" s="234">
        <v>300</v>
      </c>
      <c r="G241" s="350">
        <v>78.296449154615459</v>
      </c>
    </row>
    <row r="242" spans="1:7">
      <c r="A242" s="234" t="s">
        <v>543</v>
      </c>
      <c r="B242" s="239" t="s">
        <v>549</v>
      </c>
      <c r="C242" s="240">
        <v>511</v>
      </c>
      <c r="D242" s="219" t="s">
        <v>544</v>
      </c>
      <c r="E242" s="234">
        <v>1</v>
      </c>
      <c r="F242" s="234">
        <v>150</v>
      </c>
      <c r="G242" s="353">
        <v>45.227378487586968</v>
      </c>
    </row>
    <row r="243" spans="1:7">
      <c r="A243" s="234" t="s">
        <v>543</v>
      </c>
      <c r="B243" s="239" t="s">
        <v>549</v>
      </c>
      <c r="C243" s="240">
        <v>511</v>
      </c>
      <c r="D243" s="219" t="s">
        <v>544</v>
      </c>
      <c r="E243" s="234">
        <v>2</v>
      </c>
      <c r="F243" s="234">
        <v>150</v>
      </c>
      <c r="G243" s="353">
        <v>50.299673467874527</v>
      </c>
    </row>
    <row r="244" spans="1:7">
      <c r="A244" s="234" t="s">
        <v>543</v>
      </c>
      <c r="B244" s="239" t="s">
        <v>549</v>
      </c>
      <c r="C244" s="240">
        <v>511</v>
      </c>
      <c r="D244" s="219" t="s">
        <v>544</v>
      </c>
      <c r="E244" s="234">
        <v>3</v>
      </c>
      <c r="F244" s="234">
        <v>150</v>
      </c>
      <c r="G244" s="353">
        <v>36.87706355005507</v>
      </c>
    </row>
    <row r="245" spans="1:7">
      <c r="A245" s="234" t="s">
        <v>543</v>
      </c>
      <c r="B245" s="239" t="s">
        <v>549</v>
      </c>
      <c r="C245" s="240">
        <v>511</v>
      </c>
      <c r="D245" s="219" t="s">
        <v>544</v>
      </c>
      <c r="E245" s="234">
        <v>4</v>
      </c>
      <c r="F245" s="234">
        <v>150</v>
      </c>
      <c r="G245" s="353">
        <v>54.073471352457943</v>
      </c>
    </row>
    <row r="246" spans="1:7">
      <c r="A246" s="234" t="s">
        <v>543</v>
      </c>
      <c r="B246" s="239" t="s">
        <v>549</v>
      </c>
      <c r="C246" s="240">
        <v>511</v>
      </c>
      <c r="D246" s="219" t="s">
        <v>544</v>
      </c>
      <c r="E246" s="234">
        <v>5</v>
      </c>
      <c r="F246" s="234">
        <v>150</v>
      </c>
      <c r="G246" s="353">
        <v>43.72943513095376</v>
      </c>
    </row>
    <row r="247" spans="1:7">
      <c r="A247" s="234" t="s">
        <v>543</v>
      </c>
      <c r="B247" s="239" t="s">
        <v>549</v>
      </c>
      <c r="C247" s="240">
        <v>511</v>
      </c>
      <c r="D247" s="219" t="s">
        <v>544</v>
      </c>
      <c r="E247" s="234">
        <v>1</v>
      </c>
      <c r="F247" s="234">
        <v>300</v>
      </c>
      <c r="G247" s="353">
        <v>65.913360238075256</v>
      </c>
    </row>
    <row r="248" spans="1:7">
      <c r="A248" s="234" t="s">
        <v>543</v>
      </c>
      <c r="B248" s="239" t="s">
        <v>549</v>
      </c>
      <c r="C248" s="240">
        <v>511</v>
      </c>
      <c r="D248" s="219" t="s">
        <v>544</v>
      </c>
      <c r="E248" s="234">
        <v>2</v>
      </c>
      <c r="F248" s="234">
        <v>300</v>
      </c>
      <c r="G248" s="353">
        <v>71.626190900802655</v>
      </c>
    </row>
    <row r="249" spans="1:7">
      <c r="A249" s="234" t="s">
        <v>543</v>
      </c>
      <c r="B249" s="239" t="s">
        <v>549</v>
      </c>
      <c r="C249" s="240">
        <v>511</v>
      </c>
      <c r="D249" s="219" t="s">
        <v>544</v>
      </c>
      <c r="E249" s="234">
        <v>3</v>
      </c>
      <c r="F249" s="234">
        <v>300</v>
      </c>
      <c r="G249" s="353">
        <v>56.914553344249761</v>
      </c>
    </row>
    <row r="250" spans="1:7">
      <c r="A250" s="234" t="s">
        <v>543</v>
      </c>
      <c r="B250" s="239" t="s">
        <v>549</v>
      </c>
      <c r="C250" s="240">
        <v>511</v>
      </c>
      <c r="D250" s="219" t="s">
        <v>544</v>
      </c>
      <c r="E250" s="234">
        <v>4</v>
      </c>
      <c r="F250" s="234">
        <v>300</v>
      </c>
      <c r="G250" s="353">
        <v>77.248523116111727</v>
      </c>
    </row>
    <row r="251" spans="1:7">
      <c r="A251" s="234" t="s">
        <v>543</v>
      </c>
      <c r="B251" s="239" t="s">
        <v>549</v>
      </c>
      <c r="C251" s="240">
        <v>511</v>
      </c>
      <c r="D251" s="219" t="s">
        <v>544</v>
      </c>
      <c r="E251" s="234">
        <v>5</v>
      </c>
      <c r="F251" s="234">
        <v>300</v>
      </c>
      <c r="G251" s="353">
        <v>68.573781251907334</v>
      </c>
    </row>
    <row r="252" spans="1:7">
      <c r="A252" s="234" t="s">
        <v>543</v>
      </c>
      <c r="B252" s="239" t="s">
        <v>549</v>
      </c>
      <c r="C252" s="240">
        <v>511</v>
      </c>
      <c r="D252" s="220" t="s">
        <v>535</v>
      </c>
      <c r="E252" s="220">
        <v>1</v>
      </c>
      <c r="F252" s="220">
        <v>150</v>
      </c>
      <c r="G252" s="350">
        <v>49.323225349187844</v>
      </c>
    </row>
    <row r="253" spans="1:7">
      <c r="A253" s="234" t="s">
        <v>543</v>
      </c>
      <c r="B253" s="239" t="s">
        <v>549</v>
      </c>
      <c r="C253" s="240">
        <v>511</v>
      </c>
      <c r="D253" s="220" t="s">
        <v>535</v>
      </c>
      <c r="E253" s="220">
        <v>2</v>
      </c>
      <c r="F253" s="220">
        <v>150</v>
      </c>
      <c r="G253" s="350">
        <v>57.409954920411089</v>
      </c>
    </row>
    <row r="254" spans="1:7">
      <c r="A254" s="234" t="s">
        <v>543</v>
      </c>
      <c r="B254" s="239" t="s">
        <v>549</v>
      </c>
      <c r="C254" s="240">
        <v>511</v>
      </c>
      <c r="D254" s="220" t="s">
        <v>535</v>
      </c>
      <c r="E254" s="220">
        <v>3</v>
      </c>
      <c r="F254" s="220">
        <v>150</v>
      </c>
      <c r="G254" s="350">
        <v>43.467737935483399</v>
      </c>
    </row>
    <row r="255" spans="1:7">
      <c r="A255" s="234" t="s">
        <v>543</v>
      </c>
      <c r="B255" s="239" t="s">
        <v>549</v>
      </c>
      <c r="C255" s="240">
        <v>511</v>
      </c>
      <c r="D255" s="220" t="s">
        <v>535</v>
      </c>
      <c r="E255" s="220">
        <v>4</v>
      </c>
      <c r="F255" s="220">
        <v>150</v>
      </c>
      <c r="G255" s="350">
        <v>66.989967167377515</v>
      </c>
    </row>
    <row r="256" spans="1:7">
      <c r="A256" s="234" t="s">
        <v>543</v>
      </c>
      <c r="B256" s="239" t="s">
        <v>549</v>
      </c>
      <c r="C256" s="240">
        <v>511</v>
      </c>
      <c r="D256" s="220" t="s">
        <v>535</v>
      </c>
      <c r="E256" s="220">
        <v>5</v>
      </c>
      <c r="F256" s="220">
        <v>150</v>
      </c>
      <c r="G256" s="350">
        <v>59.216654598712957</v>
      </c>
    </row>
    <row r="257" spans="1:7">
      <c r="A257" s="234" t="s">
        <v>543</v>
      </c>
      <c r="B257" s="239" t="s">
        <v>549</v>
      </c>
      <c r="C257" s="240">
        <v>511</v>
      </c>
      <c r="D257" s="220" t="s">
        <v>535</v>
      </c>
      <c r="E257" s="220">
        <v>1</v>
      </c>
      <c r="F257" s="234">
        <v>300</v>
      </c>
      <c r="G257" s="350">
        <v>82.123088836669936</v>
      </c>
    </row>
    <row r="258" spans="1:7">
      <c r="A258" s="234" t="s">
        <v>543</v>
      </c>
      <c r="B258" s="239" t="s">
        <v>549</v>
      </c>
      <c r="C258" s="240">
        <v>511</v>
      </c>
      <c r="D258" s="220" t="s">
        <v>535</v>
      </c>
      <c r="E258" s="220">
        <v>2</v>
      </c>
      <c r="F258" s="234">
        <v>300</v>
      </c>
      <c r="G258" s="350">
        <v>91.512305140495315</v>
      </c>
    </row>
    <row r="259" spans="1:7">
      <c r="A259" s="234" t="s">
        <v>543</v>
      </c>
      <c r="B259" s="239" t="s">
        <v>549</v>
      </c>
      <c r="C259" s="240">
        <v>511</v>
      </c>
      <c r="D259" s="220" t="s">
        <v>535</v>
      </c>
      <c r="E259" s="220">
        <v>3</v>
      </c>
      <c r="F259" s="234">
        <v>300</v>
      </c>
      <c r="G259" s="350">
        <v>73.953270256519275</v>
      </c>
    </row>
    <row r="260" spans="1:7">
      <c r="A260" s="234" t="s">
        <v>543</v>
      </c>
      <c r="B260" s="239" t="s">
        <v>549</v>
      </c>
      <c r="C260" s="240">
        <v>511</v>
      </c>
      <c r="D260" s="220" t="s">
        <v>535</v>
      </c>
      <c r="E260" s="220">
        <v>4</v>
      </c>
      <c r="F260" s="234">
        <v>300</v>
      </c>
      <c r="G260" s="350">
        <v>104.26069796085359</v>
      </c>
    </row>
    <row r="261" spans="1:7">
      <c r="A261" s="234" t="s">
        <v>543</v>
      </c>
      <c r="B261" s="239" t="s">
        <v>549</v>
      </c>
      <c r="C261" s="240">
        <v>511</v>
      </c>
      <c r="D261" s="220" t="s">
        <v>535</v>
      </c>
      <c r="E261" s="220">
        <v>5</v>
      </c>
      <c r="F261" s="234">
        <v>300</v>
      </c>
      <c r="G261" s="350">
        <v>95.525689125061035</v>
      </c>
    </row>
    <row r="262" spans="1:7">
      <c r="A262" s="234" t="s">
        <v>543</v>
      </c>
      <c r="B262" s="239" t="s">
        <v>549</v>
      </c>
      <c r="C262" s="240">
        <v>511</v>
      </c>
      <c r="D262" s="220" t="s">
        <v>539</v>
      </c>
      <c r="E262" s="234">
        <v>1</v>
      </c>
      <c r="F262" s="234">
        <v>150</v>
      </c>
      <c r="G262" s="350">
        <v>41.306895911693587</v>
      </c>
    </row>
    <row r="263" spans="1:7">
      <c r="A263" s="234" t="s">
        <v>543</v>
      </c>
      <c r="B263" s="239" t="s">
        <v>549</v>
      </c>
      <c r="C263" s="240">
        <v>511</v>
      </c>
      <c r="D263" s="220" t="s">
        <v>539</v>
      </c>
      <c r="E263" s="234">
        <v>2</v>
      </c>
      <c r="F263" s="234">
        <v>150</v>
      </c>
      <c r="G263" s="350">
        <v>49.730527132749607</v>
      </c>
    </row>
    <row r="264" spans="1:7">
      <c r="A264" s="234" t="s">
        <v>543</v>
      </c>
      <c r="B264" s="239" t="s">
        <v>549</v>
      </c>
      <c r="C264" s="240">
        <v>511</v>
      </c>
      <c r="D264" s="220" t="s">
        <v>539</v>
      </c>
      <c r="E264" s="234">
        <v>3</v>
      </c>
      <c r="F264" s="234">
        <v>150</v>
      </c>
      <c r="G264" s="350">
        <v>38.984805732965462</v>
      </c>
    </row>
    <row r="265" spans="1:7">
      <c r="A265" s="234" t="s">
        <v>543</v>
      </c>
      <c r="B265" s="239" t="s">
        <v>549</v>
      </c>
      <c r="C265" s="240">
        <v>511</v>
      </c>
      <c r="D265" s="220" t="s">
        <v>539</v>
      </c>
      <c r="E265" s="234">
        <v>4</v>
      </c>
      <c r="F265" s="234">
        <v>150</v>
      </c>
      <c r="G265" s="350">
        <v>62.900876939296658</v>
      </c>
    </row>
    <row r="266" spans="1:7">
      <c r="A266" s="234" t="s">
        <v>543</v>
      </c>
      <c r="B266" s="239" t="s">
        <v>549</v>
      </c>
      <c r="C266" s="240">
        <v>511</v>
      </c>
      <c r="D266" s="220" t="s">
        <v>539</v>
      </c>
      <c r="E266" s="234">
        <v>5</v>
      </c>
      <c r="F266" s="234">
        <v>150</v>
      </c>
      <c r="G266" s="350">
        <v>50.55797082185741</v>
      </c>
    </row>
    <row r="267" spans="1:7">
      <c r="A267" s="234" t="s">
        <v>543</v>
      </c>
      <c r="B267" s="239" t="s">
        <v>549</v>
      </c>
      <c r="C267" s="240">
        <v>511</v>
      </c>
      <c r="D267" s="220" t="s">
        <v>539</v>
      </c>
      <c r="E267" s="234">
        <v>1</v>
      </c>
      <c r="F267" s="234">
        <v>300</v>
      </c>
      <c r="G267" s="350">
        <v>74.008116647601128</v>
      </c>
    </row>
    <row r="268" spans="1:7">
      <c r="A268" s="234" t="s">
        <v>543</v>
      </c>
      <c r="B268" s="239" t="s">
        <v>549</v>
      </c>
      <c r="C268" s="240">
        <v>511</v>
      </c>
      <c r="D268" s="220" t="s">
        <v>539</v>
      </c>
      <c r="E268" s="234">
        <v>2</v>
      </c>
      <c r="F268" s="234">
        <v>300</v>
      </c>
      <c r="G268" s="350">
        <v>85.115401685237856</v>
      </c>
    </row>
    <row r="269" spans="1:7">
      <c r="A269" s="234" t="s">
        <v>543</v>
      </c>
      <c r="B269" s="239" t="s">
        <v>549</v>
      </c>
      <c r="C269" s="240">
        <v>511</v>
      </c>
      <c r="D269" s="220" t="s">
        <v>539</v>
      </c>
      <c r="E269" s="234">
        <v>3</v>
      </c>
      <c r="F269" s="234">
        <v>300</v>
      </c>
      <c r="G269" s="350">
        <v>69.336580529808998</v>
      </c>
    </row>
    <row r="270" spans="1:7">
      <c r="A270" s="234" t="s">
        <v>543</v>
      </c>
      <c r="B270" s="239" t="s">
        <v>549</v>
      </c>
      <c r="C270" s="240">
        <v>511</v>
      </c>
      <c r="D270" s="220" t="s">
        <v>539</v>
      </c>
      <c r="E270" s="234">
        <v>4</v>
      </c>
      <c r="F270" s="234">
        <v>300</v>
      </c>
      <c r="G270" s="350">
        <v>103.44805943965915</v>
      </c>
    </row>
    <row r="271" spans="1:7">
      <c r="A271" s="234" t="s">
        <v>543</v>
      </c>
      <c r="B271" s="239" t="s">
        <v>549</v>
      </c>
      <c r="C271" s="240">
        <v>511</v>
      </c>
      <c r="D271" s="220" t="s">
        <v>539</v>
      </c>
      <c r="E271" s="234">
        <v>5</v>
      </c>
      <c r="F271" s="234">
        <v>300</v>
      </c>
      <c r="G271" s="350">
        <v>87.57323101162909</v>
      </c>
    </row>
    <row r="272" spans="1:7">
      <c r="A272" s="220" t="s">
        <v>534</v>
      </c>
      <c r="B272" s="231" t="s">
        <v>533</v>
      </c>
      <c r="C272" s="232">
        <v>503</v>
      </c>
      <c r="D272" s="220" t="s">
        <v>535</v>
      </c>
      <c r="E272" s="220">
        <v>1</v>
      </c>
      <c r="F272" s="220">
        <v>150</v>
      </c>
      <c r="G272" s="350">
        <v>44.639651700854273</v>
      </c>
    </row>
    <row r="273" spans="1:7">
      <c r="A273" s="220" t="s">
        <v>534</v>
      </c>
      <c r="B273" s="231" t="s">
        <v>533</v>
      </c>
      <c r="C273" s="232">
        <v>503</v>
      </c>
      <c r="D273" s="220" t="s">
        <v>535</v>
      </c>
      <c r="E273" s="220">
        <v>2</v>
      </c>
      <c r="F273" s="220">
        <v>150</v>
      </c>
      <c r="G273" s="350">
        <v>57.345338195562391</v>
      </c>
    </row>
    <row r="274" spans="1:7">
      <c r="A274" s="220" t="s">
        <v>534</v>
      </c>
      <c r="B274" s="231" t="s">
        <v>533</v>
      </c>
      <c r="C274" s="232">
        <v>503</v>
      </c>
      <c r="D274" s="220" t="s">
        <v>535</v>
      </c>
      <c r="E274" s="220">
        <v>3</v>
      </c>
      <c r="F274" s="220">
        <v>150</v>
      </c>
      <c r="G274" s="350">
        <v>47.549029253423171</v>
      </c>
    </row>
    <row r="275" spans="1:7">
      <c r="A275" s="220" t="s">
        <v>534</v>
      </c>
      <c r="B275" s="231" t="s">
        <v>533</v>
      </c>
      <c r="C275" s="232">
        <v>503</v>
      </c>
      <c r="D275" s="220" t="s">
        <v>535</v>
      </c>
      <c r="E275" s="220">
        <v>4</v>
      </c>
      <c r="F275" s="220">
        <v>150</v>
      </c>
      <c r="G275" s="350">
        <v>75.352952003478947</v>
      </c>
    </row>
    <row r="276" spans="1:7">
      <c r="A276" s="220" t="s">
        <v>534</v>
      </c>
      <c r="B276" s="231" t="s">
        <v>533</v>
      </c>
      <c r="C276" s="232">
        <v>503</v>
      </c>
      <c r="D276" s="220" t="s">
        <v>535</v>
      </c>
      <c r="E276" s="220">
        <v>5</v>
      </c>
      <c r="F276" s="220">
        <v>150</v>
      </c>
      <c r="G276" s="350">
        <v>64.731147035956297</v>
      </c>
    </row>
    <row r="277" spans="1:7">
      <c r="A277" s="220" t="s">
        <v>534</v>
      </c>
      <c r="B277" s="231" t="s">
        <v>533</v>
      </c>
      <c r="C277" s="232">
        <v>503</v>
      </c>
      <c r="D277" s="220" t="s">
        <v>535</v>
      </c>
      <c r="E277" s="220">
        <v>1</v>
      </c>
      <c r="F277" s="234">
        <v>300</v>
      </c>
      <c r="G277" s="350">
        <v>61.007416009902961</v>
      </c>
    </row>
    <row r="278" spans="1:7">
      <c r="A278" s="220" t="s">
        <v>534</v>
      </c>
      <c r="B278" s="231" t="s">
        <v>533</v>
      </c>
      <c r="C278" s="232">
        <v>503</v>
      </c>
      <c r="D278" s="220" t="s">
        <v>535</v>
      </c>
      <c r="E278" s="220">
        <v>2</v>
      </c>
      <c r="F278" s="234">
        <v>300</v>
      </c>
      <c r="G278" s="350">
        <v>73.896679759025545</v>
      </c>
    </row>
    <row r="279" spans="1:7">
      <c r="A279" s="220" t="s">
        <v>534</v>
      </c>
      <c r="B279" s="231" t="s">
        <v>533</v>
      </c>
      <c r="C279" s="232">
        <v>503</v>
      </c>
      <c r="D279" s="220" t="s">
        <v>535</v>
      </c>
      <c r="E279" s="220">
        <v>3</v>
      </c>
      <c r="F279" s="234">
        <v>300</v>
      </c>
      <c r="G279" s="350">
        <v>63.84466940164566</v>
      </c>
    </row>
    <row r="280" spans="1:7">
      <c r="A280" s="220" t="s">
        <v>534</v>
      </c>
      <c r="B280" s="231" t="s">
        <v>533</v>
      </c>
      <c r="C280" s="232">
        <v>503</v>
      </c>
      <c r="D280" s="220" t="s">
        <v>535</v>
      </c>
      <c r="E280" s="220">
        <v>4</v>
      </c>
      <c r="F280" s="234">
        <v>300</v>
      </c>
      <c r="G280" s="350">
        <v>92.647753596305776</v>
      </c>
    </row>
    <row r="281" spans="1:7">
      <c r="A281" s="220" t="s">
        <v>534</v>
      </c>
      <c r="B281" s="231" t="s">
        <v>533</v>
      </c>
      <c r="C281" s="232">
        <v>503</v>
      </c>
      <c r="D281" s="220" t="s">
        <v>535</v>
      </c>
      <c r="E281" s="220">
        <v>5</v>
      </c>
      <c r="F281" s="234">
        <v>300</v>
      </c>
      <c r="G281" s="350">
        <v>83.907529950141949</v>
      </c>
    </row>
    <row r="282" spans="1:7">
      <c r="A282" s="220" t="s">
        <v>534</v>
      </c>
      <c r="B282" s="231" t="s">
        <v>533</v>
      </c>
      <c r="C282" s="232">
        <v>503</v>
      </c>
      <c r="D282" s="220" t="s">
        <v>538</v>
      </c>
      <c r="E282" s="220">
        <v>1</v>
      </c>
      <c r="F282" s="220">
        <v>150</v>
      </c>
      <c r="G282" s="350">
        <v>46.718023031950004</v>
      </c>
    </row>
    <row r="283" spans="1:7">
      <c r="A283" s="220" t="s">
        <v>534</v>
      </c>
      <c r="B283" s="231" t="s">
        <v>533</v>
      </c>
      <c r="C283" s="232">
        <v>503</v>
      </c>
      <c r="D283" s="220" t="s">
        <v>538</v>
      </c>
      <c r="E283" s="220">
        <v>2</v>
      </c>
      <c r="F283" s="220">
        <v>150</v>
      </c>
      <c r="G283" s="350">
        <v>54.538827657699585</v>
      </c>
    </row>
    <row r="284" spans="1:7">
      <c r="A284" s="220" t="s">
        <v>534</v>
      </c>
      <c r="B284" s="231" t="s">
        <v>533</v>
      </c>
      <c r="C284" s="232">
        <v>503</v>
      </c>
      <c r="D284" s="220" t="s">
        <v>538</v>
      </c>
      <c r="E284" s="220">
        <v>3</v>
      </c>
      <c r="F284" s="220">
        <v>150</v>
      </c>
      <c r="G284" s="350">
        <v>42.918330140411811</v>
      </c>
    </row>
    <row r="285" spans="1:7">
      <c r="A285" s="220" t="s">
        <v>534</v>
      </c>
      <c r="B285" s="231" t="s">
        <v>533</v>
      </c>
      <c r="C285" s="232">
        <v>503</v>
      </c>
      <c r="D285" s="220" t="s">
        <v>538</v>
      </c>
      <c r="E285" s="220">
        <v>4</v>
      </c>
      <c r="F285" s="220">
        <v>150</v>
      </c>
      <c r="G285" s="350">
        <v>62.030212044715896</v>
      </c>
    </row>
    <row r="286" spans="1:7">
      <c r="A286" s="220" t="s">
        <v>534</v>
      </c>
      <c r="B286" s="231" t="s">
        <v>533</v>
      </c>
      <c r="C286" s="232">
        <v>503</v>
      </c>
      <c r="D286" s="220" t="s">
        <v>538</v>
      </c>
      <c r="E286" s="220">
        <v>5</v>
      </c>
      <c r="F286" s="220">
        <v>150</v>
      </c>
      <c r="G286" s="350">
        <v>53.150509342551246</v>
      </c>
    </row>
    <row r="287" spans="1:7">
      <c r="A287" s="220" t="s">
        <v>534</v>
      </c>
      <c r="B287" s="231" t="s">
        <v>533</v>
      </c>
      <c r="C287" s="232">
        <v>503</v>
      </c>
      <c r="D287" s="220" t="s">
        <v>538</v>
      </c>
      <c r="E287" s="220">
        <v>1</v>
      </c>
      <c r="F287" s="234">
        <v>300</v>
      </c>
      <c r="G287" s="350">
        <v>57.943026304245052</v>
      </c>
    </row>
    <row r="288" spans="1:7">
      <c r="A288" s="220" t="s">
        <v>534</v>
      </c>
      <c r="B288" s="231" t="s">
        <v>533</v>
      </c>
      <c r="C288" s="232">
        <v>503</v>
      </c>
      <c r="D288" s="220" t="s">
        <v>538</v>
      </c>
      <c r="E288" s="220">
        <v>2</v>
      </c>
      <c r="F288" s="234">
        <v>300</v>
      </c>
      <c r="G288" s="350">
        <v>63.298220872879064</v>
      </c>
    </row>
    <row r="289" spans="1:7">
      <c r="A289" s="220" t="s">
        <v>534</v>
      </c>
      <c r="B289" s="231" t="s">
        <v>533</v>
      </c>
      <c r="C289" s="232">
        <v>503</v>
      </c>
      <c r="D289" s="220" t="s">
        <v>538</v>
      </c>
      <c r="E289" s="220">
        <v>3</v>
      </c>
      <c r="F289" s="234">
        <v>300</v>
      </c>
      <c r="G289" s="350">
        <v>54.706102550029762</v>
      </c>
    </row>
    <row r="290" spans="1:7">
      <c r="A290" s="220" t="s">
        <v>534</v>
      </c>
      <c r="B290" s="231" t="s">
        <v>533</v>
      </c>
      <c r="C290" s="232">
        <v>503</v>
      </c>
      <c r="D290" s="220" t="s">
        <v>538</v>
      </c>
      <c r="E290" s="220">
        <v>4</v>
      </c>
      <c r="F290" s="234">
        <v>300</v>
      </c>
      <c r="G290" s="350">
        <v>70.529721260070801</v>
      </c>
    </row>
    <row r="291" spans="1:7">
      <c r="A291" s="220" t="s">
        <v>534</v>
      </c>
      <c r="B291" s="231" t="s">
        <v>533</v>
      </c>
      <c r="C291" s="232">
        <v>503</v>
      </c>
      <c r="D291" s="220" t="s">
        <v>538</v>
      </c>
      <c r="E291" s="220">
        <v>5</v>
      </c>
      <c r="F291" s="234">
        <v>300</v>
      </c>
      <c r="G291" s="350">
        <v>65.738691806793142</v>
      </c>
    </row>
    <row r="292" spans="1:7">
      <c r="A292" s="220" t="s">
        <v>534</v>
      </c>
      <c r="B292" s="231" t="s">
        <v>533</v>
      </c>
      <c r="C292" s="232">
        <v>503</v>
      </c>
      <c r="D292" s="220" t="s">
        <v>539</v>
      </c>
      <c r="E292" s="220">
        <v>1</v>
      </c>
      <c r="F292" s="220">
        <v>150</v>
      </c>
      <c r="G292" s="350">
        <v>40.193103685975103</v>
      </c>
    </row>
    <row r="293" spans="1:7">
      <c r="A293" s="220" t="s">
        <v>534</v>
      </c>
      <c r="B293" s="231" t="s">
        <v>533</v>
      </c>
      <c r="C293" s="232">
        <v>503</v>
      </c>
      <c r="D293" s="220" t="s">
        <v>539</v>
      </c>
      <c r="E293" s="220">
        <v>2</v>
      </c>
      <c r="F293" s="220">
        <v>150</v>
      </c>
      <c r="G293" s="350">
        <v>53.113674372434588</v>
      </c>
    </row>
    <row r="294" spans="1:7">
      <c r="A294" s="220" t="s">
        <v>534</v>
      </c>
      <c r="B294" s="231" t="s">
        <v>533</v>
      </c>
      <c r="C294" s="232">
        <v>503</v>
      </c>
      <c r="D294" s="220" t="s">
        <v>539</v>
      </c>
      <c r="E294" s="220">
        <v>3</v>
      </c>
      <c r="F294" s="220">
        <v>150</v>
      </c>
      <c r="G294" s="350">
        <v>46.267076730728121</v>
      </c>
    </row>
    <row r="295" spans="1:7">
      <c r="A295" s="220" t="s">
        <v>534</v>
      </c>
      <c r="B295" s="231" t="s">
        <v>533</v>
      </c>
      <c r="C295" s="232">
        <v>503</v>
      </c>
      <c r="D295" s="220" t="s">
        <v>539</v>
      </c>
      <c r="E295" s="220">
        <v>4</v>
      </c>
      <c r="F295" s="220">
        <v>150</v>
      </c>
      <c r="G295" s="350">
        <v>74.111985951662064</v>
      </c>
    </row>
    <row r="296" spans="1:7">
      <c r="A296" s="220" t="s">
        <v>534</v>
      </c>
      <c r="B296" s="231" t="s">
        <v>533</v>
      </c>
      <c r="C296" s="232">
        <v>503</v>
      </c>
      <c r="D296" s="220" t="s">
        <v>539</v>
      </c>
      <c r="E296" s="220">
        <v>5</v>
      </c>
      <c r="F296" s="220">
        <v>150</v>
      </c>
      <c r="G296" s="350">
        <v>64.499910563230543</v>
      </c>
    </row>
    <row r="297" spans="1:7">
      <c r="A297" s="220" t="s">
        <v>534</v>
      </c>
      <c r="B297" s="231" t="s">
        <v>533</v>
      </c>
      <c r="C297" s="232">
        <v>503</v>
      </c>
      <c r="D297" s="220" t="s">
        <v>539</v>
      </c>
      <c r="E297" s="220">
        <v>1</v>
      </c>
      <c r="F297" s="234">
        <v>300</v>
      </c>
      <c r="G297" s="350">
        <v>53.490304946899371</v>
      </c>
    </row>
    <row r="298" spans="1:7">
      <c r="A298" s="220" t="s">
        <v>534</v>
      </c>
      <c r="B298" s="231" t="s">
        <v>533</v>
      </c>
      <c r="C298" s="232">
        <v>503</v>
      </c>
      <c r="D298" s="220" t="s">
        <v>539</v>
      </c>
      <c r="E298" s="220">
        <v>2</v>
      </c>
      <c r="F298" s="234">
        <v>300</v>
      </c>
      <c r="G298" s="350">
        <v>70.937518924474759</v>
      </c>
    </row>
    <row r="299" spans="1:7">
      <c r="A299" s="220" t="s">
        <v>534</v>
      </c>
      <c r="B299" s="231" t="s">
        <v>533</v>
      </c>
      <c r="C299" s="232">
        <v>503</v>
      </c>
      <c r="D299" s="220" t="s">
        <v>539</v>
      </c>
      <c r="E299" s="220">
        <v>3</v>
      </c>
      <c r="F299" s="234">
        <v>300</v>
      </c>
      <c r="G299" s="350">
        <v>61.388413503766117</v>
      </c>
    </row>
    <row r="300" spans="1:7">
      <c r="A300" s="220" t="s">
        <v>534</v>
      </c>
      <c r="B300" s="231" t="s">
        <v>533</v>
      </c>
      <c r="C300" s="232">
        <v>503</v>
      </c>
      <c r="D300" s="220" t="s">
        <v>539</v>
      </c>
      <c r="E300" s="220">
        <v>4</v>
      </c>
      <c r="F300" s="234">
        <v>300</v>
      </c>
      <c r="G300" s="350">
        <v>94.030374407768264</v>
      </c>
    </row>
    <row r="301" spans="1:7">
      <c r="A301" s="220" t="s">
        <v>534</v>
      </c>
      <c r="B301" s="231" t="s">
        <v>533</v>
      </c>
      <c r="C301" s="232">
        <v>503</v>
      </c>
      <c r="D301" s="220" t="s">
        <v>539</v>
      </c>
      <c r="E301" s="220">
        <v>5</v>
      </c>
      <c r="F301" s="234">
        <v>300</v>
      </c>
      <c r="G301" s="350">
        <v>85.383968293666896</v>
      </c>
    </row>
    <row r="302" spans="1:7">
      <c r="A302" s="234" t="s">
        <v>534</v>
      </c>
      <c r="B302" s="241" t="s">
        <v>549</v>
      </c>
      <c r="C302" s="242">
        <v>511</v>
      </c>
      <c r="D302" s="234" t="s">
        <v>535</v>
      </c>
      <c r="E302" s="234">
        <v>1</v>
      </c>
      <c r="F302" s="234">
        <v>150</v>
      </c>
      <c r="G302" s="351">
        <v>40.46051189303401</v>
      </c>
    </row>
    <row r="303" spans="1:7">
      <c r="A303" s="234" t="s">
        <v>534</v>
      </c>
      <c r="B303" s="241" t="s">
        <v>549</v>
      </c>
      <c r="C303" s="242">
        <v>511</v>
      </c>
      <c r="D303" s="234" t="s">
        <v>535</v>
      </c>
      <c r="E303" s="234">
        <v>2</v>
      </c>
      <c r="F303" s="234">
        <v>150</v>
      </c>
      <c r="G303" s="351">
        <v>52.198080748319647</v>
      </c>
    </row>
    <row r="304" spans="1:7">
      <c r="A304" s="234" t="s">
        <v>534</v>
      </c>
      <c r="B304" s="241" t="s">
        <v>549</v>
      </c>
      <c r="C304" s="242">
        <v>511</v>
      </c>
      <c r="D304" s="234" t="s">
        <v>535</v>
      </c>
      <c r="E304" s="234">
        <v>3</v>
      </c>
      <c r="F304" s="234">
        <v>150</v>
      </c>
      <c r="G304" s="351">
        <v>43.158042080700433</v>
      </c>
    </row>
    <row r="305" spans="1:7">
      <c r="A305" s="234" t="s">
        <v>534</v>
      </c>
      <c r="B305" s="241" t="s">
        <v>549</v>
      </c>
      <c r="C305" s="242">
        <v>511</v>
      </c>
      <c r="D305" s="234" t="s">
        <v>535</v>
      </c>
      <c r="E305" s="234">
        <v>4</v>
      </c>
      <c r="F305" s="234">
        <v>150</v>
      </c>
      <c r="G305" s="351">
        <v>67.205222621560125</v>
      </c>
    </row>
    <row r="306" spans="1:7">
      <c r="A306" s="234" t="s">
        <v>534</v>
      </c>
      <c r="B306" s="241" t="s">
        <v>549</v>
      </c>
      <c r="C306" s="242">
        <v>511</v>
      </c>
      <c r="D306" s="234" t="s">
        <v>535</v>
      </c>
      <c r="E306" s="234">
        <v>5</v>
      </c>
      <c r="F306" s="234">
        <v>150</v>
      </c>
      <c r="G306" s="351">
        <v>58.202678591012912</v>
      </c>
    </row>
    <row r="307" spans="1:7">
      <c r="A307" s="234" t="s">
        <v>534</v>
      </c>
      <c r="B307" s="241" t="s">
        <v>549</v>
      </c>
      <c r="C307" s="242">
        <v>511</v>
      </c>
      <c r="D307" s="234" t="s">
        <v>535</v>
      </c>
      <c r="E307" s="234">
        <v>1</v>
      </c>
      <c r="F307" s="234">
        <v>300</v>
      </c>
      <c r="G307" s="351">
        <v>56.333971410989754</v>
      </c>
    </row>
    <row r="308" spans="1:7">
      <c r="A308" s="234" t="s">
        <v>534</v>
      </c>
      <c r="B308" s="241" t="s">
        <v>549</v>
      </c>
      <c r="C308" s="242">
        <v>511</v>
      </c>
      <c r="D308" s="234" t="s">
        <v>535</v>
      </c>
      <c r="E308" s="234">
        <v>2</v>
      </c>
      <c r="F308" s="234">
        <v>300</v>
      </c>
      <c r="G308" s="351">
        <v>69.671647548675523</v>
      </c>
    </row>
    <row r="309" spans="1:7">
      <c r="A309" s="234" t="s">
        <v>534</v>
      </c>
      <c r="B309" s="241" t="s">
        <v>549</v>
      </c>
      <c r="C309" s="242">
        <v>511</v>
      </c>
      <c r="D309" s="234" t="s">
        <v>535</v>
      </c>
      <c r="E309" s="234">
        <v>3</v>
      </c>
      <c r="F309" s="234">
        <v>300</v>
      </c>
      <c r="G309" s="351">
        <v>60.696700364351251</v>
      </c>
    </row>
    <row r="310" spans="1:7">
      <c r="A310" s="234" t="s">
        <v>534</v>
      </c>
      <c r="B310" s="241" t="s">
        <v>549</v>
      </c>
      <c r="C310" s="242">
        <v>511</v>
      </c>
      <c r="D310" s="234" t="s">
        <v>535</v>
      </c>
      <c r="E310" s="234">
        <v>4</v>
      </c>
      <c r="F310" s="234">
        <v>300</v>
      </c>
      <c r="G310" s="351">
        <v>88.158979535102915</v>
      </c>
    </row>
    <row r="311" spans="1:7">
      <c r="A311" s="234" t="s">
        <v>534</v>
      </c>
      <c r="B311" s="241" t="s">
        <v>549</v>
      </c>
      <c r="C311" s="242">
        <v>511</v>
      </c>
      <c r="D311" s="234" t="s">
        <v>535</v>
      </c>
      <c r="E311" s="234">
        <v>5</v>
      </c>
      <c r="F311" s="234">
        <v>300</v>
      </c>
      <c r="G311" s="351">
        <v>79.524382472038269</v>
      </c>
    </row>
    <row r="312" spans="1:7">
      <c r="A312" s="234" t="s">
        <v>534</v>
      </c>
      <c r="B312" s="241" t="s">
        <v>549</v>
      </c>
      <c r="C312" s="242">
        <v>511</v>
      </c>
      <c r="D312" s="220" t="s">
        <v>538</v>
      </c>
      <c r="E312" s="234">
        <v>1</v>
      </c>
      <c r="F312" s="234">
        <v>150</v>
      </c>
      <c r="G312" s="351">
        <v>40.820238530635827</v>
      </c>
    </row>
    <row r="313" spans="1:7">
      <c r="A313" s="234" t="s">
        <v>534</v>
      </c>
      <c r="B313" s="241" t="s">
        <v>549</v>
      </c>
      <c r="C313" s="242">
        <v>511</v>
      </c>
      <c r="D313" s="220" t="s">
        <v>538</v>
      </c>
      <c r="E313" s="234">
        <v>2</v>
      </c>
      <c r="F313" s="234">
        <v>150</v>
      </c>
      <c r="G313" s="351">
        <v>47.127148672938368</v>
      </c>
    </row>
    <row r="314" spans="1:7">
      <c r="A314" s="234" t="s">
        <v>534</v>
      </c>
      <c r="B314" s="241" t="s">
        <v>549</v>
      </c>
      <c r="C314" s="242">
        <v>511</v>
      </c>
      <c r="D314" s="220" t="s">
        <v>538</v>
      </c>
      <c r="E314" s="234">
        <v>3</v>
      </c>
      <c r="F314" s="234">
        <v>150</v>
      </c>
      <c r="G314" s="351">
        <v>36.327576130628579</v>
      </c>
    </row>
    <row r="315" spans="1:7">
      <c r="A315" s="234" t="s">
        <v>534</v>
      </c>
      <c r="B315" s="241" t="s">
        <v>549</v>
      </c>
      <c r="C315" s="242">
        <v>511</v>
      </c>
      <c r="D315" s="220" t="s">
        <v>538</v>
      </c>
      <c r="E315" s="234">
        <v>4</v>
      </c>
      <c r="F315" s="234">
        <v>150</v>
      </c>
      <c r="G315" s="351">
        <v>54.324151784181588</v>
      </c>
    </row>
    <row r="316" spans="1:7">
      <c r="A316" s="234" t="s">
        <v>534</v>
      </c>
      <c r="B316" s="241" t="s">
        <v>549</v>
      </c>
      <c r="C316" s="242">
        <v>511</v>
      </c>
      <c r="D316" s="220" t="s">
        <v>538</v>
      </c>
      <c r="E316" s="234">
        <v>5</v>
      </c>
      <c r="F316" s="234">
        <v>150</v>
      </c>
      <c r="G316" s="351">
        <v>45.011410802602725</v>
      </c>
    </row>
    <row r="317" spans="1:7">
      <c r="A317" s="234" t="s">
        <v>534</v>
      </c>
      <c r="B317" s="241" t="s">
        <v>549</v>
      </c>
      <c r="C317" s="242">
        <v>511</v>
      </c>
      <c r="D317" s="220" t="s">
        <v>538</v>
      </c>
      <c r="E317" s="234">
        <v>1</v>
      </c>
      <c r="F317" s="234">
        <v>300</v>
      </c>
      <c r="G317" s="351">
        <v>52.990036547183998</v>
      </c>
    </row>
    <row r="318" spans="1:7">
      <c r="A318" s="234" t="s">
        <v>534</v>
      </c>
      <c r="B318" s="241" t="s">
        <v>549</v>
      </c>
      <c r="C318" s="242">
        <v>511</v>
      </c>
      <c r="D318" s="220" t="s">
        <v>538</v>
      </c>
      <c r="E318" s="234">
        <v>2</v>
      </c>
      <c r="F318" s="234">
        <v>300</v>
      </c>
      <c r="G318" s="351">
        <v>58.651737093925462</v>
      </c>
    </row>
    <row r="319" spans="1:7">
      <c r="A319" s="234" t="s">
        <v>534</v>
      </c>
      <c r="B319" s="241" t="s">
        <v>549</v>
      </c>
      <c r="C319" s="242">
        <v>511</v>
      </c>
      <c r="D319" s="220" t="s">
        <v>538</v>
      </c>
      <c r="E319" s="234">
        <v>3</v>
      </c>
      <c r="F319" s="234">
        <v>300</v>
      </c>
      <c r="G319" s="351">
        <v>49.561543762683883</v>
      </c>
    </row>
    <row r="320" spans="1:7">
      <c r="A320" s="234" t="s">
        <v>534</v>
      </c>
      <c r="B320" s="241" t="s">
        <v>549</v>
      </c>
      <c r="C320" s="242">
        <v>511</v>
      </c>
      <c r="D320" s="220" t="s">
        <v>538</v>
      </c>
      <c r="E320" s="234">
        <v>4</v>
      </c>
      <c r="F320" s="234">
        <v>300</v>
      </c>
      <c r="G320" s="351">
        <v>67.435125589370699</v>
      </c>
    </row>
    <row r="321" spans="1:7">
      <c r="A321" s="234" t="s">
        <v>534</v>
      </c>
      <c r="B321" s="241" t="s">
        <v>549</v>
      </c>
      <c r="C321" s="242">
        <v>511</v>
      </c>
      <c r="D321" s="220" t="s">
        <v>538</v>
      </c>
      <c r="E321" s="234">
        <v>5</v>
      </c>
      <c r="F321" s="234">
        <v>300</v>
      </c>
      <c r="G321" s="351">
        <v>59.873744845390334</v>
      </c>
    </row>
    <row r="322" spans="1:7">
      <c r="A322" s="234" t="s">
        <v>534</v>
      </c>
      <c r="B322" s="241" t="s">
        <v>549</v>
      </c>
      <c r="C322" s="242">
        <v>511</v>
      </c>
      <c r="D322" s="220" t="s">
        <v>539</v>
      </c>
      <c r="E322" s="234">
        <v>1</v>
      </c>
      <c r="F322" s="234">
        <v>150</v>
      </c>
      <c r="G322" s="351">
        <v>37.658563457429445</v>
      </c>
    </row>
    <row r="323" spans="1:7">
      <c r="A323" s="234" t="s">
        <v>534</v>
      </c>
      <c r="B323" s="241" t="s">
        <v>549</v>
      </c>
      <c r="C323" s="242">
        <v>511</v>
      </c>
      <c r="D323" s="220" t="s">
        <v>539</v>
      </c>
      <c r="E323" s="234">
        <v>2</v>
      </c>
      <c r="F323" s="234">
        <v>150</v>
      </c>
      <c r="G323" s="351">
        <v>47.507097452878966</v>
      </c>
    </row>
    <row r="324" spans="1:7">
      <c r="A324" s="234" t="s">
        <v>534</v>
      </c>
      <c r="B324" s="241" t="s">
        <v>549</v>
      </c>
      <c r="C324" s="242">
        <v>511</v>
      </c>
      <c r="D324" s="220" t="s">
        <v>539</v>
      </c>
      <c r="E324" s="234">
        <v>3</v>
      </c>
      <c r="F324" s="234">
        <v>150</v>
      </c>
      <c r="G324" s="351">
        <v>41.639818176627166</v>
      </c>
    </row>
    <row r="325" spans="1:7">
      <c r="A325" s="234" t="s">
        <v>534</v>
      </c>
      <c r="B325" s="241" t="s">
        <v>549</v>
      </c>
      <c r="C325" s="242">
        <v>511</v>
      </c>
      <c r="D325" s="220" t="s">
        <v>539</v>
      </c>
      <c r="E325" s="234">
        <v>4</v>
      </c>
      <c r="F325" s="234">
        <v>150</v>
      </c>
      <c r="G325" s="351">
        <v>62.504314750432982</v>
      </c>
    </row>
    <row r="326" spans="1:7">
      <c r="A326" s="234" t="s">
        <v>534</v>
      </c>
      <c r="B326" s="241" t="s">
        <v>549</v>
      </c>
      <c r="C326" s="242">
        <v>511</v>
      </c>
      <c r="D326" s="220" t="s">
        <v>539</v>
      </c>
      <c r="E326" s="234">
        <v>5</v>
      </c>
      <c r="F326" s="234">
        <v>150</v>
      </c>
      <c r="G326" s="351">
        <v>54.986560344696031</v>
      </c>
    </row>
    <row r="327" spans="1:7">
      <c r="A327" s="234" t="s">
        <v>534</v>
      </c>
      <c r="B327" s="241" t="s">
        <v>549</v>
      </c>
      <c r="C327" s="242">
        <v>511</v>
      </c>
      <c r="D327" s="220" t="s">
        <v>539</v>
      </c>
      <c r="E327" s="234">
        <v>1</v>
      </c>
      <c r="F327" s="234">
        <v>300</v>
      </c>
      <c r="G327" s="351">
        <v>51.705227077007315</v>
      </c>
    </row>
    <row r="328" spans="1:7">
      <c r="A328" s="234" t="s">
        <v>534</v>
      </c>
      <c r="B328" s="241" t="s">
        <v>549</v>
      </c>
      <c r="C328" s="242">
        <v>511</v>
      </c>
      <c r="D328" s="220" t="s">
        <v>539</v>
      </c>
      <c r="E328" s="234">
        <v>2</v>
      </c>
      <c r="F328" s="234">
        <v>300</v>
      </c>
      <c r="G328" s="351">
        <v>67.48345330357553</v>
      </c>
    </row>
    <row r="329" spans="1:7">
      <c r="A329" s="234" t="s">
        <v>534</v>
      </c>
      <c r="B329" s="241" t="s">
        <v>549</v>
      </c>
      <c r="C329" s="242">
        <v>511</v>
      </c>
      <c r="D329" s="220" t="s">
        <v>539</v>
      </c>
      <c r="E329" s="234">
        <v>3</v>
      </c>
      <c r="F329" s="234">
        <v>300</v>
      </c>
      <c r="G329" s="351">
        <v>58.514911994338021</v>
      </c>
    </row>
    <row r="330" spans="1:7">
      <c r="A330" s="234" t="s">
        <v>534</v>
      </c>
      <c r="B330" s="241" t="s">
        <v>549</v>
      </c>
      <c r="C330" s="242">
        <v>511</v>
      </c>
      <c r="D330" s="220" t="s">
        <v>539</v>
      </c>
      <c r="E330" s="234">
        <v>4</v>
      </c>
      <c r="F330" s="234">
        <v>300</v>
      </c>
      <c r="G330" s="351">
        <v>85.532068729400635</v>
      </c>
    </row>
    <row r="331" spans="1:7">
      <c r="A331" s="234" t="s">
        <v>534</v>
      </c>
      <c r="B331" s="241" t="s">
        <v>549</v>
      </c>
      <c r="C331" s="242">
        <v>511</v>
      </c>
      <c r="D331" s="220" t="s">
        <v>539</v>
      </c>
      <c r="E331" s="234">
        <v>5</v>
      </c>
      <c r="F331" s="234">
        <v>300</v>
      </c>
      <c r="G331" s="351">
        <v>78.336044996976938</v>
      </c>
    </row>
    <row r="332" spans="1:7">
      <c r="A332" s="220" t="s">
        <v>534</v>
      </c>
      <c r="B332" s="231" t="s">
        <v>550</v>
      </c>
      <c r="C332" s="232">
        <v>515</v>
      </c>
      <c r="D332" s="220" t="s">
        <v>535</v>
      </c>
      <c r="E332" s="220">
        <v>1</v>
      </c>
      <c r="F332" s="220">
        <v>150</v>
      </c>
      <c r="G332" s="350">
        <v>42.749059453606655</v>
      </c>
    </row>
    <row r="333" spans="1:7">
      <c r="A333" s="220" t="s">
        <v>534</v>
      </c>
      <c r="B333" s="231" t="s">
        <v>550</v>
      </c>
      <c r="C333" s="232">
        <v>515</v>
      </c>
      <c r="D333" s="220" t="s">
        <v>535</v>
      </c>
      <c r="E333" s="220">
        <v>2</v>
      </c>
      <c r="F333" s="220">
        <v>150</v>
      </c>
      <c r="G333" s="350">
        <v>54.85760940611361</v>
      </c>
    </row>
    <row r="334" spans="1:7">
      <c r="A334" s="220" t="s">
        <v>534</v>
      </c>
      <c r="B334" s="231" t="s">
        <v>550</v>
      </c>
      <c r="C334" s="232">
        <v>515</v>
      </c>
      <c r="D334" s="220" t="s">
        <v>535</v>
      </c>
      <c r="E334" s="220">
        <v>3</v>
      </c>
      <c r="F334" s="220">
        <v>150</v>
      </c>
      <c r="G334" s="350">
        <v>45.811291158199332</v>
      </c>
    </row>
    <row r="335" spans="1:7">
      <c r="A335" s="220" t="s">
        <v>534</v>
      </c>
      <c r="B335" s="231" t="s">
        <v>550</v>
      </c>
      <c r="C335" s="232">
        <v>515</v>
      </c>
      <c r="D335" s="220" t="s">
        <v>535</v>
      </c>
      <c r="E335" s="220">
        <v>4</v>
      </c>
      <c r="F335" s="220">
        <v>150</v>
      </c>
      <c r="G335" s="350">
        <v>71.520006269216452</v>
      </c>
    </row>
    <row r="336" spans="1:7">
      <c r="A336" s="220" t="s">
        <v>534</v>
      </c>
      <c r="B336" s="231" t="s">
        <v>550</v>
      </c>
      <c r="C336" s="232">
        <v>515</v>
      </c>
      <c r="D336" s="220" t="s">
        <v>535</v>
      </c>
      <c r="E336" s="220">
        <v>5</v>
      </c>
      <c r="F336" s="220">
        <v>150</v>
      </c>
      <c r="G336" s="350">
        <v>61.575749635696418</v>
      </c>
    </row>
    <row r="337" spans="1:7">
      <c r="A337" s="220" t="s">
        <v>534</v>
      </c>
      <c r="B337" s="231" t="s">
        <v>550</v>
      </c>
      <c r="C337" s="232">
        <v>515</v>
      </c>
      <c r="D337" s="220" t="s">
        <v>535</v>
      </c>
      <c r="E337" s="220">
        <v>1</v>
      </c>
      <c r="F337" s="234">
        <v>300</v>
      </c>
      <c r="G337" s="350">
        <v>58.415026247501409</v>
      </c>
    </row>
    <row r="338" spans="1:7">
      <c r="A338" s="220" t="s">
        <v>534</v>
      </c>
      <c r="B338" s="231" t="s">
        <v>550</v>
      </c>
      <c r="C338" s="232">
        <v>515</v>
      </c>
      <c r="D338" s="220" t="s">
        <v>535</v>
      </c>
      <c r="E338" s="220">
        <v>2</v>
      </c>
      <c r="F338" s="234">
        <v>300</v>
      </c>
      <c r="G338" s="350">
        <v>71.417279720306425</v>
      </c>
    </row>
    <row r="339" spans="1:7">
      <c r="A339" s="220" t="s">
        <v>534</v>
      </c>
      <c r="B339" s="231" t="s">
        <v>550</v>
      </c>
      <c r="C339" s="232">
        <v>515</v>
      </c>
      <c r="D339" s="220" t="s">
        <v>535</v>
      </c>
      <c r="E339" s="220">
        <v>3</v>
      </c>
      <c r="F339" s="234">
        <v>300</v>
      </c>
      <c r="G339" s="350">
        <v>61.632643163204193</v>
      </c>
    </row>
    <row r="340" spans="1:7">
      <c r="A340" s="220" t="s">
        <v>534</v>
      </c>
      <c r="B340" s="231" t="s">
        <v>550</v>
      </c>
      <c r="C340" s="232">
        <v>515</v>
      </c>
      <c r="D340" s="220" t="s">
        <v>535</v>
      </c>
      <c r="E340" s="220">
        <v>4</v>
      </c>
      <c r="F340" s="234">
        <v>300</v>
      </c>
      <c r="G340" s="350">
        <v>89.977489590644922</v>
      </c>
    </row>
    <row r="341" spans="1:7">
      <c r="A341" s="220" t="s">
        <v>534</v>
      </c>
      <c r="B341" s="231" t="s">
        <v>550</v>
      </c>
      <c r="C341" s="232">
        <v>515</v>
      </c>
      <c r="D341" s="220" t="s">
        <v>535</v>
      </c>
      <c r="E341" s="220">
        <v>5</v>
      </c>
      <c r="F341" s="234">
        <v>300</v>
      </c>
      <c r="G341" s="350">
        <v>81.041844606399536</v>
      </c>
    </row>
    <row r="342" spans="1:7">
      <c r="A342" s="220" t="s">
        <v>534</v>
      </c>
      <c r="B342" s="231" t="s">
        <v>550</v>
      </c>
      <c r="C342" s="232">
        <v>515</v>
      </c>
      <c r="D342" s="220" t="s">
        <v>538</v>
      </c>
      <c r="E342" s="220">
        <v>1</v>
      </c>
      <c r="F342" s="220">
        <v>150</v>
      </c>
      <c r="G342" s="350">
        <v>46.603167533874469</v>
      </c>
    </row>
    <row r="343" spans="1:7">
      <c r="A343" s="220" t="s">
        <v>534</v>
      </c>
      <c r="B343" s="231" t="s">
        <v>550</v>
      </c>
      <c r="C343" s="232">
        <v>515</v>
      </c>
      <c r="D343" s="220" t="s">
        <v>538</v>
      </c>
      <c r="E343" s="220">
        <v>2</v>
      </c>
      <c r="F343" s="220">
        <v>150</v>
      </c>
      <c r="G343" s="350">
        <v>54.379702925682068</v>
      </c>
    </row>
    <row r="344" spans="1:7">
      <c r="A344" s="220" t="s">
        <v>534</v>
      </c>
      <c r="B344" s="231" t="s">
        <v>550</v>
      </c>
      <c r="C344" s="232">
        <v>515</v>
      </c>
      <c r="D344" s="220" t="s">
        <v>538</v>
      </c>
      <c r="E344" s="220">
        <v>3</v>
      </c>
      <c r="F344" s="220">
        <v>150</v>
      </c>
      <c r="G344" s="350">
        <v>42.675857990980177</v>
      </c>
    </row>
    <row r="345" spans="1:7">
      <c r="A345" s="220" t="s">
        <v>534</v>
      </c>
      <c r="B345" s="231" t="s">
        <v>550</v>
      </c>
      <c r="C345" s="232">
        <v>515</v>
      </c>
      <c r="D345" s="220" t="s">
        <v>538</v>
      </c>
      <c r="E345" s="220">
        <v>4</v>
      </c>
      <c r="F345" s="220">
        <v>150</v>
      </c>
      <c r="G345" s="350">
        <v>61.581329822540276</v>
      </c>
    </row>
    <row r="346" spans="1:7">
      <c r="A346" s="220" t="s">
        <v>534</v>
      </c>
      <c r="B346" s="231" t="s">
        <v>550</v>
      </c>
      <c r="C346" s="232">
        <v>515</v>
      </c>
      <c r="D346" s="220" t="s">
        <v>538</v>
      </c>
      <c r="E346" s="220">
        <v>5</v>
      </c>
      <c r="F346" s="220">
        <v>150</v>
      </c>
      <c r="G346" s="350">
        <v>52.598861336708097</v>
      </c>
    </row>
    <row r="347" spans="1:7">
      <c r="A347" s="220" t="s">
        <v>534</v>
      </c>
      <c r="B347" s="231" t="s">
        <v>550</v>
      </c>
      <c r="C347" s="232">
        <v>515</v>
      </c>
      <c r="D347" s="220" t="s">
        <v>538</v>
      </c>
      <c r="E347" s="220">
        <v>1</v>
      </c>
      <c r="F347" s="234">
        <v>300</v>
      </c>
      <c r="G347" s="350">
        <v>57.858896017074585</v>
      </c>
    </row>
    <row r="348" spans="1:7">
      <c r="A348" s="220" t="s">
        <v>534</v>
      </c>
      <c r="B348" s="231" t="s">
        <v>550</v>
      </c>
      <c r="C348" s="232">
        <v>515</v>
      </c>
      <c r="D348" s="220" t="s">
        <v>538</v>
      </c>
      <c r="E348" s="220">
        <v>2</v>
      </c>
      <c r="F348" s="234">
        <v>300</v>
      </c>
      <c r="G348" s="350">
        <v>63.208128213882482</v>
      </c>
    </row>
    <row r="349" spans="1:7">
      <c r="A349" s="220" t="s">
        <v>534</v>
      </c>
      <c r="B349" s="231" t="s">
        <v>550</v>
      </c>
      <c r="C349" s="232">
        <v>515</v>
      </c>
      <c r="D349" s="220" t="s">
        <v>538</v>
      </c>
      <c r="E349" s="220">
        <v>3</v>
      </c>
      <c r="F349" s="234">
        <v>300</v>
      </c>
      <c r="G349" s="350">
        <v>54.584642589092233</v>
      </c>
    </row>
    <row r="350" spans="1:7">
      <c r="A350" s="220" t="s">
        <v>534</v>
      </c>
      <c r="B350" s="231" t="s">
        <v>550</v>
      </c>
      <c r="C350" s="232">
        <v>515</v>
      </c>
      <c r="D350" s="220" t="s">
        <v>538</v>
      </c>
      <c r="E350" s="220">
        <v>4</v>
      </c>
      <c r="F350" s="234">
        <v>300</v>
      </c>
      <c r="G350" s="350">
        <v>70.346104860305758</v>
      </c>
    </row>
    <row r="351" spans="1:7">
      <c r="A351" s="220" t="s">
        <v>534</v>
      </c>
      <c r="B351" s="231" t="s">
        <v>550</v>
      </c>
      <c r="C351" s="232">
        <v>515</v>
      </c>
      <c r="D351" s="220" t="s">
        <v>538</v>
      </c>
      <c r="E351" s="220">
        <v>5</v>
      </c>
      <c r="F351" s="234">
        <v>300</v>
      </c>
      <c r="G351" s="350">
        <v>65.278615713119478</v>
      </c>
    </row>
    <row r="352" spans="1:7">
      <c r="A352" s="220" t="s">
        <v>534</v>
      </c>
      <c r="B352" s="231" t="s">
        <v>550</v>
      </c>
      <c r="C352" s="232">
        <v>515</v>
      </c>
      <c r="D352" s="220" t="s">
        <v>539</v>
      </c>
      <c r="E352" s="220">
        <v>1</v>
      </c>
      <c r="F352" s="220">
        <v>150</v>
      </c>
      <c r="G352" s="350">
        <v>39.647464528679862</v>
      </c>
    </row>
    <row r="353" spans="1:7">
      <c r="A353" s="220" t="s">
        <v>534</v>
      </c>
      <c r="B353" s="231" t="s">
        <v>550</v>
      </c>
      <c r="C353" s="232">
        <v>515</v>
      </c>
      <c r="D353" s="220" t="s">
        <v>539</v>
      </c>
      <c r="E353" s="220">
        <v>2</v>
      </c>
      <c r="F353" s="220">
        <v>150</v>
      </c>
      <c r="G353" s="350">
        <v>51.424378976225888</v>
      </c>
    </row>
    <row r="354" spans="1:7">
      <c r="A354" s="220" t="s">
        <v>534</v>
      </c>
      <c r="B354" s="231" t="s">
        <v>550</v>
      </c>
      <c r="C354" s="232">
        <v>515</v>
      </c>
      <c r="D354" s="220" t="s">
        <v>539</v>
      </c>
      <c r="E354" s="220">
        <v>3</v>
      </c>
      <c r="F354" s="220">
        <v>150</v>
      </c>
      <c r="G354" s="350">
        <v>44.840012550353968</v>
      </c>
    </row>
    <row r="355" spans="1:7">
      <c r="A355" s="220" t="s">
        <v>534</v>
      </c>
      <c r="B355" s="231" t="s">
        <v>550</v>
      </c>
      <c r="C355" s="232">
        <v>515</v>
      </c>
      <c r="D355" s="220" t="s">
        <v>539</v>
      </c>
      <c r="E355" s="220">
        <v>4</v>
      </c>
      <c r="F355" s="220">
        <v>150</v>
      </c>
      <c r="G355" s="350">
        <v>70.476161867380085</v>
      </c>
    </row>
    <row r="356" spans="1:7">
      <c r="A356" s="220" t="s">
        <v>534</v>
      </c>
      <c r="B356" s="231" t="s">
        <v>550</v>
      </c>
      <c r="C356" s="232">
        <v>515</v>
      </c>
      <c r="D356" s="220" t="s">
        <v>539</v>
      </c>
      <c r="E356" s="220">
        <v>5</v>
      </c>
      <c r="F356" s="220">
        <v>150</v>
      </c>
      <c r="G356" s="350">
        <v>61.155723512172763</v>
      </c>
    </row>
    <row r="357" spans="1:7">
      <c r="A357" s="220" t="s">
        <v>534</v>
      </c>
      <c r="B357" s="231" t="s">
        <v>550</v>
      </c>
      <c r="C357" s="232">
        <v>515</v>
      </c>
      <c r="D357" s="220" t="s">
        <v>539</v>
      </c>
      <c r="E357" s="220">
        <v>1</v>
      </c>
      <c r="F357" s="234">
        <v>300</v>
      </c>
      <c r="G357" s="350">
        <v>53.176929622888608</v>
      </c>
    </row>
    <row r="358" spans="1:7">
      <c r="A358" s="220" t="s">
        <v>534</v>
      </c>
      <c r="B358" s="231" t="s">
        <v>550</v>
      </c>
      <c r="C358" s="232">
        <v>515</v>
      </c>
      <c r="D358" s="220" t="s">
        <v>539</v>
      </c>
      <c r="E358" s="220">
        <v>2</v>
      </c>
      <c r="F358" s="234">
        <v>300</v>
      </c>
      <c r="G358" s="350">
        <v>69.891067683696704</v>
      </c>
    </row>
    <row r="359" spans="1:7">
      <c r="A359" s="220" t="s">
        <v>534</v>
      </c>
      <c r="B359" s="231" t="s">
        <v>550</v>
      </c>
      <c r="C359" s="232">
        <v>515</v>
      </c>
      <c r="D359" s="220" t="s">
        <v>539</v>
      </c>
      <c r="E359" s="220">
        <v>3</v>
      </c>
      <c r="F359" s="234">
        <v>300</v>
      </c>
      <c r="G359" s="350">
        <v>60.642449557781291</v>
      </c>
    </row>
    <row r="360" spans="1:7">
      <c r="A360" s="220" t="s">
        <v>534</v>
      </c>
      <c r="B360" s="231" t="s">
        <v>550</v>
      </c>
      <c r="C360" s="232">
        <v>515</v>
      </c>
      <c r="D360" s="220" t="s">
        <v>539</v>
      </c>
      <c r="E360" s="220">
        <v>4</v>
      </c>
      <c r="F360" s="234">
        <v>300</v>
      </c>
      <c r="G360" s="350">
        <v>91.628124594688416</v>
      </c>
    </row>
    <row r="361" spans="1:7">
      <c r="A361" s="220" t="s">
        <v>534</v>
      </c>
      <c r="B361" s="231" t="s">
        <v>550</v>
      </c>
      <c r="C361" s="232">
        <v>515</v>
      </c>
      <c r="D361" s="220" t="s">
        <v>539</v>
      </c>
      <c r="E361" s="220">
        <v>5</v>
      </c>
      <c r="F361" s="234">
        <v>300</v>
      </c>
      <c r="G361" s="350">
        <v>82.976176261901799</v>
      </c>
    </row>
    <row r="362" spans="1:7">
      <c r="A362" s="220" t="s">
        <v>534</v>
      </c>
      <c r="B362" s="231" t="s">
        <v>552</v>
      </c>
      <c r="C362" s="232">
        <v>517</v>
      </c>
      <c r="D362" s="220" t="s">
        <v>535</v>
      </c>
      <c r="E362" s="220">
        <v>1</v>
      </c>
      <c r="F362" s="220">
        <v>150</v>
      </c>
      <c r="G362" s="354">
        <v>43.038528703153126</v>
      </c>
    </row>
    <row r="363" spans="1:7">
      <c r="A363" s="220" t="s">
        <v>534</v>
      </c>
      <c r="B363" s="231" t="s">
        <v>552</v>
      </c>
      <c r="C363" s="232">
        <v>517</v>
      </c>
      <c r="D363" s="220" t="s">
        <v>535</v>
      </c>
      <c r="E363" s="220">
        <v>2</v>
      </c>
      <c r="F363" s="220">
        <v>150</v>
      </c>
      <c r="G363" s="354">
        <v>55.197272092103944</v>
      </c>
    </row>
    <row r="364" spans="1:7">
      <c r="A364" s="220" t="s">
        <v>534</v>
      </c>
      <c r="B364" s="231" t="s">
        <v>552</v>
      </c>
      <c r="C364" s="232">
        <v>517</v>
      </c>
      <c r="D364" s="220" t="s">
        <v>535</v>
      </c>
      <c r="E364" s="220">
        <v>3</v>
      </c>
      <c r="F364" s="220">
        <v>150</v>
      </c>
      <c r="G364" s="354">
        <v>46.104157209396377</v>
      </c>
    </row>
    <row r="365" spans="1:7">
      <c r="A365" s="220" t="s">
        <v>534</v>
      </c>
      <c r="B365" s="231" t="s">
        <v>552</v>
      </c>
      <c r="C365" s="232">
        <v>517</v>
      </c>
      <c r="D365" s="220" t="s">
        <v>535</v>
      </c>
      <c r="E365" s="220">
        <v>4</v>
      </c>
      <c r="F365" s="220">
        <v>150</v>
      </c>
      <c r="G365" s="354">
        <v>71.970478951931014</v>
      </c>
    </row>
    <row r="366" spans="1:7">
      <c r="A366" s="220" t="s">
        <v>534</v>
      </c>
      <c r="B366" s="231" t="s">
        <v>552</v>
      </c>
      <c r="C366" s="232">
        <v>517</v>
      </c>
      <c r="D366" s="220" t="s">
        <v>535</v>
      </c>
      <c r="E366" s="220">
        <v>5</v>
      </c>
      <c r="F366" s="220">
        <v>150</v>
      </c>
      <c r="G366" s="354">
        <v>61.988406673073769</v>
      </c>
    </row>
    <row r="367" spans="1:7">
      <c r="A367" s="220" t="s">
        <v>534</v>
      </c>
      <c r="B367" s="231" t="s">
        <v>552</v>
      </c>
      <c r="C367" s="232">
        <v>517</v>
      </c>
      <c r="D367" s="220" t="s">
        <v>535</v>
      </c>
      <c r="E367" s="220">
        <v>1</v>
      </c>
      <c r="F367" s="234">
        <v>300</v>
      </c>
      <c r="G367" s="354">
        <v>58.70263659954071</v>
      </c>
    </row>
    <row r="368" spans="1:7">
      <c r="A368" s="220" t="s">
        <v>534</v>
      </c>
      <c r="B368" s="231" t="s">
        <v>552</v>
      </c>
      <c r="C368" s="232">
        <v>517</v>
      </c>
      <c r="D368" s="220" t="s">
        <v>535</v>
      </c>
      <c r="E368" s="220">
        <v>2</v>
      </c>
      <c r="F368" s="234">
        <v>300</v>
      </c>
      <c r="G368" s="354">
        <v>71.668224573135305</v>
      </c>
    </row>
    <row r="369" spans="1:7">
      <c r="A369" s="220" t="s">
        <v>534</v>
      </c>
      <c r="B369" s="231" t="s">
        <v>552</v>
      </c>
      <c r="C369" s="232">
        <v>517</v>
      </c>
      <c r="D369" s="220" t="s">
        <v>535</v>
      </c>
      <c r="E369" s="220">
        <v>3</v>
      </c>
      <c r="F369" s="234">
        <v>300</v>
      </c>
      <c r="G369" s="354">
        <v>61.881162166595473</v>
      </c>
    </row>
    <row r="370" spans="1:7">
      <c r="A370" s="220" t="s">
        <v>534</v>
      </c>
      <c r="B370" s="231" t="s">
        <v>552</v>
      </c>
      <c r="C370" s="232">
        <v>517</v>
      </c>
      <c r="D370" s="220" t="s">
        <v>535</v>
      </c>
      <c r="E370" s="220">
        <v>4</v>
      </c>
      <c r="F370" s="234">
        <v>300</v>
      </c>
      <c r="G370" s="354">
        <v>90.422240853309589</v>
      </c>
    </row>
    <row r="371" spans="1:7">
      <c r="A371" s="220" t="s">
        <v>534</v>
      </c>
      <c r="B371" s="231" t="s">
        <v>552</v>
      </c>
      <c r="C371" s="232">
        <v>517</v>
      </c>
      <c r="D371" s="220" t="s">
        <v>535</v>
      </c>
      <c r="E371" s="220">
        <v>5</v>
      </c>
      <c r="F371" s="234">
        <v>300</v>
      </c>
      <c r="G371" s="354">
        <v>81.255805730819674</v>
      </c>
    </row>
    <row r="372" spans="1:7">
      <c r="A372" s="220" t="s">
        <v>534</v>
      </c>
      <c r="B372" s="231" t="s">
        <v>552</v>
      </c>
      <c r="C372" s="232">
        <v>517</v>
      </c>
      <c r="D372" s="220" t="s">
        <v>538</v>
      </c>
      <c r="E372" s="220">
        <v>1</v>
      </c>
      <c r="F372" s="220">
        <v>150</v>
      </c>
      <c r="G372" s="350">
        <v>46.714428067207322</v>
      </c>
    </row>
    <row r="373" spans="1:7">
      <c r="A373" s="220" t="s">
        <v>534</v>
      </c>
      <c r="B373" s="231" t="s">
        <v>552</v>
      </c>
      <c r="C373" s="232">
        <v>517</v>
      </c>
      <c r="D373" s="220" t="s">
        <v>538</v>
      </c>
      <c r="E373" s="220">
        <v>2</v>
      </c>
      <c r="F373" s="220">
        <v>150</v>
      </c>
      <c r="G373" s="350">
        <v>54.488094329834027</v>
      </c>
    </row>
    <row r="374" spans="1:7">
      <c r="A374" s="220" t="s">
        <v>534</v>
      </c>
      <c r="B374" s="231" t="s">
        <v>552</v>
      </c>
      <c r="C374" s="232">
        <v>517</v>
      </c>
      <c r="D374" s="220" t="s">
        <v>538</v>
      </c>
      <c r="E374" s="220">
        <v>3</v>
      </c>
      <c r="F374" s="220">
        <v>150</v>
      </c>
      <c r="G374" s="350">
        <v>42.831327959895113</v>
      </c>
    </row>
    <row r="375" spans="1:7">
      <c r="A375" s="220" t="s">
        <v>534</v>
      </c>
      <c r="B375" s="231" t="s">
        <v>552</v>
      </c>
      <c r="C375" s="232">
        <v>517</v>
      </c>
      <c r="D375" s="220" t="s">
        <v>538</v>
      </c>
      <c r="E375" s="220">
        <v>4</v>
      </c>
      <c r="F375" s="220">
        <v>150</v>
      </c>
      <c r="G375" s="350">
        <v>61.717097640037537</v>
      </c>
    </row>
    <row r="376" spans="1:7">
      <c r="A376" s="220" t="s">
        <v>534</v>
      </c>
      <c r="B376" s="231" t="s">
        <v>552</v>
      </c>
      <c r="C376" s="232">
        <v>517</v>
      </c>
      <c r="D376" s="220" t="s">
        <v>538</v>
      </c>
      <c r="E376" s="220">
        <v>5</v>
      </c>
      <c r="F376" s="220">
        <v>150</v>
      </c>
      <c r="G376" s="350">
        <v>52.772776216268589</v>
      </c>
    </row>
    <row r="377" spans="1:7">
      <c r="A377" s="220" t="s">
        <v>534</v>
      </c>
      <c r="B377" s="231" t="s">
        <v>552</v>
      </c>
      <c r="C377" s="232">
        <v>517</v>
      </c>
      <c r="D377" s="220" t="s">
        <v>538</v>
      </c>
      <c r="E377" s="220">
        <v>1</v>
      </c>
      <c r="F377" s="234">
        <v>300</v>
      </c>
      <c r="G377" s="350">
        <v>57.943026304245052</v>
      </c>
    </row>
    <row r="378" spans="1:7">
      <c r="A378" s="220" t="s">
        <v>534</v>
      </c>
      <c r="B378" s="231" t="s">
        <v>552</v>
      </c>
      <c r="C378" s="232">
        <v>517</v>
      </c>
      <c r="D378" s="220" t="s">
        <v>538</v>
      </c>
      <c r="E378" s="220">
        <v>2</v>
      </c>
      <c r="F378" s="234">
        <v>300</v>
      </c>
      <c r="G378" s="350">
        <v>63.295171499252326</v>
      </c>
    </row>
    <row r="379" spans="1:7">
      <c r="A379" s="220" t="s">
        <v>534</v>
      </c>
      <c r="B379" s="231" t="s">
        <v>552</v>
      </c>
      <c r="C379" s="232">
        <v>517</v>
      </c>
      <c r="D379" s="220" t="s">
        <v>538</v>
      </c>
      <c r="E379" s="220">
        <v>3</v>
      </c>
      <c r="F379" s="234">
        <v>300</v>
      </c>
      <c r="G379" s="350">
        <v>54.700107455253573</v>
      </c>
    </row>
    <row r="380" spans="1:7">
      <c r="A380" s="220" t="s">
        <v>534</v>
      </c>
      <c r="B380" s="231" t="s">
        <v>552</v>
      </c>
      <c r="C380" s="232">
        <v>517</v>
      </c>
      <c r="D380" s="220" t="s">
        <v>538</v>
      </c>
      <c r="E380" s="220">
        <v>4</v>
      </c>
      <c r="F380" s="234">
        <v>300</v>
      </c>
      <c r="G380" s="350">
        <v>70.414946317672744</v>
      </c>
    </row>
    <row r="381" spans="1:7">
      <c r="A381" s="220" t="s">
        <v>534</v>
      </c>
      <c r="B381" s="231" t="s">
        <v>552</v>
      </c>
      <c r="C381" s="232">
        <v>517</v>
      </c>
      <c r="D381" s="220" t="s">
        <v>538</v>
      </c>
      <c r="E381" s="220">
        <v>5</v>
      </c>
      <c r="F381" s="234">
        <v>300</v>
      </c>
      <c r="G381" s="350">
        <v>65.596936941146836</v>
      </c>
    </row>
    <row r="382" spans="1:7">
      <c r="A382" s="220" t="s">
        <v>534</v>
      </c>
      <c r="B382" s="231" t="s">
        <v>552</v>
      </c>
      <c r="C382" s="232">
        <v>517</v>
      </c>
      <c r="D382" s="220" t="s">
        <v>539</v>
      </c>
      <c r="E382" s="220">
        <v>1</v>
      </c>
      <c r="F382" s="220">
        <v>150</v>
      </c>
      <c r="G382" s="350">
        <v>39.798329725861549</v>
      </c>
    </row>
    <row r="383" spans="1:7">
      <c r="A383" s="220" t="s">
        <v>534</v>
      </c>
      <c r="B383" s="231" t="s">
        <v>552</v>
      </c>
      <c r="C383" s="232">
        <v>517</v>
      </c>
      <c r="D383" s="220" t="s">
        <v>539</v>
      </c>
      <c r="E383" s="220">
        <v>2</v>
      </c>
      <c r="F383" s="220">
        <v>150</v>
      </c>
      <c r="G383" s="350">
        <v>51.583245769143161</v>
      </c>
    </row>
    <row r="384" spans="1:7">
      <c r="A384" s="220" t="s">
        <v>534</v>
      </c>
      <c r="B384" s="231" t="s">
        <v>552</v>
      </c>
      <c r="C384" s="232">
        <v>517</v>
      </c>
      <c r="D384" s="220" t="s">
        <v>539</v>
      </c>
      <c r="E384" s="220">
        <v>3</v>
      </c>
      <c r="F384" s="220">
        <v>150</v>
      </c>
      <c r="G384" s="350">
        <v>45.04837800562381</v>
      </c>
    </row>
    <row r="385" spans="1:7">
      <c r="A385" s="220" t="s">
        <v>534</v>
      </c>
      <c r="B385" s="231" t="s">
        <v>552</v>
      </c>
      <c r="C385" s="232">
        <v>517</v>
      </c>
      <c r="D385" s="220" t="s">
        <v>539</v>
      </c>
      <c r="E385" s="220">
        <v>4</v>
      </c>
      <c r="F385" s="220">
        <v>150</v>
      </c>
      <c r="G385" s="350">
        <v>70.636517703533116</v>
      </c>
    </row>
    <row r="386" spans="1:7">
      <c r="A386" s="220" t="s">
        <v>534</v>
      </c>
      <c r="B386" s="231" t="s">
        <v>552</v>
      </c>
      <c r="C386" s="232">
        <v>517</v>
      </c>
      <c r="D386" s="220" t="s">
        <v>539</v>
      </c>
      <c r="E386" s="220">
        <v>5</v>
      </c>
      <c r="F386" s="220">
        <v>150</v>
      </c>
      <c r="G386" s="350">
        <v>61.315235525369644</v>
      </c>
    </row>
    <row r="387" spans="1:7">
      <c r="A387" s="220" t="s">
        <v>534</v>
      </c>
      <c r="B387" s="231" t="s">
        <v>552</v>
      </c>
      <c r="C387" s="232">
        <v>517</v>
      </c>
      <c r="D387" s="220" t="s">
        <v>539</v>
      </c>
      <c r="E387" s="220">
        <v>1</v>
      </c>
      <c r="F387" s="234">
        <v>300</v>
      </c>
      <c r="G387" s="350">
        <v>53.409629821777337</v>
      </c>
    </row>
    <row r="388" spans="1:7">
      <c r="A388" s="220" t="s">
        <v>534</v>
      </c>
      <c r="B388" s="231" t="s">
        <v>552</v>
      </c>
      <c r="C388" s="232">
        <v>517</v>
      </c>
      <c r="D388" s="220" t="s">
        <v>539</v>
      </c>
      <c r="E388" s="220">
        <v>2</v>
      </c>
      <c r="F388" s="234">
        <v>300</v>
      </c>
      <c r="G388" s="350">
        <v>70.047299712896404</v>
      </c>
    </row>
    <row r="389" spans="1:7">
      <c r="A389" s="220" t="s">
        <v>534</v>
      </c>
      <c r="B389" s="231" t="s">
        <v>552</v>
      </c>
      <c r="C389" s="232">
        <v>517</v>
      </c>
      <c r="D389" s="220" t="s">
        <v>539</v>
      </c>
      <c r="E389" s="220">
        <v>3</v>
      </c>
      <c r="F389" s="234">
        <v>300</v>
      </c>
      <c r="G389" s="350">
        <v>60.851903989911015</v>
      </c>
    </row>
    <row r="390" spans="1:7">
      <c r="A390" s="220" t="s">
        <v>534</v>
      </c>
      <c r="B390" s="231" t="s">
        <v>552</v>
      </c>
      <c r="C390" s="232">
        <v>517</v>
      </c>
      <c r="D390" s="220" t="s">
        <v>539</v>
      </c>
      <c r="E390" s="220">
        <v>4</v>
      </c>
      <c r="F390" s="234">
        <v>300</v>
      </c>
      <c r="G390" s="350">
        <v>91.685739755630465</v>
      </c>
    </row>
    <row r="391" spans="1:7">
      <c r="A391" s="220" t="s">
        <v>534</v>
      </c>
      <c r="B391" s="231" t="s">
        <v>552</v>
      </c>
      <c r="C391" s="232">
        <v>517</v>
      </c>
      <c r="D391" s="220" t="s">
        <v>539</v>
      </c>
      <c r="E391" s="220">
        <v>5</v>
      </c>
      <c r="F391" s="234">
        <v>300</v>
      </c>
      <c r="G391" s="350">
        <v>83.196681916713686</v>
      </c>
    </row>
  </sheetData>
  <sheetProtection algorithmName="SHA-512" hashValue="tl1g2elLqF7wizo4Q9cYVor+umEwzIN/4sH/KpRgDeFzbrgl7ic/TUCsDS27MpNhKREoe4EYJu5XaaEbKwtvZQ==" saltValue="U4tSO9NveoPXdgx5bXdisg==" spinCount="100000" sheet="1"/>
  <sortState xmlns:xlrd2="http://schemas.microsoft.com/office/spreadsheetml/2017/richdata2" ref="A152:G271">
    <sortCondition ref="B152:B271"/>
    <sortCondition ref="D152:D271"/>
    <sortCondition ref="F152:F271"/>
    <sortCondition ref="E152:E271"/>
  </sortState>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D74"/>
  <sheetViews>
    <sheetView showGridLines="0" zoomScale="90" zoomScaleNormal="90" workbookViewId="0">
      <selection activeCell="A12" sqref="A12"/>
    </sheetView>
  </sheetViews>
  <sheetFormatPr baseColWidth="10" defaultColWidth="8.83203125" defaultRowHeight="15"/>
  <cols>
    <col min="1" max="1" width="60.6640625" customWidth="1"/>
    <col min="2" max="2" width="21.6640625" customWidth="1"/>
    <col min="3" max="3" width="85.5" customWidth="1"/>
    <col min="4" max="4" width="60.6640625" customWidth="1"/>
  </cols>
  <sheetData>
    <row r="1" spans="1:4" ht="20">
      <c r="A1" s="192"/>
      <c r="B1" s="295"/>
      <c r="C1" s="214" t="s">
        <v>278</v>
      </c>
    </row>
    <row r="2" spans="1:4" ht="20">
      <c r="A2" s="192"/>
      <c r="B2" s="295"/>
      <c r="C2" s="214" t="s">
        <v>585</v>
      </c>
    </row>
    <row r="3" spans="1:4" ht="20">
      <c r="A3" s="192"/>
      <c r="B3" s="295"/>
      <c r="C3" s="214" t="s">
        <v>586</v>
      </c>
    </row>
    <row r="4" spans="1:4" ht="17.25" customHeight="1">
      <c r="A4" s="192"/>
      <c r="B4" s="296"/>
      <c r="C4" s="215" t="s">
        <v>587</v>
      </c>
    </row>
    <row r="5" spans="1:4" ht="20">
      <c r="A5" s="192"/>
      <c r="B5" s="297"/>
      <c r="C5" s="367"/>
    </row>
    <row r="6" spans="1:4" ht="20">
      <c r="A6" s="192"/>
      <c r="B6" s="298"/>
      <c r="C6" s="368"/>
    </row>
    <row r="7" spans="1:4" ht="20">
      <c r="A7" s="192"/>
      <c r="B7" s="193"/>
      <c r="C7" s="367"/>
    </row>
    <row r="8" spans="1:4" ht="16">
      <c r="A8" s="192"/>
      <c r="B8" s="192"/>
      <c r="C8" s="192"/>
      <c r="D8" s="192"/>
    </row>
    <row r="9" spans="1:4" ht="16">
      <c r="A9" s="192"/>
      <c r="B9" s="192"/>
      <c r="C9" s="192"/>
      <c r="D9" s="192"/>
    </row>
    <row r="10" spans="1:4" ht="20">
      <c r="A10" s="194" t="s">
        <v>11</v>
      </c>
      <c r="B10" s="192"/>
      <c r="C10" s="192"/>
      <c r="D10" s="192"/>
    </row>
    <row r="11" spans="1:4" ht="17" thickBot="1">
      <c r="A11" s="192"/>
      <c r="B11" s="192"/>
      <c r="C11" s="192"/>
      <c r="D11" s="192"/>
    </row>
    <row r="12" spans="1:4" ht="20" customHeight="1">
      <c r="A12" s="262" t="s">
        <v>16</v>
      </c>
      <c r="B12" s="263"/>
      <c r="C12" s="266"/>
    </row>
    <row r="13" spans="1:4" ht="50" customHeight="1">
      <c r="A13" s="195" t="s">
        <v>184</v>
      </c>
      <c r="B13" s="196">
        <v>0.09</v>
      </c>
      <c r="C13" s="264" t="s">
        <v>66</v>
      </c>
    </row>
    <row r="14" spans="1:4" ht="49.5" customHeight="1">
      <c r="A14" s="195" t="s">
        <v>185</v>
      </c>
      <c r="B14" s="196">
        <v>0.20200000000000001</v>
      </c>
      <c r="C14" s="264" t="s">
        <v>66</v>
      </c>
    </row>
    <row r="15" spans="1:4" ht="49.5" customHeight="1">
      <c r="A15" s="195" t="s">
        <v>186</v>
      </c>
      <c r="B15" s="196">
        <v>0.42899999999999999</v>
      </c>
      <c r="C15" s="264" t="s">
        <v>66</v>
      </c>
    </row>
    <row r="16" spans="1:4" ht="50" customHeight="1">
      <c r="A16" s="197" t="s">
        <v>58</v>
      </c>
      <c r="B16" s="198">
        <v>3.6</v>
      </c>
      <c r="C16" s="265" t="s">
        <v>60</v>
      </c>
    </row>
    <row r="17" spans="1:3" ht="49.5" customHeight="1">
      <c r="A17" s="197" t="s">
        <v>59</v>
      </c>
      <c r="B17" s="198">
        <v>13.9</v>
      </c>
      <c r="C17" s="265" t="s">
        <v>60</v>
      </c>
    </row>
    <row r="18" spans="1:3" ht="49.5" customHeight="1">
      <c r="A18" s="197" t="s">
        <v>188</v>
      </c>
      <c r="B18" s="198">
        <v>24</v>
      </c>
      <c r="C18" s="265" t="s">
        <v>60</v>
      </c>
    </row>
    <row r="19" spans="1:3" ht="49.5" customHeight="1">
      <c r="A19" s="197" t="s">
        <v>191</v>
      </c>
      <c r="B19" s="199">
        <v>6.0699999999999997E-2</v>
      </c>
      <c r="C19" s="265" t="s">
        <v>190</v>
      </c>
    </row>
    <row r="20" spans="1:3" ht="20" customHeight="1">
      <c r="A20" s="273" t="s">
        <v>17</v>
      </c>
      <c r="B20" s="274"/>
      <c r="C20" s="275"/>
    </row>
    <row r="21" spans="1:3" ht="50" customHeight="1">
      <c r="A21" s="197" t="s">
        <v>187</v>
      </c>
      <c r="B21" s="200">
        <v>0.06</v>
      </c>
      <c r="C21" s="264" t="s">
        <v>61</v>
      </c>
    </row>
    <row r="22" spans="1:3" ht="20" customHeight="1">
      <c r="A22" s="276" t="s">
        <v>18</v>
      </c>
      <c r="B22" s="277"/>
      <c r="C22" s="278"/>
    </row>
    <row r="23" spans="1:3" ht="50" customHeight="1">
      <c r="A23" s="197" t="s">
        <v>187</v>
      </c>
      <c r="B23" s="200">
        <v>0.06</v>
      </c>
      <c r="C23" s="264" t="s">
        <v>61</v>
      </c>
    </row>
    <row r="24" spans="1:3" ht="20" customHeight="1">
      <c r="A24" s="279" t="s">
        <v>19</v>
      </c>
      <c r="B24" s="280"/>
      <c r="C24" s="281"/>
    </row>
    <row r="25" spans="1:3" ht="50" customHeight="1">
      <c r="A25" s="201" t="s">
        <v>67</v>
      </c>
      <c r="B25" s="202">
        <v>0.9</v>
      </c>
      <c r="C25" s="264" t="s">
        <v>66</v>
      </c>
    </row>
    <row r="26" spans="1:3" ht="50" customHeight="1">
      <c r="A26" s="201" t="s">
        <v>63</v>
      </c>
      <c r="B26" s="202">
        <v>0.9</v>
      </c>
      <c r="C26" s="264" t="s">
        <v>66</v>
      </c>
    </row>
    <row r="27" spans="1:3" ht="50" customHeight="1">
      <c r="A27" s="201" t="s">
        <v>62</v>
      </c>
      <c r="B27" s="202">
        <v>0.8</v>
      </c>
      <c r="C27" s="264" t="s">
        <v>66</v>
      </c>
    </row>
    <row r="28" spans="1:3" ht="50" customHeight="1">
      <c r="A28" s="201" t="s">
        <v>64</v>
      </c>
      <c r="B28" s="202">
        <v>0.95</v>
      </c>
      <c r="C28" s="264" t="s">
        <v>66</v>
      </c>
    </row>
    <row r="29" spans="1:3" ht="50" customHeight="1">
      <c r="A29" s="201" t="s">
        <v>65</v>
      </c>
      <c r="B29" s="202">
        <v>0.95</v>
      </c>
      <c r="C29" s="264" t="s">
        <v>66</v>
      </c>
    </row>
    <row r="30" spans="1:3" ht="63.75" customHeight="1">
      <c r="A30" s="201" t="s">
        <v>268</v>
      </c>
      <c r="B30" s="202" t="str">
        <f>IFERROR(MIN(100%,('Easement--Avoided Conversion'!D24*3/'Easement--Avoided Conversion'!D17)),"dependent on conservation tab inputs")</f>
        <v>dependent on conservation tab inputs</v>
      </c>
      <c r="C30" s="264" t="s">
        <v>66</v>
      </c>
    </row>
    <row r="31" spans="1:3" ht="60" customHeight="1">
      <c r="A31" s="201" t="s">
        <v>269</v>
      </c>
      <c r="B31" s="202" t="str">
        <f>IFERROR(MIN(100%,('Easement--Avoided Conversion'!D41*3/'Easement--Avoided Conversion'!D34)),"dependent on conservation tab inputs")</f>
        <v>dependent on conservation tab inputs</v>
      </c>
      <c r="C31" s="264" t="s">
        <v>66</v>
      </c>
    </row>
    <row r="32" spans="1:3" ht="59.25" customHeight="1">
      <c r="A32" s="201" t="s">
        <v>270</v>
      </c>
      <c r="B32" s="202" t="str">
        <f>IFERROR(MIN(100%,('Easement--Avoided Conversion'!D58*3/'Easement--Avoided Conversion'!D51)),"dependent on conservation tab inputs")</f>
        <v>dependent on conservation tab inputs</v>
      </c>
      <c r="C32" s="264" t="s">
        <v>66</v>
      </c>
    </row>
    <row r="33" spans="1:3" ht="57.75" customHeight="1">
      <c r="A33" s="201" t="s">
        <v>271</v>
      </c>
      <c r="B33" s="202" t="str">
        <f>IFERROR(MIN(100%,('Easement--Avoided Conversion'!D75*3/'Easement--Avoided Conversion'!D68)),"dependent on conservation tab inputs")</f>
        <v>dependent on conservation tab inputs</v>
      </c>
      <c r="C33" s="264" t="s">
        <v>66</v>
      </c>
    </row>
    <row r="34" spans="1:3" ht="63" customHeight="1">
      <c r="A34" s="201" t="s">
        <v>272</v>
      </c>
      <c r="B34" s="202" t="str">
        <f>IFERROR(MIN(100%,('Easement--Avoided Conversion'!D92*3/'Easement--Avoided Conversion'!D85)),"dependent on conservation tab inputs")</f>
        <v>dependent on conservation tab inputs</v>
      </c>
      <c r="C34" s="264" t="s">
        <v>66</v>
      </c>
    </row>
    <row r="35" spans="1:3" ht="63" customHeight="1">
      <c r="A35" s="201" t="s">
        <v>409</v>
      </c>
      <c r="B35" s="202" t="str">
        <f>IFERROR(MIN(100%,('Easement--Avoided Conversion'!D109*3/'Easement--Avoided Conversion'!D22)),"dependent on conservation tab inputs")</f>
        <v>dependent on conservation tab inputs</v>
      </c>
      <c r="C35" s="264" t="s">
        <v>66</v>
      </c>
    </row>
    <row r="36" spans="1:3" ht="63" customHeight="1">
      <c r="A36" s="201" t="s">
        <v>410</v>
      </c>
      <c r="B36" s="202" t="str">
        <f>IFERROR(MIN(100%,('Easement--Avoided Conversion'!D126*3/'Easement--Avoided Conversion'!D39)),"dependent on conservation tab inputs")</f>
        <v>dependent on conservation tab inputs</v>
      </c>
      <c r="C36" s="264" t="s">
        <v>66</v>
      </c>
    </row>
    <row r="37" spans="1:3" ht="63" customHeight="1">
      <c r="A37" s="201" t="s">
        <v>411</v>
      </c>
      <c r="B37" s="202" t="str">
        <f>IFERROR(MIN(100%,('Easement--Avoided Conversion'!D143*3/'Easement--Avoided Conversion'!D56)),"dependent on conservation tab inputs")</f>
        <v>dependent on conservation tab inputs</v>
      </c>
      <c r="C37" s="264" t="s">
        <v>66</v>
      </c>
    </row>
    <row r="38" spans="1:3" ht="63" customHeight="1">
      <c r="A38" s="201" t="s">
        <v>412</v>
      </c>
      <c r="B38" s="202" t="str">
        <f>IFERROR(MIN(100%,('Easement--Avoided Conversion'!D160*3/'Easement--Avoided Conversion'!D73)),"dependent on conservation tab inputs")</f>
        <v>dependent on conservation tab inputs</v>
      </c>
      <c r="C38" s="264" t="s">
        <v>66</v>
      </c>
    </row>
    <row r="39" spans="1:3" ht="63" customHeight="1">
      <c r="A39" s="201" t="s">
        <v>413</v>
      </c>
      <c r="B39" s="202" t="str">
        <f>IFERROR(MIN(100%,('Easement--Avoided Conversion'!D177*3/'Easement--Avoided Conversion'!D90)),"dependent on conservation tab inputs")</f>
        <v>dependent on conservation tab inputs</v>
      </c>
      <c r="C39" s="264" t="s">
        <v>66</v>
      </c>
    </row>
    <row r="40" spans="1:3" ht="20" customHeight="1">
      <c r="A40" s="270" t="s">
        <v>20</v>
      </c>
      <c r="B40" s="271"/>
      <c r="C40" s="272"/>
    </row>
    <row r="41" spans="1:3" ht="48" customHeight="1">
      <c r="A41" s="203" t="s">
        <v>69</v>
      </c>
      <c r="B41" s="191">
        <v>0.46300000000000002</v>
      </c>
      <c r="C41" s="264" t="s">
        <v>66</v>
      </c>
    </row>
    <row r="42" spans="1:3" ht="48" customHeight="1">
      <c r="A42" s="203" t="s">
        <v>70</v>
      </c>
      <c r="B42" s="191">
        <v>0.25</v>
      </c>
      <c r="C42" s="264" t="s">
        <v>66</v>
      </c>
    </row>
    <row r="43" spans="1:3" ht="48" customHeight="1">
      <c r="A43" s="203" t="s">
        <v>71</v>
      </c>
      <c r="B43" s="191">
        <v>0.48399999999999999</v>
      </c>
      <c r="C43" s="264" t="s">
        <v>66</v>
      </c>
    </row>
    <row r="44" spans="1:3" ht="48" customHeight="1">
      <c r="A44" s="203" t="s">
        <v>72</v>
      </c>
      <c r="B44" s="191">
        <v>0.58199999999999996</v>
      </c>
      <c r="C44" s="264" t="s">
        <v>66</v>
      </c>
    </row>
    <row r="45" spans="1:3" ht="48" customHeight="1">
      <c r="A45" s="203" t="s">
        <v>73</v>
      </c>
      <c r="B45" s="191">
        <v>0.38</v>
      </c>
      <c r="C45" s="264" t="s">
        <v>66</v>
      </c>
    </row>
    <row r="46" spans="1:3" ht="48" customHeight="1">
      <c r="A46" s="203" t="s">
        <v>74</v>
      </c>
      <c r="B46" s="191">
        <v>5.8000000000000003E-2</v>
      </c>
      <c r="C46" s="264" t="s">
        <v>66</v>
      </c>
    </row>
    <row r="47" spans="1:3" ht="48" customHeight="1">
      <c r="A47" s="203" t="s">
        <v>75</v>
      </c>
      <c r="B47" s="191">
        <v>0.17599999999999999</v>
      </c>
      <c r="C47" s="264" t="s">
        <v>66</v>
      </c>
    </row>
    <row r="48" spans="1:3" ht="170" customHeight="1">
      <c r="A48" s="203" t="s">
        <v>486</v>
      </c>
      <c r="B48" s="204">
        <v>0.18</v>
      </c>
      <c r="C48" s="267" t="s">
        <v>487</v>
      </c>
    </row>
    <row r="49" spans="1:3" ht="245" customHeight="1">
      <c r="A49" s="203" t="s">
        <v>488</v>
      </c>
      <c r="B49" s="204">
        <v>0.23</v>
      </c>
      <c r="C49" s="267" t="s">
        <v>489</v>
      </c>
    </row>
    <row r="50" spans="1:3" ht="65" customHeight="1">
      <c r="A50" s="203" t="s">
        <v>490</v>
      </c>
      <c r="B50" s="204">
        <v>0.16</v>
      </c>
      <c r="C50" s="267" t="s">
        <v>77</v>
      </c>
    </row>
    <row r="51" spans="1:3" ht="65" customHeight="1">
      <c r="A51" s="203" t="s">
        <v>491</v>
      </c>
      <c r="B51" s="204">
        <v>0.21</v>
      </c>
      <c r="C51" s="268" t="s">
        <v>68</v>
      </c>
    </row>
    <row r="52" spans="1:3" ht="65" customHeight="1">
      <c r="A52" s="205" t="s">
        <v>492</v>
      </c>
      <c r="B52" s="206">
        <v>1.25</v>
      </c>
      <c r="C52" s="269" t="s">
        <v>78</v>
      </c>
    </row>
    <row r="53" spans="1:3" ht="93.75" customHeight="1">
      <c r="A53" s="207" t="s">
        <v>274</v>
      </c>
      <c r="B53" s="208">
        <v>0.9</v>
      </c>
      <c r="C53" s="267" t="s">
        <v>275</v>
      </c>
    </row>
    <row r="54" spans="1:3" ht="48" customHeight="1">
      <c r="A54" s="207" t="s">
        <v>276</v>
      </c>
      <c r="B54" s="208">
        <v>1.1100000000000001</v>
      </c>
      <c r="C54" s="267" t="s">
        <v>485</v>
      </c>
    </row>
    <row r="55" spans="1:3" ht="18" customHeight="1">
      <c r="A55" s="21"/>
      <c r="B55" s="21"/>
      <c r="C55" s="21"/>
    </row>
    <row r="56" spans="1:3" ht="18" customHeight="1">
      <c r="A56" s="282" t="s">
        <v>13</v>
      </c>
      <c r="B56" s="283"/>
    </row>
    <row r="57" spans="1:3" ht="18" customHeight="1">
      <c r="A57" s="57" t="s">
        <v>79</v>
      </c>
      <c r="B57" s="58">
        <v>3.67</v>
      </c>
    </row>
    <row r="58" spans="1:3" ht="18" customHeight="1">
      <c r="A58" s="59" t="s">
        <v>99</v>
      </c>
      <c r="B58" s="60">
        <v>0.5</v>
      </c>
    </row>
    <row r="59" spans="1:3" s="190" customFormat="1" ht="18" customHeight="1">
      <c r="A59" s="59" t="s">
        <v>483</v>
      </c>
      <c r="B59" s="60">
        <f>B61*1000</f>
        <v>907.18500000000006</v>
      </c>
    </row>
    <row r="60" spans="1:3" s="190" customFormat="1" ht="18" customHeight="1">
      <c r="A60" s="59" t="s">
        <v>484</v>
      </c>
      <c r="B60" s="60">
        <v>453.59199999999998</v>
      </c>
    </row>
    <row r="61" spans="1:3" ht="16">
      <c r="A61" s="57" t="s">
        <v>76</v>
      </c>
      <c r="B61" s="58">
        <v>0.90718500000000002</v>
      </c>
    </row>
    <row r="62" spans="1:3" ht="18" customHeight="1">
      <c r="A62" s="59" t="s">
        <v>14</v>
      </c>
      <c r="B62" s="64">
        <v>2204.62</v>
      </c>
    </row>
    <row r="63" spans="1:3" ht="18" customHeight="1">
      <c r="A63" s="59" t="s">
        <v>100</v>
      </c>
      <c r="B63" s="58">
        <v>2000</v>
      </c>
    </row>
    <row r="64" spans="1:3" ht="18" customHeight="1"/>
    <row r="65" spans="4:4" ht="15" customHeight="1">
      <c r="D65" s="20"/>
    </row>
    <row r="67" spans="4:4" ht="48" customHeight="1"/>
    <row r="68" spans="4:4" ht="48" customHeight="1"/>
    <row r="69" spans="4:4" ht="48" customHeight="1"/>
    <row r="74" spans="4:4" s="53" customFormat="1" ht="33.5" customHeight="1"/>
  </sheetData>
  <sheetProtection algorithmName="SHA-512" hashValue="vACKxIB+YC9UNkOQOUcXFE9tDFL93D+HgbbtTWAl5nKZOd+AekuLoetlCGVWu27t/fiUtFgtM2mMGTX7XJ1kRQ==" saltValue="jFL0Q106vic3I5zOPH4hpw==" spinCount="100000" sheet="1"/>
  <pageMargins left="0.7" right="0.7" top="0.75" bottom="0.75" header="0.3" footer="0.3"/>
  <pageSetup scale="53" fitToHeight="0" orientation="portrait" r:id="rId1"/>
  <headerFooter>
    <oddFooter>&amp;CPage 12 of 12
Emission Reduction Factors Worksheet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P16"/>
  <sheetViews>
    <sheetView workbookViewId="0"/>
  </sheetViews>
  <sheetFormatPr baseColWidth="10" defaultColWidth="8.83203125" defaultRowHeight="15"/>
  <cols>
    <col min="1" max="1" width="44.5" customWidth="1"/>
    <col min="2" max="2" width="10" customWidth="1"/>
    <col min="3" max="3" width="29.33203125" customWidth="1"/>
    <col min="4" max="4" width="10.5" customWidth="1"/>
    <col min="5" max="5" width="13.6640625" customWidth="1"/>
    <col min="6" max="6" width="13.5" customWidth="1"/>
    <col min="7" max="7" width="11.5" customWidth="1"/>
    <col min="8" max="8" width="13.5" customWidth="1"/>
    <col min="9" max="9" width="16" customWidth="1"/>
    <col min="10" max="10" width="14.6640625" customWidth="1"/>
    <col min="15" max="15" width="5.83203125" customWidth="1"/>
    <col min="17" max="17" width="14.33203125" customWidth="1"/>
    <col min="21" max="21" width="28.6640625" customWidth="1"/>
    <col min="22" max="22" width="13.1640625" customWidth="1"/>
    <col min="23" max="23" width="16" customWidth="1"/>
    <col min="24" max="24" width="13.5" customWidth="1"/>
  </cols>
  <sheetData>
    <row r="1" spans="1:16" ht="45" customHeight="1">
      <c r="A1" s="218" t="s">
        <v>520</v>
      </c>
      <c r="B1" s="218" t="s">
        <v>364</v>
      </c>
      <c r="C1" s="218" t="s">
        <v>365</v>
      </c>
      <c r="D1" s="218" t="s">
        <v>517</v>
      </c>
      <c r="E1" s="218" t="s">
        <v>513</v>
      </c>
      <c r="F1" s="218" t="s">
        <v>518</v>
      </c>
      <c r="G1" s="218" t="s">
        <v>514</v>
      </c>
      <c r="H1" s="218" t="s">
        <v>519</v>
      </c>
      <c r="I1" s="218" t="s">
        <v>515</v>
      </c>
      <c r="J1" s="218" t="s">
        <v>516</v>
      </c>
      <c r="O1" s="161"/>
    </row>
    <row r="2" spans="1:16">
      <c r="A2" s="219" t="s">
        <v>344</v>
      </c>
      <c r="B2" s="220" t="s">
        <v>349</v>
      </c>
      <c r="C2" s="219" t="s">
        <v>354</v>
      </c>
      <c r="D2" s="219">
        <v>50</v>
      </c>
      <c r="E2" s="219">
        <v>14</v>
      </c>
      <c r="F2" s="221">
        <v>65.569999999999993</v>
      </c>
      <c r="G2" s="219">
        <v>47.25</v>
      </c>
      <c r="H2" s="221">
        <v>6.79</v>
      </c>
      <c r="I2" s="221">
        <f t="shared" ref="I2:I13" si="0">F2+H2</f>
        <v>72.36</v>
      </c>
      <c r="J2" s="221">
        <f t="shared" ref="J2:J16" si="1">I2*0.404686</f>
        <v>29.283078959999997</v>
      </c>
      <c r="O2" s="162"/>
    </row>
    <row r="3" spans="1:16">
      <c r="A3" s="219" t="s">
        <v>344</v>
      </c>
      <c r="B3" s="219" t="s">
        <v>350</v>
      </c>
      <c r="C3" s="219" t="s">
        <v>355</v>
      </c>
      <c r="D3" s="219">
        <v>60</v>
      </c>
      <c r="E3" s="219">
        <v>24</v>
      </c>
      <c r="F3" s="221">
        <v>66.12</v>
      </c>
      <c r="G3" s="219">
        <v>39.08</v>
      </c>
      <c r="H3" s="221">
        <v>5.58</v>
      </c>
      <c r="I3" s="221">
        <f t="shared" si="0"/>
        <v>71.7</v>
      </c>
      <c r="J3" s="221">
        <f t="shared" si="1"/>
        <v>29.0159862</v>
      </c>
      <c r="O3" s="162"/>
    </row>
    <row r="4" spans="1:16">
      <c r="A4" s="219" t="s">
        <v>344</v>
      </c>
      <c r="B4" s="219" t="s">
        <v>351</v>
      </c>
      <c r="C4" s="219" t="s">
        <v>356</v>
      </c>
      <c r="D4" s="219">
        <v>60</v>
      </c>
      <c r="E4" s="219">
        <v>22</v>
      </c>
      <c r="F4" s="221">
        <v>56.84</v>
      </c>
      <c r="G4" s="219">
        <v>45.96</v>
      </c>
      <c r="H4" s="221">
        <v>5.61</v>
      </c>
      <c r="I4" s="221">
        <f t="shared" si="0"/>
        <v>62.45</v>
      </c>
      <c r="J4" s="221">
        <f t="shared" si="1"/>
        <v>25.2726407</v>
      </c>
      <c r="O4" s="162"/>
    </row>
    <row r="5" spans="1:16">
      <c r="A5" s="219" t="s">
        <v>344</v>
      </c>
      <c r="B5" s="219" t="s">
        <v>352</v>
      </c>
      <c r="C5" s="222" t="s">
        <v>512</v>
      </c>
      <c r="D5" s="219">
        <v>80</v>
      </c>
      <c r="E5" s="219">
        <v>26</v>
      </c>
      <c r="F5" s="223">
        <v>54.65</v>
      </c>
      <c r="G5" s="219">
        <v>43.51</v>
      </c>
      <c r="H5" s="221">
        <v>8.24</v>
      </c>
      <c r="I5" s="221">
        <f t="shared" si="0"/>
        <v>62.89</v>
      </c>
      <c r="J5" s="221">
        <f t="shared" si="1"/>
        <v>25.450702539999998</v>
      </c>
      <c r="O5" s="162"/>
    </row>
    <row r="6" spans="1:16">
      <c r="A6" s="219" t="s">
        <v>344</v>
      </c>
      <c r="B6" s="224" t="s">
        <v>353</v>
      </c>
      <c r="C6" s="224" t="s">
        <v>511</v>
      </c>
      <c r="D6" s="219">
        <v>80</v>
      </c>
      <c r="E6" s="219">
        <v>30</v>
      </c>
      <c r="F6" s="221">
        <v>40.29</v>
      </c>
      <c r="G6" s="219">
        <v>33.78</v>
      </c>
      <c r="H6" s="221">
        <v>4.9400000000000004</v>
      </c>
      <c r="I6" s="221">
        <f t="shared" si="0"/>
        <v>45.23</v>
      </c>
      <c r="J6" s="221">
        <f t="shared" si="1"/>
        <v>18.303947779999998</v>
      </c>
      <c r="O6" s="162"/>
    </row>
    <row r="7" spans="1:16">
      <c r="A7" s="219" t="s">
        <v>346</v>
      </c>
      <c r="B7" s="224" t="s">
        <v>353</v>
      </c>
      <c r="C7" s="219" t="s">
        <v>357</v>
      </c>
      <c r="D7" s="219">
        <v>80</v>
      </c>
      <c r="E7" s="219">
        <v>45</v>
      </c>
      <c r="F7" s="221">
        <v>12.03</v>
      </c>
      <c r="G7" s="219">
        <v>19.32</v>
      </c>
      <c r="H7" s="221">
        <v>1.59</v>
      </c>
      <c r="I7" s="221">
        <f t="shared" si="0"/>
        <v>13.62</v>
      </c>
      <c r="J7" s="221">
        <f t="shared" si="1"/>
        <v>5.5118233199999995</v>
      </c>
      <c r="O7" s="162"/>
    </row>
    <row r="8" spans="1:16">
      <c r="A8" s="219" t="s">
        <v>358</v>
      </c>
      <c r="B8" s="224" t="s">
        <v>359</v>
      </c>
      <c r="C8" s="219" t="s">
        <v>360</v>
      </c>
      <c r="D8" s="219">
        <v>60</v>
      </c>
      <c r="E8" s="219">
        <v>10</v>
      </c>
      <c r="F8" s="221">
        <v>21.36</v>
      </c>
      <c r="G8" s="219">
        <v>12.8</v>
      </c>
      <c r="H8" s="221">
        <v>18.899999999999999</v>
      </c>
      <c r="I8" s="221">
        <f t="shared" si="0"/>
        <v>40.26</v>
      </c>
      <c r="J8" s="221">
        <f t="shared" si="1"/>
        <v>16.292658359999997</v>
      </c>
      <c r="O8" s="162"/>
    </row>
    <row r="9" spans="1:16">
      <c r="A9" s="219" t="s">
        <v>358</v>
      </c>
      <c r="B9" s="224" t="s">
        <v>352</v>
      </c>
      <c r="C9" s="219" t="s">
        <v>361</v>
      </c>
      <c r="D9" s="219">
        <v>80</v>
      </c>
      <c r="E9" s="219">
        <v>15</v>
      </c>
      <c r="F9" s="221">
        <v>16.13</v>
      </c>
      <c r="G9" s="219">
        <v>10.94</v>
      </c>
      <c r="H9" s="221">
        <v>21.79</v>
      </c>
      <c r="I9" s="221">
        <f t="shared" si="0"/>
        <v>37.92</v>
      </c>
      <c r="J9" s="221">
        <f t="shared" si="1"/>
        <v>15.34569312</v>
      </c>
      <c r="O9" s="162"/>
    </row>
    <row r="10" spans="1:16">
      <c r="A10" s="219" t="s">
        <v>358</v>
      </c>
      <c r="B10" s="219" t="s">
        <v>353</v>
      </c>
      <c r="C10" s="219" t="s">
        <v>362</v>
      </c>
      <c r="D10" s="219">
        <v>80</v>
      </c>
      <c r="E10" s="219">
        <v>195</v>
      </c>
      <c r="F10" s="221">
        <v>15.98</v>
      </c>
      <c r="G10" s="219">
        <v>19.46</v>
      </c>
      <c r="H10" s="221">
        <v>3.92</v>
      </c>
      <c r="I10" s="221">
        <f t="shared" si="0"/>
        <v>19.899999999999999</v>
      </c>
      <c r="J10" s="221">
        <f t="shared" si="1"/>
        <v>8.0532513999999988</v>
      </c>
      <c r="O10" s="162"/>
    </row>
    <row r="11" spans="1:16">
      <c r="A11" s="219" t="s">
        <v>347</v>
      </c>
      <c r="B11" s="219" t="s">
        <v>353</v>
      </c>
      <c r="C11" s="224" t="s">
        <v>357</v>
      </c>
      <c r="D11" s="219">
        <v>80</v>
      </c>
      <c r="E11" s="219">
        <v>28</v>
      </c>
      <c r="F11" s="221">
        <v>3.41</v>
      </c>
      <c r="G11" s="219">
        <v>2.5299999999999998</v>
      </c>
      <c r="H11" s="221">
        <v>1.68</v>
      </c>
      <c r="I11" s="221">
        <f t="shared" si="0"/>
        <v>5.09</v>
      </c>
      <c r="J11" s="221">
        <f t="shared" si="1"/>
        <v>2.05985174</v>
      </c>
      <c r="O11" s="162"/>
    </row>
    <row r="12" spans="1:16">
      <c r="A12" s="219" t="s">
        <v>363</v>
      </c>
      <c r="B12" s="220" t="s">
        <v>349</v>
      </c>
      <c r="C12" s="224" t="s">
        <v>355</v>
      </c>
      <c r="D12" s="219">
        <v>50</v>
      </c>
      <c r="E12" s="219">
        <v>101</v>
      </c>
      <c r="F12" s="223">
        <v>43.96</v>
      </c>
      <c r="G12" s="219">
        <v>29.22</v>
      </c>
      <c r="H12" s="221">
        <v>12.83</v>
      </c>
      <c r="I12" s="221">
        <f t="shared" si="0"/>
        <v>56.79</v>
      </c>
      <c r="J12" s="221">
        <f t="shared" si="1"/>
        <v>22.982117939999998</v>
      </c>
      <c r="O12" s="162"/>
      <c r="P12" s="162"/>
    </row>
    <row r="13" spans="1:16">
      <c r="A13" s="219" t="s">
        <v>363</v>
      </c>
      <c r="B13" s="219" t="s">
        <v>350</v>
      </c>
      <c r="C13" s="224" t="s">
        <v>355</v>
      </c>
      <c r="D13" s="219">
        <v>60</v>
      </c>
      <c r="E13" s="219">
        <v>101</v>
      </c>
      <c r="F13" s="221">
        <v>43.96</v>
      </c>
      <c r="G13" s="219">
        <v>29.22</v>
      </c>
      <c r="H13" s="221">
        <v>12.83</v>
      </c>
      <c r="I13" s="221">
        <f t="shared" si="0"/>
        <v>56.79</v>
      </c>
      <c r="J13" s="221">
        <f t="shared" si="1"/>
        <v>22.982117939999998</v>
      </c>
      <c r="O13" s="162"/>
    </row>
    <row r="14" spans="1:16">
      <c r="A14" s="219" t="s">
        <v>363</v>
      </c>
      <c r="B14" s="219" t="s">
        <v>351</v>
      </c>
      <c r="C14" s="219" t="s">
        <v>356</v>
      </c>
      <c r="D14" s="219">
        <v>60</v>
      </c>
      <c r="E14" s="219">
        <v>241</v>
      </c>
      <c r="F14" s="221">
        <v>39.196539589442814</v>
      </c>
      <c r="G14" s="225">
        <v>6.2746445747800585</v>
      </c>
      <c r="H14" s="221">
        <v>11.126598240469207</v>
      </c>
      <c r="I14" s="221">
        <v>49.323137829912</v>
      </c>
      <c r="J14" s="221">
        <f t="shared" si="1"/>
        <v>19.960383355835766</v>
      </c>
      <c r="O14" s="162"/>
    </row>
    <row r="15" spans="1:16">
      <c r="A15" s="219" t="s">
        <v>363</v>
      </c>
      <c r="B15" s="219" t="s">
        <v>352</v>
      </c>
      <c r="C15" s="219" t="s">
        <v>361</v>
      </c>
      <c r="D15" s="219">
        <v>80</v>
      </c>
      <c r="E15" s="219">
        <v>468</v>
      </c>
      <c r="F15" s="221">
        <v>37.090000000000003</v>
      </c>
      <c r="G15" s="219">
        <v>23.31</v>
      </c>
      <c r="H15" s="221">
        <v>8.51</v>
      </c>
      <c r="I15" s="221">
        <f>F15+H15</f>
        <v>45.6</v>
      </c>
      <c r="J15" s="221">
        <f t="shared" si="1"/>
        <v>18.453681599999999</v>
      </c>
      <c r="O15" s="162"/>
    </row>
    <row r="16" spans="1:16">
      <c r="A16" s="219" t="s">
        <v>363</v>
      </c>
      <c r="B16" s="219" t="s">
        <v>353</v>
      </c>
      <c r="C16" s="219" t="s">
        <v>362</v>
      </c>
      <c r="D16" s="219">
        <v>80</v>
      </c>
      <c r="E16" s="219">
        <v>1044</v>
      </c>
      <c r="F16" s="221">
        <v>21.51</v>
      </c>
      <c r="G16" s="219">
        <v>24.32</v>
      </c>
      <c r="H16" s="221">
        <v>4.76</v>
      </c>
      <c r="I16" s="221">
        <f>F16+H16</f>
        <v>26.270000000000003</v>
      </c>
      <c r="J16" s="221">
        <f t="shared" si="1"/>
        <v>10.631101220000001</v>
      </c>
      <c r="O16" s="162"/>
    </row>
  </sheetData>
  <sheetProtection algorithmName="SHA-512" hashValue="qHMw6Gp7Vgd1Z9PhHDODm0iYNPDDuIxeM0+5qsME1gNUZnLBhos5iUoC+Rc40wqczoOxCN6n6wEd6ZXutq/f+A==" saltValue="Opul3HYiylrdAX7pRil5MQ==" spinCount="100000" sheet="1" objects="1" scenarios="1"/>
  <pageMargins left="0.7" right="0.7" top="0.75" bottom="0.75" header="0.3" footer="0.3"/>
  <pageSetup scale="6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I51"/>
  <sheetViews>
    <sheetView showGridLines="0" zoomScaleNormal="100" workbookViewId="0">
      <selection activeCell="D6" sqref="D6"/>
    </sheetView>
  </sheetViews>
  <sheetFormatPr baseColWidth="10" defaultColWidth="9.1640625" defaultRowHeight="15"/>
  <cols>
    <col min="1" max="1" width="9.33203125" style="1" customWidth="1"/>
    <col min="2" max="2" width="38.6640625" style="1" customWidth="1"/>
    <col min="3" max="3" width="10.6640625" style="1" customWidth="1"/>
    <col min="4" max="4" width="26.1640625" style="1" customWidth="1"/>
    <col min="5" max="5" width="9.33203125" style="1" customWidth="1"/>
    <col min="6" max="6" width="33.6640625" style="1" customWidth="1"/>
    <col min="7" max="8" width="14.6640625" style="1" customWidth="1"/>
    <col min="9" max="16384" width="9.1640625" style="1"/>
  </cols>
  <sheetData>
    <row r="1" spans="1:9" ht="19">
      <c r="D1" s="214" t="s">
        <v>278</v>
      </c>
    </row>
    <row r="2" spans="1:9" ht="19">
      <c r="D2" s="214" t="s">
        <v>585</v>
      </c>
    </row>
    <row r="3" spans="1:9" ht="19">
      <c r="D3" s="214" t="s">
        <v>586</v>
      </c>
    </row>
    <row r="4" spans="1:9" ht="19">
      <c r="D4" s="215" t="s">
        <v>587</v>
      </c>
    </row>
    <row r="5" spans="1:9" ht="19">
      <c r="D5" s="367"/>
    </row>
    <row r="6" spans="1:9" ht="16">
      <c r="D6" s="368"/>
    </row>
    <row r="7" spans="1:9" ht="19">
      <c r="D7" s="367"/>
    </row>
    <row r="10" spans="1:9" ht="19">
      <c r="A10" s="4" t="s">
        <v>21</v>
      </c>
    </row>
    <row r="12" spans="1:9" ht="12" customHeight="1">
      <c r="A12" s="293" t="s">
        <v>598</v>
      </c>
      <c r="B12" s="293"/>
      <c r="C12" s="293"/>
      <c r="D12" s="293"/>
      <c r="E12" s="293"/>
      <c r="F12" s="293"/>
      <c r="G12" s="90"/>
      <c r="H12" s="90"/>
      <c r="I12" s="90"/>
    </row>
    <row r="13" spans="1:9" ht="18" customHeight="1">
      <c r="A13" s="32" t="s">
        <v>560</v>
      </c>
    </row>
    <row r="14" spans="1:9" s="32" customFormat="1" ht="18" customHeight="1">
      <c r="A14" s="83"/>
      <c r="B14" s="77" t="s">
        <v>109</v>
      </c>
      <c r="C14" s="83"/>
      <c r="D14" s="77" t="s">
        <v>106</v>
      </c>
      <c r="E14" s="116">
        <f>A14*C14</f>
        <v>0</v>
      </c>
      <c r="F14" s="77" t="s">
        <v>105</v>
      </c>
    </row>
    <row r="15" spans="1:9" s="32" customFormat="1" ht="18" customHeight="1">
      <c r="A15" s="83"/>
      <c r="B15" s="77" t="s">
        <v>109</v>
      </c>
      <c r="C15" s="83"/>
      <c r="D15" s="77" t="s">
        <v>107</v>
      </c>
      <c r="E15" s="116">
        <f>A15/A34*C15</f>
        <v>0</v>
      </c>
      <c r="F15" s="77" t="s">
        <v>105</v>
      </c>
    </row>
    <row r="16" spans="1:9" s="32" customFormat="1" ht="18" customHeight="1">
      <c r="A16" s="83"/>
      <c r="B16" s="77" t="s">
        <v>108</v>
      </c>
      <c r="C16" s="83"/>
      <c r="D16" s="77" t="s">
        <v>107</v>
      </c>
      <c r="E16" s="116">
        <f>A16*C16</f>
        <v>0</v>
      </c>
      <c r="F16" s="77" t="s">
        <v>105</v>
      </c>
    </row>
    <row r="17" spans="1:6" s="32" customFormat="1" ht="18" customHeight="1">
      <c r="A17" s="83"/>
      <c r="B17" s="77" t="s">
        <v>108</v>
      </c>
      <c r="C17" s="83"/>
      <c r="D17" s="77" t="s">
        <v>106</v>
      </c>
      <c r="E17" s="116">
        <f>A17*A34*C17</f>
        <v>0</v>
      </c>
      <c r="F17" s="77" t="s">
        <v>105</v>
      </c>
    </row>
    <row r="18" spans="1:6" s="63" customFormat="1" ht="16">
      <c r="A18" s="88"/>
      <c r="C18" s="88"/>
    </row>
    <row r="19" spans="1:6" s="63" customFormat="1" ht="16">
      <c r="A19" s="117"/>
      <c r="B19" s="117" t="s">
        <v>213</v>
      </c>
      <c r="C19" s="294" t="s">
        <v>212</v>
      </c>
      <c r="D19" s="294"/>
      <c r="E19" s="294"/>
      <c r="F19" s="294"/>
    </row>
    <row r="20" spans="1:6" s="32" customFormat="1" ht="18" customHeight="1">
      <c r="A20" s="83"/>
      <c r="B20" s="77" t="s">
        <v>193</v>
      </c>
      <c r="C20" s="115">
        <f>A20*A38/A48</f>
        <v>0</v>
      </c>
      <c r="D20" s="77" t="s">
        <v>210</v>
      </c>
      <c r="E20" s="115">
        <f>A20*A43/A48</f>
        <v>0</v>
      </c>
      <c r="F20" s="77" t="s">
        <v>211</v>
      </c>
    </row>
    <row r="21" spans="1:6" s="32" customFormat="1" ht="18" customHeight="1">
      <c r="A21" s="83"/>
      <c r="B21" s="77" t="s">
        <v>194</v>
      </c>
      <c r="C21" s="115">
        <f>A21*A39/A48</f>
        <v>0</v>
      </c>
      <c r="D21" s="77" t="s">
        <v>210</v>
      </c>
      <c r="E21" s="115">
        <f>A21*A44/A48</f>
        <v>0</v>
      </c>
      <c r="F21" s="77" t="s">
        <v>211</v>
      </c>
    </row>
    <row r="22" spans="1:6" s="32" customFormat="1" ht="18" customHeight="1">
      <c r="A22" s="83"/>
      <c r="B22" s="77" t="s">
        <v>195</v>
      </c>
      <c r="C22" s="115">
        <f>A22*A40/A48</f>
        <v>0</v>
      </c>
      <c r="D22" s="77" t="s">
        <v>210</v>
      </c>
      <c r="E22" s="115">
        <f>A22*A45/A48</f>
        <v>0</v>
      </c>
      <c r="F22" s="77" t="s">
        <v>211</v>
      </c>
    </row>
    <row r="23" spans="1:6" s="32" customFormat="1" ht="18" customHeight="1">
      <c r="A23" s="83"/>
      <c r="B23" s="77" t="s">
        <v>196</v>
      </c>
      <c r="C23" s="115">
        <f>A23*A41/A48</f>
        <v>0</v>
      </c>
      <c r="D23" s="77" t="s">
        <v>210</v>
      </c>
      <c r="E23" s="115">
        <f>A23*A46/A48</f>
        <v>0</v>
      </c>
      <c r="F23" s="77" t="s">
        <v>211</v>
      </c>
    </row>
    <row r="24" spans="1:6" s="89" customFormat="1" ht="18">
      <c r="A24" s="83"/>
      <c r="B24" s="79" t="s">
        <v>197</v>
      </c>
      <c r="C24" s="115">
        <f>A24*A42/A48</f>
        <v>0</v>
      </c>
      <c r="D24" s="77" t="s">
        <v>210</v>
      </c>
      <c r="E24" s="115">
        <f>A24*A47/A48</f>
        <v>0</v>
      </c>
      <c r="F24" s="77" t="s">
        <v>211</v>
      </c>
    </row>
    <row r="25" spans="1:6" s="63" customFormat="1" ht="16">
      <c r="A25" s="88"/>
      <c r="C25" s="88"/>
    </row>
    <row r="26" spans="1:6" s="32" customFormat="1" ht="18" customHeight="1">
      <c r="A26" s="83"/>
      <c r="B26" s="77" t="s">
        <v>106</v>
      </c>
      <c r="C26" s="115">
        <f>A26*A34</f>
        <v>0</v>
      </c>
      <c r="D26" s="77" t="s">
        <v>107</v>
      </c>
    </row>
    <row r="27" spans="1:6" s="32" customFormat="1" ht="18" customHeight="1">
      <c r="A27" s="83"/>
      <c r="B27" s="77" t="s">
        <v>104</v>
      </c>
      <c r="C27" s="116">
        <f>A27/A35</f>
        <v>0</v>
      </c>
      <c r="D27" s="77" t="s">
        <v>105</v>
      </c>
    </row>
    <row r="28" spans="1:6" s="32" customFormat="1" ht="18" customHeight="1">
      <c r="A28" s="83"/>
      <c r="B28" s="77" t="s">
        <v>111</v>
      </c>
      <c r="C28" s="116">
        <f>A28*A37</f>
        <v>0</v>
      </c>
      <c r="D28" s="77" t="s">
        <v>105</v>
      </c>
    </row>
    <row r="29" spans="1:6" s="32" customFormat="1" ht="18" customHeight="1">
      <c r="A29" s="83"/>
      <c r="B29" s="77" t="s">
        <v>110</v>
      </c>
      <c r="C29" s="116">
        <f>A29*A36*A37</f>
        <v>0</v>
      </c>
      <c r="D29" s="77" t="s">
        <v>105</v>
      </c>
    </row>
    <row r="30" spans="1:6" s="32" customFormat="1" ht="18" customHeight="1">
      <c r="A30" s="83"/>
      <c r="B30" s="77" t="s">
        <v>105</v>
      </c>
      <c r="C30" s="115">
        <f>A30/A36/A37</f>
        <v>0</v>
      </c>
      <c r="D30" s="77" t="s">
        <v>110</v>
      </c>
    </row>
    <row r="31" spans="1:6" s="89" customFormat="1" ht="18" customHeight="1">
      <c r="A31" s="88"/>
      <c r="B31" s="63"/>
      <c r="C31" s="63"/>
      <c r="D31" s="63"/>
    </row>
    <row r="33" spans="1:4" ht="18" customHeight="1">
      <c r="A33" s="78" t="s">
        <v>204</v>
      </c>
      <c r="B33" s="32"/>
    </row>
    <row r="34" spans="1:4" ht="18" customHeight="1">
      <c r="A34" s="111">
        <v>2.47105</v>
      </c>
      <c r="B34" s="284" t="s">
        <v>198</v>
      </c>
      <c r="C34" s="285"/>
      <c r="D34" s="286"/>
    </row>
    <row r="35" spans="1:4" ht="18" customHeight="1">
      <c r="A35" s="79">
        <v>3.67</v>
      </c>
      <c r="B35" s="287" t="s">
        <v>79</v>
      </c>
      <c r="C35" s="288"/>
      <c r="D35" s="289"/>
    </row>
    <row r="36" spans="1:4" ht="18" customHeight="1">
      <c r="A36" s="80">
        <v>0.5</v>
      </c>
      <c r="B36" s="290" t="s">
        <v>199</v>
      </c>
      <c r="C36" s="291"/>
      <c r="D36" s="292"/>
    </row>
    <row r="37" spans="1:4" ht="18" customHeight="1">
      <c r="A37" s="79">
        <v>0.90718500000000002</v>
      </c>
      <c r="B37" s="287" t="s">
        <v>200</v>
      </c>
      <c r="C37" s="288"/>
      <c r="D37" s="289"/>
    </row>
    <row r="38" spans="1:4" ht="18" customHeight="1">
      <c r="A38" s="79">
        <v>24.59</v>
      </c>
      <c r="B38" s="287" t="s">
        <v>205</v>
      </c>
      <c r="C38" s="288"/>
      <c r="D38" s="289"/>
    </row>
    <row r="39" spans="1:4" ht="18" customHeight="1">
      <c r="A39" s="79">
        <v>26.77</v>
      </c>
      <c r="B39" s="287" t="s">
        <v>244</v>
      </c>
      <c r="C39" s="288"/>
      <c r="D39" s="289"/>
    </row>
    <row r="40" spans="1:4" ht="18" customHeight="1">
      <c r="A40" s="79">
        <v>23.21</v>
      </c>
      <c r="B40" s="287" t="s">
        <v>206</v>
      </c>
      <c r="C40" s="288"/>
      <c r="D40" s="289"/>
    </row>
    <row r="41" spans="1:4" ht="18" customHeight="1">
      <c r="A41" s="79">
        <v>23.71</v>
      </c>
      <c r="B41" s="287" t="s">
        <v>207</v>
      </c>
      <c r="C41" s="288"/>
      <c r="D41" s="289"/>
    </row>
    <row r="42" spans="1:4" ht="18" customHeight="1">
      <c r="A42" s="79">
        <v>23.46</v>
      </c>
      <c r="B42" s="287" t="s">
        <v>208</v>
      </c>
      <c r="C42" s="288"/>
      <c r="D42" s="289"/>
    </row>
    <row r="43" spans="1:4" ht="18" customHeight="1">
      <c r="A43" s="79">
        <v>32.51</v>
      </c>
      <c r="B43" s="287" t="s">
        <v>209</v>
      </c>
      <c r="C43" s="288"/>
      <c r="D43" s="289"/>
    </row>
    <row r="44" spans="1:4" ht="18" customHeight="1">
      <c r="A44" s="79">
        <v>30.14</v>
      </c>
      <c r="B44" s="287" t="s">
        <v>246</v>
      </c>
      <c r="C44" s="288"/>
      <c r="D44" s="289"/>
    </row>
    <row r="45" spans="1:4" ht="18" customHeight="1">
      <c r="A45" s="79">
        <v>31.82</v>
      </c>
      <c r="B45" s="287" t="s">
        <v>206</v>
      </c>
      <c r="C45" s="288"/>
      <c r="D45" s="289"/>
    </row>
    <row r="46" spans="1:4" ht="18" customHeight="1">
      <c r="A46" s="79">
        <v>31.82</v>
      </c>
      <c r="B46" s="287" t="s">
        <v>207</v>
      </c>
      <c r="C46" s="288"/>
      <c r="D46" s="289"/>
    </row>
    <row r="47" spans="1:4" ht="18" customHeight="1">
      <c r="A47" s="79">
        <v>28.02</v>
      </c>
      <c r="B47" s="287" t="s">
        <v>208</v>
      </c>
      <c r="C47" s="288"/>
      <c r="D47" s="289"/>
    </row>
    <row r="48" spans="1:4" ht="18" customHeight="1">
      <c r="A48" s="112">
        <v>2000</v>
      </c>
      <c r="B48" s="290" t="s">
        <v>201</v>
      </c>
      <c r="C48" s="291"/>
      <c r="D48" s="292"/>
    </row>
    <row r="49" spans="1:4" ht="18" customHeight="1">
      <c r="A49" s="114">
        <v>2204.62</v>
      </c>
      <c r="B49" s="290" t="s">
        <v>245</v>
      </c>
      <c r="C49" s="291"/>
      <c r="D49" s="292"/>
    </row>
    <row r="50" spans="1:4" ht="18" customHeight="1">
      <c r="A50" s="113">
        <v>1000</v>
      </c>
      <c r="B50" s="290" t="s">
        <v>202</v>
      </c>
      <c r="C50" s="291"/>
      <c r="D50" s="292"/>
    </row>
    <row r="51" spans="1:4" ht="18" customHeight="1">
      <c r="A51" s="82">
        <v>907</v>
      </c>
      <c r="B51" s="290" t="s">
        <v>203</v>
      </c>
      <c r="C51" s="291"/>
      <c r="D51" s="292"/>
    </row>
  </sheetData>
  <sheetProtection algorithmName="SHA-512" hashValue="gb5jGd1Hfvctr0XJdKP2FraaigTZ+Up3Q23QaLegG7qpSBwvQQBYq/MN9U6XtDwRhwG6ndlFZkk+cqnHCCYtQA==" saltValue="31HNKvN8QKbeZJJE2xMzYw==" spinCount="100000" sheet="1"/>
  <pageMargins left="0.7" right="0.7" top="0.75" bottom="0.75" header="0.3" footer="0.3"/>
  <pageSetup scale="71" orientation="portrait" r:id="rId1"/>
  <headerFooter>
    <oddFooter>&amp;CPage 11 of 12
Conversions Worksheet</oddFooter>
  </headerFooter>
  <ignoredErrors>
    <ignoredError sqref="E1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97"/>
  <sheetViews>
    <sheetView showGridLines="0" zoomScale="90" zoomScaleNormal="90" zoomScalePageLayoutView="90" workbookViewId="0">
      <selection activeCell="B11" sqref="B11"/>
    </sheetView>
  </sheetViews>
  <sheetFormatPr baseColWidth="10" defaultColWidth="9.1640625" defaultRowHeight="15"/>
  <cols>
    <col min="1" max="1" width="18.6640625" style="39" customWidth="1"/>
    <col min="2" max="2" width="37.6640625" style="40" customWidth="1"/>
    <col min="3" max="3" width="111.5" style="39" customWidth="1"/>
    <col min="4" max="4" width="80.6640625" style="1" customWidth="1"/>
    <col min="5" max="16384" width="9.1640625" style="1"/>
  </cols>
  <sheetData>
    <row r="1" spans="1:3" ht="19">
      <c r="C1" s="3" t="s">
        <v>278</v>
      </c>
    </row>
    <row r="2" spans="1:3" ht="19">
      <c r="C2" s="3" t="s">
        <v>585</v>
      </c>
    </row>
    <row r="3" spans="1:3" ht="19">
      <c r="C3" s="3" t="s">
        <v>586</v>
      </c>
    </row>
    <row r="4" spans="1:3" ht="19">
      <c r="C4" s="118" t="s">
        <v>587</v>
      </c>
    </row>
    <row r="5" spans="1:3" ht="19">
      <c r="C5" s="217"/>
    </row>
    <row r="6" spans="1:3" ht="16">
      <c r="C6" s="365"/>
    </row>
    <row r="7" spans="1:3" ht="19">
      <c r="C7" s="217"/>
    </row>
    <row r="10" spans="1:3" ht="19">
      <c r="A10" s="1"/>
      <c r="B10" s="52" t="s">
        <v>8</v>
      </c>
    </row>
    <row r="11" spans="1:3" ht="17">
      <c r="A11"/>
      <c r="B11" s="359" t="s">
        <v>16</v>
      </c>
      <c r="C11" s="341"/>
    </row>
    <row r="12" spans="1:3" s="32" customFormat="1" ht="105" customHeight="1">
      <c r="A12"/>
      <c r="B12" s="244" t="s">
        <v>342</v>
      </c>
      <c r="C12" s="318" t="s">
        <v>500</v>
      </c>
    </row>
    <row r="13" spans="1:3" s="32" customFormat="1" ht="72" customHeight="1">
      <c r="A13"/>
      <c r="B13" s="244" t="s">
        <v>407</v>
      </c>
      <c r="C13" s="318" t="s">
        <v>501</v>
      </c>
    </row>
    <row r="14" spans="1:3" s="32" customFormat="1" ht="72" customHeight="1">
      <c r="A14"/>
      <c r="B14" s="244" t="s">
        <v>250</v>
      </c>
      <c r="C14" s="317" t="s">
        <v>260</v>
      </c>
    </row>
    <row r="15" spans="1:3" s="32" customFormat="1" ht="72" customHeight="1">
      <c r="A15"/>
      <c r="B15" s="244" t="s">
        <v>385</v>
      </c>
      <c r="C15" s="318" t="s">
        <v>502</v>
      </c>
    </row>
    <row r="16" spans="1:3" s="32" customFormat="1" ht="58.5" customHeight="1">
      <c r="A16"/>
      <c r="B16" s="244" t="s">
        <v>370</v>
      </c>
      <c r="C16" s="318" t="s">
        <v>503</v>
      </c>
    </row>
    <row r="17" spans="1:3" s="32" customFormat="1" ht="48" customHeight="1">
      <c r="A17"/>
      <c r="B17" s="244" t="s">
        <v>122</v>
      </c>
      <c r="C17" s="317" t="s">
        <v>504</v>
      </c>
    </row>
    <row r="18" spans="1:3" s="32" customFormat="1" ht="48" customHeight="1">
      <c r="A18"/>
      <c r="B18" s="244" t="s">
        <v>121</v>
      </c>
      <c r="C18" s="318" t="s">
        <v>505</v>
      </c>
    </row>
    <row r="19" spans="1:3" s="32" customFormat="1" ht="48" customHeight="1">
      <c r="A19"/>
      <c r="B19" s="244" t="s">
        <v>252</v>
      </c>
      <c r="C19" s="317" t="s">
        <v>259</v>
      </c>
    </row>
    <row r="20" spans="1:3" s="32" customFormat="1" ht="48" customHeight="1">
      <c r="A20"/>
      <c r="B20" s="244" t="s">
        <v>26</v>
      </c>
      <c r="C20" s="318" t="s">
        <v>101</v>
      </c>
    </row>
    <row r="21" spans="1:3" s="32" customFormat="1" ht="29.25" customHeight="1">
      <c r="A21"/>
      <c r="B21" s="244" t="s">
        <v>189</v>
      </c>
      <c r="C21" s="318" t="s">
        <v>506</v>
      </c>
    </row>
    <row r="22" spans="1:3" s="32" customFormat="1" ht="63" customHeight="1">
      <c r="A22"/>
      <c r="B22" s="244" t="s">
        <v>80</v>
      </c>
      <c r="C22" s="318" t="s">
        <v>113</v>
      </c>
    </row>
    <row r="23" spans="1:3" s="32" customFormat="1" ht="42" customHeight="1">
      <c r="A23"/>
      <c r="B23" s="244" t="s">
        <v>27</v>
      </c>
      <c r="C23" s="318" t="s">
        <v>112</v>
      </c>
    </row>
    <row r="24" spans="1:3" s="32" customFormat="1" ht="21.75" customHeight="1">
      <c r="A24"/>
      <c r="B24" s="358" t="s">
        <v>17</v>
      </c>
      <c r="C24" s="342"/>
    </row>
    <row r="25" spans="1:3" s="32" customFormat="1" ht="58.5" customHeight="1">
      <c r="A25"/>
      <c r="B25" s="243" t="s">
        <v>256</v>
      </c>
      <c r="C25" s="319" t="s">
        <v>261</v>
      </c>
    </row>
    <row r="26" spans="1:3" s="32" customFormat="1" ht="58.5" customHeight="1">
      <c r="A26"/>
      <c r="B26" s="243" t="s">
        <v>385</v>
      </c>
      <c r="C26" s="319" t="s">
        <v>502</v>
      </c>
    </row>
    <row r="27" spans="1:3" s="32" customFormat="1" ht="58.5" customHeight="1">
      <c r="A27"/>
      <c r="B27" s="243" t="s">
        <v>257</v>
      </c>
      <c r="C27" s="319" t="s">
        <v>262</v>
      </c>
    </row>
    <row r="28" spans="1:3" s="32" customFormat="1" ht="82" customHeight="1">
      <c r="A28"/>
      <c r="B28" s="243" t="s">
        <v>407</v>
      </c>
      <c r="C28" s="319" t="s">
        <v>507</v>
      </c>
    </row>
    <row r="29" spans="1:3" s="32" customFormat="1" ht="58.5" customHeight="1">
      <c r="A29"/>
      <c r="B29" s="243" t="s">
        <v>370</v>
      </c>
      <c r="C29" s="319" t="s">
        <v>503</v>
      </c>
    </row>
    <row r="30" spans="1:3" s="32" customFormat="1" ht="58.5" customHeight="1">
      <c r="A30"/>
      <c r="B30" s="243" t="s">
        <v>123</v>
      </c>
      <c r="C30" s="319" t="s">
        <v>124</v>
      </c>
    </row>
    <row r="31" spans="1:3" s="32" customFormat="1" ht="58.5" customHeight="1">
      <c r="A31"/>
      <c r="B31" s="243" t="s">
        <v>125</v>
      </c>
      <c r="C31" s="319" t="s">
        <v>126</v>
      </c>
    </row>
    <row r="32" spans="1:3" s="32" customFormat="1" ht="134.25" customHeight="1">
      <c r="A32"/>
      <c r="B32" s="243" t="s">
        <v>87</v>
      </c>
      <c r="C32" s="320" t="s">
        <v>298</v>
      </c>
    </row>
    <row r="33" spans="1:3" s="32" customFormat="1" ht="152" customHeight="1">
      <c r="A33"/>
      <c r="B33" s="243" t="s">
        <v>88</v>
      </c>
      <c r="C33" s="320" t="s">
        <v>299</v>
      </c>
    </row>
    <row r="34" spans="1:3" s="32" customFormat="1" ht="48" customHeight="1">
      <c r="A34"/>
      <c r="B34" s="243" t="s">
        <v>127</v>
      </c>
      <c r="C34" s="319" t="s">
        <v>128</v>
      </c>
    </row>
    <row r="35" spans="1:3" s="32" customFormat="1" ht="48" customHeight="1">
      <c r="A35"/>
      <c r="B35" s="243" t="s">
        <v>28</v>
      </c>
      <c r="C35" s="319" t="s">
        <v>145</v>
      </c>
    </row>
    <row r="36" spans="1:3" s="32" customFormat="1" ht="21.75" customHeight="1">
      <c r="A36"/>
      <c r="B36" s="357" t="s">
        <v>18</v>
      </c>
      <c r="C36" s="343"/>
    </row>
    <row r="37" spans="1:3" s="32" customFormat="1" ht="49.5" customHeight="1">
      <c r="A37"/>
      <c r="B37" s="245" t="s">
        <v>254</v>
      </c>
      <c r="C37" s="321" t="s">
        <v>263</v>
      </c>
    </row>
    <row r="38" spans="1:3" s="32" customFormat="1" ht="33" customHeight="1">
      <c r="A38"/>
      <c r="B38" s="245" t="s">
        <v>385</v>
      </c>
      <c r="C38" s="328" t="s">
        <v>502</v>
      </c>
    </row>
    <row r="39" spans="1:3" s="32" customFormat="1" ht="73.5" customHeight="1">
      <c r="A39"/>
      <c r="B39" s="245" t="s">
        <v>407</v>
      </c>
      <c r="C39" s="321" t="s">
        <v>507</v>
      </c>
    </row>
    <row r="40" spans="1:3" s="32" customFormat="1" ht="61.5" customHeight="1">
      <c r="A40"/>
      <c r="B40" s="245" t="s">
        <v>370</v>
      </c>
      <c r="C40" s="321" t="s">
        <v>503</v>
      </c>
    </row>
    <row r="41" spans="1:3" s="32" customFormat="1" ht="53.25" customHeight="1">
      <c r="A41"/>
      <c r="B41" s="245" t="s">
        <v>89</v>
      </c>
      <c r="C41" s="321" t="s">
        <v>604</v>
      </c>
    </row>
    <row r="42" spans="1:3" s="32" customFormat="1" ht="63" customHeight="1">
      <c r="A42"/>
      <c r="B42" s="245" t="s">
        <v>116</v>
      </c>
      <c r="C42" s="321" t="s">
        <v>152</v>
      </c>
    </row>
    <row r="43" spans="1:3" s="32" customFormat="1" ht="63" customHeight="1">
      <c r="A43"/>
      <c r="B43" s="245" t="s">
        <v>129</v>
      </c>
      <c r="C43" s="321" t="s">
        <v>130</v>
      </c>
    </row>
    <row r="44" spans="1:3" s="32" customFormat="1" ht="63" customHeight="1">
      <c r="A44"/>
      <c r="B44" s="245" t="s">
        <v>132</v>
      </c>
      <c r="C44" s="321" t="s">
        <v>133</v>
      </c>
    </row>
    <row r="45" spans="1:3" s="32" customFormat="1" ht="63" customHeight="1">
      <c r="A45"/>
      <c r="B45" s="245" t="s">
        <v>136</v>
      </c>
      <c r="C45" s="321" t="s">
        <v>137</v>
      </c>
    </row>
    <row r="46" spans="1:3" s="32" customFormat="1" ht="67" customHeight="1">
      <c r="A46"/>
      <c r="B46" s="245" t="s">
        <v>141</v>
      </c>
      <c r="C46" s="321" t="s">
        <v>140</v>
      </c>
    </row>
    <row r="47" spans="1:3" s="32" customFormat="1" ht="82" customHeight="1">
      <c r="A47"/>
      <c r="B47" s="245" t="s">
        <v>28</v>
      </c>
      <c r="C47" s="322" t="s">
        <v>146</v>
      </c>
    </row>
    <row r="48" spans="1:3" s="32" customFormat="1" ht="18" customHeight="1">
      <c r="A48"/>
      <c r="B48" s="323" t="s">
        <v>218</v>
      </c>
      <c r="C48" s="329"/>
    </row>
    <row r="49" spans="1:3" s="32" customFormat="1" ht="31.5" customHeight="1">
      <c r="A49"/>
      <c r="B49" s="245" t="s">
        <v>255</v>
      </c>
      <c r="C49" s="321" t="s">
        <v>264</v>
      </c>
    </row>
    <row r="50" spans="1:3" s="32" customFormat="1" ht="48" customHeight="1">
      <c r="A50"/>
      <c r="B50" s="245" t="s">
        <v>139</v>
      </c>
      <c r="C50" s="321" t="s">
        <v>131</v>
      </c>
    </row>
    <row r="51" spans="1:3" s="32" customFormat="1" ht="63" customHeight="1">
      <c r="A51"/>
      <c r="B51" s="48" t="s">
        <v>134</v>
      </c>
      <c r="C51" s="321" t="s">
        <v>135</v>
      </c>
    </row>
    <row r="52" spans="1:3" s="32" customFormat="1" ht="63" customHeight="1">
      <c r="A52" s="190"/>
      <c r="B52" s="245" t="s">
        <v>115</v>
      </c>
      <c r="C52" s="321" t="s">
        <v>102</v>
      </c>
    </row>
    <row r="53" spans="1:3" s="32" customFormat="1" ht="63" customHeight="1">
      <c r="A53" s="190"/>
      <c r="B53" s="466" t="s">
        <v>114</v>
      </c>
      <c r="C53" s="467" t="s">
        <v>119</v>
      </c>
    </row>
    <row r="54" spans="1:3" s="32" customFormat="1" ht="107" customHeight="1">
      <c r="A54"/>
      <c r="B54" s="468" t="s">
        <v>710</v>
      </c>
      <c r="C54" s="321" t="s">
        <v>712</v>
      </c>
    </row>
    <row r="55" spans="1:3" s="32" customFormat="1" ht="113" customHeight="1">
      <c r="A55"/>
      <c r="B55" s="468" t="s">
        <v>711</v>
      </c>
      <c r="C55" s="321" t="s">
        <v>713</v>
      </c>
    </row>
    <row r="56" spans="1:3" s="32" customFormat="1" ht="90" customHeight="1">
      <c r="A56"/>
      <c r="B56" s="465" t="s">
        <v>705</v>
      </c>
      <c r="C56" s="464" t="s">
        <v>700</v>
      </c>
    </row>
    <row r="57" spans="1:3" s="32" customFormat="1" ht="108" customHeight="1">
      <c r="A57"/>
      <c r="B57" s="245" t="s">
        <v>707</v>
      </c>
      <c r="C57" s="321" t="s">
        <v>701</v>
      </c>
    </row>
    <row r="58" spans="1:3" s="32" customFormat="1" ht="31.5" customHeight="1">
      <c r="A58"/>
      <c r="B58" s="356" t="s">
        <v>265</v>
      </c>
      <c r="C58" s="344"/>
    </row>
    <row r="59" spans="1:3" s="32" customFormat="1" ht="33" customHeight="1">
      <c r="A59"/>
      <c r="B59" s="49" t="s">
        <v>216</v>
      </c>
      <c r="C59" s="324" t="s">
        <v>217</v>
      </c>
    </row>
    <row r="60" spans="1:3" s="32" customFormat="1" ht="33" customHeight="1">
      <c r="A60"/>
      <c r="B60" s="49" t="s">
        <v>214</v>
      </c>
      <c r="C60" s="324" t="s">
        <v>215</v>
      </c>
    </row>
    <row r="61" spans="1:3" s="32" customFormat="1" ht="73.5" customHeight="1">
      <c r="A61"/>
      <c r="B61" s="49" t="s">
        <v>219</v>
      </c>
      <c r="C61" s="324" t="s">
        <v>508</v>
      </c>
    </row>
    <row r="62" spans="1:3" s="32" customFormat="1" ht="54.75" customHeight="1">
      <c r="A62"/>
      <c r="B62" s="49" t="s">
        <v>385</v>
      </c>
      <c r="C62" s="324" t="s">
        <v>502</v>
      </c>
    </row>
    <row r="63" spans="1:3" s="32" customFormat="1" ht="71" customHeight="1">
      <c r="A63"/>
      <c r="B63" s="49" t="s">
        <v>407</v>
      </c>
      <c r="C63" s="324" t="s">
        <v>507</v>
      </c>
    </row>
    <row r="64" spans="1:3" s="32" customFormat="1" ht="77" customHeight="1">
      <c r="A64"/>
      <c r="B64" s="49" t="s">
        <v>370</v>
      </c>
      <c r="C64" s="324" t="s">
        <v>503</v>
      </c>
    </row>
    <row r="65" spans="1:3" s="32" customFormat="1" ht="63" customHeight="1">
      <c r="A65"/>
      <c r="B65" s="49" t="s">
        <v>138</v>
      </c>
      <c r="C65" s="324" t="s">
        <v>509</v>
      </c>
    </row>
    <row r="66" spans="1:3" s="32" customFormat="1" ht="71" customHeight="1">
      <c r="A66"/>
      <c r="B66" s="49" t="s">
        <v>54</v>
      </c>
      <c r="C66" s="324" t="s">
        <v>267</v>
      </c>
    </row>
    <row r="67" spans="1:3" s="32" customFormat="1" ht="91" customHeight="1">
      <c r="A67"/>
      <c r="B67" s="49" t="s">
        <v>277</v>
      </c>
      <c r="C67" s="324" t="s">
        <v>273</v>
      </c>
    </row>
    <row r="68" spans="1:3" s="32" customFormat="1" ht="115" customHeight="1">
      <c r="A68"/>
      <c r="B68" s="49" t="s">
        <v>225</v>
      </c>
      <c r="C68" s="324" t="s">
        <v>147</v>
      </c>
    </row>
    <row r="69" spans="1:3" s="32" customFormat="1" ht="138" customHeight="1">
      <c r="A69"/>
      <c r="B69" s="50" t="s">
        <v>226</v>
      </c>
      <c r="C69" s="324" t="s">
        <v>148</v>
      </c>
    </row>
    <row r="70" spans="1:3" s="89" customFormat="1" ht="66.75" customHeight="1">
      <c r="A70"/>
      <c r="B70" s="360" t="s">
        <v>266</v>
      </c>
      <c r="C70" s="345"/>
    </row>
    <row r="71" spans="1:3" s="89" customFormat="1" ht="66.75" customHeight="1">
      <c r="A71"/>
      <c r="B71" s="150" t="s">
        <v>216</v>
      </c>
      <c r="C71" s="330" t="s">
        <v>217</v>
      </c>
    </row>
    <row r="72" spans="1:3" s="89" customFormat="1" ht="66.75" customHeight="1">
      <c r="A72"/>
      <c r="B72" s="150" t="s">
        <v>282</v>
      </c>
      <c r="C72" s="330" t="s">
        <v>281</v>
      </c>
    </row>
    <row r="73" spans="1:3" s="89" customFormat="1" ht="66.75" customHeight="1">
      <c r="A73"/>
      <c r="B73" s="150" t="s">
        <v>385</v>
      </c>
      <c r="C73" s="330" t="s">
        <v>502</v>
      </c>
    </row>
    <row r="74" spans="1:3" s="89" customFormat="1" ht="66.75" customHeight="1">
      <c r="A74"/>
      <c r="B74" s="150" t="s">
        <v>407</v>
      </c>
      <c r="C74" s="330" t="s">
        <v>719</v>
      </c>
    </row>
    <row r="75" spans="1:3" s="89" customFormat="1" ht="66.75" customHeight="1">
      <c r="A75"/>
      <c r="B75" s="150" t="s">
        <v>370</v>
      </c>
      <c r="C75" s="330" t="s">
        <v>503</v>
      </c>
    </row>
    <row r="76" spans="1:3" s="89" customFormat="1" ht="90" customHeight="1">
      <c r="A76"/>
      <c r="B76" s="151" t="s">
        <v>288</v>
      </c>
      <c r="C76" s="330" t="s">
        <v>291</v>
      </c>
    </row>
    <row r="77" spans="1:3" s="89" customFormat="1" ht="109" customHeight="1">
      <c r="A77"/>
      <c r="B77" s="151" t="s">
        <v>290</v>
      </c>
      <c r="C77" s="330" t="s">
        <v>293</v>
      </c>
    </row>
    <row r="78" spans="1:3" s="32" customFormat="1" ht="116" customHeight="1">
      <c r="A78"/>
      <c r="B78" s="149" t="s">
        <v>289</v>
      </c>
      <c r="C78" s="330" t="s">
        <v>292</v>
      </c>
    </row>
    <row r="79" spans="1:3" s="32" customFormat="1" ht="161" customHeight="1">
      <c r="A79"/>
      <c r="B79" s="148" t="s">
        <v>289</v>
      </c>
      <c r="C79" s="330" t="s">
        <v>294</v>
      </c>
    </row>
    <row r="80" spans="1:3" s="32" customFormat="1" ht="44" customHeight="1">
      <c r="A80"/>
      <c r="B80" s="361" t="s">
        <v>575</v>
      </c>
      <c r="C80" s="325"/>
    </row>
    <row r="81" spans="1:4" s="32" customFormat="1" ht="63" customHeight="1">
      <c r="A81"/>
      <c r="B81" s="325" t="s">
        <v>103</v>
      </c>
      <c r="C81" s="325"/>
    </row>
    <row r="82" spans="1:4" s="32" customFormat="1" ht="63" customHeight="1">
      <c r="A82"/>
      <c r="B82" s="247" t="s">
        <v>220</v>
      </c>
      <c r="C82" s="326" t="s">
        <v>608</v>
      </c>
    </row>
    <row r="83" spans="1:4" s="32" customFormat="1" ht="72" customHeight="1">
      <c r="A83"/>
      <c r="B83" s="247" t="s">
        <v>33</v>
      </c>
      <c r="C83" s="326" t="s">
        <v>301</v>
      </c>
    </row>
    <row r="84" spans="1:4" s="32" customFormat="1" ht="93" customHeight="1">
      <c r="A84"/>
      <c r="B84" s="247" t="s">
        <v>57</v>
      </c>
      <c r="C84" s="326" t="s">
        <v>279</v>
      </c>
    </row>
    <row r="85" spans="1:4" s="32" customFormat="1" ht="93" customHeight="1">
      <c r="A85"/>
      <c r="B85" s="325" t="s">
        <v>118</v>
      </c>
      <c r="C85" s="325"/>
    </row>
    <row r="86" spans="1:4" s="32" customFormat="1" ht="75.75" customHeight="1">
      <c r="A86"/>
      <c r="B86" s="247" t="s">
        <v>609</v>
      </c>
      <c r="C86" s="326" t="s">
        <v>611</v>
      </c>
    </row>
    <row r="87" spans="1:4" s="32" customFormat="1" ht="48" customHeight="1">
      <c r="A87"/>
      <c r="B87" s="247" t="s">
        <v>612</v>
      </c>
      <c r="C87" s="326" t="s">
        <v>610</v>
      </c>
    </row>
    <row r="88" spans="1:4" s="32" customFormat="1" ht="48" customHeight="1">
      <c r="A88"/>
      <c r="B88" s="473" t="s">
        <v>223</v>
      </c>
      <c r="C88" s="474"/>
    </row>
    <row r="89" spans="1:4" s="32" customFormat="1" ht="48" customHeight="1">
      <c r="A89"/>
      <c r="B89" s="247" t="s">
        <v>31</v>
      </c>
      <c r="C89" s="326" t="s">
        <v>149</v>
      </c>
    </row>
    <row r="90" spans="1:4" s="32" customFormat="1" ht="65" customHeight="1">
      <c r="A90"/>
      <c r="B90" s="247" t="s">
        <v>30</v>
      </c>
      <c r="C90" s="326" t="s">
        <v>150</v>
      </c>
    </row>
    <row r="91" spans="1:4" s="32" customFormat="1" ht="62" customHeight="1">
      <c r="A91"/>
      <c r="B91" s="247" t="s">
        <v>32</v>
      </c>
      <c r="C91" s="326" t="s">
        <v>151</v>
      </c>
    </row>
    <row r="92" spans="1:4" ht="93" customHeight="1">
      <c r="A92"/>
      <c r="B92" s="362" t="s">
        <v>9</v>
      </c>
      <c r="C92" s="346"/>
    </row>
    <row r="93" spans="1:4" ht="34">
      <c r="A93"/>
      <c r="B93" s="246" t="s">
        <v>606</v>
      </c>
      <c r="C93" s="327" t="s">
        <v>605</v>
      </c>
    </row>
    <row r="94" spans="1:4" ht="102">
      <c r="A94"/>
      <c r="B94" s="51" t="s">
        <v>117</v>
      </c>
      <c r="C94" s="327" t="s">
        <v>607</v>
      </c>
    </row>
    <row r="95" spans="1:4">
      <c r="A95"/>
      <c r="D95" s="33"/>
    </row>
    <row r="96" spans="1:4">
      <c r="D96" s="33"/>
    </row>
    <row r="97" spans="4:4">
      <c r="D97" s="33"/>
    </row>
  </sheetData>
  <sheetProtection algorithmName="SHA-512" hashValue="HqNGJwXQP7NT9YLuKjDDXvCTJUn3crRkYLtWif7wJZqw9cGrwgdWHifafRgxbrwh4l3jamWmVxchPuOfXsKErQ==" saltValue="84uXDpemJRbYkgahW0HZNQ==" spinCount="100000" sheet="1" objects="1" scenarios="1"/>
  <mergeCells count="1">
    <mergeCell ref="B88:C88"/>
  </mergeCells>
  <pageMargins left="0.7" right="0.7" top="0.75" bottom="0.75" header="0.3" footer="0.3"/>
  <pageSetup scale="38" fitToHeight="2" orientation="portrait" r:id="rId1"/>
  <headerFooter>
    <oddFooter>&amp;CPage 2 of 12
Definitions Worksheet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79998168889431442"/>
    <pageSetUpPr fitToPage="1"/>
  </sheetPr>
  <dimension ref="A1:L164"/>
  <sheetViews>
    <sheetView showGridLines="0" showRuler="0" zoomScale="90" zoomScaleNormal="90" workbookViewId="0">
      <selection activeCell="C152" sqref="C152"/>
    </sheetView>
  </sheetViews>
  <sheetFormatPr baseColWidth="10" defaultColWidth="9.1640625" defaultRowHeight="15"/>
  <cols>
    <col min="1" max="1" width="25.6640625" style="1" customWidth="1"/>
    <col min="2" max="2" width="57.5" style="1" customWidth="1"/>
    <col min="3" max="3" width="30.6640625" style="1" customWidth="1"/>
    <col min="4" max="4" width="10.6640625" style="1" customWidth="1"/>
    <col min="5" max="5" width="47.6640625" style="14" customWidth="1"/>
    <col min="6" max="6" width="15.6640625" style="1" customWidth="1"/>
    <col min="7" max="7" width="14.83203125" style="1" customWidth="1"/>
    <col min="8" max="8" width="13.6640625" style="1" customWidth="1"/>
    <col min="9" max="9" width="22.1640625" style="1" customWidth="1"/>
    <col min="10" max="10" width="14.6640625" style="1" customWidth="1"/>
    <col min="11" max="16384" width="9.1640625" style="1"/>
  </cols>
  <sheetData>
    <row r="1" spans="1:6" ht="19">
      <c r="C1" s="3" t="s">
        <v>278</v>
      </c>
      <c r="E1" s="28"/>
      <c r="F1" s="3"/>
    </row>
    <row r="2" spans="1:6" ht="19">
      <c r="C2" s="3" t="s">
        <v>585</v>
      </c>
      <c r="E2" s="28"/>
      <c r="F2" s="3"/>
    </row>
    <row r="3" spans="1:6" ht="19">
      <c r="C3" s="3" t="s">
        <v>586</v>
      </c>
    </row>
    <row r="4" spans="1:6" ht="19">
      <c r="C4" s="118" t="s">
        <v>587</v>
      </c>
      <c r="E4" s="28"/>
      <c r="F4" s="3"/>
    </row>
    <row r="5" spans="1:6" ht="19">
      <c r="C5" s="217"/>
      <c r="E5" s="28"/>
      <c r="F5" s="3"/>
    </row>
    <row r="6" spans="1:6" ht="19">
      <c r="C6" s="365"/>
      <c r="E6" s="28"/>
      <c r="F6" s="3"/>
    </row>
    <row r="7" spans="1:6" ht="19">
      <c r="C7" s="217"/>
      <c r="E7" s="28"/>
      <c r="F7" s="3"/>
    </row>
    <row r="8" spans="1:6" ht="19">
      <c r="F8" s="3"/>
    </row>
    <row r="9" spans="1:6" ht="18" customHeight="1">
      <c r="A9" s="45" t="s">
        <v>0</v>
      </c>
      <c r="B9" s="260" t="str">
        <f>IF('Read Me'!B26="","",'Read Me'!B26)</f>
        <v/>
      </c>
      <c r="C9" s="261"/>
      <c r="D9" s="65"/>
      <c r="E9" s="65"/>
    </row>
    <row r="10" spans="1:6" ht="18" customHeight="1">
      <c r="A10" s="72" t="s">
        <v>10</v>
      </c>
      <c r="B10" s="258" t="str">
        <f>IF('Read Me'!B27="","",'Read Me'!B27)</f>
        <v/>
      </c>
      <c r="C10" s="259"/>
      <c r="D10" s="66"/>
      <c r="E10" s="66"/>
    </row>
    <row r="11" spans="1:6" ht="18" customHeight="1">
      <c r="D11" s="9"/>
      <c r="E11" s="29"/>
      <c r="F11" s="11"/>
    </row>
    <row r="12" spans="1:6" ht="19">
      <c r="A12" s="4" t="s">
        <v>22</v>
      </c>
      <c r="B12" s="4"/>
      <c r="C12" s="4"/>
    </row>
    <row r="13" spans="1:6" ht="14.25" customHeight="1">
      <c r="A13" s="316" t="s">
        <v>572</v>
      </c>
      <c r="B13" s="316"/>
      <c r="C13" s="316"/>
      <c r="D13" s="316"/>
      <c r="E13" s="316"/>
      <c r="F13" s="316"/>
    </row>
    <row r="14" spans="1:6" ht="16">
      <c r="A14" s="32" t="s">
        <v>573</v>
      </c>
      <c r="B14" s="23"/>
      <c r="C14" s="23"/>
    </row>
    <row r="15" spans="1:6" ht="16">
      <c r="A15" s="32" t="s">
        <v>574</v>
      </c>
      <c r="B15" s="23"/>
      <c r="C15" s="23"/>
    </row>
    <row r="16" spans="1:6" ht="18" customHeight="1">
      <c r="A16" s="252" t="s">
        <v>153</v>
      </c>
      <c r="B16" s="338"/>
      <c r="C16" s="338"/>
      <c r="D16" s="338"/>
      <c r="E16" s="338"/>
      <c r="F16" s="338"/>
    </row>
    <row r="17" spans="1:12" ht="35" customHeight="1">
      <c r="A17" s="336" t="s">
        <v>342</v>
      </c>
      <c r="B17" s="337"/>
      <c r="C17" s="209"/>
      <c r="D17" s="157"/>
      <c r="E17" s="100" t="s">
        <v>158</v>
      </c>
      <c r="F17" s="47">
        <f>F18-F19</f>
        <v>0</v>
      </c>
    </row>
    <row r="18" spans="1:12" ht="35" customHeight="1">
      <c r="A18" s="331" t="s">
        <v>343</v>
      </c>
      <c r="B18" s="332"/>
      <c r="C18" s="160"/>
      <c r="D18" s="184"/>
      <c r="E18" s="100" t="s">
        <v>46</v>
      </c>
      <c r="F18" s="47">
        <f>C23*ERFs!B$57-(IF(C27=LISTS!A$1,ERFs!B$13,IF(C27=LISTS!A$2,ERFs!B$14,IF(C27=LISTS!A$3,ERFs!B$15,0))))*C25-C26*ERFs!B$19</f>
        <v>0</v>
      </c>
    </row>
    <row r="19" spans="1:12" s="39" customFormat="1" ht="35" customHeight="1">
      <c r="A19" s="331" t="s">
        <v>250</v>
      </c>
      <c r="B19" s="333"/>
      <c r="C19" s="86"/>
      <c r="D19" s="61"/>
      <c r="E19" s="100" t="s">
        <v>47</v>
      </c>
      <c r="F19" s="47">
        <f>IF(C21&gt;0,C21*ERFs!B$57,0)+(IF(C28=LISTS!A$5,ERFs!B$16,IF(C28=LISTS!A$6,ERFs!B$17,IF(C28=LISTS!A$7,ERFs!B$18,0))))*C25</f>
        <v>0</v>
      </c>
    </row>
    <row r="20" spans="1:12" s="39" customFormat="1" ht="35" customHeight="1">
      <c r="A20" s="331" t="s">
        <v>385</v>
      </c>
      <c r="B20" s="333"/>
      <c r="C20" s="160"/>
      <c r="D20" s="61"/>
      <c r="E20" s="65" t="s">
        <v>690</v>
      </c>
      <c r="F20" s="110"/>
    </row>
    <row r="21" spans="1:12" s="39" customFormat="1" ht="35" customHeight="1">
      <c r="A21" s="331" t="s">
        <v>143</v>
      </c>
      <c r="B21" s="333"/>
      <c r="C21" s="47">
        <f>IF(C19&gt;0,LISTS!E2*C19,0)</f>
        <v>0</v>
      </c>
      <c r="D21" s="61"/>
      <c r="E21" s="372" t="s">
        <v>615</v>
      </c>
      <c r="F21" s="443"/>
      <c r="G21" s="373" t="s">
        <v>524</v>
      </c>
      <c r="H21" s="440"/>
      <c r="I21" s="419" t="str">
        <f>IF(H21="Other", "If  'Other' for Forest Type, Please Describe:","")</f>
        <v/>
      </c>
      <c r="J21" s="444"/>
    </row>
    <row r="22" spans="1:12" ht="57" customHeight="1">
      <c r="A22" s="331" t="s">
        <v>370</v>
      </c>
      <c r="B22" s="332"/>
      <c r="C22" s="47" t="str">
        <f>LISTS!F2</f>
        <v/>
      </c>
      <c r="E22" s="373" t="s">
        <v>704</v>
      </c>
      <c r="F22" s="374" t="s">
        <v>625</v>
      </c>
      <c r="G22" s="374" t="s">
        <v>626</v>
      </c>
      <c r="H22" s="77"/>
      <c r="I22" s="374" t="s">
        <v>625</v>
      </c>
      <c r="J22" s="374" t="s">
        <v>626</v>
      </c>
      <c r="K22" s="370"/>
      <c r="L22" s="370"/>
    </row>
    <row r="23" spans="1:12" s="39" customFormat="1" ht="35" customHeight="1">
      <c r="A23" s="331" t="s">
        <v>142</v>
      </c>
      <c r="B23" s="332"/>
      <c r="C23" s="86"/>
      <c r="D23" s="61"/>
      <c r="E23" s="371" t="s">
        <v>616</v>
      </c>
      <c r="F23" s="445"/>
      <c r="G23" s="376"/>
      <c r="H23" s="371" t="s">
        <v>621</v>
      </c>
      <c r="I23" s="445"/>
      <c r="J23" s="376"/>
      <c r="L23" s="369"/>
    </row>
    <row r="24" spans="1:12" s="39" customFormat="1" ht="35" customHeight="1">
      <c r="A24" s="331" t="s">
        <v>252</v>
      </c>
      <c r="B24" s="333"/>
      <c r="C24" s="86"/>
      <c r="D24" s="61"/>
      <c r="E24" s="371" t="s">
        <v>617</v>
      </c>
      <c r="F24" s="445"/>
      <c r="G24" s="376"/>
      <c r="H24" s="371" t="s">
        <v>622</v>
      </c>
      <c r="I24" s="445"/>
      <c r="J24" s="376"/>
      <c r="K24" s="369"/>
      <c r="L24" s="369"/>
    </row>
    <row r="25" spans="1:12" ht="35" customHeight="1">
      <c r="A25" s="331" t="s">
        <v>26</v>
      </c>
      <c r="B25" s="332"/>
      <c r="C25" s="86"/>
      <c r="D25" s="32"/>
      <c r="E25" s="371" t="s">
        <v>618</v>
      </c>
      <c r="F25" s="446"/>
      <c r="G25" s="376"/>
      <c r="H25" s="371" t="s">
        <v>623</v>
      </c>
      <c r="I25" s="446"/>
      <c r="J25" s="376"/>
      <c r="K25" s="370"/>
      <c r="L25" s="370"/>
    </row>
    <row r="26" spans="1:12" ht="35" customHeight="1">
      <c r="A26" s="331" t="s">
        <v>189</v>
      </c>
      <c r="B26" s="333"/>
      <c r="C26" s="86"/>
      <c r="D26" s="32"/>
      <c r="E26" s="371" t="s">
        <v>619</v>
      </c>
      <c r="F26" s="446"/>
      <c r="G26" s="376"/>
      <c r="H26" s="371" t="s">
        <v>624</v>
      </c>
      <c r="I26" s="446"/>
      <c r="J26" s="376"/>
      <c r="K26" s="370"/>
      <c r="L26" s="370"/>
    </row>
    <row r="27" spans="1:12" ht="35" customHeight="1" thickBot="1">
      <c r="A27" s="334" t="s">
        <v>80</v>
      </c>
      <c r="B27" s="335"/>
      <c r="C27" s="70"/>
      <c r="D27" s="32"/>
      <c r="E27" s="372" t="s">
        <v>620</v>
      </c>
      <c r="F27" s="447"/>
      <c r="G27" s="376"/>
      <c r="H27" s="371"/>
      <c r="I27" s="420" t="s">
        <v>696</v>
      </c>
      <c r="J27" s="421">
        <f>IF(SUM(G23:G27,J23:J26)&gt;1, "ERROR", 1-SUM(G23:G27,J23:J26))</f>
        <v>1</v>
      </c>
      <c r="K27" s="377" t="str">
        <f>IF(J27="ERROR","TOTAL PERCENTAGE EXCEEDS 100%","")</f>
        <v/>
      </c>
      <c r="L27" s="370"/>
    </row>
    <row r="28" spans="1:12" ht="35" customHeight="1">
      <c r="A28" s="334" t="s">
        <v>27</v>
      </c>
      <c r="B28" s="335"/>
      <c r="C28" s="70"/>
      <c r="D28" s="32"/>
      <c r="E28" s="426" t="s">
        <v>627</v>
      </c>
      <c r="F28" s="375" t="s">
        <v>613</v>
      </c>
      <c r="G28" s="448"/>
      <c r="H28" s="32"/>
      <c r="I28" s="32"/>
      <c r="J28" s="32"/>
    </row>
    <row r="29" spans="1:12" ht="36" customHeight="1">
      <c r="C29" s="32"/>
      <c r="D29" s="32"/>
      <c r="E29" s="414"/>
      <c r="F29" s="371" t="s">
        <v>614</v>
      </c>
      <c r="G29" s="440"/>
      <c r="H29" s="32"/>
      <c r="I29" s="32"/>
      <c r="J29" s="32"/>
    </row>
    <row r="30" spans="1:12" s="6" customFormat="1" ht="36" customHeight="1">
      <c r="C30" s="89"/>
      <c r="D30" s="89"/>
      <c r="E30" s="452"/>
      <c r="F30" s="452"/>
      <c r="G30" s="453"/>
      <c r="H30" s="89"/>
      <c r="I30" s="89"/>
      <c r="J30" s="89"/>
    </row>
    <row r="31" spans="1:12" ht="35" customHeight="1">
      <c r="A31" s="338" t="s">
        <v>154</v>
      </c>
      <c r="B31" s="338"/>
      <c r="C31" s="338"/>
      <c r="D31" s="338"/>
      <c r="E31" s="338"/>
      <c r="F31" s="338"/>
      <c r="H31" s="190"/>
    </row>
    <row r="32" spans="1:12" s="39" customFormat="1" ht="35" customHeight="1">
      <c r="A32" s="336" t="s">
        <v>342</v>
      </c>
      <c r="B32" s="340"/>
      <c r="C32" s="160"/>
      <c r="D32" s="157"/>
      <c r="E32" s="100" t="s">
        <v>386</v>
      </c>
      <c r="F32" s="47">
        <f>F33-F34</f>
        <v>0</v>
      </c>
      <c r="H32" s="190"/>
      <c r="I32" s="161"/>
    </row>
    <row r="33" spans="1:10" s="39" customFormat="1" ht="35" customHeight="1">
      <c r="A33" s="331" t="s">
        <v>343</v>
      </c>
      <c r="B33" s="333"/>
      <c r="C33" s="160"/>
      <c r="D33" s="157"/>
      <c r="E33" s="100" t="s">
        <v>46</v>
      </c>
      <c r="F33" s="47">
        <f>C38*ERFs!B$57-(IF(C42=LISTS!A$1,ERFs!B$13,IF(C42=LISTS!A$2,ERFs!B$14,IF(C42=LISTS!A$3,ERFs!B$15,0))))*C40-C41*ERFs!B$19</f>
        <v>0</v>
      </c>
    </row>
    <row r="34" spans="1:10" s="39" customFormat="1" ht="35" customHeight="1">
      <c r="A34" s="331" t="s">
        <v>250</v>
      </c>
      <c r="B34" s="333"/>
      <c r="C34" s="86"/>
      <c r="D34" s="61"/>
      <c r="E34" s="100" t="s">
        <v>47</v>
      </c>
      <c r="F34" s="47">
        <f>C36*ERFs!B$57+(IF(C43=LISTS!A$5,ERFs!B$16,IF(C43=LISTS!A$6,ERFs!B$17,IF(C43=LISTS!A$7,ERFs!B$18,0))))*C40</f>
        <v>0</v>
      </c>
    </row>
    <row r="35" spans="1:10" s="39" customFormat="1" ht="35" customHeight="1">
      <c r="A35" s="331" t="s">
        <v>385</v>
      </c>
      <c r="B35" s="333"/>
      <c r="C35" s="160"/>
      <c r="D35" s="61"/>
      <c r="E35" s="65" t="s">
        <v>690</v>
      </c>
      <c r="F35" s="110"/>
    </row>
    <row r="36" spans="1:10" s="39" customFormat="1" ht="35" customHeight="1">
      <c r="A36" s="331" t="s">
        <v>143</v>
      </c>
      <c r="B36" s="333"/>
      <c r="C36" s="47">
        <f>IF(C34&gt;0,LISTS!E3*C34,0)</f>
        <v>0</v>
      </c>
      <c r="D36" s="61"/>
      <c r="E36" s="372" t="s">
        <v>615</v>
      </c>
      <c r="F36" s="443"/>
      <c r="G36" s="373" t="s">
        <v>524</v>
      </c>
      <c r="H36" s="440"/>
      <c r="I36" s="419" t="str">
        <f>IF(H36="Other", "If  'Other' for Forest Type, Please Describe:","")</f>
        <v/>
      </c>
      <c r="J36" s="444"/>
    </row>
    <row r="37" spans="1:10" ht="50" customHeight="1">
      <c r="A37" s="331" t="s">
        <v>370</v>
      </c>
      <c r="B37" s="333"/>
      <c r="C37" s="47" t="str">
        <f>LISTS!F3</f>
        <v/>
      </c>
      <c r="E37" s="373" t="s">
        <v>704</v>
      </c>
      <c r="F37" s="374" t="s">
        <v>625</v>
      </c>
      <c r="G37" s="374" t="s">
        <v>626</v>
      </c>
      <c r="H37" s="77"/>
      <c r="I37" s="374" t="s">
        <v>625</v>
      </c>
      <c r="J37" s="374" t="s">
        <v>626</v>
      </c>
    </row>
    <row r="38" spans="1:10" ht="35" customHeight="1">
      <c r="A38" s="331" t="s">
        <v>142</v>
      </c>
      <c r="B38" s="333"/>
      <c r="C38" s="86"/>
      <c r="D38" s="61"/>
      <c r="E38" s="371" t="s">
        <v>616</v>
      </c>
      <c r="F38" s="445"/>
      <c r="G38" s="376"/>
      <c r="H38" s="371" t="s">
        <v>621</v>
      </c>
      <c r="I38" s="445"/>
      <c r="J38" s="376"/>
    </row>
    <row r="39" spans="1:10" ht="35" customHeight="1">
      <c r="A39" s="331" t="s">
        <v>252</v>
      </c>
      <c r="B39" s="333"/>
      <c r="C39" s="86"/>
      <c r="D39" s="61"/>
      <c r="E39" s="371" t="s">
        <v>617</v>
      </c>
      <c r="F39" s="445"/>
      <c r="G39" s="376"/>
      <c r="H39" s="371" t="s">
        <v>622</v>
      </c>
      <c r="I39" s="445"/>
      <c r="J39" s="376"/>
    </row>
    <row r="40" spans="1:10" ht="35" customHeight="1">
      <c r="A40" s="331" t="s">
        <v>26</v>
      </c>
      <c r="B40" s="333"/>
      <c r="C40" s="86"/>
      <c r="D40" s="32"/>
      <c r="E40" s="371" t="s">
        <v>618</v>
      </c>
      <c r="F40" s="446"/>
      <c r="G40" s="376"/>
      <c r="H40" s="371" t="s">
        <v>623</v>
      </c>
      <c r="I40" s="446"/>
      <c r="J40" s="376"/>
    </row>
    <row r="41" spans="1:10" ht="35" customHeight="1">
      <c r="A41" s="331" t="s">
        <v>189</v>
      </c>
      <c r="B41" s="333"/>
      <c r="C41" s="86"/>
      <c r="D41" s="32"/>
      <c r="E41" s="371" t="s">
        <v>619</v>
      </c>
      <c r="F41" s="446"/>
      <c r="G41" s="376"/>
      <c r="H41" s="371" t="s">
        <v>624</v>
      </c>
      <c r="I41" s="446"/>
      <c r="J41" s="376"/>
    </row>
    <row r="42" spans="1:10" ht="35" customHeight="1" thickBot="1">
      <c r="A42" s="334" t="s">
        <v>80</v>
      </c>
      <c r="B42" s="339"/>
      <c r="C42" s="70"/>
      <c r="D42" s="32"/>
      <c r="E42" s="372" t="s">
        <v>620</v>
      </c>
      <c r="F42" s="447"/>
      <c r="G42" s="376"/>
      <c r="H42" s="371"/>
      <c r="I42" s="420" t="s">
        <v>696</v>
      </c>
      <c r="J42" s="421">
        <f>IF(SUM(G38:G42,J38:J41)&gt;1, "ERROR", 1-SUM(G38:G42,J38:J41))</f>
        <v>1</v>
      </c>
    </row>
    <row r="43" spans="1:10" s="39" customFormat="1" ht="35" customHeight="1">
      <c r="A43" s="334" t="s">
        <v>27</v>
      </c>
      <c r="B43" s="339"/>
      <c r="C43" s="70"/>
      <c r="D43" s="32"/>
      <c r="E43" s="426" t="s">
        <v>627</v>
      </c>
      <c r="F43" s="375" t="s">
        <v>613</v>
      </c>
      <c r="G43" s="448"/>
      <c r="H43" s="32"/>
      <c r="I43" s="32"/>
      <c r="J43" s="32"/>
    </row>
    <row r="44" spans="1:10" s="39" customFormat="1" ht="35" customHeight="1">
      <c r="A44" s="33"/>
      <c r="B44" s="33"/>
      <c r="C44" s="32"/>
      <c r="D44" s="32"/>
      <c r="E44" s="414"/>
      <c r="F44" s="371" t="s">
        <v>614</v>
      </c>
      <c r="G44" s="440"/>
      <c r="H44" s="32"/>
      <c r="I44" s="32"/>
      <c r="J44" s="32"/>
    </row>
    <row r="45" spans="1:10" s="455" customFormat="1" ht="35" customHeight="1">
      <c r="A45" s="454"/>
      <c r="B45" s="454"/>
      <c r="C45" s="89"/>
      <c r="D45" s="89"/>
      <c r="E45" s="452"/>
      <c r="F45" s="452"/>
      <c r="G45" s="453"/>
      <c r="H45" s="89"/>
      <c r="I45" s="89"/>
      <c r="J45" s="89"/>
    </row>
    <row r="46" spans="1:10" s="39" customFormat="1" ht="35" customHeight="1">
      <c r="A46" s="338" t="s">
        <v>155</v>
      </c>
      <c r="B46" s="338"/>
      <c r="C46" s="338"/>
      <c r="D46" s="338"/>
      <c r="E46" s="338"/>
      <c r="F46" s="338"/>
    </row>
    <row r="47" spans="1:10" s="39" customFormat="1" ht="35" customHeight="1">
      <c r="A47" s="336" t="s">
        <v>342</v>
      </c>
      <c r="B47" s="340"/>
      <c r="C47" s="160"/>
      <c r="D47" s="157"/>
      <c r="E47" s="100" t="s">
        <v>387</v>
      </c>
      <c r="F47" s="47">
        <f>F48-F49</f>
        <v>0</v>
      </c>
    </row>
    <row r="48" spans="1:10" ht="35" customHeight="1">
      <c r="A48" s="331" t="s">
        <v>343</v>
      </c>
      <c r="B48" s="333"/>
      <c r="C48" s="160"/>
      <c r="D48" s="157"/>
      <c r="E48" s="100" t="s">
        <v>46</v>
      </c>
      <c r="F48" s="47">
        <f>C53*ERFs!B$57-(IF(C57=LISTS!A$1,ERFs!B$13,IF(C57=LISTS!A$2,ERFs!B$14,IF(C57=LISTS!A$3,ERFs!B$15,0))))*C55-C56*ERFs!B$19</f>
        <v>0</v>
      </c>
    </row>
    <row r="49" spans="1:10" ht="35" customHeight="1">
      <c r="A49" s="331" t="s">
        <v>250</v>
      </c>
      <c r="B49" s="333"/>
      <c r="C49" s="86"/>
      <c r="D49" s="61"/>
      <c r="E49" s="100" t="s">
        <v>47</v>
      </c>
      <c r="F49" s="47">
        <f>C51*ERFs!B$57+(IF(C58=LISTS!A$5,ERFs!B$16,IF(C58=LISTS!A$6,ERFs!B$17,IF(C58=LISTS!A$7,ERFs!B$18,0))))*C55</f>
        <v>0</v>
      </c>
    </row>
    <row r="50" spans="1:10" ht="35" customHeight="1">
      <c r="A50" s="331" t="s">
        <v>385</v>
      </c>
      <c r="B50" s="333"/>
      <c r="C50" s="160"/>
      <c r="D50" s="61"/>
      <c r="E50" s="65" t="s">
        <v>690</v>
      </c>
      <c r="F50" s="110"/>
      <c r="G50" s="39"/>
      <c r="H50" s="39"/>
      <c r="I50" s="39"/>
      <c r="J50" s="39"/>
    </row>
    <row r="51" spans="1:10" ht="35" customHeight="1">
      <c r="A51" s="331" t="s">
        <v>143</v>
      </c>
      <c r="B51" s="333"/>
      <c r="C51" s="47">
        <f>IF(C49&gt;0,LISTS!E4*C49,0)</f>
        <v>0</v>
      </c>
      <c r="D51" s="61"/>
      <c r="E51" s="372" t="s">
        <v>615</v>
      </c>
      <c r="F51" s="443"/>
      <c r="G51" s="373" t="s">
        <v>524</v>
      </c>
      <c r="H51" s="440"/>
      <c r="I51" s="419" t="str">
        <f>IF(H51="Other", "If  'Other' for Forest Type, Please Describe:","")</f>
        <v/>
      </c>
      <c r="J51" s="444"/>
    </row>
    <row r="52" spans="1:10" ht="56" customHeight="1">
      <c r="A52" s="331" t="s">
        <v>370</v>
      </c>
      <c r="B52" s="333"/>
      <c r="C52" s="47" t="str">
        <f>LISTS!F4</f>
        <v/>
      </c>
      <c r="E52" s="373" t="s">
        <v>704</v>
      </c>
      <c r="F52" s="374" t="s">
        <v>625</v>
      </c>
      <c r="G52" s="374" t="s">
        <v>626</v>
      </c>
      <c r="H52" s="77"/>
      <c r="I52" s="374" t="s">
        <v>625</v>
      </c>
      <c r="J52" s="374" t="s">
        <v>626</v>
      </c>
    </row>
    <row r="53" spans="1:10" ht="35" customHeight="1">
      <c r="A53" s="331" t="s">
        <v>142</v>
      </c>
      <c r="B53" s="333"/>
      <c r="C53" s="86"/>
      <c r="D53" s="61"/>
      <c r="E53" s="371" t="s">
        <v>616</v>
      </c>
      <c r="F53" s="445"/>
      <c r="G53" s="376"/>
      <c r="H53" s="371" t="s">
        <v>621</v>
      </c>
      <c r="I53" s="445"/>
      <c r="J53" s="376"/>
    </row>
    <row r="54" spans="1:10" ht="35" customHeight="1">
      <c r="A54" s="331" t="s">
        <v>252</v>
      </c>
      <c r="B54" s="333"/>
      <c r="C54" s="86"/>
      <c r="D54" s="61"/>
      <c r="E54" s="371" t="s">
        <v>617</v>
      </c>
      <c r="F54" s="445"/>
      <c r="G54" s="376"/>
      <c r="H54" s="371" t="s">
        <v>622</v>
      </c>
      <c r="I54" s="445"/>
      <c r="J54" s="376"/>
    </row>
    <row r="55" spans="1:10" s="39" customFormat="1" ht="35" customHeight="1">
      <c r="A55" s="331" t="s">
        <v>26</v>
      </c>
      <c r="B55" s="333"/>
      <c r="C55" s="86"/>
      <c r="D55" s="32"/>
      <c r="E55" s="371" t="s">
        <v>618</v>
      </c>
      <c r="F55" s="446"/>
      <c r="G55" s="376"/>
      <c r="H55" s="371" t="s">
        <v>623</v>
      </c>
      <c r="I55" s="446"/>
      <c r="J55" s="376"/>
    </row>
    <row r="56" spans="1:10" s="39" customFormat="1" ht="35" customHeight="1">
      <c r="A56" s="331" t="s">
        <v>189</v>
      </c>
      <c r="B56" s="333"/>
      <c r="C56" s="86"/>
      <c r="D56" s="32"/>
      <c r="E56" s="371" t="s">
        <v>619</v>
      </c>
      <c r="F56" s="446"/>
      <c r="G56" s="376"/>
      <c r="H56" s="371" t="s">
        <v>624</v>
      </c>
      <c r="I56" s="446"/>
      <c r="J56" s="376"/>
    </row>
    <row r="57" spans="1:10" s="39" customFormat="1" ht="35" customHeight="1" thickBot="1">
      <c r="A57" s="334" t="s">
        <v>80</v>
      </c>
      <c r="B57" s="339"/>
      <c r="C57" s="70"/>
      <c r="D57" s="32"/>
      <c r="E57" s="372" t="s">
        <v>620</v>
      </c>
      <c r="F57" s="447"/>
      <c r="G57" s="376"/>
      <c r="H57" s="371"/>
      <c r="I57" s="420" t="s">
        <v>696</v>
      </c>
      <c r="J57" s="421">
        <f>IF(SUM(G53:G57,J53:J56)&gt;1, "ERROR", 1-SUM(G53:G57,J53:J56))</f>
        <v>1</v>
      </c>
    </row>
    <row r="58" spans="1:10" s="39" customFormat="1" ht="35" customHeight="1">
      <c r="A58" s="334" t="s">
        <v>27</v>
      </c>
      <c r="B58" s="339"/>
      <c r="C58" s="70"/>
      <c r="D58" s="32"/>
      <c r="E58" s="426" t="s">
        <v>627</v>
      </c>
      <c r="F58" s="375" t="s">
        <v>613</v>
      </c>
      <c r="G58" s="448"/>
      <c r="H58" s="32"/>
      <c r="I58" s="32"/>
      <c r="J58" s="32"/>
    </row>
    <row r="59" spans="1:10" ht="35" customHeight="1">
      <c r="A59" s="33"/>
      <c r="B59" s="33"/>
      <c r="C59" s="32"/>
      <c r="D59" s="32"/>
      <c r="E59" s="414"/>
      <c r="F59" s="371" t="s">
        <v>614</v>
      </c>
      <c r="G59" s="440"/>
      <c r="H59" s="32"/>
      <c r="I59" s="32"/>
      <c r="J59" s="32"/>
    </row>
    <row r="60" spans="1:10" s="6" customFormat="1" ht="35" customHeight="1">
      <c r="A60" s="454"/>
      <c r="B60" s="454"/>
      <c r="C60" s="89"/>
      <c r="D60" s="89"/>
      <c r="E60" s="452"/>
      <c r="F60" s="452"/>
      <c r="G60" s="453"/>
      <c r="H60" s="89"/>
      <c r="I60" s="89"/>
      <c r="J60" s="89"/>
    </row>
    <row r="61" spans="1:10" ht="35" customHeight="1">
      <c r="A61" s="338" t="s">
        <v>156</v>
      </c>
      <c r="B61" s="338"/>
      <c r="C61" s="338"/>
      <c r="D61" s="338"/>
      <c r="E61" s="338"/>
      <c r="F61" s="338"/>
    </row>
    <row r="62" spans="1:10" ht="35" customHeight="1">
      <c r="A62" s="336" t="s">
        <v>342</v>
      </c>
      <c r="B62" s="340"/>
      <c r="C62" s="160"/>
      <c r="D62" s="157"/>
      <c r="E62" s="100" t="s">
        <v>388</v>
      </c>
      <c r="F62" s="47">
        <f>F63-F64</f>
        <v>0</v>
      </c>
    </row>
    <row r="63" spans="1:10" ht="35" customHeight="1">
      <c r="A63" s="331" t="s">
        <v>343</v>
      </c>
      <c r="B63" s="333"/>
      <c r="C63" s="160"/>
      <c r="D63" s="157"/>
      <c r="E63" s="100" t="s">
        <v>46</v>
      </c>
      <c r="F63" s="47">
        <f>C68*ERFs!B$57-(IF(C72=LISTS!A$1,ERFs!B$13,IF(C72=LISTS!A$2,ERFs!B$14,IF(C72=LISTS!A$3,ERFs!B$15,0))))*C70-C71*ERFs!B$19</f>
        <v>0</v>
      </c>
    </row>
    <row r="64" spans="1:10" ht="35" customHeight="1">
      <c r="A64" s="331" t="s">
        <v>250</v>
      </c>
      <c r="B64" s="333"/>
      <c r="C64" s="86"/>
      <c r="D64" s="61"/>
      <c r="E64" s="100" t="s">
        <v>47</v>
      </c>
      <c r="F64" s="47">
        <f>C66*ERFs!B$57+(IF(C73=LISTS!A$5,ERFs!B$16,IF(C73=LISTS!A$6,ERFs!B$17,IF(C73=LISTS!A$7,ERFs!B$18,0))))*C70</f>
        <v>0</v>
      </c>
    </row>
    <row r="65" spans="1:10" ht="35" customHeight="1">
      <c r="A65" s="331" t="s">
        <v>385</v>
      </c>
      <c r="B65" s="333"/>
      <c r="C65" s="160"/>
      <c r="D65" s="61"/>
      <c r="E65" s="65" t="s">
        <v>690</v>
      </c>
      <c r="F65" s="110"/>
      <c r="G65" s="39"/>
      <c r="H65" s="39"/>
      <c r="I65" s="39"/>
      <c r="J65" s="39"/>
    </row>
    <row r="66" spans="1:10" ht="35" customHeight="1">
      <c r="A66" s="331" t="s">
        <v>143</v>
      </c>
      <c r="B66" s="333"/>
      <c r="C66" s="47">
        <f>IF(C64&gt;0,LISTS!E5*C64,0)</f>
        <v>0</v>
      </c>
      <c r="D66" s="61"/>
      <c r="E66" s="372" t="s">
        <v>615</v>
      </c>
      <c r="F66" s="443"/>
      <c r="G66" s="373" t="s">
        <v>524</v>
      </c>
      <c r="H66" s="440"/>
      <c r="I66" s="419" t="str">
        <f>IF(H66="Other", "If  'Other' for Forest Type, Please Describe:","")</f>
        <v/>
      </c>
      <c r="J66" s="444"/>
    </row>
    <row r="67" spans="1:10" s="39" customFormat="1" ht="57" customHeight="1">
      <c r="A67" s="331" t="s">
        <v>370</v>
      </c>
      <c r="B67" s="333"/>
      <c r="C67" s="47" t="str">
        <f>LISTS!F5</f>
        <v/>
      </c>
      <c r="D67" s="1"/>
      <c r="E67" s="373" t="s">
        <v>704</v>
      </c>
      <c r="F67" s="374" t="s">
        <v>625</v>
      </c>
      <c r="G67" s="374" t="s">
        <v>626</v>
      </c>
      <c r="H67" s="77"/>
      <c r="I67" s="374" t="s">
        <v>625</v>
      </c>
      <c r="J67" s="374" t="s">
        <v>626</v>
      </c>
    </row>
    <row r="68" spans="1:10" s="39" customFormat="1" ht="35" customHeight="1">
      <c r="A68" s="331" t="s">
        <v>142</v>
      </c>
      <c r="B68" s="333"/>
      <c r="C68" s="86"/>
      <c r="D68" s="61"/>
      <c r="E68" s="371" t="s">
        <v>616</v>
      </c>
      <c r="F68" s="445"/>
      <c r="G68" s="376"/>
      <c r="H68" s="371" t="s">
        <v>621</v>
      </c>
      <c r="I68" s="445"/>
      <c r="J68" s="376"/>
    </row>
    <row r="69" spans="1:10" s="39" customFormat="1" ht="35" customHeight="1">
      <c r="A69" s="331" t="s">
        <v>252</v>
      </c>
      <c r="B69" s="333"/>
      <c r="C69" s="86"/>
      <c r="D69" s="61"/>
      <c r="E69" s="371" t="s">
        <v>617</v>
      </c>
      <c r="F69" s="445"/>
      <c r="G69" s="376"/>
      <c r="H69" s="371" t="s">
        <v>622</v>
      </c>
      <c r="I69" s="445"/>
      <c r="J69" s="376"/>
    </row>
    <row r="70" spans="1:10" s="39" customFormat="1" ht="35" customHeight="1">
      <c r="A70" s="331" t="s">
        <v>26</v>
      </c>
      <c r="B70" s="333"/>
      <c r="C70" s="86"/>
      <c r="D70" s="32"/>
      <c r="E70" s="371" t="s">
        <v>618</v>
      </c>
      <c r="F70" s="446"/>
      <c r="G70" s="376"/>
      <c r="H70" s="371" t="s">
        <v>623</v>
      </c>
      <c r="I70" s="446"/>
      <c r="J70" s="376"/>
    </row>
    <row r="71" spans="1:10" ht="35" customHeight="1">
      <c r="A71" s="331" t="s">
        <v>189</v>
      </c>
      <c r="B71" s="333"/>
      <c r="C71" s="86"/>
      <c r="D71" s="32"/>
      <c r="E71" s="371" t="s">
        <v>619</v>
      </c>
      <c r="F71" s="446"/>
      <c r="G71" s="376"/>
      <c r="H71" s="371" t="s">
        <v>624</v>
      </c>
      <c r="I71" s="446"/>
      <c r="J71" s="376"/>
    </row>
    <row r="72" spans="1:10" ht="35" customHeight="1" thickBot="1">
      <c r="A72" s="334" t="s">
        <v>80</v>
      </c>
      <c r="B72" s="339"/>
      <c r="C72" s="70"/>
      <c r="D72" s="32"/>
      <c r="E72" s="372" t="s">
        <v>620</v>
      </c>
      <c r="F72" s="447"/>
      <c r="G72" s="376"/>
      <c r="H72" s="371"/>
      <c r="I72" s="420" t="s">
        <v>696</v>
      </c>
      <c r="J72" s="421">
        <f>IF(SUM(G68:G72,J68:J71)&gt;1, "ERROR", 1-SUM(G68:G72,J68:J71))</f>
        <v>1</v>
      </c>
    </row>
    <row r="73" spans="1:10" ht="35" customHeight="1">
      <c r="A73" s="334" t="s">
        <v>27</v>
      </c>
      <c r="B73" s="339"/>
      <c r="C73" s="70"/>
      <c r="D73" s="32"/>
      <c r="E73" s="426" t="s">
        <v>627</v>
      </c>
      <c r="F73" s="375" t="s">
        <v>613</v>
      </c>
      <c r="G73" s="448"/>
      <c r="H73" s="32"/>
      <c r="I73" s="32"/>
      <c r="J73" s="32"/>
    </row>
    <row r="74" spans="1:10" ht="35" customHeight="1">
      <c r="A74"/>
      <c r="B74"/>
      <c r="C74"/>
      <c r="D74" s="32"/>
      <c r="E74" s="414"/>
      <c r="F74" s="371" t="s">
        <v>614</v>
      </c>
      <c r="G74" s="440"/>
      <c r="H74" s="32"/>
      <c r="I74" s="32"/>
      <c r="J74" s="32"/>
    </row>
    <row r="75" spans="1:10" s="6" customFormat="1" ht="35" customHeight="1">
      <c r="A75" s="456"/>
      <c r="B75" s="456"/>
      <c r="C75" s="457"/>
      <c r="D75" s="89"/>
      <c r="E75" s="452"/>
      <c r="F75" s="452"/>
      <c r="G75" s="453"/>
      <c r="H75" s="89"/>
      <c r="I75" s="89"/>
      <c r="J75" s="89"/>
    </row>
    <row r="76" spans="1:10" ht="35" customHeight="1">
      <c r="A76" s="338" t="s">
        <v>157</v>
      </c>
      <c r="B76" s="338"/>
      <c r="C76" s="338"/>
      <c r="D76" s="338"/>
      <c r="E76" s="338"/>
      <c r="F76" s="338"/>
    </row>
    <row r="77" spans="1:10" ht="35" customHeight="1">
      <c r="A77" s="336" t="s">
        <v>342</v>
      </c>
      <c r="B77" s="340"/>
      <c r="C77" s="160"/>
      <c r="D77" s="157"/>
      <c r="E77" s="100" t="s">
        <v>389</v>
      </c>
      <c r="F77" s="47">
        <f>F78-F79</f>
        <v>0</v>
      </c>
    </row>
    <row r="78" spans="1:10" ht="35" customHeight="1">
      <c r="A78" s="331" t="s">
        <v>343</v>
      </c>
      <c r="B78" s="333"/>
      <c r="C78" s="160"/>
      <c r="D78" s="157"/>
      <c r="E78" s="100" t="s">
        <v>46</v>
      </c>
      <c r="F78" s="47">
        <f>C83*ERFs!B$57-(IF(C87=LISTS!A$1,ERFs!B$13,IF(C87=LISTS!A$2,ERFs!B$14,IF(C87=LISTS!A$3,ERFs!B$15,0))))*C85-C86*ERFs!B$19</f>
        <v>0</v>
      </c>
    </row>
    <row r="79" spans="1:10" ht="35" customHeight="1">
      <c r="A79" s="331" t="s">
        <v>250</v>
      </c>
      <c r="B79" s="333"/>
      <c r="C79" s="86"/>
      <c r="D79" s="61"/>
      <c r="E79" s="100" t="s">
        <v>47</v>
      </c>
      <c r="F79" s="47">
        <f>C81*ERFs!B$57+(IF(C88=LISTS!A$5,ERFs!B$16,IF(C88=LISTS!A$6,ERFs!B$17,IF(C88=LISTS!A$7,ERFs!B$18,0))))*C85</f>
        <v>0</v>
      </c>
    </row>
    <row r="80" spans="1:10" ht="35" customHeight="1">
      <c r="A80" s="331" t="s">
        <v>385</v>
      </c>
      <c r="B80" s="333"/>
      <c r="C80" s="160"/>
      <c r="D80" s="61"/>
      <c r="E80" s="65" t="s">
        <v>690</v>
      </c>
      <c r="F80" s="110"/>
      <c r="G80" s="39"/>
      <c r="H80" s="39"/>
      <c r="I80" s="39"/>
      <c r="J80" s="39"/>
    </row>
    <row r="81" spans="1:10" ht="35" customHeight="1">
      <c r="A81" s="331" t="s">
        <v>143</v>
      </c>
      <c r="B81" s="333"/>
      <c r="C81" s="47">
        <f>IF(C79&gt;0,LISTS!E6*C79,0)</f>
        <v>0</v>
      </c>
      <c r="D81" s="61"/>
      <c r="E81" s="372" t="s">
        <v>615</v>
      </c>
      <c r="F81" s="443"/>
      <c r="G81" s="373" t="s">
        <v>524</v>
      </c>
      <c r="H81" s="440"/>
      <c r="I81" s="419" t="str">
        <f>IF(H81="Other", "If  'Other' for Forest Type, Please Describe:","")</f>
        <v/>
      </c>
      <c r="J81" s="444"/>
    </row>
    <row r="82" spans="1:10" ht="35" customHeight="1">
      <c r="A82" s="331" t="s">
        <v>370</v>
      </c>
      <c r="B82" s="333"/>
      <c r="C82" s="47" t="str">
        <f>LISTS!F6</f>
        <v/>
      </c>
      <c r="E82" s="373" t="s">
        <v>704</v>
      </c>
      <c r="F82" s="374" t="s">
        <v>625</v>
      </c>
      <c r="G82" s="374" t="s">
        <v>626</v>
      </c>
      <c r="H82" s="77"/>
      <c r="I82" s="374" t="s">
        <v>625</v>
      </c>
      <c r="J82" s="374" t="s">
        <v>626</v>
      </c>
    </row>
    <row r="83" spans="1:10" ht="35" customHeight="1">
      <c r="A83" s="331" t="s">
        <v>142</v>
      </c>
      <c r="B83" s="333"/>
      <c r="C83" s="86"/>
      <c r="D83" s="61"/>
      <c r="E83" s="371" t="s">
        <v>616</v>
      </c>
      <c r="F83" s="445"/>
      <c r="G83" s="376"/>
      <c r="H83" s="371" t="s">
        <v>621</v>
      </c>
      <c r="I83" s="445"/>
      <c r="J83" s="376"/>
    </row>
    <row r="84" spans="1:10" ht="35" customHeight="1">
      <c r="A84" s="331" t="s">
        <v>252</v>
      </c>
      <c r="B84" s="333"/>
      <c r="C84" s="86"/>
      <c r="D84" s="61"/>
      <c r="E84" s="371" t="s">
        <v>617</v>
      </c>
      <c r="F84" s="445"/>
      <c r="G84" s="376"/>
      <c r="H84" s="371" t="s">
        <v>622</v>
      </c>
      <c r="I84" s="445"/>
      <c r="J84" s="376"/>
    </row>
    <row r="85" spans="1:10" ht="35" customHeight="1">
      <c r="A85" s="331" t="s">
        <v>26</v>
      </c>
      <c r="B85" s="333"/>
      <c r="C85" s="86"/>
      <c r="D85" s="32"/>
      <c r="E85" s="371" t="s">
        <v>618</v>
      </c>
      <c r="F85" s="446"/>
      <c r="G85" s="376"/>
      <c r="H85" s="371" t="s">
        <v>623</v>
      </c>
      <c r="I85" s="446"/>
      <c r="J85" s="376"/>
    </row>
    <row r="86" spans="1:10" ht="35" customHeight="1">
      <c r="A86" s="331" t="s">
        <v>189</v>
      </c>
      <c r="B86" s="333"/>
      <c r="C86" s="86"/>
      <c r="D86" s="32"/>
      <c r="E86" s="371" t="s">
        <v>619</v>
      </c>
      <c r="F86" s="446"/>
      <c r="G86" s="376"/>
      <c r="H86" s="371" t="s">
        <v>624</v>
      </c>
      <c r="I86" s="446"/>
      <c r="J86" s="376"/>
    </row>
    <row r="87" spans="1:10" ht="35" customHeight="1" thickBot="1">
      <c r="A87" s="334" t="s">
        <v>80</v>
      </c>
      <c r="B87" s="339"/>
      <c r="C87" s="70"/>
      <c r="D87" s="32"/>
      <c r="E87" s="372" t="s">
        <v>620</v>
      </c>
      <c r="F87" s="447"/>
      <c r="G87" s="376"/>
      <c r="H87" s="371"/>
      <c r="I87" s="420" t="s">
        <v>696</v>
      </c>
      <c r="J87" s="421">
        <f>IF(SUM(G83:G87,J83:J86)&gt;1, "ERROR", 1-SUM(G83:G87,J83:J86))</f>
        <v>1</v>
      </c>
    </row>
    <row r="88" spans="1:10" ht="35" customHeight="1">
      <c r="A88" s="334" t="s">
        <v>27</v>
      </c>
      <c r="B88" s="339"/>
      <c r="C88" s="70"/>
      <c r="D88" s="32"/>
      <c r="E88" s="426" t="s">
        <v>627</v>
      </c>
      <c r="F88" s="375" t="s">
        <v>613</v>
      </c>
      <c r="G88" s="448"/>
      <c r="H88" s="32"/>
      <c r="I88" s="32"/>
      <c r="J88" s="32"/>
    </row>
    <row r="89" spans="1:10" ht="35" customHeight="1">
      <c r="A89" s="33"/>
      <c r="B89" s="33"/>
      <c r="C89" s="32"/>
      <c r="D89" s="32"/>
      <c r="E89" s="414"/>
      <c r="F89" s="371" t="s">
        <v>614</v>
      </c>
      <c r="G89" s="440"/>
      <c r="H89" s="32"/>
      <c r="I89" s="32"/>
      <c r="J89" s="32"/>
    </row>
    <row r="90" spans="1:10" s="6" customFormat="1" ht="35" customHeight="1">
      <c r="A90" s="454"/>
      <c r="B90" s="454"/>
      <c r="C90" s="89"/>
      <c r="D90" s="89"/>
      <c r="E90" s="452"/>
      <c r="F90" s="452"/>
      <c r="G90" s="453"/>
      <c r="H90" s="89"/>
      <c r="I90" s="89"/>
      <c r="J90" s="89"/>
    </row>
    <row r="91" spans="1:10" ht="35" customHeight="1">
      <c r="A91" s="338" t="s">
        <v>302</v>
      </c>
      <c r="B91" s="338"/>
      <c r="C91" s="338"/>
      <c r="D91" s="338"/>
      <c r="E91" s="338"/>
      <c r="F91" s="338"/>
    </row>
    <row r="92" spans="1:10" ht="35" customHeight="1">
      <c r="A92" s="336" t="s">
        <v>342</v>
      </c>
      <c r="B92" s="340"/>
      <c r="C92" s="160"/>
      <c r="D92" s="157"/>
      <c r="E92" s="100" t="s">
        <v>390</v>
      </c>
      <c r="F92" s="47">
        <f>F93-F94</f>
        <v>0</v>
      </c>
    </row>
    <row r="93" spans="1:10" ht="35" customHeight="1">
      <c r="A93" s="331" t="s">
        <v>343</v>
      </c>
      <c r="B93" s="333"/>
      <c r="C93" s="160"/>
      <c r="D93" s="157"/>
      <c r="E93" s="100" t="s">
        <v>46</v>
      </c>
      <c r="F93" s="47">
        <f>C98*ERFs!B$57-(IF(C102=LISTS!A$1,ERFs!B$13,IF(C102=LISTS!A$2,ERFs!B$14,IF(C102=LISTS!A$3,ERFs!B$15,0))))*C100-C101*ERFs!B$19</f>
        <v>0</v>
      </c>
    </row>
    <row r="94" spans="1:10" ht="35" customHeight="1">
      <c r="A94" s="331" t="s">
        <v>250</v>
      </c>
      <c r="B94" s="333"/>
      <c r="C94" s="86"/>
      <c r="D94" s="61"/>
      <c r="E94" s="100" t="s">
        <v>47</v>
      </c>
      <c r="F94" s="47">
        <f>C96*ERFs!B$57+(IF(C103=LISTS!A$5,ERFs!B$16,IF(C103=LISTS!A$6,ERFs!B$17,IF(C103=LISTS!A$7,ERFs!B$18,0))))*C100</f>
        <v>0</v>
      </c>
    </row>
    <row r="95" spans="1:10" ht="35" customHeight="1">
      <c r="A95" s="331" t="s">
        <v>385</v>
      </c>
      <c r="B95" s="333"/>
      <c r="C95" s="160"/>
      <c r="D95" s="61"/>
      <c r="E95" s="65" t="s">
        <v>690</v>
      </c>
      <c r="F95" s="110"/>
      <c r="G95" s="39"/>
      <c r="H95" s="39"/>
      <c r="I95" s="39"/>
      <c r="J95" s="39"/>
    </row>
    <row r="96" spans="1:10" ht="35" customHeight="1">
      <c r="A96" s="331" t="s">
        <v>143</v>
      </c>
      <c r="B96" s="333"/>
      <c r="C96" s="47">
        <f>IF(C94&gt;0,'Baseline Reforestation'!S73*C7,0)</f>
        <v>0</v>
      </c>
      <c r="D96" s="61"/>
      <c r="E96" s="372" t="s">
        <v>615</v>
      </c>
      <c r="F96" s="443"/>
      <c r="G96" s="373" t="s">
        <v>524</v>
      </c>
      <c r="H96" s="440"/>
      <c r="I96" s="419" t="str">
        <f>IF(H96="Other", "If  'Other' for Forest Type, Please Describe:","")</f>
        <v/>
      </c>
      <c r="J96" s="444"/>
    </row>
    <row r="97" spans="1:10" ht="35" customHeight="1">
      <c r="A97" s="331" t="s">
        <v>370</v>
      </c>
      <c r="B97" s="333"/>
      <c r="C97" s="47" t="str">
        <f>LISTS!F7</f>
        <v/>
      </c>
      <c r="E97" s="373" t="s">
        <v>704</v>
      </c>
      <c r="F97" s="374" t="s">
        <v>625</v>
      </c>
      <c r="G97" s="374" t="s">
        <v>626</v>
      </c>
      <c r="H97" s="77"/>
      <c r="I97" s="374" t="s">
        <v>625</v>
      </c>
      <c r="J97" s="374" t="s">
        <v>626</v>
      </c>
    </row>
    <row r="98" spans="1:10" ht="35" customHeight="1">
      <c r="A98" s="331" t="s">
        <v>142</v>
      </c>
      <c r="B98" s="333"/>
      <c r="C98" s="86"/>
      <c r="D98" s="61"/>
      <c r="E98" s="371" t="s">
        <v>616</v>
      </c>
      <c r="F98" s="445"/>
      <c r="G98" s="376"/>
      <c r="H98" s="371" t="s">
        <v>621</v>
      </c>
      <c r="I98" s="445"/>
      <c r="J98" s="376"/>
    </row>
    <row r="99" spans="1:10" ht="35" customHeight="1">
      <c r="A99" s="331" t="s">
        <v>252</v>
      </c>
      <c r="B99" s="333"/>
      <c r="C99" s="86"/>
      <c r="D99" s="61"/>
      <c r="E99" s="371" t="s">
        <v>617</v>
      </c>
      <c r="F99" s="445"/>
      <c r="G99" s="376"/>
      <c r="H99" s="371" t="s">
        <v>622</v>
      </c>
      <c r="I99" s="445"/>
      <c r="J99" s="376"/>
    </row>
    <row r="100" spans="1:10" ht="35" customHeight="1">
      <c r="A100" s="331" t="s">
        <v>26</v>
      </c>
      <c r="B100" s="333"/>
      <c r="C100" s="86"/>
      <c r="D100" s="32"/>
      <c r="E100" s="371" t="s">
        <v>618</v>
      </c>
      <c r="F100" s="446"/>
      <c r="G100" s="376"/>
      <c r="H100" s="371" t="s">
        <v>623</v>
      </c>
      <c r="I100" s="446"/>
      <c r="J100" s="376"/>
    </row>
    <row r="101" spans="1:10" ht="35" customHeight="1">
      <c r="A101" s="331" t="s">
        <v>189</v>
      </c>
      <c r="B101" s="333"/>
      <c r="C101" s="86"/>
      <c r="D101" s="32"/>
      <c r="E101" s="371" t="s">
        <v>619</v>
      </c>
      <c r="F101" s="446"/>
      <c r="G101" s="376"/>
      <c r="H101" s="371" t="s">
        <v>624</v>
      </c>
      <c r="I101" s="446"/>
      <c r="J101" s="376"/>
    </row>
    <row r="102" spans="1:10" ht="35" customHeight="1" thickBot="1">
      <c r="A102" s="334" t="s">
        <v>80</v>
      </c>
      <c r="B102" s="339"/>
      <c r="C102" s="70"/>
      <c r="D102" s="32"/>
      <c r="E102" s="372" t="s">
        <v>620</v>
      </c>
      <c r="F102" s="447"/>
      <c r="G102" s="376"/>
      <c r="H102" s="371"/>
      <c r="I102" s="420" t="s">
        <v>696</v>
      </c>
      <c r="J102" s="421">
        <f>IF(SUM(G98:G102,J98:J101)&gt;1, "ERROR", 1-SUM(G98:G102,J98:J101))</f>
        <v>1</v>
      </c>
    </row>
    <row r="103" spans="1:10" ht="35" customHeight="1">
      <c r="A103" s="334" t="s">
        <v>27</v>
      </c>
      <c r="B103" s="339"/>
      <c r="C103" s="70"/>
      <c r="D103" s="32"/>
      <c r="E103" s="426" t="s">
        <v>627</v>
      </c>
      <c r="F103" s="375" t="s">
        <v>613</v>
      </c>
      <c r="G103" s="448"/>
      <c r="H103" s="32"/>
      <c r="I103" s="32"/>
      <c r="J103" s="32"/>
    </row>
    <row r="104" spans="1:10" ht="35" customHeight="1">
      <c r="A104" s="33"/>
      <c r="B104" s="33"/>
      <c r="C104" s="32"/>
      <c r="D104" s="32"/>
      <c r="E104" s="414"/>
      <c r="F104" s="371" t="s">
        <v>614</v>
      </c>
      <c r="G104" s="440"/>
      <c r="H104" s="32"/>
      <c r="I104" s="32"/>
      <c r="J104" s="32"/>
    </row>
    <row r="105" spans="1:10" s="6" customFormat="1" ht="35" customHeight="1">
      <c r="A105" s="454"/>
      <c r="B105" s="454"/>
      <c r="C105" s="89"/>
      <c r="D105" s="89"/>
      <c r="E105" s="452"/>
      <c r="F105" s="452"/>
      <c r="G105" s="453"/>
      <c r="H105" s="89"/>
      <c r="I105" s="89"/>
      <c r="J105" s="89"/>
    </row>
    <row r="106" spans="1:10" ht="35" customHeight="1">
      <c r="A106" s="338" t="s">
        <v>303</v>
      </c>
      <c r="B106" s="338"/>
      <c r="C106" s="338"/>
      <c r="D106" s="338"/>
      <c r="E106" s="338"/>
      <c r="F106" s="338"/>
    </row>
    <row r="107" spans="1:10" ht="35" customHeight="1">
      <c r="A107" s="336" t="s">
        <v>342</v>
      </c>
      <c r="B107" s="340"/>
      <c r="C107" s="160"/>
      <c r="D107" s="157"/>
      <c r="E107" s="100" t="s">
        <v>391</v>
      </c>
      <c r="F107" s="47">
        <f>F108-F109</f>
        <v>0</v>
      </c>
    </row>
    <row r="108" spans="1:10" ht="35" customHeight="1">
      <c r="A108" s="331" t="s">
        <v>343</v>
      </c>
      <c r="B108" s="333"/>
      <c r="C108" s="160"/>
      <c r="D108" s="157"/>
      <c r="E108" s="100" t="s">
        <v>46</v>
      </c>
      <c r="F108" s="47">
        <f>C113*ERFs!B$57-(IF(C117=LISTS!A$1,ERFs!B$13,IF(C117=LISTS!A$2,ERFs!B$14,IF(C117=LISTS!A$3,ERFs!B$15,0))))*C115-C116*ERFs!B$19</f>
        <v>0</v>
      </c>
    </row>
    <row r="109" spans="1:10" ht="35" customHeight="1">
      <c r="A109" s="331" t="s">
        <v>250</v>
      </c>
      <c r="B109" s="333"/>
      <c r="C109" s="86"/>
      <c r="D109" s="61"/>
      <c r="E109" s="100" t="s">
        <v>47</v>
      </c>
      <c r="F109" s="47">
        <f>C111*ERFs!B$57+(IF(C118=LISTS!A$5,ERFs!B$16,IF(C118=LISTS!A$6,ERFs!B$17,IF(C118=LISTS!A$7,ERFs!B$18,0))))*C115</f>
        <v>0</v>
      </c>
    </row>
    <row r="110" spans="1:10" ht="35" customHeight="1">
      <c r="A110" s="331" t="s">
        <v>385</v>
      </c>
      <c r="B110" s="333"/>
      <c r="C110" s="160"/>
      <c r="D110" s="61"/>
      <c r="E110" s="65" t="s">
        <v>690</v>
      </c>
      <c r="F110" s="110"/>
      <c r="G110" s="39"/>
      <c r="H110" s="39"/>
      <c r="I110" s="39"/>
      <c r="J110" s="39"/>
    </row>
    <row r="111" spans="1:10" ht="35" customHeight="1">
      <c r="A111" s="331" t="s">
        <v>143</v>
      </c>
      <c r="B111" s="333"/>
      <c r="C111" s="47">
        <f>IF(C109&gt;0,LISTS!E8*C109,0)</f>
        <v>0</v>
      </c>
      <c r="D111" s="61"/>
      <c r="E111" s="372" t="s">
        <v>615</v>
      </c>
      <c r="F111" s="443"/>
      <c r="G111" s="373" t="s">
        <v>524</v>
      </c>
      <c r="H111" s="440"/>
      <c r="I111" s="419" t="str">
        <f>IF(H111="Other", "If  'Other' for Forest Type, Please Describe:","")</f>
        <v/>
      </c>
      <c r="J111" s="444"/>
    </row>
    <row r="112" spans="1:10" ht="35" customHeight="1">
      <c r="A112" s="331" t="s">
        <v>370</v>
      </c>
      <c r="B112" s="333"/>
      <c r="C112" s="47" t="str">
        <f>LISTS!F8</f>
        <v/>
      </c>
      <c r="E112" s="373" t="s">
        <v>704</v>
      </c>
      <c r="F112" s="374" t="s">
        <v>625</v>
      </c>
      <c r="G112" s="374" t="s">
        <v>626</v>
      </c>
      <c r="H112" s="77"/>
      <c r="I112" s="374" t="s">
        <v>625</v>
      </c>
      <c r="J112" s="374" t="s">
        <v>626</v>
      </c>
    </row>
    <row r="113" spans="1:10" ht="35" customHeight="1">
      <c r="A113" s="331" t="s">
        <v>142</v>
      </c>
      <c r="B113" s="333"/>
      <c r="C113" s="86"/>
      <c r="D113" s="61"/>
      <c r="E113" s="371" t="s">
        <v>616</v>
      </c>
      <c r="F113" s="445"/>
      <c r="G113" s="376"/>
      <c r="H113" s="371" t="s">
        <v>621</v>
      </c>
      <c r="I113" s="445"/>
      <c r="J113" s="376"/>
    </row>
    <row r="114" spans="1:10" ht="35" customHeight="1">
      <c r="A114" s="331" t="s">
        <v>252</v>
      </c>
      <c r="B114" s="333"/>
      <c r="C114" s="86"/>
      <c r="D114" s="61"/>
      <c r="E114" s="371" t="s">
        <v>617</v>
      </c>
      <c r="F114" s="445"/>
      <c r="G114" s="376"/>
      <c r="H114" s="371" t="s">
        <v>622</v>
      </c>
      <c r="I114" s="445"/>
      <c r="J114" s="376"/>
    </row>
    <row r="115" spans="1:10" ht="35" customHeight="1">
      <c r="A115" s="331" t="s">
        <v>26</v>
      </c>
      <c r="B115" s="333"/>
      <c r="C115" s="86"/>
      <c r="D115" s="32"/>
      <c r="E115" s="371" t="s">
        <v>618</v>
      </c>
      <c r="F115" s="446"/>
      <c r="G115" s="376"/>
      <c r="H115" s="371" t="s">
        <v>623</v>
      </c>
      <c r="I115" s="446"/>
      <c r="J115" s="376"/>
    </row>
    <row r="116" spans="1:10" ht="35" customHeight="1">
      <c r="A116" s="331" t="s">
        <v>189</v>
      </c>
      <c r="B116" s="333"/>
      <c r="C116" s="86"/>
      <c r="D116" s="32"/>
      <c r="E116" s="371" t="s">
        <v>619</v>
      </c>
      <c r="F116" s="446"/>
      <c r="G116" s="376"/>
      <c r="H116" s="371" t="s">
        <v>624</v>
      </c>
      <c r="I116" s="446"/>
      <c r="J116" s="376"/>
    </row>
    <row r="117" spans="1:10" ht="35" customHeight="1" thickBot="1">
      <c r="A117" s="334" t="s">
        <v>80</v>
      </c>
      <c r="B117" s="339"/>
      <c r="C117" s="70"/>
      <c r="D117" s="32"/>
      <c r="E117" s="372" t="s">
        <v>620</v>
      </c>
      <c r="F117" s="447"/>
      <c r="G117" s="376"/>
      <c r="H117" s="371"/>
      <c r="I117" s="420" t="s">
        <v>696</v>
      </c>
      <c r="J117" s="421">
        <f>IF(SUM(G113:G117,J113:J116)&gt;1, "ERROR", 1-SUM(G113:G117,J113:J116))</f>
        <v>1</v>
      </c>
    </row>
    <row r="118" spans="1:10" ht="35" customHeight="1">
      <c r="A118" s="334" t="s">
        <v>27</v>
      </c>
      <c r="B118" s="339"/>
      <c r="C118" s="70"/>
      <c r="D118" s="32"/>
      <c r="E118" s="426" t="s">
        <v>627</v>
      </c>
      <c r="F118" s="375" t="s">
        <v>613</v>
      </c>
      <c r="G118" s="448"/>
      <c r="H118" s="32"/>
      <c r="I118" s="32"/>
      <c r="J118" s="32"/>
    </row>
    <row r="119" spans="1:10" ht="35" customHeight="1">
      <c r="A119" s="33"/>
      <c r="B119" s="33"/>
      <c r="C119" s="32"/>
      <c r="D119" s="32"/>
      <c r="E119" s="414"/>
      <c r="F119" s="371" t="s">
        <v>614</v>
      </c>
      <c r="G119" s="440"/>
      <c r="H119" s="32"/>
      <c r="I119" s="32"/>
      <c r="J119" s="32"/>
    </row>
    <row r="120" spans="1:10" s="6" customFormat="1" ht="35" customHeight="1">
      <c r="A120" s="454"/>
      <c r="B120" s="454"/>
      <c r="C120" s="89"/>
      <c r="D120" s="89"/>
      <c r="E120" s="452"/>
      <c r="F120" s="452"/>
      <c r="G120" s="453"/>
      <c r="H120" s="89"/>
      <c r="I120" s="89"/>
      <c r="J120" s="89"/>
    </row>
    <row r="121" spans="1:10" ht="35" customHeight="1">
      <c r="A121" s="338" t="s">
        <v>304</v>
      </c>
      <c r="B121" s="338"/>
      <c r="C121" s="338"/>
      <c r="D121" s="338"/>
      <c r="E121" s="338"/>
      <c r="F121" s="338"/>
    </row>
    <row r="122" spans="1:10" ht="35" customHeight="1">
      <c r="A122" s="336" t="s">
        <v>342</v>
      </c>
      <c r="B122" s="340"/>
      <c r="C122" s="160"/>
      <c r="D122" s="157"/>
      <c r="E122" s="100" t="s">
        <v>392</v>
      </c>
      <c r="F122" s="47">
        <f>F123-F124</f>
        <v>0</v>
      </c>
    </row>
    <row r="123" spans="1:10" ht="35" customHeight="1">
      <c r="A123" s="331" t="s">
        <v>343</v>
      </c>
      <c r="B123" s="333"/>
      <c r="C123" s="160"/>
      <c r="D123" s="157"/>
      <c r="E123" s="100" t="s">
        <v>46</v>
      </c>
      <c r="F123" s="47">
        <f>C128*ERFs!B$57-(IF(C132=LISTS!A$1,ERFs!B$13,IF(C132=LISTS!A$2,ERFs!B$14,IF(C132=LISTS!A$3,ERFs!B$15,0))))*C130-C131*ERFs!B$19</f>
        <v>0</v>
      </c>
    </row>
    <row r="124" spans="1:10" ht="35" customHeight="1">
      <c r="A124" s="331" t="s">
        <v>250</v>
      </c>
      <c r="B124" s="333"/>
      <c r="C124" s="86"/>
      <c r="D124" s="61"/>
      <c r="E124" s="100" t="s">
        <v>47</v>
      </c>
      <c r="F124" s="47">
        <f>C126*ERFs!B$57+(IF(C133=LISTS!A$5,ERFs!B$16,IF(C133=LISTS!A$6,ERFs!B$17,IF(C133=LISTS!A$7,ERFs!B$18,0))))*C130</f>
        <v>0</v>
      </c>
    </row>
    <row r="125" spans="1:10" ht="35" customHeight="1">
      <c r="A125" s="331" t="s">
        <v>385</v>
      </c>
      <c r="B125" s="333"/>
      <c r="C125" s="160"/>
      <c r="D125" s="61"/>
      <c r="E125" s="65" t="s">
        <v>690</v>
      </c>
      <c r="F125" s="110"/>
      <c r="G125" s="39"/>
      <c r="H125" s="39"/>
      <c r="I125" s="39"/>
      <c r="J125" s="39"/>
    </row>
    <row r="126" spans="1:10" ht="35" customHeight="1">
      <c r="A126" s="331" t="s">
        <v>143</v>
      </c>
      <c r="B126" s="333"/>
      <c r="C126" s="47">
        <f>IF(C124&gt;0,LISTS!E9*C124,0)</f>
        <v>0</v>
      </c>
      <c r="D126" s="61"/>
      <c r="E126" s="372" t="s">
        <v>615</v>
      </c>
      <c r="F126" s="443"/>
      <c r="G126" s="373" t="s">
        <v>524</v>
      </c>
      <c r="H126" s="440"/>
      <c r="I126" s="419" t="str">
        <f>IF(H126="Other", "If  'Other' for Forest Type, Please Describe:","")</f>
        <v/>
      </c>
      <c r="J126" s="444"/>
    </row>
    <row r="127" spans="1:10" ht="35" customHeight="1">
      <c r="A127" s="331" t="s">
        <v>370</v>
      </c>
      <c r="B127" s="333"/>
      <c r="C127" s="47" t="str">
        <f>LISTS!F9</f>
        <v/>
      </c>
      <c r="E127" s="373" t="s">
        <v>704</v>
      </c>
      <c r="F127" s="374" t="s">
        <v>625</v>
      </c>
      <c r="G127" s="374" t="s">
        <v>626</v>
      </c>
      <c r="H127" s="77"/>
      <c r="I127" s="374" t="s">
        <v>625</v>
      </c>
      <c r="J127" s="374" t="s">
        <v>626</v>
      </c>
    </row>
    <row r="128" spans="1:10" ht="35" customHeight="1">
      <c r="A128" s="331" t="s">
        <v>142</v>
      </c>
      <c r="B128" s="333"/>
      <c r="C128" s="86"/>
      <c r="D128" s="61"/>
      <c r="E128" s="371" t="s">
        <v>616</v>
      </c>
      <c r="F128" s="445"/>
      <c r="G128" s="376"/>
      <c r="H128" s="371" t="s">
        <v>621</v>
      </c>
      <c r="I128" s="445"/>
      <c r="J128" s="376"/>
    </row>
    <row r="129" spans="1:10" ht="35" customHeight="1">
      <c r="A129" s="331" t="s">
        <v>252</v>
      </c>
      <c r="B129" s="333"/>
      <c r="C129" s="86"/>
      <c r="D129" s="61"/>
      <c r="E129" s="371" t="s">
        <v>617</v>
      </c>
      <c r="F129" s="445"/>
      <c r="G129" s="376"/>
      <c r="H129" s="371" t="s">
        <v>622</v>
      </c>
      <c r="I129" s="445"/>
      <c r="J129" s="376"/>
    </row>
    <row r="130" spans="1:10" ht="35" customHeight="1">
      <c r="A130" s="331" t="s">
        <v>26</v>
      </c>
      <c r="B130" s="333"/>
      <c r="C130" s="86"/>
      <c r="D130" s="32"/>
      <c r="E130" s="371" t="s">
        <v>618</v>
      </c>
      <c r="F130" s="446"/>
      <c r="G130" s="376"/>
      <c r="H130" s="371" t="s">
        <v>623</v>
      </c>
      <c r="I130" s="446"/>
      <c r="J130" s="376"/>
    </row>
    <row r="131" spans="1:10" ht="35" customHeight="1">
      <c r="A131" s="331" t="s">
        <v>189</v>
      </c>
      <c r="B131" s="333"/>
      <c r="C131" s="86"/>
      <c r="D131" s="32"/>
      <c r="E131" s="371" t="s">
        <v>619</v>
      </c>
      <c r="F131" s="446"/>
      <c r="G131" s="376"/>
      <c r="H131" s="371" t="s">
        <v>624</v>
      </c>
      <c r="I131" s="446"/>
      <c r="J131" s="376"/>
    </row>
    <row r="132" spans="1:10" ht="35" customHeight="1" thickBot="1">
      <c r="A132" s="334" t="s">
        <v>80</v>
      </c>
      <c r="B132" s="339"/>
      <c r="C132" s="70"/>
      <c r="D132" s="32"/>
      <c r="E132" s="372" t="s">
        <v>620</v>
      </c>
      <c r="F132" s="447"/>
      <c r="G132" s="376"/>
      <c r="H132" s="371"/>
      <c r="I132" s="420" t="s">
        <v>696</v>
      </c>
      <c r="J132" s="421">
        <f>IF(SUM(G128:G132,J128:J131)&gt;1, "ERROR", 1-SUM(G128:G132,J128:J131))</f>
        <v>1</v>
      </c>
    </row>
    <row r="133" spans="1:10" ht="35" customHeight="1">
      <c r="A133" s="334" t="s">
        <v>27</v>
      </c>
      <c r="B133" s="339"/>
      <c r="C133" s="70"/>
      <c r="D133" s="32"/>
      <c r="E133" s="426" t="s">
        <v>627</v>
      </c>
      <c r="F133" s="375" t="s">
        <v>613</v>
      </c>
      <c r="G133" s="448"/>
      <c r="H133" s="32"/>
      <c r="I133" s="32"/>
      <c r="J133" s="32"/>
    </row>
    <row r="134" spans="1:10" ht="35" customHeight="1">
      <c r="A134" s="33"/>
      <c r="B134" s="33"/>
      <c r="C134" s="32"/>
      <c r="D134" s="32"/>
      <c r="E134" s="414"/>
      <c r="F134" s="371" t="s">
        <v>614</v>
      </c>
      <c r="G134" s="440"/>
      <c r="H134" s="32"/>
      <c r="I134" s="32"/>
      <c r="J134" s="32"/>
    </row>
    <row r="135" spans="1:10" s="6" customFormat="1" ht="35" customHeight="1">
      <c r="A135" s="454"/>
      <c r="B135" s="454"/>
      <c r="C135" s="89"/>
      <c r="D135" s="89"/>
      <c r="E135" s="452"/>
      <c r="F135" s="452"/>
      <c r="G135" s="453"/>
      <c r="H135" s="89"/>
      <c r="I135" s="89"/>
      <c r="J135" s="89"/>
    </row>
    <row r="136" spans="1:10" ht="35" customHeight="1">
      <c r="A136" s="338" t="s">
        <v>305</v>
      </c>
      <c r="B136" s="338"/>
      <c r="C136" s="338"/>
      <c r="D136" s="338"/>
      <c r="E136" s="338"/>
      <c r="F136" s="338"/>
    </row>
    <row r="137" spans="1:10" ht="35" customHeight="1">
      <c r="A137" s="336" t="s">
        <v>342</v>
      </c>
      <c r="B137" s="340"/>
      <c r="C137" s="160"/>
      <c r="D137" s="157"/>
      <c r="E137" s="100" t="s">
        <v>393</v>
      </c>
      <c r="F137" s="47">
        <f>F138-F139</f>
        <v>0</v>
      </c>
    </row>
    <row r="138" spans="1:10" ht="35" customHeight="1">
      <c r="A138" s="331" t="s">
        <v>343</v>
      </c>
      <c r="B138" s="333"/>
      <c r="C138" s="160"/>
      <c r="D138" s="157"/>
      <c r="E138" s="100" t="s">
        <v>46</v>
      </c>
      <c r="F138" s="47">
        <f>C143*ERFs!B$57-(IF(C147=LISTS!A$1,ERFs!B$13,IF(C147=LISTS!A$2,ERFs!B$14,IF(C147=LISTS!A$3,ERFs!B$15,0))))*C145-C146*ERFs!B$19</f>
        <v>0</v>
      </c>
    </row>
    <row r="139" spans="1:10" ht="35" customHeight="1">
      <c r="A139" s="331" t="s">
        <v>250</v>
      </c>
      <c r="B139" s="333"/>
      <c r="C139" s="86"/>
      <c r="D139" s="61"/>
      <c r="E139" s="100" t="s">
        <v>47</v>
      </c>
      <c r="F139" s="47">
        <f>C141*ERFs!B$57+(IF(C148=LISTS!A$5,ERFs!B$16,IF(C148=LISTS!A$6,ERFs!B$17,IF(C148=LISTS!A$7,ERFs!B$18,0))))*C145</f>
        <v>0</v>
      </c>
    </row>
    <row r="140" spans="1:10" ht="35" customHeight="1">
      <c r="A140" s="331" t="s">
        <v>385</v>
      </c>
      <c r="B140" s="333"/>
      <c r="C140" s="160"/>
      <c r="D140" s="61"/>
      <c r="E140" s="65" t="s">
        <v>690</v>
      </c>
      <c r="F140" s="110"/>
      <c r="G140" s="39"/>
      <c r="H140" s="39"/>
      <c r="I140" s="39"/>
      <c r="J140" s="39"/>
    </row>
    <row r="141" spans="1:10" ht="35" customHeight="1">
      <c r="A141" s="331" t="s">
        <v>143</v>
      </c>
      <c r="B141" s="333"/>
      <c r="C141" s="47">
        <f>IF(C139&gt;0,LISTS!E10*C139,0)</f>
        <v>0</v>
      </c>
      <c r="D141" s="61"/>
      <c r="E141" s="372" t="s">
        <v>615</v>
      </c>
      <c r="F141" s="443"/>
      <c r="G141" s="373" t="s">
        <v>524</v>
      </c>
      <c r="H141" s="440"/>
      <c r="I141" s="419" t="str">
        <f>IF(H141="Other", "If  'Other' for Forest Type, Please Describe:","")</f>
        <v/>
      </c>
      <c r="J141" s="444"/>
    </row>
    <row r="142" spans="1:10" ht="35" customHeight="1">
      <c r="A142" s="331" t="s">
        <v>370</v>
      </c>
      <c r="B142" s="333"/>
      <c r="C142" s="47" t="str">
        <f>LISTS!F10</f>
        <v/>
      </c>
      <c r="E142" s="373" t="s">
        <v>704</v>
      </c>
      <c r="F142" s="374" t="s">
        <v>625</v>
      </c>
      <c r="G142" s="374" t="s">
        <v>626</v>
      </c>
      <c r="H142" s="77"/>
      <c r="I142" s="374" t="s">
        <v>625</v>
      </c>
      <c r="J142" s="374" t="s">
        <v>626</v>
      </c>
    </row>
    <row r="143" spans="1:10" ht="35" customHeight="1">
      <c r="A143" s="331" t="s">
        <v>142</v>
      </c>
      <c r="B143" s="333"/>
      <c r="C143" s="86"/>
      <c r="D143" s="61"/>
      <c r="E143" s="371" t="s">
        <v>616</v>
      </c>
      <c r="F143" s="445"/>
      <c r="G143" s="376"/>
      <c r="H143" s="371" t="s">
        <v>621</v>
      </c>
      <c r="I143" s="445"/>
      <c r="J143" s="376"/>
    </row>
    <row r="144" spans="1:10" ht="35" customHeight="1">
      <c r="A144" s="331" t="s">
        <v>252</v>
      </c>
      <c r="B144" s="333"/>
      <c r="C144" s="86"/>
      <c r="D144" s="61"/>
      <c r="E144" s="371" t="s">
        <v>617</v>
      </c>
      <c r="F144" s="445"/>
      <c r="G144" s="376"/>
      <c r="H144" s="371" t="s">
        <v>622</v>
      </c>
      <c r="I144" s="445"/>
      <c r="J144" s="376"/>
    </row>
    <row r="145" spans="1:10" ht="35" customHeight="1">
      <c r="A145" s="331" t="s">
        <v>26</v>
      </c>
      <c r="B145" s="333"/>
      <c r="C145" s="86"/>
      <c r="D145" s="32"/>
      <c r="E145" s="371" t="s">
        <v>618</v>
      </c>
      <c r="F145" s="446"/>
      <c r="G145" s="376"/>
      <c r="H145" s="371" t="s">
        <v>623</v>
      </c>
      <c r="I145" s="446"/>
      <c r="J145" s="376"/>
    </row>
    <row r="146" spans="1:10" ht="35" customHeight="1">
      <c r="A146" s="331" t="s">
        <v>189</v>
      </c>
      <c r="B146" s="333"/>
      <c r="C146" s="86"/>
      <c r="D146" s="32"/>
      <c r="E146" s="371" t="s">
        <v>619</v>
      </c>
      <c r="F146" s="446"/>
      <c r="G146" s="376"/>
      <c r="H146" s="371" t="s">
        <v>624</v>
      </c>
      <c r="I146" s="446"/>
      <c r="J146" s="376"/>
    </row>
    <row r="147" spans="1:10" ht="35" customHeight="1" thickBot="1">
      <c r="A147" s="334" t="s">
        <v>80</v>
      </c>
      <c r="B147" s="339"/>
      <c r="C147" s="70"/>
      <c r="D147" s="32"/>
      <c r="E147" s="372" t="s">
        <v>620</v>
      </c>
      <c r="F147" s="447"/>
      <c r="G147" s="376"/>
      <c r="H147" s="371"/>
      <c r="I147" s="420" t="s">
        <v>696</v>
      </c>
      <c r="J147" s="421">
        <f>IF(SUM(G143:G147,J143:J146)&gt;1, "ERROR", 1-SUM(G143:G147,J143:J146))</f>
        <v>1</v>
      </c>
    </row>
    <row r="148" spans="1:10" ht="35" customHeight="1">
      <c r="A148" s="334" t="s">
        <v>27</v>
      </c>
      <c r="B148" s="339"/>
      <c r="C148" s="70"/>
      <c r="D148" s="32"/>
      <c r="E148" s="426" t="s">
        <v>627</v>
      </c>
      <c r="F148" s="375" t="s">
        <v>613</v>
      </c>
      <c r="G148" s="448"/>
      <c r="H148" s="32"/>
      <c r="I148" s="32"/>
      <c r="J148" s="32"/>
    </row>
    <row r="149" spans="1:10" ht="35" customHeight="1">
      <c r="A149" s="33"/>
      <c r="B149" s="33"/>
      <c r="C149" s="32"/>
      <c r="D149" s="32"/>
      <c r="E149" s="414"/>
      <c r="F149" s="371" t="s">
        <v>614</v>
      </c>
      <c r="G149" s="440"/>
      <c r="H149" s="32"/>
      <c r="I149" s="32"/>
      <c r="J149" s="32"/>
    </row>
    <row r="150" spans="1:10" s="6" customFormat="1" ht="35" customHeight="1">
      <c r="A150" s="454"/>
      <c r="B150" s="454"/>
      <c r="C150" s="89"/>
      <c r="D150" s="89"/>
      <c r="E150" s="452"/>
      <c r="F150" s="452"/>
      <c r="G150" s="453"/>
      <c r="H150" s="89"/>
      <c r="I150" s="89"/>
      <c r="J150" s="89"/>
    </row>
    <row r="151" spans="1:10" ht="35" customHeight="1">
      <c r="A151" s="338" t="s">
        <v>306</v>
      </c>
      <c r="B151" s="338"/>
      <c r="C151" s="338"/>
      <c r="D151" s="338"/>
      <c r="E151" s="338"/>
      <c r="F151" s="338"/>
    </row>
    <row r="152" spans="1:10" ht="35" customHeight="1">
      <c r="A152" s="336" t="s">
        <v>342</v>
      </c>
      <c r="B152" s="340"/>
      <c r="C152" s="160"/>
      <c r="D152" s="157"/>
      <c r="E152" s="100" t="s">
        <v>394</v>
      </c>
      <c r="F152" s="47">
        <f>F153-F154</f>
        <v>0</v>
      </c>
    </row>
    <row r="153" spans="1:10" ht="35" customHeight="1">
      <c r="A153" s="331" t="s">
        <v>343</v>
      </c>
      <c r="B153" s="333"/>
      <c r="C153" s="160"/>
      <c r="D153" s="157"/>
      <c r="E153" s="100" t="s">
        <v>46</v>
      </c>
      <c r="F153" s="47">
        <f>C158*ERFs!B$57-(IF(C162=LISTS!A$1,ERFs!B$13,IF(C162=LISTS!A$2,ERFs!B$14,IF(C162=LISTS!A$3,ERFs!B$15,0))))*C160-C161*ERFs!B$19</f>
        <v>0</v>
      </c>
    </row>
    <row r="154" spans="1:10" ht="35" customHeight="1">
      <c r="A154" s="331" t="s">
        <v>250</v>
      </c>
      <c r="B154" s="333"/>
      <c r="C154" s="86"/>
      <c r="D154" s="61"/>
      <c r="E154" s="100" t="s">
        <v>47</v>
      </c>
      <c r="F154" s="47">
        <f>C156*ERFs!B$57+(IF(C163=LISTS!A$5,ERFs!B$16,IF(C163=LISTS!A$6,ERFs!B$17,IF(C163=LISTS!A$7,ERFs!B$18,0))))*C160</f>
        <v>0</v>
      </c>
    </row>
    <row r="155" spans="1:10" ht="35" customHeight="1">
      <c r="A155" s="331" t="s">
        <v>385</v>
      </c>
      <c r="B155" s="333"/>
      <c r="C155" s="160"/>
      <c r="D155" s="61"/>
      <c r="E155" s="65" t="s">
        <v>690</v>
      </c>
      <c r="F155" s="110"/>
      <c r="G155" s="39"/>
      <c r="H155" s="39"/>
      <c r="I155" s="39"/>
      <c r="J155" s="39"/>
    </row>
    <row r="156" spans="1:10" ht="35" customHeight="1">
      <c r="A156" s="331" t="s">
        <v>143</v>
      </c>
      <c r="B156" s="333"/>
      <c r="C156" s="47">
        <f>IF(C154&gt;0,LISTS!E11*C154,0)</f>
        <v>0</v>
      </c>
      <c r="D156" s="61"/>
      <c r="E156" s="372" t="s">
        <v>615</v>
      </c>
      <c r="F156" s="443"/>
      <c r="G156" s="373" t="s">
        <v>524</v>
      </c>
      <c r="H156" s="440"/>
      <c r="I156" s="419" t="str">
        <f>IF(H156="Other", "If  'Other' for Forest Type, Please Describe:","")</f>
        <v/>
      </c>
      <c r="J156" s="444"/>
    </row>
    <row r="157" spans="1:10" ht="35" customHeight="1">
      <c r="A157" s="331" t="s">
        <v>370</v>
      </c>
      <c r="B157" s="333"/>
      <c r="C157" s="47" t="str">
        <f>LISTS!F11</f>
        <v/>
      </c>
      <c r="E157" s="373" t="s">
        <v>704</v>
      </c>
      <c r="F157" s="374" t="s">
        <v>625</v>
      </c>
      <c r="G157" s="374" t="s">
        <v>626</v>
      </c>
      <c r="H157" s="77"/>
      <c r="I157" s="374" t="s">
        <v>625</v>
      </c>
      <c r="J157" s="374" t="s">
        <v>626</v>
      </c>
    </row>
    <row r="158" spans="1:10" ht="35" customHeight="1">
      <c r="A158" s="331" t="s">
        <v>142</v>
      </c>
      <c r="B158" s="333"/>
      <c r="C158" s="86"/>
      <c r="D158" s="61"/>
      <c r="E158" s="371" t="s">
        <v>616</v>
      </c>
      <c r="F158" s="445"/>
      <c r="G158" s="376"/>
      <c r="H158" s="371" t="s">
        <v>621</v>
      </c>
      <c r="I158" s="445"/>
      <c r="J158" s="376"/>
    </row>
    <row r="159" spans="1:10" ht="35" customHeight="1">
      <c r="A159" s="331" t="s">
        <v>252</v>
      </c>
      <c r="B159" s="333"/>
      <c r="C159" s="86"/>
      <c r="D159" s="61"/>
      <c r="E159" s="371" t="s">
        <v>617</v>
      </c>
      <c r="F159" s="445"/>
      <c r="G159" s="376"/>
      <c r="H159" s="371" t="s">
        <v>622</v>
      </c>
      <c r="I159" s="445"/>
      <c r="J159" s="376"/>
    </row>
    <row r="160" spans="1:10" ht="35" customHeight="1">
      <c r="A160" s="331" t="s">
        <v>26</v>
      </c>
      <c r="B160" s="333"/>
      <c r="C160" s="86"/>
      <c r="D160" s="32"/>
      <c r="E160" s="371" t="s">
        <v>618</v>
      </c>
      <c r="F160" s="446"/>
      <c r="G160" s="376"/>
      <c r="H160" s="371" t="s">
        <v>623</v>
      </c>
      <c r="I160" s="446"/>
      <c r="J160" s="376"/>
    </row>
    <row r="161" spans="1:10" ht="35" customHeight="1">
      <c r="A161" s="331" t="s">
        <v>189</v>
      </c>
      <c r="B161" s="333"/>
      <c r="C161" s="86"/>
      <c r="D161" s="32"/>
      <c r="E161" s="371" t="s">
        <v>619</v>
      </c>
      <c r="F161" s="446"/>
      <c r="G161" s="376"/>
      <c r="H161" s="371" t="s">
        <v>624</v>
      </c>
      <c r="I161" s="446"/>
      <c r="J161" s="376"/>
    </row>
    <row r="162" spans="1:10" ht="35" customHeight="1" thickBot="1">
      <c r="A162" s="334" t="s">
        <v>80</v>
      </c>
      <c r="B162" s="339"/>
      <c r="C162" s="70"/>
      <c r="D162" s="32"/>
      <c r="E162" s="372" t="s">
        <v>620</v>
      </c>
      <c r="F162" s="447"/>
      <c r="G162" s="376"/>
      <c r="H162" s="371"/>
      <c r="I162" s="420" t="s">
        <v>696</v>
      </c>
      <c r="J162" s="421">
        <f>IF(SUM(G158:G162,J158:J161)&gt;1, "ERROR", 1-SUM(G158:G162,J158:J161))</f>
        <v>1</v>
      </c>
    </row>
    <row r="163" spans="1:10" ht="35" customHeight="1">
      <c r="A163" s="334" t="s">
        <v>27</v>
      </c>
      <c r="B163" s="339"/>
      <c r="C163" s="70"/>
      <c r="D163" s="32"/>
      <c r="E163" s="426" t="s">
        <v>627</v>
      </c>
      <c r="F163" s="375" t="s">
        <v>613</v>
      </c>
      <c r="G163" s="448"/>
      <c r="H163" s="32"/>
      <c r="I163" s="32"/>
      <c r="J163" s="32"/>
    </row>
    <row r="164" spans="1:10" ht="30" customHeight="1">
      <c r="E164" s="414"/>
      <c r="F164" s="371" t="s">
        <v>614</v>
      </c>
      <c r="G164" s="440"/>
      <c r="H164" s="32"/>
      <c r="I164" s="32"/>
      <c r="J164" s="32"/>
    </row>
  </sheetData>
  <sheetProtection algorithmName="SHA-512" hashValue="brTeXbYQ8X6bIUw6OpReNo1arEy5FuEkgrcyUI8H71xzW8vVsF6PbGOAI76rQkJIEbIHJhgen41ZRSdiO+s99g==" saltValue="AzDY7VVTdCJRR1cwYpqDzA==" spinCount="100000" sheet="1" objects="1" scenarios="1"/>
  <phoneticPr fontId="44" type="noConversion"/>
  <dataValidations count="12">
    <dataValidation type="list" allowBlank="1" showInputMessage="1" showErrorMessage="1" sqref="C75" xr:uid="{00000000-0002-0000-0200-000000000000}">
      <formula1>LandCoverType</formula1>
    </dataValidation>
    <dataValidation type="decimal" allowBlank="1" showInputMessage="1" showErrorMessage="1" error="Please enter a value between 0 and 1,000,000." prompt="Enter number of acres. Used to calculate emissions from herbicide application." sqref="C26 C41 C56 C71 C86 C101 C116 C131 C146 C161" xr:uid="{00000000-0002-0000-0200-000001000000}">
      <formula1>0</formula1>
      <formula2>1000000</formula2>
    </dataValidation>
    <dataValidation type="whole" allowBlank="1" showInputMessage="1" showErrorMessage="1" error="Please enter a value between 0 and 500,000,000." prompt="Total number of trees planted as part of the reforestation activity. Estimated based on RPF/CS planting prescription." sqref="C24 C39 C54 C69 C84 C99 C114 C129 C144 C159" xr:uid="{00000000-0002-0000-0200-000002000000}">
      <formula1>0</formula1>
      <formula2>500000000</formula2>
    </dataValidation>
    <dataValidation type="decimal" allowBlank="1" showInputMessage="1" showErrorMessage="1" error="Please enter a value between 0 and 1,000,000." prompt="Enter number of acres. Used to calculate mobile combustion emissions." sqref="C25 C40 C55 C70 C85 C100 C115 C130 C145 C160" xr:uid="{00000000-0002-0000-0200-000003000000}">
      <formula1>0</formula1>
      <formula2>1000000</formula2>
    </dataValidation>
    <dataValidation type="list" allowBlank="1" showInputMessage="1" showErrorMessage="1" prompt="Select from dropdown. Used to calculate site preparation emissions." sqref="C27 C42 C57 C72 C87 C102 C117 C132 C147 C162" xr:uid="{00000000-0002-0000-0200-000004000000}">
      <formula1>BrushCover</formula1>
    </dataValidation>
    <dataValidation type="decimal" allowBlank="1" showInputMessage="1" showErrorMessage="1" error="Please enter a value between 0 and 1,000,000,000." prompt="Carbon in the baseline (non-reforestation) scenario. Automatically calculated based on selections for region, site productivity class, and acreage." sqref="C21 C36 C51 C66 C81 C96 C111 C126 C141 C156" xr:uid="{00000000-0002-0000-0200-000005000000}">
      <formula1>0</formula1>
      <formula2>1000000000</formula2>
    </dataValidation>
    <dataValidation allowBlank="1" showInputMessage="1" showErrorMessage="1" prompt="Project duration. Automatically calculated based on Site Productivity Class. Class I: 50 yrs; Class II &amp; III: 60 yrs; Class IV &amp; V: 80 yrs. If a project includes different site classes, the shortest length of time should be used for the entire project." sqref="C22 C37 C52 C67 C82 C97 C112 C127 C142 C157" xr:uid="{00000000-0002-0000-0200-000006000000}"/>
    <dataValidation type="list" allowBlank="1" showInputMessage="1" showErrorMessage="1" prompt="Select from dropdown. Used to calculate change in carbon pools due to removal of existing vegetation." sqref="C28 C43 C58 C73 C88 C103 C118 C133 C148 C163" xr:uid="{00000000-0002-0000-0200-000007000000}">
      <formula1>LandCoverType</formula1>
    </dataValidation>
    <dataValidation type="decimal" allowBlank="1" showInputMessage="1" showErrorMessage="1" error="Please enter a value between 0 and 1,000,000." prompt="Enter number of acres to be reforested." sqref="C19 C34 C49 C64 C79 C94 C109 C124 C139 C154" xr:uid="{00000000-0002-0000-0200-000008000000}">
      <formula1>0</formula1>
      <formula2>1000000</formula2>
    </dataValidation>
    <dataValidation type="decimal" allowBlank="1" showInputMessage="1" showErrorMessage="1" error="Please enter a value between 0 and 1,000,000,000" prompt="Live + Dead Tree Carbon at the end of the project life (see above cell)." sqref="C23 C38 C53 C68 C83 C98 C113 C128 C143 C158" xr:uid="{00000000-0002-0000-0200-000009000000}">
      <formula1>0</formula1>
      <formula2>1000000000</formula2>
    </dataValidation>
    <dataValidation type="decimal" allowBlank="1" showInputMessage="1" showErrorMessage="1" error="Enter a percentage between 0 and 100%." prompt="Of the total planted trees, enter the percentage that will be this species" sqref="G128:G132 J128:J131 G143:G147 J143:J146 G23:G27 J23:J26 G38:G42 J38:J41 G53:G57 J53:J56 G68:G72 J68:J71 G83:G87 J83:J86 G98:G102 J98:J101 G113:G117 J113:J116 G158:G162 J158:J161" xr:uid="{00000000-0002-0000-0200-00000A000000}">
      <formula1>0</formula1>
      <formula2>1</formula2>
    </dataValidation>
    <dataValidation type="whole" allowBlank="1" showInputMessage="1" showErrorMessage="1" sqref="F126 F141 F21 F36 F51 F66 F81 F96 F111 F156" xr:uid="{00000000-0002-0000-0200-00000B000000}">
      <formula1>0</formula1>
      <formula2>500</formula2>
    </dataValidation>
  </dataValidations>
  <hyperlinks>
    <hyperlink ref="A17:B17" r:id="rId1" tooltip="Follow hyperlink to view USDA-FS Ecological Section Map" display="Region (Ecological Section)" xr:uid="{00000000-0004-0000-0200-000000000000}"/>
    <hyperlink ref="A32:B32" r:id="rId2" tooltip="Follow hyperlink to view USDA-FS Ecological Section Map" display="Region (Ecological Section)" xr:uid="{00000000-0004-0000-0200-000001000000}"/>
    <hyperlink ref="A47:B47" r:id="rId3" tooltip="Follow hyperlink to view USDA-FS Ecological Section Map" display="Region (Ecological Section)" xr:uid="{00000000-0004-0000-0200-000002000000}"/>
    <hyperlink ref="A62:B62" r:id="rId4" tooltip="Follow hyperlink to view USDA-FS Ecological Section Map" display="Region (Ecological Section)" xr:uid="{00000000-0004-0000-0200-000003000000}"/>
    <hyperlink ref="A77:B77" r:id="rId5" tooltip="Follow hyperlink to view USDA-FS Ecological Section Map" display="Region (Ecological Section)" xr:uid="{00000000-0004-0000-0200-000004000000}"/>
    <hyperlink ref="A92:B92" r:id="rId6" tooltip="Follow hyperlink to view USDA-FS Ecological Section Map" display="Region (Ecological Section)" xr:uid="{00000000-0004-0000-0200-000005000000}"/>
    <hyperlink ref="A107:B107" r:id="rId7" tooltip="Follow hyperlink to view USDA-FS Ecological Section Map" display="Region (Ecological Section)" xr:uid="{00000000-0004-0000-0200-000006000000}"/>
    <hyperlink ref="A122:B122" r:id="rId8" tooltip="Follow hyperlink to view USDA-FS Ecological Section Map" display="Region (Ecological Section)" xr:uid="{00000000-0004-0000-0200-000007000000}"/>
    <hyperlink ref="A137:B137" r:id="rId9" tooltip="Follow hyperlink to view USDA-FS Ecological Section Map" display="Region (Ecological Section)" xr:uid="{00000000-0004-0000-0200-000008000000}"/>
    <hyperlink ref="A152:B152" r:id="rId10" tooltip="Follow hyperlink to view USDA-FS Ecological Section Map" display="Region (Ecological Section)" xr:uid="{00000000-0004-0000-0200-000009000000}"/>
  </hyperlinks>
  <pageMargins left="0" right="0.7" top="0" bottom="0.75" header="0.3" footer="0.3"/>
  <pageSetup scale="29" orientation="landscape" r:id="rId11"/>
  <headerFooter>
    <oddFooter>&amp;CPage 3 of 12
Reforestation Worksheet</oddFooter>
  </headerFooter>
  <drawing r:id="rId12"/>
  <extLst>
    <ext xmlns:x14="http://schemas.microsoft.com/office/spreadsheetml/2009/9/main" uri="{CCE6A557-97BC-4b89-ADB6-D9C93CAAB3DF}">
      <x14:dataValidations xmlns:xm="http://schemas.microsoft.com/office/excel/2006/main" count="15">
        <x14:dataValidation type="list" allowBlank="1" showInputMessage="1" showErrorMessage="1" prompt="Select from dropdown. Used to help track State-funded activities treating and restoring natural and working lands. Does not influence GHG or other calculations." xr:uid="{00000000-0002-0000-0200-00000C000000}">
          <x14:formula1>
            <xm:f>LISTS!$A$20:$A$28</xm:f>
          </x14:formula1>
          <xm:sqref>C20 C35 C50 C65 C80 C95 C110 C125 C140 C155</xm:sqref>
        </x14:dataValidation>
        <x14:dataValidation type="list" allowBlank="1" showInputMessage="1" showErrorMessage="1" prompt="Select from dropdown. Ecological Section Groups:_x000a_263 = North Coast; M261 = Sierra/Klamath/Cascades; 261 &amp; M262 = Central &amp; Southern Coast; 322 = Mojave; 341 &amp; 342 = Great Basin." xr:uid="{00000000-0002-0000-0200-00000D000000}">
          <x14:formula1>
            <xm:f>LISTS!$A$36:$A$40</xm:f>
          </x14:formula1>
          <xm:sqref>C17 C152 C137 C122 C107 C92 C77 C62 C47 C32</xm:sqref>
        </x14:dataValidation>
        <x14:dataValidation type="list" allowBlank="1" showInputMessage="1" showErrorMessage="1" prompt="Select from dropdown. Activated once a Region has been selected." xr:uid="{00000000-0002-0000-0200-00000E000000}">
          <x14:formula1>
            <xm:f>INDIRECT(LISTS!$C$2)</xm:f>
          </x14:formula1>
          <xm:sqref>C18</xm:sqref>
        </x14:dataValidation>
        <x14:dataValidation type="list" allowBlank="1" showInputMessage="1" showErrorMessage="1" prompt="Select from dropdown. Activated once a Region has been selected." xr:uid="{00000000-0002-0000-0200-00000F000000}">
          <x14:formula1>
            <xm:f>INDIRECT(LISTS!$C$3)</xm:f>
          </x14:formula1>
          <xm:sqref>C33</xm:sqref>
        </x14:dataValidation>
        <x14:dataValidation type="list" allowBlank="1" showInputMessage="1" showErrorMessage="1" prompt="Select from dropdown. Activated once a Region has been selected." xr:uid="{00000000-0002-0000-0200-000010000000}">
          <x14:formula1>
            <xm:f>INDIRECT(LISTS!$C$4)</xm:f>
          </x14:formula1>
          <xm:sqref>C48</xm:sqref>
        </x14:dataValidation>
        <x14:dataValidation type="list" allowBlank="1" showInputMessage="1" showErrorMessage="1" prompt="Select from dropdown. Activated once a Region has been selected." xr:uid="{00000000-0002-0000-0200-000011000000}">
          <x14:formula1>
            <xm:f>INDIRECT(LISTS!$C$5)</xm:f>
          </x14:formula1>
          <xm:sqref>C63</xm:sqref>
        </x14:dataValidation>
        <x14:dataValidation type="list" allowBlank="1" showInputMessage="1" showErrorMessage="1" prompt="Select from dropdown. Activated once a Region has been selected." xr:uid="{00000000-0002-0000-0200-000012000000}">
          <x14:formula1>
            <xm:f>INDIRECT(LISTS!$C$6)</xm:f>
          </x14:formula1>
          <xm:sqref>C78</xm:sqref>
        </x14:dataValidation>
        <x14:dataValidation type="list" allowBlank="1" showInputMessage="1" showErrorMessage="1" prompt="Select from dropdown. Activated once a Region has been selected." xr:uid="{00000000-0002-0000-0200-000013000000}">
          <x14:formula1>
            <xm:f>INDIRECT(LISTS!$C$7)</xm:f>
          </x14:formula1>
          <xm:sqref>C93</xm:sqref>
        </x14:dataValidation>
        <x14:dataValidation type="list" allowBlank="1" showInputMessage="1" showErrorMessage="1" prompt="Select from dropdown. Activated once a Region has been selected." xr:uid="{00000000-0002-0000-0200-000014000000}">
          <x14:formula1>
            <xm:f>INDIRECT(LISTS!$C$8)</xm:f>
          </x14:formula1>
          <xm:sqref>C108</xm:sqref>
        </x14:dataValidation>
        <x14:dataValidation type="list" allowBlank="1" showInputMessage="1" showErrorMessage="1" prompt="Select from dropdown. Activated once a Region has been selected." xr:uid="{00000000-0002-0000-0200-000015000000}">
          <x14:formula1>
            <xm:f>INDIRECT(LISTS!$C$9)</xm:f>
          </x14:formula1>
          <xm:sqref>C123</xm:sqref>
        </x14:dataValidation>
        <x14:dataValidation type="list" allowBlank="1" showInputMessage="1" showErrorMessage="1" prompt="Select from dropdown. Activated once a Region has been selected." xr:uid="{00000000-0002-0000-0200-000016000000}">
          <x14:formula1>
            <xm:f>INDIRECT(LISTS!$C$10)</xm:f>
          </x14:formula1>
          <xm:sqref>C138</xm:sqref>
        </x14:dataValidation>
        <x14:dataValidation type="list" allowBlank="1" showInputMessage="1" showErrorMessage="1" prompt="Select from dropdown. Activated once a Region has been selected." xr:uid="{00000000-0002-0000-0200-000017000000}">
          <x14:formula1>
            <xm:f>INDIRECT(LISTS!$C$11)</xm:f>
          </x14:formula1>
          <xm:sqref>C153</xm:sqref>
        </x14:dataValidation>
        <x14:dataValidation type="list" allowBlank="1" showInputMessage="1" showErrorMessage="1" prompt="Select from dropdown list of FVS Variants covering California." xr:uid="{00000000-0002-0000-0200-000018000000}">
          <x14:formula1>
            <xm:f>LISTS!$A$70:$A$73</xm:f>
          </x14:formula1>
          <xm:sqref>G133 G148 G28 G43 G58 G73 G88 G103 G118 G163</xm:sqref>
        </x14:dataValidation>
        <x14:dataValidation type="list" allowBlank="1" showInputMessage="1" showErrorMessage="1" prompt="Select FVS location code from dropdown list. List activated once the FVS Geographic Variant (above) has been selected." xr:uid="{00000000-0002-0000-0200-000019000000}">
          <x14:formula1>
            <xm:f>INDIRECT(LISTS!$F$70)</xm:f>
          </x14:formula1>
          <xm:sqref>G134:G135 G119:G120 G104:G105 G89:G90 G74:G75 G59:G60 G44:G45 G29:G30 G149:G150 G164</xm:sqref>
        </x14:dataValidation>
        <x14:dataValidation type="list" allowBlank="1" showInputMessage="1" showErrorMessage="1" prompt="Select forest type from the dropdown list of commonly forest types used for reforestation. If another forest type will be planted, select &quot;other&quot;." xr:uid="{00000000-0002-0000-0200-00001A000000}">
          <x14:formula1>
            <xm:f>LISTS!$A$76:$A$81</xm:f>
          </x14:formula1>
          <xm:sqref>H126 H141 H21 H36 H51 H66 H81 H96 H111 H156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9.9978637043366805E-2"/>
    <pageSetUpPr fitToPage="1"/>
  </sheetPr>
  <dimension ref="A1:H143"/>
  <sheetViews>
    <sheetView showGridLines="0" topLeftCell="A22" zoomScale="90" zoomScaleNormal="90" workbookViewId="0">
      <selection activeCell="D30" sqref="D30"/>
    </sheetView>
  </sheetViews>
  <sheetFormatPr baseColWidth="10" defaultColWidth="9.1640625" defaultRowHeight="15"/>
  <cols>
    <col min="1" max="1" width="25.6640625" style="1" customWidth="1"/>
    <col min="2" max="3" width="30.6640625" style="1" customWidth="1"/>
    <col min="4" max="4" width="15.6640625" style="1" customWidth="1"/>
    <col min="5" max="5" width="8.6640625" style="1" customWidth="1"/>
    <col min="6" max="6" width="51.33203125" style="14" customWidth="1"/>
    <col min="7" max="7" width="52.1640625" style="1" customWidth="1"/>
    <col min="8" max="8" width="15.33203125" style="1" customWidth="1"/>
    <col min="9" max="16384" width="9.1640625" style="1"/>
  </cols>
  <sheetData>
    <row r="1" spans="1:8" ht="19">
      <c r="C1" s="3" t="s">
        <v>278</v>
      </c>
      <c r="F1" s="28"/>
      <c r="G1" s="2"/>
      <c r="H1" s="3"/>
    </row>
    <row r="2" spans="1:8" ht="19">
      <c r="C2" s="3" t="s">
        <v>585</v>
      </c>
      <c r="F2" s="28"/>
      <c r="G2" s="2"/>
      <c r="H2" s="3"/>
    </row>
    <row r="3" spans="1:8" ht="19">
      <c r="C3" s="3" t="s">
        <v>586</v>
      </c>
      <c r="G3" s="2"/>
    </row>
    <row r="4" spans="1:8" ht="19">
      <c r="C4" s="118" t="s">
        <v>587</v>
      </c>
      <c r="F4" s="28"/>
      <c r="G4" s="2"/>
      <c r="H4" s="3"/>
    </row>
    <row r="5" spans="1:8" ht="19">
      <c r="C5" s="217"/>
      <c r="F5" s="28"/>
      <c r="G5" s="2"/>
      <c r="H5" s="3"/>
    </row>
    <row r="6" spans="1:8" ht="19">
      <c r="C6" s="365"/>
      <c r="F6" s="28"/>
      <c r="H6" s="3"/>
    </row>
    <row r="7" spans="1:8" ht="19">
      <c r="C7" s="217"/>
      <c r="F7" s="28"/>
      <c r="H7" s="3"/>
    </row>
    <row r="8" spans="1:8" ht="19">
      <c r="H8" s="3"/>
    </row>
    <row r="9" spans="1:8" ht="18" customHeight="1">
      <c r="A9" s="45" t="s">
        <v>0</v>
      </c>
      <c r="B9" s="260" t="str">
        <f>IF('Read Me'!B26="","",'Read Me'!B26)</f>
        <v/>
      </c>
      <c r="C9" s="261"/>
      <c r="D9" s="65"/>
      <c r="E9" s="65"/>
      <c r="F9" s="65"/>
    </row>
    <row r="10" spans="1:8" ht="18" customHeight="1">
      <c r="A10" s="72" t="s">
        <v>10</v>
      </c>
      <c r="B10" s="258" t="str">
        <f>IF('Read Me'!B27="","",'Read Me'!B27)</f>
        <v/>
      </c>
      <c r="C10" s="259"/>
      <c r="D10" s="66"/>
      <c r="E10" s="66"/>
      <c r="F10" s="66"/>
    </row>
    <row r="11" spans="1:8" ht="18" customHeight="1">
      <c r="D11" s="9"/>
      <c r="E11" s="9"/>
      <c r="F11" s="29"/>
      <c r="G11" s="10"/>
      <c r="H11" s="11"/>
    </row>
    <row r="12" spans="1:8" ht="19">
      <c r="A12" s="4" t="s">
        <v>23</v>
      </c>
      <c r="B12" s="4"/>
      <c r="C12" s="4"/>
    </row>
    <row r="13" spans="1:8" ht="33" customHeight="1">
      <c r="A13" s="484" t="s">
        <v>39</v>
      </c>
      <c r="B13" s="484"/>
      <c r="C13" s="484"/>
      <c r="D13" s="484"/>
      <c r="E13" s="484"/>
      <c r="F13" s="484"/>
      <c r="G13" s="484"/>
      <c r="H13" s="7"/>
    </row>
    <row r="14" spans="1:8" ht="15" customHeight="1">
      <c r="A14" s="71"/>
      <c r="B14" s="26"/>
      <c r="C14" s="69"/>
      <c r="D14" s="69"/>
      <c r="E14" s="97"/>
      <c r="F14" s="69"/>
      <c r="G14" s="69"/>
      <c r="H14" s="30"/>
    </row>
    <row r="15" spans="1:8" ht="18" customHeight="1">
      <c r="A15" s="458" t="s">
        <v>159</v>
      </c>
      <c r="B15" s="458"/>
      <c r="C15" s="458"/>
      <c r="D15" s="458"/>
      <c r="E15" s="458"/>
      <c r="F15" s="458"/>
      <c r="G15" s="458"/>
      <c r="H15" s="30"/>
    </row>
    <row r="16" spans="1:8" ht="33" customHeight="1">
      <c r="A16" s="476" t="s">
        <v>256</v>
      </c>
      <c r="B16" s="476"/>
      <c r="C16" s="476"/>
      <c r="D16" s="86"/>
      <c r="E16" s="121"/>
      <c r="F16" s="100" t="s">
        <v>161</v>
      </c>
      <c r="G16" s="85">
        <f>G17-G18</f>
        <v>0</v>
      </c>
      <c r="H16" s="30"/>
    </row>
    <row r="17" spans="1:8" ht="50" customHeight="1">
      <c r="A17" s="477" t="s">
        <v>384</v>
      </c>
      <c r="B17" s="478"/>
      <c r="C17" s="479"/>
      <c r="D17" s="160"/>
      <c r="E17" s="159"/>
      <c r="F17" s="100" t="s">
        <v>48</v>
      </c>
      <c r="G17" s="84">
        <f>((D21+D22)*(1-D23)-D25)*ERFs!B$57-D26*ERFs!B$21</f>
        <v>0</v>
      </c>
      <c r="H17" s="30"/>
    </row>
    <row r="18" spans="1:8" ht="33" customHeight="1">
      <c r="A18" s="476" t="s">
        <v>257</v>
      </c>
      <c r="B18" s="476"/>
      <c r="C18" s="476"/>
      <c r="D18" s="86"/>
      <c r="E18" s="121"/>
      <c r="F18" s="100" t="s">
        <v>47</v>
      </c>
      <c r="G18" s="84">
        <f>(D21+D22)*(1-D24)*ERFs!B$57</f>
        <v>0</v>
      </c>
      <c r="H18" s="30"/>
    </row>
    <row r="19" spans="1:8" ht="33" customHeight="1">
      <c r="A19" s="481" t="s">
        <v>407</v>
      </c>
      <c r="B19" s="482"/>
      <c r="C19" s="483"/>
      <c r="D19" s="160"/>
      <c r="E19" s="174"/>
      <c r="F19" s="65" t="s">
        <v>690</v>
      </c>
      <c r="G19" s="179"/>
      <c r="H19" s="30"/>
    </row>
    <row r="20" spans="1:8" ht="50" customHeight="1">
      <c r="A20" s="481" t="s">
        <v>370</v>
      </c>
      <c r="B20" s="482"/>
      <c r="C20" s="483"/>
      <c r="D20" s="47" t="str">
        <f>IF(D19="Class I", 50, IF(D19="Class II or III",60, IF(D19="Class IV or V", 80,"")))</f>
        <v/>
      </c>
      <c r="E20" s="174"/>
      <c r="F20" s="398" t="s">
        <v>635</v>
      </c>
      <c r="G20" s="415" t="s">
        <v>697</v>
      </c>
    </row>
    <row r="21" spans="1:8" s="39" customFormat="1" ht="33" customHeight="1">
      <c r="A21" s="475" t="s">
        <v>297</v>
      </c>
      <c r="B21" s="475"/>
      <c r="C21" s="475"/>
      <c r="D21" s="86"/>
      <c r="E21" s="61"/>
      <c r="F21" s="442"/>
      <c r="G21" s="442"/>
    </row>
    <row r="22" spans="1:8" s="39" customFormat="1" ht="50" customHeight="1">
      <c r="A22" s="475" t="s">
        <v>296</v>
      </c>
      <c r="B22" s="475"/>
      <c r="C22" s="475"/>
      <c r="D22" s="86"/>
      <c r="E22" s="61"/>
      <c r="F22" s="398" t="s">
        <v>636</v>
      </c>
      <c r="G22" s="415" t="s">
        <v>692</v>
      </c>
    </row>
    <row r="23" spans="1:8" s="40" customFormat="1" ht="33" customHeight="1">
      <c r="A23" s="475" t="s">
        <v>396</v>
      </c>
      <c r="B23" s="475"/>
      <c r="C23" s="475"/>
      <c r="D23" s="73"/>
      <c r="E23" s="62"/>
      <c r="F23" s="442"/>
      <c r="G23" s="442"/>
    </row>
    <row r="24" spans="1:8" s="40" customFormat="1" ht="47" customHeight="1">
      <c r="A24" s="480" t="s">
        <v>395</v>
      </c>
      <c r="B24" s="480"/>
      <c r="C24" s="480"/>
      <c r="D24" s="73"/>
      <c r="E24" s="62"/>
    </row>
    <row r="25" spans="1:8" s="40" customFormat="1" ht="33" customHeight="1">
      <c r="A25" s="475" t="s">
        <v>127</v>
      </c>
      <c r="B25" s="475"/>
      <c r="C25" s="475"/>
      <c r="D25" s="86"/>
      <c r="E25" s="62"/>
    </row>
    <row r="26" spans="1:8" s="40" customFormat="1" ht="33" customHeight="1">
      <c r="A26" s="475" t="s">
        <v>28</v>
      </c>
      <c r="B26" s="475"/>
      <c r="C26" s="475"/>
      <c r="D26" s="86"/>
      <c r="E26" s="62"/>
    </row>
    <row r="27" spans="1:8" ht="30" customHeight="1">
      <c r="B27" s="30"/>
    </row>
    <row r="28" spans="1:8" s="32" customFormat="1" ht="18" customHeight="1">
      <c r="A28" s="458" t="s">
        <v>160</v>
      </c>
      <c r="B28" s="458"/>
      <c r="C28" s="458"/>
      <c r="D28" s="458"/>
      <c r="E28" s="458"/>
      <c r="F28" s="458"/>
      <c r="G28" s="458"/>
    </row>
    <row r="29" spans="1:8" s="32" customFormat="1" ht="33" customHeight="1">
      <c r="A29" s="476" t="s">
        <v>256</v>
      </c>
      <c r="B29" s="476"/>
      <c r="C29" s="476"/>
      <c r="D29" s="86"/>
      <c r="E29" s="121"/>
      <c r="F29" s="100" t="s">
        <v>162</v>
      </c>
      <c r="G29" s="85">
        <f>G30-G31</f>
        <v>0</v>
      </c>
    </row>
    <row r="30" spans="1:8" s="32" customFormat="1" ht="50" customHeight="1">
      <c r="A30" s="477" t="s">
        <v>384</v>
      </c>
      <c r="B30" s="478"/>
      <c r="C30" s="479"/>
      <c r="D30" s="160"/>
      <c r="E30" s="159"/>
      <c r="F30" s="100" t="s">
        <v>48</v>
      </c>
      <c r="G30" s="84">
        <f>((D34+D35)*(1-D36)-D38)*ERFs!B$57-D39*ERFs!B$21</f>
        <v>0</v>
      </c>
    </row>
    <row r="31" spans="1:8" s="32" customFormat="1" ht="33" customHeight="1">
      <c r="A31" s="476" t="s">
        <v>257</v>
      </c>
      <c r="B31" s="476"/>
      <c r="C31" s="476"/>
      <c r="D31" s="86"/>
      <c r="E31" s="121"/>
      <c r="F31" s="100" t="s">
        <v>47</v>
      </c>
      <c r="G31" s="84">
        <f>(D34+D35)*(1-D37)*ERFs!B$57</f>
        <v>0</v>
      </c>
    </row>
    <row r="32" spans="1:8" s="32" customFormat="1" ht="33" customHeight="1">
      <c r="A32" s="481" t="s">
        <v>407</v>
      </c>
      <c r="B32" s="482"/>
      <c r="C32" s="483"/>
      <c r="D32" s="160"/>
      <c r="E32" s="174"/>
      <c r="F32" s="65" t="s">
        <v>690</v>
      </c>
      <c r="G32" s="179"/>
    </row>
    <row r="33" spans="1:7" s="32" customFormat="1" ht="52" customHeight="1">
      <c r="A33" s="481" t="s">
        <v>370</v>
      </c>
      <c r="B33" s="482"/>
      <c r="C33" s="483"/>
      <c r="D33" s="47" t="str">
        <f>IF(D32="Class I", 50, IF(D32="Class II or III",60, IF(D32="Class IV or V", 80,"")))</f>
        <v/>
      </c>
      <c r="E33" s="174"/>
      <c r="F33" s="398" t="s">
        <v>635</v>
      </c>
      <c r="G33" s="415" t="s">
        <v>697</v>
      </c>
    </row>
    <row r="34" spans="1:7" ht="33" customHeight="1">
      <c r="A34" s="475" t="s">
        <v>297</v>
      </c>
      <c r="B34" s="475"/>
      <c r="C34" s="475"/>
      <c r="D34" s="86"/>
      <c r="E34" s="61"/>
      <c r="F34" s="442"/>
      <c r="G34" s="442"/>
    </row>
    <row r="35" spans="1:7" ht="61" customHeight="1">
      <c r="A35" s="475" t="s">
        <v>296</v>
      </c>
      <c r="B35" s="475"/>
      <c r="C35" s="475"/>
      <c r="D35" s="86"/>
      <c r="E35" s="61"/>
      <c r="F35" s="398" t="s">
        <v>636</v>
      </c>
      <c r="G35" s="415" t="s">
        <v>692</v>
      </c>
    </row>
    <row r="36" spans="1:7" ht="33" customHeight="1">
      <c r="A36" s="475" t="s">
        <v>396</v>
      </c>
      <c r="B36" s="475"/>
      <c r="C36" s="475"/>
      <c r="D36" s="73"/>
      <c r="E36" s="62"/>
      <c r="F36" s="442"/>
      <c r="G36" s="442"/>
    </row>
    <row r="37" spans="1:7" ht="33" customHeight="1">
      <c r="A37" s="480" t="s">
        <v>395</v>
      </c>
      <c r="B37" s="480"/>
      <c r="C37" s="480"/>
      <c r="D37" s="73"/>
      <c r="E37" s="62"/>
      <c r="F37" s="1"/>
    </row>
    <row r="38" spans="1:7" ht="33" customHeight="1">
      <c r="A38" s="475" t="s">
        <v>127</v>
      </c>
      <c r="B38" s="475"/>
      <c r="C38" s="475"/>
      <c r="D38" s="86"/>
      <c r="E38" s="62"/>
      <c r="F38" s="1"/>
    </row>
    <row r="39" spans="1:7" ht="33" customHeight="1">
      <c r="A39" s="475" t="s">
        <v>28</v>
      </c>
      <c r="B39" s="475"/>
      <c r="C39" s="475"/>
      <c r="D39" s="86"/>
      <c r="E39" s="62"/>
      <c r="F39" s="1"/>
    </row>
    <row r="40" spans="1:7" ht="30" customHeight="1"/>
    <row r="41" spans="1:7" ht="18" customHeight="1">
      <c r="A41" s="458" t="s">
        <v>164</v>
      </c>
      <c r="B41" s="458"/>
      <c r="C41" s="458"/>
      <c r="D41" s="458"/>
      <c r="E41" s="458"/>
      <c r="F41" s="458"/>
      <c r="G41" s="458"/>
    </row>
    <row r="42" spans="1:7" ht="33" customHeight="1">
      <c r="A42" s="476" t="s">
        <v>256</v>
      </c>
      <c r="B42" s="476"/>
      <c r="C42" s="476"/>
      <c r="D42" s="86"/>
      <c r="E42" s="121"/>
      <c r="F42" s="100" t="s">
        <v>163</v>
      </c>
      <c r="G42" s="85">
        <f>G43-G44</f>
        <v>0</v>
      </c>
    </row>
    <row r="43" spans="1:7" ht="50" customHeight="1">
      <c r="A43" s="477" t="s">
        <v>384</v>
      </c>
      <c r="B43" s="478"/>
      <c r="C43" s="479"/>
      <c r="D43" s="160"/>
      <c r="E43" s="159"/>
      <c r="F43" s="100" t="s">
        <v>48</v>
      </c>
      <c r="G43" s="84">
        <f>((D47+D48)*(1-D49)-D51)*ERFs!B$57-D52*ERFs!B$21</f>
        <v>0</v>
      </c>
    </row>
    <row r="44" spans="1:7" ht="33" customHeight="1">
      <c r="A44" s="476" t="s">
        <v>257</v>
      </c>
      <c r="B44" s="476"/>
      <c r="C44" s="476"/>
      <c r="D44" s="86"/>
      <c r="E44" s="121"/>
      <c r="F44" s="100" t="s">
        <v>47</v>
      </c>
      <c r="G44" s="84">
        <f>(D47+D48)*(1-D50)*ERFs!B$57</f>
        <v>0</v>
      </c>
    </row>
    <row r="45" spans="1:7" ht="33" customHeight="1">
      <c r="A45" s="481" t="s">
        <v>407</v>
      </c>
      <c r="B45" s="482"/>
      <c r="C45" s="483"/>
      <c r="D45" s="160"/>
      <c r="E45" s="174"/>
      <c r="F45" s="65" t="s">
        <v>690</v>
      </c>
      <c r="G45" s="179"/>
    </row>
    <row r="46" spans="1:7" ht="52" customHeight="1">
      <c r="A46" s="481" t="s">
        <v>370</v>
      </c>
      <c r="B46" s="482"/>
      <c r="C46" s="483"/>
      <c r="D46" s="47" t="str">
        <f>IF(D45="Class I", 50, IF(D45="Class II or III",60, IF(D45="Class IV or V", 80,"")))</f>
        <v/>
      </c>
      <c r="E46" s="174"/>
      <c r="F46" s="398" t="s">
        <v>635</v>
      </c>
      <c r="G46" s="415" t="s">
        <v>697</v>
      </c>
    </row>
    <row r="47" spans="1:7" ht="33" customHeight="1">
      <c r="A47" s="475" t="s">
        <v>297</v>
      </c>
      <c r="B47" s="475"/>
      <c r="C47" s="475"/>
      <c r="D47" s="86"/>
      <c r="E47" s="61"/>
      <c r="F47" s="442"/>
      <c r="G47" s="442"/>
    </row>
    <row r="48" spans="1:7" ht="53" customHeight="1">
      <c r="A48" s="475" t="s">
        <v>296</v>
      </c>
      <c r="B48" s="475"/>
      <c r="C48" s="475"/>
      <c r="D48" s="86"/>
      <c r="E48" s="61"/>
      <c r="F48" s="398" t="s">
        <v>636</v>
      </c>
      <c r="G48" s="415" t="s">
        <v>692</v>
      </c>
    </row>
    <row r="49" spans="1:7" ht="33" customHeight="1">
      <c r="A49" s="475" t="s">
        <v>396</v>
      </c>
      <c r="B49" s="475"/>
      <c r="C49" s="475"/>
      <c r="D49" s="73"/>
      <c r="E49" s="62"/>
      <c r="F49" s="442"/>
      <c r="G49" s="442"/>
    </row>
    <row r="50" spans="1:7" ht="33" customHeight="1">
      <c r="A50" s="480" t="s">
        <v>395</v>
      </c>
      <c r="B50" s="480"/>
      <c r="C50" s="480"/>
      <c r="D50" s="73"/>
      <c r="E50" s="62"/>
      <c r="F50" s="1"/>
    </row>
    <row r="51" spans="1:7" ht="33" customHeight="1">
      <c r="A51" s="475" t="s">
        <v>127</v>
      </c>
      <c r="B51" s="475"/>
      <c r="C51" s="475"/>
      <c r="D51" s="86"/>
      <c r="E51" s="62"/>
      <c r="F51" s="1"/>
    </row>
    <row r="52" spans="1:7" ht="33" customHeight="1">
      <c r="A52" s="475" t="s">
        <v>28</v>
      </c>
      <c r="B52" s="475"/>
      <c r="C52" s="475"/>
      <c r="D52" s="86"/>
      <c r="E52" s="62"/>
      <c r="F52" s="1"/>
    </row>
    <row r="53" spans="1:7" ht="30" customHeight="1"/>
    <row r="54" spans="1:7" ht="18" customHeight="1">
      <c r="A54" s="458" t="s">
        <v>165</v>
      </c>
      <c r="B54" s="458"/>
      <c r="C54" s="458"/>
      <c r="D54" s="458"/>
      <c r="E54" s="458"/>
      <c r="F54" s="458"/>
      <c r="G54" s="458"/>
    </row>
    <row r="55" spans="1:7" ht="33" customHeight="1">
      <c r="A55" s="476" t="s">
        <v>256</v>
      </c>
      <c r="B55" s="476"/>
      <c r="C55" s="476"/>
      <c r="D55" s="86"/>
      <c r="E55" s="121"/>
      <c r="F55" s="100" t="s">
        <v>166</v>
      </c>
      <c r="G55" s="85">
        <f>G56-G57</f>
        <v>0</v>
      </c>
    </row>
    <row r="56" spans="1:7" ht="50" customHeight="1">
      <c r="A56" s="477" t="s">
        <v>384</v>
      </c>
      <c r="B56" s="478"/>
      <c r="C56" s="479"/>
      <c r="D56" s="160"/>
      <c r="E56" s="159"/>
      <c r="F56" s="100" t="s">
        <v>48</v>
      </c>
      <c r="G56" s="84">
        <f>((D60+D61)*(1-D62)-D64)*ERFs!B$57-D65*ERFs!B$21</f>
        <v>0</v>
      </c>
    </row>
    <row r="57" spans="1:7" ht="33" customHeight="1">
      <c r="A57" s="476" t="s">
        <v>257</v>
      </c>
      <c r="B57" s="476"/>
      <c r="C57" s="476"/>
      <c r="D57" s="86"/>
      <c r="E57" s="121"/>
      <c r="F57" s="100" t="s">
        <v>47</v>
      </c>
      <c r="G57" s="84">
        <f>(D60+D61)*(1-D63)*ERFs!B$57</f>
        <v>0</v>
      </c>
    </row>
    <row r="58" spans="1:7" ht="33" customHeight="1">
      <c r="A58" s="481" t="s">
        <v>407</v>
      </c>
      <c r="B58" s="482"/>
      <c r="C58" s="483"/>
      <c r="D58" s="160"/>
      <c r="E58" s="174"/>
      <c r="F58" s="65" t="s">
        <v>690</v>
      </c>
      <c r="G58" s="179"/>
    </row>
    <row r="59" spans="1:7" ht="52" customHeight="1">
      <c r="A59" s="481" t="s">
        <v>370</v>
      </c>
      <c r="B59" s="482"/>
      <c r="C59" s="483"/>
      <c r="D59" s="47" t="str">
        <f>IF(D58="Class I", 50, IF(D58="Class II or III",60, IF(D58="Class IV or V", 80,"")))</f>
        <v/>
      </c>
      <c r="E59" s="174"/>
      <c r="F59" s="398" t="s">
        <v>635</v>
      </c>
      <c r="G59" s="415" t="s">
        <v>697</v>
      </c>
    </row>
    <row r="60" spans="1:7" ht="33" customHeight="1">
      <c r="A60" s="475" t="s">
        <v>297</v>
      </c>
      <c r="B60" s="475"/>
      <c r="C60" s="475"/>
      <c r="D60" s="86"/>
      <c r="E60" s="61"/>
      <c r="F60" s="442"/>
      <c r="G60" s="442"/>
    </row>
    <row r="61" spans="1:7" ht="56" customHeight="1">
      <c r="A61" s="475" t="s">
        <v>296</v>
      </c>
      <c r="B61" s="475"/>
      <c r="C61" s="475"/>
      <c r="D61" s="86"/>
      <c r="E61" s="61"/>
      <c r="F61" s="398" t="s">
        <v>636</v>
      </c>
      <c r="G61" s="415" t="s">
        <v>692</v>
      </c>
    </row>
    <row r="62" spans="1:7" ht="33" customHeight="1">
      <c r="A62" s="475" t="s">
        <v>396</v>
      </c>
      <c r="B62" s="475"/>
      <c r="C62" s="475"/>
      <c r="D62" s="73"/>
      <c r="E62" s="62"/>
      <c r="F62" s="442"/>
      <c r="G62" s="442"/>
    </row>
    <row r="63" spans="1:7" ht="33" customHeight="1">
      <c r="A63" s="480" t="s">
        <v>395</v>
      </c>
      <c r="B63" s="480"/>
      <c r="C63" s="480"/>
      <c r="D63" s="73"/>
      <c r="E63" s="62"/>
      <c r="F63" s="1"/>
    </row>
    <row r="64" spans="1:7" ht="33" customHeight="1">
      <c r="A64" s="475" t="s">
        <v>127</v>
      </c>
      <c r="B64" s="475"/>
      <c r="C64" s="475"/>
      <c r="D64" s="86"/>
      <c r="E64" s="62"/>
      <c r="F64" s="1"/>
    </row>
    <row r="65" spans="1:7" ht="33" customHeight="1">
      <c r="A65" s="475" t="s">
        <v>28</v>
      </c>
      <c r="B65" s="475"/>
      <c r="C65" s="475"/>
      <c r="D65" s="86"/>
      <c r="E65" s="62"/>
      <c r="F65" s="1"/>
    </row>
    <row r="66" spans="1:7" ht="30" customHeight="1"/>
    <row r="67" spans="1:7" ht="18" customHeight="1">
      <c r="A67" s="458" t="s">
        <v>167</v>
      </c>
      <c r="B67" s="458"/>
      <c r="C67" s="458"/>
      <c r="D67" s="458"/>
      <c r="E67" s="458"/>
      <c r="F67" s="458"/>
      <c r="G67" s="458"/>
    </row>
    <row r="68" spans="1:7" ht="33" customHeight="1">
      <c r="A68" s="476" t="s">
        <v>256</v>
      </c>
      <c r="B68" s="476"/>
      <c r="C68" s="476"/>
      <c r="D68" s="86"/>
      <c r="E68" s="121"/>
      <c r="F68" s="100" t="s">
        <v>168</v>
      </c>
      <c r="G68" s="85">
        <f>G69-G70</f>
        <v>0</v>
      </c>
    </row>
    <row r="69" spans="1:7" ht="50" customHeight="1">
      <c r="A69" s="477" t="s">
        <v>384</v>
      </c>
      <c r="B69" s="478"/>
      <c r="C69" s="479"/>
      <c r="D69" s="160"/>
      <c r="E69" s="159"/>
      <c r="F69" s="100" t="s">
        <v>48</v>
      </c>
      <c r="G69" s="84">
        <f>((D73+D74)*(1-D75)-D77)*ERFs!B$57-D78*ERFs!B$21</f>
        <v>0</v>
      </c>
    </row>
    <row r="70" spans="1:7" ht="33" customHeight="1">
      <c r="A70" s="476" t="s">
        <v>257</v>
      </c>
      <c r="B70" s="476"/>
      <c r="C70" s="476"/>
      <c r="D70" s="86"/>
      <c r="E70" s="121"/>
      <c r="F70" s="100" t="s">
        <v>47</v>
      </c>
      <c r="G70" s="84">
        <f>(D73+D74)*(1-D76)*ERFs!B$57</f>
        <v>0</v>
      </c>
    </row>
    <row r="71" spans="1:7" ht="33" customHeight="1">
      <c r="A71" s="481" t="s">
        <v>407</v>
      </c>
      <c r="B71" s="482"/>
      <c r="C71" s="483"/>
      <c r="D71" s="160"/>
      <c r="E71" s="174"/>
      <c r="F71" s="65" t="s">
        <v>690</v>
      </c>
      <c r="G71" s="179"/>
    </row>
    <row r="72" spans="1:7" ht="55" customHeight="1">
      <c r="A72" s="481" t="s">
        <v>370</v>
      </c>
      <c r="B72" s="482"/>
      <c r="C72" s="483"/>
      <c r="D72" s="47" t="str">
        <f>IF(D71="Class I", 50, IF(D71="Class II or III",60, IF(D71="Class IV or V", 80,"")))</f>
        <v/>
      </c>
      <c r="E72" s="174"/>
      <c r="F72" s="398" t="s">
        <v>635</v>
      </c>
      <c r="G72" s="415" t="s">
        <v>697</v>
      </c>
    </row>
    <row r="73" spans="1:7" ht="33" customHeight="1">
      <c r="A73" s="475" t="s">
        <v>297</v>
      </c>
      <c r="B73" s="475"/>
      <c r="C73" s="475"/>
      <c r="D73" s="86"/>
      <c r="E73" s="61"/>
      <c r="F73" s="442"/>
      <c r="G73" s="442"/>
    </row>
    <row r="74" spans="1:7" ht="54" customHeight="1">
      <c r="A74" s="475" t="s">
        <v>296</v>
      </c>
      <c r="B74" s="475"/>
      <c r="C74" s="475"/>
      <c r="D74" s="86"/>
      <c r="E74" s="61"/>
      <c r="F74" s="398" t="s">
        <v>636</v>
      </c>
      <c r="G74" s="415" t="s">
        <v>692</v>
      </c>
    </row>
    <row r="75" spans="1:7" ht="33" customHeight="1">
      <c r="A75" s="475" t="s">
        <v>396</v>
      </c>
      <c r="B75" s="475"/>
      <c r="C75" s="475"/>
      <c r="D75" s="73"/>
      <c r="E75" s="62"/>
      <c r="F75" s="442"/>
      <c r="G75" s="442"/>
    </row>
    <row r="76" spans="1:7" ht="33" customHeight="1">
      <c r="A76" s="480" t="s">
        <v>395</v>
      </c>
      <c r="B76" s="480"/>
      <c r="C76" s="480"/>
      <c r="D76" s="73"/>
      <c r="E76" s="62"/>
      <c r="F76" s="1"/>
    </row>
    <row r="77" spans="1:7" ht="33" customHeight="1">
      <c r="A77" s="475" t="s">
        <v>127</v>
      </c>
      <c r="B77" s="475"/>
      <c r="C77" s="475"/>
      <c r="D77" s="86"/>
      <c r="E77" s="62"/>
      <c r="F77" s="1"/>
    </row>
    <row r="78" spans="1:7" ht="33" customHeight="1">
      <c r="A78" s="475" t="s">
        <v>28</v>
      </c>
      <c r="B78" s="475"/>
      <c r="C78" s="475"/>
      <c r="D78" s="86"/>
      <c r="E78" s="62"/>
      <c r="F78" s="1"/>
    </row>
    <row r="80" spans="1:7" ht="16">
      <c r="A80" s="458" t="s">
        <v>307</v>
      </c>
      <c r="B80" s="458"/>
      <c r="C80" s="458"/>
      <c r="D80" s="458"/>
      <c r="E80" s="458"/>
      <c r="F80" s="458"/>
      <c r="G80" s="458"/>
    </row>
    <row r="81" spans="1:7" ht="33" customHeight="1">
      <c r="A81" s="476" t="s">
        <v>256</v>
      </c>
      <c r="B81" s="476"/>
      <c r="C81" s="476"/>
      <c r="D81" s="86"/>
      <c r="E81" s="155"/>
      <c r="F81" s="100" t="s">
        <v>322</v>
      </c>
      <c r="G81" s="85">
        <f>G82-G83</f>
        <v>0</v>
      </c>
    </row>
    <row r="82" spans="1:7" ht="50" customHeight="1">
      <c r="A82" s="477" t="s">
        <v>384</v>
      </c>
      <c r="B82" s="478"/>
      <c r="C82" s="479"/>
      <c r="D82" s="160"/>
      <c r="E82" s="159"/>
      <c r="F82" s="100" t="s">
        <v>48</v>
      </c>
      <c r="G82" s="84">
        <f>((D86+D87)*(1-D88)-D90)*ERFs!B$57-D91*ERFs!B$21</f>
        <v>0</v>
      </c>
    </row>
    <row r="83" spans="1:7" ht="33" customHeight="1">
      <c r="A83" s="476" t="s">
        <v>257</v>
      </c>
      <c r="B83" s="476"/>
      <c r="C83" s="476"/>
      <c r="D83" s="86"/>
      <c r="E83" s="155"/>
      <c r="F83" s="100" t="s">
        <v>47</v>
      </c>
      <c r="G83" s="84">
        <f>(D86+D87)*(1-D89)*ERFs!B$57</f>
        <v>0</v>
      </c>
    </row>
    <row r="84" spans="1:7" ht="33" customHeight="1">
      <c r="A84" s="481" t="s">
        <v>407</v>
      </c>
      <c r="B84" s="482"/>
      <c r="C84" s="483"/>
      <c r="D84" s="160"/>
      <c r="E84" s="174"/>
      <c r="F84" s="65" t="s">
        <v>690</v>
      </c>
      <c r="G84" s="179"/>
    </row>
    <row r="85" spans="1:7" ht="59" customHeight="1">
      <c r="A85" s="481" t="s">
        <v>370</v>
      </c>
      <c r="B85" s="482"/>
      <c r="C85" s="483"/>
      <c r="D85" s="47" t="str">
        <f>IF(D84="Class I", 50, IF(D84="Class II or III",60, IF(D84="Class IV or V", 80,"")))</f>
        <v/>
      </c>
      <c r="E85" s="174"/>
      <c r="F85" s="398" t="s">
        <v>635</v>
      </c>
      <c r="G85" s="415" t="s">
        <v>697</v>
      </c>
    </row>
    <row r="86" spans="1:7" ht="33" customHeight="1">
      <c r="A86" s="475" t="s">
        <v>297</v>
      </c>
      <c r="B86" s="475"/>
      <c r="C86" s="475"/>
      <c r="D86" s="86"/>
      <c r="E86" s="61"/>
      <c r="F86" s="442"/>
      <c r="G86" s="442"/>
    </row>
    <row r="87" spans="1:7" ht="54" customHeight="1">
      <c r="A87" s="475" t="s">
        <v>296</v>
      </c>
      <c r="B87" s="475"/>
      <c r="C87" s="475"/>
      <c r="D87" s="86"/>
      <c r="E87" s="61"/>
      <c r="F87" s="398" t="s">
        <v>636</v>
      </c>
      <c r="G87" s="415" t="s">
        <v>692</v>
      </c>
    </row>
    <row r="88" spans="1:7" ht="33" customHeight="1">
      <c r="A88" s="475" t="s">
        <v>396</v>
      </c>
      <c r="B88" s="475"/>
      <c r="C88" s="475"/>
      <c r="D88" s="73"/>
      <c r="E88" s="62"/>
      <c r="F88" s="442"/>
      <c r="G88" s="442"/>
    </row>
    <row r="89" spans="1:7" ht="33" customHeight="1">
      <c r="A89" s="480" t="s">
        <v>395</v>
      </c>
      <c r="B89" s="480"/>
      <c r="C89" s="480"/>
      <c r="D89" s="73"/>
      <c r="E89" s="62"/>
      <c r="F89" s="1"/>
    </row>
    <row r="90" spans="1:7" ht="33" customHeight="1">
      <c r="A90" s="475" t="s">
        <v>127</v>
      </c>
      <c r="B90" s="475"/>
      <c r="C90" s="475"/>
      <c r="D90" s="86"/>
      <c r="E90" s="62"/>
      <c r="F90" s="1"/>
    </row>
    <row r="91" spans="1:7" ht="33" customHeight="1">
      <c r="A91" s="475" t="s">
        <v>28</v>
      </c>
      <c r="B91" s="475"/>
      <c r="C91" s="475"/>
      <c r="D91" s="86"/>
      <c r="E91" s="62"/>
      <c r="F91" s="1"/>
    </row>
    <row r="93" spans="1:7" ht="16">
      <c r="A93" s="458" t="s">
        <v>308</v>
      </c>
      <c r="B93" s="458"/>
      <c r="C93" s="458"/>
      <c r="D93" s="458"/>
      <c r="E93" s="458"/>
      <c r="F93" s="458"/>
      <c r="G93" s="458"/>
    </row>
    <row r="94" spans="1:7" ht="33" customHeight="1">
      <c r="A94" s="476" t="s">
        <v>256</v>
      </c>
      <c r="B94" s="476"/>
      <c r="C94" s="476"/>
      <c r="D94" s="86"/>
      <c r="E94" s="155"/>
      <c r="F94" s="100" t="s">
        <v>323</v>
      </c>
      <c r="G94" s="85">
        <f>G95-G96</f>
        <v>0</v>
      </c>
    </row>
    <row r="95" spans="1:7" ht="50" customHeight="1">
      <c r="A95" s="477" t="s">
        <v>384</v>
      </c>
      <c r="B95" s="478"/>
      <c r="C95" s="479"/>
      <c r="D95" s="160"/>
      <c r="E95" s="159"/>
      <c r="F95" s="100" t="s">
        <v>48</v>
      </c>
      <c r="G95" s="84">
        <f>((D99+D100)*(1-D101)-D103)*ERFs!B$57-D104*ERFs!B$21</f>
        <v>0</v>
      </c>
    </row>
    <row r="96" spans="1:7" ht="33" customHeight="1">
      <c r="A96" s="476" t="s">
        <v>257</v>
      </c>
      <c r="B96" s="476"/>
      <c r="C96" s="476"/>
      <c r="D96" s="86"/>
      <c r="E96" s="155"/>
      <c r="F96" s="100" t="s">
        <v>47</v>
      </c>
      <c r="G96" s="84">
        <f>(D99+D100)*(1-D102)*ERFs!B$57</f>
        <v>0</v>
      </c>
    </row>
    <row r="97" spans="1:7" ht="33" customHeight="1">
      <c r="A97" s="481" t="s">
        <v>407</v>
      </c>
      <c r="B97" s="482"/>
      <c r="C97" s="483"/>
      <c r="D97" s="160"/>
      <c r="E97" s="174"/>
      <c r="F97" s="65" t="s">
        <v>690</v>
      </c>
      <c r="G97" s="179"/>
    </row>
    <row r="98" spans="1:7" ht="51" customHeight="1">
      <c r="A98" s="481" t="s">
        <v>370</v>
      </c>
      <c r="B98" s="482"/>
      <c r="C98" s="483"/>
      <c r="D98" s="47" t="str">
        <f>IF(D97="Class I", 50, IF(D97="Class II or III",60, IF(D97="Class IV or V", 80,"")))</f>
        <v/>
      </c>
      <c r="E98" s="174"/>
      <c r="F98" s="398" t="s">
        <v>635</v>
      </c>
      <c r="G98" s="415" t="s">
        <v>697</v>
      </c>
    </row>
    <row r="99" spans="1:7" ht="33" customHeight="1">
      <c r="A99" s="475" t="s">
        <v>297</v>
      </c>
      <c r="B99" s="475"/>
      <c r="C99" s="475"/>
      <c r="D99" s="86"/>
      <c r="E99" s="61"/>
      <c r="F99" s="442"/>
      <c r="G99" s="442"/>
    </row>
    <row r="100" spans="1:7" ht="55" customHeight="1">
      <c r="A100" s="475" t="s">
        <v>296</v>
      </c>
      <c r="B100" s="475"/>
      <c r="C100" s="475"/>
      <c r="D100" s="86"/>
      <c r="E100" s="61"/>
      <c r="F100" s="398" t="s">
        <v>636</v>
      </c>
      <c r="G100" s="415" t="s">
        <v>692</v>
      </c>
    </row>
    <row r="101" spans="1:7" ht="33" customHeight="1">
      <c r="A101" s="475" t="s">
        <v>396</v>
      </c>
      <c r="B101" s="475"/>
      <c r="C101" s="475"/>
      <c r="D101" s="73"/>
      <c r="E101" s="62"/>
      <c r="F101" s="442"/>
      <c r="G101" s="442"/>
    </row>
    <row r="102" spans="1:7" ht="33" customHeight="1">
      <c r="A102" s="480" t="s">
        <v>395</v>
      </c>
      <c r="B102" s="480"/>
      <c r="C102" s="480"/>
      <c r="D102" s="73"/>
      <c r="E102" s="62"/>
      <c r="F102" s="1"/>
    </row>
    <row r="103" spans="1:7" ht="33" customHeight="1">
      <c r="A103" s="475" t="s">
        <v>127</v>
      </c>
      <c r="B103" s="475"/>
      <c r="C103" s="475"/>
      <c r="D103" s="86"/>
      <c r="E103" s="62"/>
      <c r="F103" s="1"/>
    </row>
    <row r="104" spans="1:7" ht="33" customHeight="1">
      <c r="A104" s="475" t="s">
        <v>28</v>
      </c>
      <c r="B104" s="475"/>
      <c r="C104" s="475"/>
      <c r="D104" s="86"/>
      <c r="E104" s="62"/>
      <c r="F104" s="1"/>
    </row>
    <row r="106" spans="1:7" ht="16">
      <c r="A106" s="458" t="s">
        <v>309</v>
      </c>
      <c r="B106" s="458"/>
      <c r="C106" s="458"/>
      <c r="D106" s="458"/>
      <c r="E106" s="458"/>
      <c r="F106" s="458"/>
      <c r="G106" s="458"/>
    </row>
    <row r="107" spans="1:7" ht="33" customHeight="1">
      <c r="A107" s="476" t="s">
        <v>256</v>
      </c>
      <c r="B107" s="476"/>
      <c r="C107" s="476"/>
      <c r="D107" s="86"/>
      <c r="E107" s="155"/>
      <c r="F107" s="100" t="s">
        <v>324</v>
      </c>
      <c r="G107" s="85">
        <f>G108-G109</f>
        <v>0</v>
      </c>
    </row>
    <row r="108" spans="1:7" ht="50" customHeight="1">
      <c r="A108" s="477" t="s">
        <v>384</v>
      </c>
      <c r="B108" s="478"/>
      <c r="C108" s="479"/>
      <c r="D108" s="160"/>
      <c r="E108" s="159"/>
      <c r="F108" s="100" t="s">
        <v>48</v>
      </c>
      <c r="G108" s="84">
        <f>((D112+D113)*(1-D114)-D116)*ERFs!B$57-D117*ERFs!B$21</f>
        <v>0</v>
      </c>
    </row>
    <row r="109" spans="1:7" ht="33" customHeight="1">
      <c r="A109" s="476" t="s">
        <v>257</v>
      </c>
      <c r="B109" s="476"/>
      <c r="C109" s="476"/>
      <c r="D109" s="86"/>
      <c r="E109" s="155"/>
      <c r="F109" s="100" t="s">
        <v>47</v>
      </c>
      <c r="G109" s="84">
        <f>(D112+D113)*(1-D115)*ERFs!B$57</f>
        <v>0</v>
      </c>
    </row>
    <row r="110" spans="1:7" ht="33" customHeight="1">
      <c r="A110" s="481" t="s">
        <v>407</v>
      </c>
      <c r="B110" s="482"/>
      <c r="C110" s="483"/>
      <c r="D110" s="160"/>
      <c r="E110" s="174"/>
      <c r="F110" s="65" t="s">
        <v>690</v>
      </c>
      <c r="G110" s="179"/>
    </row>
    <row r="111" spans="1:7" ht="56" customHeight="1">
      <c r="A111" s="481" t="s">
        <v>370</v>
      </c>
      <c r="B111" s="482"/>
      <c r="C111" s="483"/>
      <c r="D111" s="47" t="str">
        <f>IF(D110="Class I", 50, IF(D110="Class II or III",60, IF(D110="Class IV or V", 80,"")))</f>
        <v/>
      </c>
      <c r="E111" s="174"/>
      <c r="F111" s="398" t="s">
        <v>635</v>
      </c>
      <c r="G111" s="415" t="s">
        <v>697</v>
      </c>
    </row>
    <row r="112" spans="1:7" ht="33" customHeight="1">
      <c r="A112" s="475" t="s">
        <v>297</v>
      </c>
      <c r="B112" s="475"/>
      <c r="C112" s="475"/>
      <c r="D112" s="86"/>
      <c r="E112" s="61"/>
      <c r="F112" s="442"/>
      <c r="G112" s="442"/>
    </row>
    <row r="113" spans="1:7" ht="53" customHeight="1">
      <c r="A113" s="475" t="s">
        <v>296</v>
      </c>
      <c r="B113" s="475"/>
      <c r="C113" s="475"/>
      <c r="D113" s="86"/>
      <c r="E113" s="61"/>
      <c r="F113" s="398" t="s">
        <v>636</v>
      </c>
      <c r="G113" s="415" t="s">
        <v>692</v>
      </c>
    </row>
    <row r="114" spans="1:7" ht="33" customHeight="1">
      <c r="A114" s="475" t="s">
        <v>396</v>
      </c>
      <c r="B114" s="475"/>
      <c r="C114" s="475"/>
      <c r="D114" s="73"/>
      <c r="E114" s="62"/>
      <c r="F114" s="442"/>
      <c r="G114" s="442"/>
    </row>
    <row r="115" spans="1:7" ht="33" customHeight="1">
      <c r="A115" s="480" t="s">
        <v>395</v>
      </c>
      <c r="B115" s="480"/>
      <c r="C115" s="480"/>
      <c r="D115" s="73"/>
      <c r="E115" s="62"/>
      <c r="F115" s="1"/>
    </row>
    <row r="116" spans="1:7" ht="33" customHeight="1">
      <c r="A116" s="475" t="s">
        <v>127</v>
      </c>
      <c r="B116" s="475"/>
      <c r="C116" s="475"/>
      <c r="D116" s="86"/>
      <c r="E116" s="62"/>
      <c r="F116" s="1"/>
    </row>
    <row r="117" spans="1:7" ht="33" customHeight="1">
      <c r="A117" s="475" t="s">
        <v>28</v>
      </c>
      <c r="B117" s="475"/>
      <c r="C117" s="475"/>
      <c r="D117" s="86"/>
      <c r="E117" s="62"/>
      <c r="F117" s="1"/>
    </row>
    <row r="119" spans="1:7" ht="16">
      <c r="A119" s="458" t="s">
        <v>310</v>
      </c>
      <c r="B119" s="458"/>
      <c r="C119" s="458"/>
      <c r="D119" s="458"/>
      <c r="E119" s="458"/>
      <c r="F119" s="458"/>
      <c r="G119" s="458"/>
    </row>
    <row r="120" spans="1:7" ht="33" customHeight="1">
      <c r="A120" s="476" t="s">
        <v>256</v>
      </c>
      <c r="B120" s="476"/>
      <c r="C120" s="476"/>
      <c r="D120" s="86"/>
      <c r="E120" s="155"/>
      <c r="F120" s="100" t="s">
        <v>325</v>
      </c>
      <c r="G120" s="85">
        <f>G121-G122</f>
        <v>0</v>
      </c>
    </row>
    <row r="121" spans="1:7" ht="50" customHeight="1">
      <c r="A121" s="477" t="s">
        <v>384</v>
      </c>
      <c r="B121" s="478"/>
      <c r="C121" s="479"/>
      <c r="D121" s="160"/>
      <c r="E121" s="159"/>
      <c r="F121" s="100" t="s">
        <v>48</v>
      </c>
      <c r="G121" s="84">
        <f>((D125+D126)*(1-D127)-D129)*ERFs!B$57-D130*ERFs!B$21</f>
        <v>0</v>
      </c>
    </row>
    <row r="122" spans="1:7" ht="33" customHeight="1">
      <c r="A122" s="476" t="s">
        <v>257</v>
      </c>
      <c r="B122" s="476"/>
      <c r="C122" s="476"/>
      <c r="D122" s="86"/>
      <c r="E122" s="155"/>
      <c r="F122" s="100" t="s">
        <v>47</v>
      </c>
      <c r="G122" s="84">
        <f>(D125+D126)*(1-D128)*ERFs!B$57</f>
        <v>0</v>
      </c>
    </row>
    <row r="123" spans="1:7" ht="33" customHeight="1">
      <c r="A123" s="481" t="s">
        <v>407</v>
      </c>
      <c r="B123" s="482"/>
      <c r="C123" s="483"/>
      <c r="D123" s="160"/>
      <c r="E123" s="174"/>
      <c r="F123" s="65" t="s">
        <v>690</v>
      </c>
      <c r="G123" s="179"/>
    </row>
    <row r="124" spans="1:7" ht="54" customHeight="1">
      <c r="A124" s="481" t="s">
        <v>370</v>
      </c>
      <c r="B124" s="482"/>
      <c r="C124" s="483"/>
      <c r="D124" s="47" t="str">
        <f>IF(D123="Class I", 50, IF(D123="Class II or III",60, IF(D123="Class IV or V", 80,"")))</f>
        <v/>
      </c>
      <c r="E124" s="174"/>
      <c r="F124" s="398" t="s">
        <v>635</v>
      </c>
      <c r="G124" s="415" t="s">
        <v>697</v>
      </c>
    </row>
    <row r="125" spans="1:7" ht="33" customHeight="1">
      <c r="A125" s="475" t="s">
        <v>297</v>
      </c>
      <c r="B125" s="475"/>
      <c r="C125" s="475"/>
      <c r="D125" s="86"/>
      <c r="E125" s="61"/>
      <c r="F125" s="442"/>
      <c r="G125" s="442"/>
    </row>
    <row r="126" spans="1:7" ht="55" customHeight="1">
      <c r="A126" s="475" t="s">
        <v>296</v>
      </c>
      <c r="B126" s="475"/>
      <c r="C126" s="475"/>
      <c r="D126" s="86"/>
      <c r="E126" s="61"/>
      <c r="F126" s="398" t="s">
        <v>636</v>
      </c>
      <c r="G126" s="415" t="s">
        <v>692</v>
      </c>
    </row>
    <row r="127" spans="1:7" ht="33" customHeight="1">
      <c r="A127" s="475" t="s">
        <v>396</v>
      </c>
      <c r="B127" s="475"/>
      <c r="C127" s="475"/>
      <c r="D127" s="73"/>
      <c r="E127" s="62"/>
      <c r="F127" s="442"/>
      <c r="G127" s="442"/>
    </row>
    <row r="128" spans="1:7" ht="33" customHeight="1">
      <c r="A128" s="480" t="s">
        <v>395</v>
      </c>
      <c r="B128" s="480"/>
      <c r="C128" s="480"/>
      <c r="D128" s="73"/>
      <c r="E128" s="62"/>
      <c r="F128" s="1"/>
    </row>
    <row r="129" spans="1:7" ht="33" customHeight="1">
      <c r="A129" s="475" t="s">
        <v>127</v>
      </c>
      <c r="B129" s="475"/>
      <c r="C129" s="475"/>
      <c r="D129" s="86"/>
      <c r="E129" s="62"/>
      <c r="F129" s="1"/>
    </row>
    <row r="130" spans="1:7" ht="33" customHeight="1">
      <c r="A130" s="475" t="s">
        <v>28</v>
      </c>
      <c r="B130" s="475"/>
      <c r="C130" s="475"/>
      <c r="D130" s="86"/>
      <c r="E130" s="62"/>
      <c r="F130" s="1"/>
    </row>
    <row r="132" spans="1:7" ht="16">
      <c r="A132" s="458" t="s">
        <v>311</v>
      </c>
      <c r="B132" s="458"/>
      <c r="C132" s="458"/>
      <c r="D132" s="458"/>
      <c r="E132" s="458"/>
      <c r="F132" s="458"/>
      <c r="G132" s="458"/>
    </row>
    <row r="133" spans="1:7" ht="33" customHeight="1">
      <c r="A133" s="476" t="s">
        <v>256</v>
      </c>
      <c r="B133" s="476"/>
      <c r="C133" s="476"/>
      <c r="D133" s="86"/>
      <c r="E133" s="155"/>
      <c r="F133" s="100" t="s">
        <v>326</v>
      </c>
      <c r="G133" s="85">
        <f>G134-G135</f>
        <v>0</v>
      </c>
    </row>
    <row r="134" spans="1:7" ht="50" customHeight="1">
      <c r="A134" s="477" t="s">
        <v>384</v>
      </c>
      <c r="B134" s="478"/>
      <c r="C134" s="479"/>
      <c r="D134" s="160"/>
      <c r="E134" s="159"/>
      <c r="F134" s="100" t="s">
        <v>48</v>
      </c>
      <c r="G134" s="84">
        <f>((D138+D139)*(1-D140)-D142)*ERFs!B$57-D143*ERFs!B$21</f>
        <v>0</v>
      </c>
    </row>
    <row r="135" spans="1:7" ht="33" customHeight="1">
      <c r="A135" s="476" t="s">
        <v>257</v>
      </c>
      <c r="B135" s="476"/>
      <c r="C135" s="476"/>
      <c r="D135" s="86"/>
      <c r="E135" s="155"/>
      <c r="F135" s="100" t="s">
        <v>47</v>
      </c>
      <c r="G135" s="84">
        <f>(D138+D139)*(1-D141)*ERFs!B$57</f>
        <v>0</v>
      </c>
    </row>
    <row r="136" spans="1:7" ht="33" customHeight="1">
      <c r="A136" s="481" t="s">
        <v>407</v>
      </c>
      <c r="B136" s="482"/>
      <c r="C136" s="483"/>
      <c r="D136" s="160"/>
      <c r="E136" s="174"/>
      <c r="F136" s="65" t="s">
        <v>690</v>
      </c>
      <c r="G136" s="179"/>
    </row>
    <row r="137" spans="1:7" ht="50" customHeight="1">
      <c r="A137" s="481" t="s">
        <v>370</v>
      </c>
      <c r="B137" s="482"/>
      <c r="C137" s="483"/>
      <c r="D137" s="47" t="str">
        <f>IF(D136="Class I", 50, IF(D136="Class II or III",60, IF(D136="Class IV or V", 80,"")))</f>
        <v/>
      </c>
      <c r="E137" s="174"/>
      <c r="F137" s="398" t="s">
        <v>635</v>
      </c>
      <c r="G137" s="415" t="s">
        <v>697</v>
      </c>
    </row>
    <row r="138" spans="1:7" ht="33" customHeight="1">
      <c r="A138" s="475" t="s">
        <v>297</v>
      </c>
      <c r="B138" s="475"/>
      <c r="C138" s="475"/>
      <c r="D138" s="86"/>
      <c r="E138" s="61"/>
      <c r="F138" s="442"/>
      <c r="G138" s="442"/>
    </row>
    <row r="139" spans="1:7" ht="56" customHeight="1">
      <c r="A139" s="475" t="s">
        <v>296</v>
      </c>
      <c r="B139" s="475"/>
      <c r="C139" s="475"/>
      <c r="D139" s="86"/>
      <c r="E139" s="61"/>
      <c r="F139" s="398" t="s">
        <v>636</v>
      </c>
      <c r="G139" s="415" t="s">
        <v>692</v>
      </c>
    </row>
    <row r="140" spans="1:7" ht="33" customHeight="1">
      <c r="A140" s="475" t="s">
        <v>396</v>
      </c>
      <c r="B140" s="475"/>
      <c r="C140" s="475"/>
      <c r="D140" s="73"/>
      <c r="E140" s="62"/>
      <c r="F140" s="442"/>
      <c r="G140" s="442"/>
    </row>
    <row r="141" spans="1:7" ht="33" customHeight="1">
      <c r="A141" s="480" t="s">
        <v>395</v>
      </c>
      <c r="B141" s="480"/>
      <c r="C141" s="480"/>
      <c r="D141" s="73"/>
      <c r="E141" s="62"/>
      <c r="F141" s="1"/>
    </row>
    <row r="142" spans="1:7" ht="33" customHeight="1">
      <c r="A142" s="475" t="s">
        <v>127</v>
      </c>
      <c r="B142" s="475"/>
      <c r="C142" s="475"/>
      <c r="D142" s="86"/>
      <c r="E142" s="62"/>
      <c r="F142" s="1"/>
    </row>
    <row r="143" spans="1:7" ht="33" customHeight="1">
      <c r="A143" s="475" t="s">
        <v>28</v>
      </c>
      <c r="B143" s="475"/>
      <c r="C143" s="475"/>
      <c r="D143" s="86"/>
      <c r="E143" s="62"/>
      <c r="F143" s="1"/>
    </row>
  </sheetData>
  <sheetProtection algorithmName="SHA-512" hashValue="a6l7JcLn52nhp/j6n/IPKNQUGJLbOBzH/W8QQknIc1nEjaa1kp3D8b/kU6mwSTZu43ZDECiwuwPpBGhcBoTm+A==" saltValue="usgmu7vxY6zPc6JaLV0BPg==" spinCount="100000" sheet="1" objects="1" scenarios="1"/>
  <mergeCells count="111">
    <mergeCell ref="A98:C98"/>
    <mergeCell ref="A111:C111"/>
    <mergeCell ref="A94:C94"/>
    <mergeCell ref="A96:C96"/>
    <mergeCell ref="A99:C99"/>
    <mergeCell ref="A100:C100"/>
    <mergeCell ref="A76:C76"/>
    <mergeCell ref="A108:C108"/>
    <mergeCell ref="A95:C95"/>
    <mergeCell ref="A82:C82"/>
    <mergeCell ref="A101:C101"/>
    <mergeCell ref="A102:C102"/>
    <mergeCell ref="A103:C103"/>
    <mergeCell ref="A104:C104"/>
    <mergeCell ref="A97:C97"/>
    <mergeCell ref="A81:C81"/>
    <mergeCell ref="A77:C77"/>
    <mergeCell ref="A78:C78"/>
    <mergeCell ref="A83:C83"/>
    <mergeCell ref="A86:C86"/>
    <mergeCell ref="A87:C87"/>
    <mergeCell ref="A88:C88"/>
    <mergeCell ref="A89:C89"/>
    <mergeCell ref="A90:C90"/>
    <mergeCell ref="A133:C133"/>
    <mergeCell ref="A107:C107"/>
    <mergeCell ref="A109:C109"/>
    <mergeCell ref="A112:C112"/>
    <mergeCell ref="A113:C113"/>
    <mergeCell ref="A114:C114"/>
    <mergeCell ref="A115:C115"/>
    <mergeCell ref="A116:C116"/>
    <mergeCell ref="A117:C117"/>
    <mergeCell ref="A110:C110"/>
    <mergeCell ref="A91:C91"/>
    <mergeCell ref="A84:C84"/>
    <mergeCell ref="A85:C85"/>
    <mergeCell ref="A143:C143"/>
    <mergeCell ref="A136:C136"/>
    <mergeCell ref="A120:C120"/>
    <mergeCell ref="A122:C122"/>
    <mergeCell ref="A125:C125"/>
    <mergeCell ref="A126:C126"/>
    <mergeCell ref="A127:C127"/>
    <mergeCell ref="A128:C128"/>
    <mergeCell ref="A129:C129"/>
    <mergeCell ref="A130:C130"/>
    <mergeCell ref="A123:C123"/>
    <mergeCell ref="A124:C124"/>
    <mergeCell ref="A137:C137"/>
    <mergeCell ref="A121:C121"/>
    <mergeCell ref="A134:C134"/>
    <mergeCell ref="A138:C138"/>
    <mergeCell ref="A139:C139"/>
    <mergeCell ref="A140:C140"/>
    <mergeCell ref="A141:C141"/>
    <mergeCell ref="A142:C142"/>
    <mergeCell ref="A135:C135"/>
    <mergeCell ref="A65:C65"/>
    <mergeCell ref="A73:C73"/>
    <mergeCell ref="A74:C74"/>
    <mergeCell ref="A75:C75"/>
    <mergeCell ref="A69:C69"/>
    <mergeCell ref="A55:C55"/>
    <mergeCell ref="A57:C57"/>
    <mergeCell ref="A68:C68"/>
    <mergeCell ref="A70:C70"/>
    <mergeCell ref="A60:C60"/>
    <mergeCell ref="A61:C61"/>
    <mergeCell ref="A62:C62"/>
    <mergeCell ref="A63:C63"/>
    <mergeCell ref="A64:C64"/>
    <mergeCell ref="A56:C56"/>
    <mergeCell ref="A71:C71"/>
    <mergeCell ref="A58:C58"/>
    <mergeCell ref="A72:C72"/>
    <mergeCell ref="A59:C59"/>
    <mergeCell ref="A13:G13"/>
    <mergeCell ref="A16:C16"/>
    <mergeCell ref="A18:C18"/>
    <mergeCell ref="A34:C34"/>
    <mergeCell ref="A35:C35"/>
    <mergeCell ref="A36:C36"/>
    <mergeCell ref="A37:C37"/>
    <mergeCell ref="A29:C29"/>
    <mergeCell ref="A31:C31"/>
    <mergeCell ref="A30:C30"/>
    <mergeCell ref="A32:C32"/>
    <mergeCell ref="A19:C19"/>
    <mergeCell ref="A20:C20"/>
    <mergeCell ref="A33:C33"/>
    <mergeCell ref="A21:C21"/>
    <mergeCell ref="A22:C22"/>
    <mergeCell ref="A23:C23"/>
    <mergeCell ref="A17:C17"/>
    <mergeCell ref="A24:C24"/>
    <mergeCell ref="A25:C25"/>
    <mergeCell ref="A26:C26"/>
    <mergeCell ref="A51:C51"/>
    <mergeCell ref="A52:C52"/>
    <mergeCell ref="A38:C38"/>
    <mergeCell ref="A39:C39"/>
    <mergeCell ref="A47:C47"/>
    <mergeCell ref="A48:C48"/>
    <mergeCell ref="A42:C42"/>
    <mergeCell ref="A44:C44"/>
    <mergeCell ref="A43:C43"/>
    <mergeCell ref="A50:C50"/>
    <mergeCell ref="A45:C45"/>
    <mergeCell ref="A49:C49"/>
    <mergeCell ref="A46:C46"/>
  </mergeCells>
  <dataValidations count="10">
    <dataValidation type="decimal" allowBlank="1" showInputMessage="1" showErrorMessage="1" error="Enter a number between 0 and 1,000,000." prompt="Area (acres) to be treated for pest management." sqref="D16 D29 D42 D55 D68 D81 D94 D107 D120 D133" xr:uid="{00000000-0002-0000-0300-000000000000}">
      <formula1>0</formula1>
      <formula2>1000000</formula2>
    </dataValidation>
    <dataValidation type="decimal" allowBlank="1" showInputMessage="1" showErrorMessage="1" prompt="Area (acres) adjacent to the the pest management treatment area that is expected to be positively affected by the treatment." sqref="D122 D18 D31 D44 D57 D70 D83 D96 D109 D135" xr:uid="{00000000-0002-0000-0300-000001000000}">
      <formula1>0</formula1>
      <formula2>1000000</formula2>
    </dataValidation>
    <dataValidation type="decimal" allowBlank="1" showInputMessage="1" showErrorMessage="1" error="Value should be between 0% and 100%." prompt="Percentage of the treatment and impact areas at risk without pest management treatment; see Definitions tab for details. If the risk category for the area is presented as a range (i.e., 1-4%, 5-14%), enter the middle value of the range." sqref="D24 D37 D50 D63 D76 D89 D102 D115 D128 D141" xr:uid="{00000000-0002-0000-0300-000002000000}">
      <formula1>0</formula1>
      <formula2>1</formula2>
    </dataValidation>
    <dataValidation type="decimal" allowBlank="1" showInputMessage="1" showErrorMessage="1" error="Value should be between 0% and 100%." prompt="Percentage of the treatment and impact areas at risk with pest management treatment in place; see Definitions tab for details. If the risk category for the area is presented as a range (i.e., 1-4%, 5-14%), enter the middle value of the range." sqref="D23 D36 D49 D62 D75 D88 D101 D114 D127 D140" xr:uid="{00000000-0002-0000-0300-000003000000}">
      <formula1>0</formula1>
      <formula2>1</formula2>
    </dataValidation>
    <dataValidation type="decimal" allowBlank="1" showInputMessage="1" showErrorMessage="1" prompt="Biomass to be removed from within the treatment boundary via mechanical treatments (used to account for mobile source combustion emissions).  Here, “biomass” refers to both merchantable timber and woody waste material." sqref="D26 D39 D52 D65 D78 D91 D104 D117 D130 D143" xr:uid="{00000000-0002-0000-0300-000004000000}">
      <formula1>0</formula1>
      <formula2>10000000</formula2>
    </dataValidation>
    <dataValidation type="decimal" allowBlank="1" showInputMessage="1" showErrorMessage="1" error="Enter a value between 0 and 10,000,000." prompt="Amount of standing live tree carbon (MT C) to be removed from within the treatment boundary as part of pest management treatment.  Estimated by analyzing current stand conditions and proposed treatments to be implemented." sqref="D25 D38 D51 D64 D77 D90 D103 D116 D129 D142" xr:uid="{00000000-0002-0000-0300-000005000000}">
      <formula1>0</formula1>
      <formula2>10000000</formula2>
    </dataValidation>
    <dataValidation allowBlank="1" showInputMessage="1" showErrorMessage="1" prompt="Project duration. Automatically calculated based on Site Productivity Class. Class I: 50 yrs; Class II &amp; III: 60 yrs; Class IV &amp; V: 80 yrs." sqref="D20 D33 D46 D59 D72 D85 D98 D111 D124 D137" xr:uid="{00000000-0002-0000-0300-000006000000}"/>
    <dataValidation type="decimal" allowBlank="1" showInputMessage="1" showErrorMessage="1" prompt="Enter the carbon stored in standing live trees (from FVS or other allowed data sources) within the treatment boundary at the end of the project assuming no pest management treatment and no threat from pests or disease (baseline scenario)." sqref="D21 D34 D47 D60 D73 D86 D99 D112 D125 D138" xr:uid="{00000000-0002-0000-0300-000007000000}">
      <formula1>0</formula1>
      <formula2>100000000</formula2>
    </dataValidation>
    <dataValidation type="decimal" allowBlank="1" showInputMessage="1" showErrorMessage="1" prompt="Enter the carbon stored in standing live trees (from FVS or other allowed data sources) within the impact boundary at the end of the project assuming no pest management treatment and no threat from pests or disease (baseline scenario)." sqref="D22 D35 D48 D61 D74 D87 D100 D113 D126 D139" xr:uid="{00000000-0002-0000-0300-000008000000}">
      <formula1>0</formula1>
      <formula2>100000000</formula2>
    </dataValidation>
    <dataValidation type="textLength" allowBlank="1" showInputMessage="1" showErrorMessage="1" error="Exceeds 1000 characters." prompt="Enter text description." sqref="F21:G21 F23:G23 F125:G125 F127:G127 F34:G34 F36:G36 F47:G47 F49:G49 F60:G60 F62:G62 F73:G73 F75:G75 F86:G86 F88:G88 F99:G99 F101:G101 F112:G112 F114:G114 F138:G138 F140:G140" xr:uid="{00000000-0002-0000-0300-000009000000}">
      <formula1>0</formula1>
      <formula2>1000</formula2>
    </dataValidation>
  </dataValidations>
  <hyperlinks>
    <hyperlink ref="A24:C24" r:id="rId1" tooltip="Link to National Insect &amp; Disease Risk Map Viewer" display="Percentage of treatment and impact boundaries at risk without pest management treatment (%)" xr:uid="{00000000-0004-0000-0300-000000000000}"/>
    <hyperlink ref="A37:C37" r:id="rId2" tooltip="Link to National Insect &amp; Disease Risk Map Viewer" display="Percentage of treatment and impact boundaries at risk without pest management treatment (%)" xr:uid="{00000000-0004-0000-0300-000001000000}"/>
    <hyperlink ref="A50:C50" r:id="rId3" tooltip="Link to National Insect &amp; Disease Risk Map Viewer" display="Percentage of treatment and impact boundaries at risk without pest management treatment (%)" xr:uid="{00000000-0004-0000-0300-000002000000}"/>
    <hyperlink ref="A63:C63" r:id="rId4" tooltip="Link to National Insect &amp; Disease Risk Map Viewer" display="Percentage of treatment and impact boundaries at risk without pest management treatment (%)" xr:uid="{00000000-0004-0000-0300-000003000000}"/>
    <hyperlink ref="A76:C76" r:id="rId5" tooltip="Link to National Insect &amp; Disease Risk Map Viewer" display="Percentage of treatment and impact boundaries at risk without pest management treatment (%)" xr:uid="{00000000-0004-0000-0300-000004000000}"/>
    <hyperlink ref="A89:C89" r:id="rId6" tooltip="Link to National Insect &amp; Disease Risk Map Viewer" display="Percentage of treatment and impact boundaries at risk without pest management treatment (%)" xr:uid="{00000000-0004-0000-0300-000005000000}"/>
    <hyperlink ref="A102:C102" r:id="rId7" tooltip="Link to National Insect &amp; Disease Risk Map Viewer" display="Percentage of treatment and impact boundaries at risk without pest management treatment (%)" xr:uid="{00000000-0004-0000-0300-000006000000}"/>
    <hyperlink ref="A115:C115" r:id="rId8" tooltip="Link to National Insect &amp; Disease Risk Map Viewer" display="Percentage of treatment and impact boundaries at risk without pest management treatment (%)" xr:uid="{00000000-0004-0000-0300-000007000000}"/>
    <hyperlink ref="A128:C128" r:id="rId9" tooltip="Link to National Insect &amp; Disease Risk Map Viewer" display="Percentage of treatment and impact boundaries at risk without pest management treatment (%)" xr:uid="{00000000-0004-0000-0300-000008000000}"/>
    <hyperlink ref="A141:C141" r:id="rId10" tooltip="Link to National Insect &amp; Disease Risk Map Viewer" display="Percentage of treatment and impact boundaries at risk without pest management treatment (%)" xr:uid="{00000000-0004-0000-0300-000009000000}"/>
  </hyperlinks>
  <pageMargins left="0.7" right="0.7" top="0.75" bottom="0.75" header="0.3" footer="0.3"/>
  <pageSetup scale="27" orientation="landscape" r:id="rId11"/>
  <headerFooter>
    <oddFooter>&amp;CPage 4 of 12
Pest Management Worksheet</oddFooter>
  </headerFooter>
  <drawing r:id="rId12"/>
  <extLst>
    <ext xmlns:x14="http://schemas.microsoft.com/office/spreadsheetml/2009/9/main" uri="{CCE6A557-97BC-4b89-ADB6-D9C93CAAB3DF}">
      <x14:dataValidations xmlns:xm="http://schemas.microsoft.com/office/excel/2006/main" count="2">
        <x14:dataValidation type="list" allowBlank="1" showInputMessage="1" showErrorMessage="1" prompt="Select from dropdown. Used to help track State-funded activities treating and restoring natural and working lands. Does not influence GHG or other calculations." xr:uid="{00000000-0002-0000-0300-00000A000000}">
          <x14:formula1>
            <xm:f>LISTS!$A$20:$A$28</xm:f>
          </x14:formula1>
          <xm:sqref>D17 D30 D43 D56 D69 D82 D95 D108 D121 D134</xm:sqref>
        </x14:dataValidation>
        <x14:dataValidation type="list" allowBlank="1" showInputMessage="1" showErrorMessage="1" prompt="Select from dropdown. If the treatment area includes different site classes, enter the lowest site class (e.g., if class I and II, enter class I). Used to determine project duration." xr:uid="{00000000-0002-0000-0300-00000B000000}">
          <x14:formula1>
            <xm:f>LISTS!$A$31:$A$33</xm:f>
          </x14:formula1>
          <xm:sqref>D19 D32 D45 D58 D71 D84 D97 D110 D123 D136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79998168889431442"/>
    <pageSetUpPr fitToPage="1"/>
  </sheetPr>
  <dimension ref="A1:O243"/>
  <sheetViews>
    <sheetView showGridLines="0" showRuler="0" zoomScale="91" zoomScaleNormal="90" workbookViewId="0">
      <selection activeCell="B9" sqref="B9"/>
    </sheetView>
  </sheetViews>
  <sheetFormatPr baseColWidth="10" defaultColWidth="9.1640625" defaultRowHeight="15"/>
  <cols>
    <col min="1" max="1" width="25.6640625" style="1" customWidth="1"/>
    <col min="2" max="2" width="30.6640625" style="1" customWidth="1"/>
    <col min="3" max="3" width="31" style="1" customWidth="1"/>
    <col min="4" max="4" width="30.5" style="1" customWidth="1"/>
    <col min="5" max="5" width="10.6640625" style="1" customWidth="1"/>
    <col min="6" max="6" width="53.6640625" style="1" customWidth="1"/>
    <col min="7" max="7" width="20.83203125" style="1" customWidth="1"/>
    <col min="8" max="8" width="28.83203125" style="1" customWidth="1"/>
    <col min="9" max="9" width="20.6640625" style="30" customWidth="1"/>
    <col min="10" max="10" width="30.1640625" style="30" customWidth="1"/>
    <col min="11" max="11" width="19.1640625" style="1" customWidth="1"/>
    <col min="12" max="12" width="50.6640625" style="1" customWidth="1"/>
    <col min="13" max="14" width="9.1640625" style="1" customWidth="1"/>
    <col min="15" max="15" width="9.33203125" style="1" customWidth="1"/>
    <col min="16" max="18" width="9.1640625" style="1" customWidth="1"/>
    <col min="19" max="16384" width="9.1640625" style="1"/>
  </cols>
  <sheetData>
    <row r="1" spans="1:14" ht="19">
      <c r="C1" s="3" t="s">
        <v>278</v>
      </c>
      <c r="D1" s="3"/>
      <c r="I1" s="105"/>
      <c r="J1" s="105"/>
      <c r="K1" s="3"/>
      <c r="L1" s="3"/>
      <c r="M1" s="3"/>
      <c r="N1" s="2"/>
    </row>
    <row r="2" spans="1:14" ht="19">
      <c r="C2" s="3" t="s">
        <v>585</v>
      </c>
      <c r="D2" s="3"/>
      <c r="I2" s="105"/>
      <c r="J2" s="105"/>
      <c r="K2" s="3"/>
      <c r="L2" s="3"/>
      <c r="M2" s="3"/>
      <c r="N2" s="2"/>
    </row>
    <row r="3" spans="1:14" ht="19">
      <c r="C3" s="3" t="s">
        <v>586</v>
      </c>
      <c r="N3" s="2"/>
    </row>
    <row r="4" spans="1:14" ht="19">
      <c r="C4" s="118" t="s">
        <v>587</v>
      </c>
      <c r="D4" s="3"/>
      <c r="I4" s="105"/>
      <c r="J4" s="105"/>
      <c r="K4" s="3"/>
      <c r="L4" s="3"/>
      <c r="M4" s="3"/>
      <c r="N4" s="2"/>
    </row>
    <row r="5" spans="1:14" ht="19">
      <c r="C5" s="217"/>
      <c r="D5" s="3"/>
      <c r="I5" s="105"/>
      <c r="J5" s="105"/>
      <c r="K5" s="3"/>
      <c r="L5" s="3"/>
      <c r="M5" s="3"/>
      <c r="N5" s="2"/>
    </row>
    <row r="6" spans="1:14" ht="19">
      <c r="C6" s="365"/>
      <c r="D6" s="3"/>
      <c r="I6" s="105"/>
      <c r="J6" s="105"/>
      <c r="K6" s="3"/>
      <c r="L6" s="3"/>
      <c r="M6" s="3"/>
    </row>
    <row r="7" spans="1:14" ht="19">
      <c r="A7" s="9"/>
      <c r="B7" s="9"/>
      <c r="C7" s="217"/>
      <c r="D7" s="35"/>
      <c r="I7" s="105"/>
      <c r="J7" s="105"/>
      <c r="K7" s="3"/>
      <c r="L7" s="3"/>
      <c r="M7" s="3"/>
    </row>
    <row r="8" spans="1:14" ht="19">
      <c r="A8" s="9"/>
      <c r="B8" s="9"/>
      <c r="F8" s="3"/>
      <c r="G8" s="3"/>
      <c r="H8" s="3"/>
      <c r="I8" s="105"/>
      <c r="J8" s="105"/>
      <c r="K8" s="3"/>
      <c r="L8" s="3"/>
      <c r="M8" s="3"/>
    </row>
    <row r="9" spans="1:14" ht="18" customHeight="1">
      <c r="A9" s="45" t="s">
        <v>0</v>
      </c>
      <c r="B9" s="260" t="str">
        <f>IF('Read Me'!B26="","",'Read Me'!B26)</f>
        <v/>
      </c>
      <c r="C9" s="261"/>
      <c r="D9" s="103"/>
      <c r="E9" s="65"/>
      <c r="F9" s="65"/>
      <c r="G9" s="65"/>
      <c r="H9" s="65"/>
    </row>
    <row r="10" spans="1:14" ht="18" customHeight="1">
      <c r="A10" s="72" t="s">
        <v>10</v>
      </c>
      <c r="B10" s="258" t="str">
        <f>IF('Read Me'!B27="","",'Read Me'!B27)</f>
        <v/>
      </c>
      <c r="C10" s="259"/>
      <c r="D10" s="104"/>
      <c r="E10" s="66"/>
      <c r="F10" s="66"/>
      <c r="G10" s="66"/>
      <c r="H10" s="66"/>
    </row>
    <row r="11" spans="1:14" ht="18" customHeight="1">
      <c r="E11" s="9"/>
      <c r="F11" s="29"/>
      <c r="G11" s="29"/>
      <c r="H11" s="10"/>
      <c r="I11" s="10"/>
      <c r="K11" s="11"/>
    </row>
    <row r="12" spans="1:14" ht="19">
      <c r="A12" s="4" t="s">
        <v>24</v>
      </c>
      <c r="B12" s="9"/>
      <c r="C12" s="16"/>
      <c r="D12" s="16"/>
      <c r="E12" s="16"/>
      <c r="F12" s="16"/>
      <c r="G12" s="16"/>
      <c r="H12" s="16"/>
      <c r="I12" s="16"/>
      <c r="J12" s="16"/>
      <c r="K12" s="16"/>
      <c r="L12" s="16"/>
      <c r="M12" s="16"/>
      <c r="N12" s="16"/>
    </row>
    <row r="13" spans="1:14" ht="33" customHeight="1">
      <c r="A13" s="484" t="s">
        <v>40</v>
      </c>
      <c r="B13" s="484"/>
      <c r="C13" s="484"/>
      <c r="D13" s="484"/>
      <c r="E13" s="484"/>
      <c r="F13" s="484"/>
      <c r="G13" s="484"/>
      <c r="H13" s="484"/>
      <c r="I13" s="7"/>
      <c r="J13" s="7"/>
      <c r="K13" s="7"/>
      <c r="L13" s="16"/>
      <c r="M13" s="16"/>
      <c r="N13" s="16"/>
    </row>
    <row r="15" spans="1:14" ht="16">
      <c r="A15" s="338" t="s">
        <v>169</v>
      </c>
      <c r="B15" s="338"/>
      <c r="C15" s="338"/>
      <c r="D15" s="338"/>
      <c r="E15" s="338"/>
      <c r="F15" s="338"/>
      <c r="G15" s="338"/>
      <c r="H15" s="338"/>
    </row>
    <row r="16" spans="1:14" ht="33" customHeight="1">
      <c r="A16" s="485" t="s">
        <v>254</v>
      </c>
      <c r="B16" s="486"/>
      <c r="C16" s="487"/>
      <c r="D16" s="363"/>
      <c r="E16" s="120"/>
      <c r="F16" s="100" t="s">
        <v>170</v>
      </c>
      <c r="G16" s="403"/>
      <c r="H16" s="47">
        <f>H17-H18</f>
        <v>0</v>
      </c>
    </row>
    <row r="17" spans="1:15" ht="33" customHeight="1">
      <c r="A17" s="481" t="s">
        <v>385</v>
      </c>
      <c r="B17" s="482"/>
      <c r="C17" s="483"/>
      <c r="D17" s="160"/>
      <c r="E17" s="173"/>
      <c r="F17" s="100" t="s">
        <v>49</v>
      </c>
      <c r="G17" s="403"/>
      <c r="H17" s="47">
        <f>(D22+D29-(1-(1-D20)^D21)*(D22+D29-(D22-(D22-D23)*IF(D35&gt;0,(D36/D35),1))-(D29-(D29-D30)*IF(D33&gt;0,(D34/D33),1)*(1-(D31-D32)))))*ERFs!B$57-D26*ERFs!B$23</f>
        <v>0</v>
      </c>
    </row>
    <row r="18" spans="1:15" ht="33" customHeight="1">
      <c r="A18" s="481" t="s">
        <v>407</v>
      </c>
      <c r="B18" s="482"/>
      <c r="C18" s="483"/>
      <c r="D18" s="160"/>
      <c r="E18" s="158"/>
      <c r="F18" s="100" t="s">
        <v>47</v>
      </c>
      <c r="G18" s="403"/>
      <c r="H18" s="47">
        <f>(D24+D29-(1-(1-D20)^D21)*(D24+D29-D25-D30))*ERFs!B$57</f>
        <v>0</v>
      </c>
    </row>
    <row r="19" spans="1:15" ht="33" customHeight="1" thickBot="1">
      <c r="A19" s="481" t="s">
        <v>370</v>
      </c>
      <c r="B19" s="482"/>
      <c r="C19" s="483"/>
      <c r="D19" s="47" t="str">
        <f>IF(D18="Class I", 50, IF(D18="Class II or III",60, IF(D18="Class IV or V", 80,"")))</f>
        <v/>
      </c>
      <c r="E19" s="173"/>
      <c r="F19" s="103" t="s">
        <v>690</v>
      </c>
      <c r="G19" s="413"/>
      <c r="H19" s="413"/>
      <c r="I19" s="1"/>
      <c r="J19" s="1"/>
    </row>
    <row r="20" spans="1:15" s="39" customFormat="1" ht="50" customHeight="1">
      <c r="A20" s="491" t="s">
        <v>89</v>
      </c>
      <c r="B20" s="492"/>
      <c r="C20" s="493"/>
      <c r="D20" s="74"/>
      <c r="E20" s="61"/>
      <c r="F20" s="394" t="s">
        <v>646</v>
      </c>
      <c r="G20" s="395"/>
      <c r="H20" s="392" t="s">
        <v>647</v>
      </c>
      <c r="I20" s="393"/>
      <c r="J20" s="394" t="s">
        <v>648</v>
      </c>
      <c r="K20" s="396"/>
      <c r="L20" s="418" t="s">
        <v>695</v>
      </c>
      <c r="M20" s="417"/>
      <c r="N20" s="417"/>
      <c r="O20" s="417"/>
    </row>
    <row r="21" spans="1:15" s="39" customFormat="1" ht="46" customHeight="1" thickBot="1">
      <c r="A21" s="494" t="s">
        <v>116</v>
      </c>
      <c r="B21" s="494"/>
      <c r="C21" s="494"/>
      <c r="D21" s="86"/>
      <c r="E21" s="61"/>
      <c r="F21" s="385" t="s">
        <v>642</v>
      </c>
      <c r="G21" s="429"/>
      <c r="H21" s="385" t="s">
        <v>642</v>
      </c>
      <c r="I21" s="433"/>
      <c r="J21" s="385" t="s">
        <v>642</v>
      </c>
      <c r="K21" s="435"/>
      <c r="L21" s="436"/>
    </row>
    <row r="22" spans="1:15" s="39" customFormat="1" ht="33" customHeight="1">
      <c r="A22" s="481" t="s">
        <v>476</v>
      </c>
      <c r="B22" s="482"/>
      <c r="C22" s="483"/>
      <c r="D22" s="86"/>
      <c r="E22" s="186"/>
      <c r="F22" s="385" t="s">
        <v>643</v>
      </c>
      <c r="G22" s="429"/>
      <c r="H22" s="385" t="s">
        <v>643</v>
      </c>
      <c r="I22" s="433"/>
      <c r="J22" s="385" t="s">
        <v>643</v>
      </c>
      <c r="K22" s="435"/>
      <c r="L22" s="422"/>
    </row>
    <row r="23" spans="1:15" s="40" customFormat="1" ht="37" customHeight="1">
      <c r="A23" s="488" t="s">
        <v>477</v>
      </c>
      <c r="B23" s="489"/>
      <c r="C23" s="490"/>
      <c r="D23" s="86"/>
      <c r="E23" s="186"/>
      <c r="F23" s="388" t="s">
        <v>657</v>
      </c>
      <c r="G23" s="429"/>
      <c r="H23" s="386" t="s">
        <v>665</v>
      </c>
      <c r="I23" s="429"/>
      <c r="J23" s="386" t="s">
        <v>673</v>
      </c>
      <c r="K23" s="435"/>
      <c r="L23" s="423"/>
    </row>
    <row r="24" spans="1:15" s="40" customFormat="1" ht="33" customHeight="1">
      <c r="A24" s="481" t="s">
        <v>478</v>
      </c>
      <c r="B24" s="482"/>
      <c r="C24" s="483"/>
      <c r="D24" s="86"/>
      <c r="E24" s="186"/>
      <c r="F24" s="388" t="s">
        <v>658</v>
      </c>
      <c r="G24" s="429"/>
      <c r="H24" s="387" t="s">
        <v>693</v>
      </c>
      <c r="I24" s="429"/>
      <c r="J24" s="386" t="s">
        <v>674</v>
      </c>
      <c r="K24" s="435"/>
      <c r="L24" s="423"/>
    </row>
    <row r="25" spans="1:15" s="40" customFormat="1" ht="33" customHeight="1">
      <c r="A25" s="481" t="s">
        <v>479</v>
      </c>
      <c r="B25" s="482"/>
      <c r="C25" s="483"/>
      <c r="D25" s="86"/>
      <c r="E25" s="186"/>
      <c r="F25" s="388" t="s">
        <v>644</v>
      </c>
      <c r="G25" s="429"/>
      <c r="H25" s="386" t="s">
        <v>659</v>
      </c>
      <c r="I25" s="431"/>
      <c r="J25" s="388" t="s">
        <v>679</v>
      </c>
      <c r="K25" s="437"/>
      <c r="L25" s="423"/>
    </row>
    <row r="26" spans="1:15" s="40" customFormat="1" ht="33" customHeight="1">
      <c r="A26" s="481" t="s">
        <v>28</v>
      </c>
      <c r="B26" s="482"/>
      <c r="C26" s="483"/>
      <c r="D26" s="86"/>
      <c r="E26" s="62"/>
      <c r="F26" s="388" t="str">
        <f>IF(G25="Not All Species", "List species to be masticated","")</f>
        <v/>
      </c>
      <c r="G26" s="430"/>
      <c r="H26" s="388" t="str">
        <f>IF(I25="Other", "List fuel moisture conditions","")</f>
        <v/>
      </c>
      <c r="I26" s="434"/>
      <c r="J26" s="386" t="s">
        <v>680</v>
      </c>
      <c r="K26" s="438"/>
      <c r="L26" s="423"/>
    </row>
    <row r="27" spans="1:15" s="40" customFormat="1" ht="49" customHeight="1">
      <c r="A27" s="255" t="s">
        <v>480</v>
      </c>
      <c r="B27" s="256"/>
      <c r="C27" s="256"/>
      <c r="D27" s="257"/>
      <c r="E27" s="62"/>
      <c r="F27" s="388" t="s">
        <v>681</v>
      </c>
      <c r="G27" s="431"/>
      <c r="H27" s="388" t="s">
        <v>672</v>
      </c>
      <c r="I27" s="431"/>
      <c r="J27" s="416" t="s">
        <v>684</v>
      </c>
      <c r="K27" s="435"/>
      <c r="L27" s="423"/>
    </row>
    <row r="28" spans="1:15" s="40" customFormat="1" ht="47" customHeight="1" thickBot="1">
      <c r="A28" s="485" t="s">
        <v>255</v>
      </c>
      <c r="B28" s="486"/>
      <c r="C28" s="487"/>
      <c r="D28" s="461"/>
      <c r="E28" s="62"/>
      <c r="F28" s="386" t="s">
        <v>682</v>
      </c>
      <c r="G28" s="431"/>
      <c r="H28" s="409" t="s">
        <v>683</v>
      </c>
      <c r="I28" s="431"/>
      <c r="J28" s="410"/>
      <c r="K28" s="439"/>
      <c r="L28" s="423"/>
    </row>
    <row r="29" spans="1:15" s="40" customFormat="1" ht="33" customHeight="1" thickBot="1">
      <c r="A29" s="481" t="s">
        <v>481</v>
      </c>
      <c r="B29" s="482"/>
      <c r="C29" s="483"/>
      <c r="D29" s="86"/>
      <c r="E29" s="62"/>
      <c r="F29" s="390" t="s">
        <v>645</v>
      </c>
      <c r="G29" s="432"/>
      <c r="H29" s="411"/>
      <c r="I29" s="412"/>
      <c r="J29" s="391" t="s">
        <v>687</v>
      </c>
      <c r="K29" s="397"/>
      <c r="L29" s="75"/>
    </row>
    <row r="30" spans="1:15" s="40" customFormat="1" ht="33" customHeight="1">
      <c r="A30" s="481" t="s">
        <v>482</v>
      </c>
      <c r="B30" s="482"/>
      <c r="C30" s="483"/>
      <c r="D30" s="86"/>
      <c r="E30" s="62"/>
      <c r="F30" s="406" t="s">
        <v>691</v>
      </c>
      <c r="G30" s="407"/>
      <c r="H30" s="407"/>
      <c r="I30" s="408"/>
      <c r="J30" s="385" t="s">
        <v>642</v>
      </c>
      <c r="K30" s="435"/>
    </row>
    <row r="31" spans="1:15" s="40" customFormat="1" ht="33" customHeight="1">
      <c r="A31" s="475" t="s">
        <v>699</v>
      </c>
      <c r="B31" s="475"/>
      <c r="C31" s="475"/>
      <c r="D31" s="73"/>
      <c r="E31" s="62"/>
      <c r="F31" s="388" t="s">
        <v>665</v>
      </c>
      <c r="G31" s="440"/>
      <c r="H31" s="364" t="s">
        <v>659</v>
      </c>
      <c r="I31" s="441"/>
      <c r="J31" s="389" t="s">
        <v>688</v>
      </c>
      <c r="K31" s="438"/>
    </row>
    <row r="32" spans="1:15" s="40" customFormat="1" ht="33" customHeight="1">
      <c r="A32" s="481" t="s">
        <v>698</v>
      </c>
      <c r="B32" s="482"/>
      <c r="C32" s="483"/>
      <c r="D32" s="73"/>
      <c r="E32" s="62"/>
      <c r="F32" s="387" t="s">
        <v>666</v>
      </c>
      <c r="G32" s="430"/>
      <c r="H32" s="384" t="str">
        <f>IF(I31="Other", "List fuel moisture conditions","")</f>
        <v/>
      </c>
      <c r="I32" s="434"/>
      <c r="J32" s="389" t="s">
        <v>689</v>
      </c>
      <c r="K32" s="438"/>
    </row>
    <row r="33" spans="1:12" s="40" customFormat="1" ht="47" customHeight="1">
      <c r="A33" s="481" t="s">
        <v>703</v>
      </c>
      <c r="B33" s="482"/>
      <c r="C33" s="483"/>
      <c r="D33" s="73"/>
      <c r="E33" s="62"/>
      <c r="F33" s="44"/>
      <c r="G33" s="44"/>
      <c r="H33" s="106"/>
      <c r="I33" s="44"/>
      <c r="J33" s="389" t="s">
        <v>694</v>
      </c>
      <c r="K33" s="435"/>
    </row>
    <row r="34" spans="1:12" s="40" customFormat="1" ht="50" customHeight="1">
      <c r="A34" s="481" t="s">
        <v>706</v>
      </c>
      <c r="B34" s="482"/>
      <c r="C34" s="483"/>
      <c r="D34" s="73"/>
      <c r="E34" s="62"/>
      <c r="F34" s="44"/>
      <c r="G34" s="44"/>
      <c r="H34" s="106"/>
      <c r="I34" s="44"/>
      <c r="J34" s="427"/>
      <c r="K34" s="428"/>
    </row>
    <row r="35" spans="1:12" s="40" customFormat="1" ht="50" customHeight="1">
      <c r="A35" s="481" t="s">
        <v>708</v>
      </c>
      <c r="B35" s="482"/>
      <c r="C35" s="483"/>
      <c r="D35" s="73"/>
      <c r="E35" s="62"/>
      <c r="F35" s="44"/>
      <c r="G35" s="44"/>
      <c r="H35" s="106"/>
      <c r="I35" s="44"/>
      <c r="J35" s="459"/>
      <c r="K35" s="460"/>
    </row>
    <row r="36" spans="1:12" s="40" customFormat="1" ht="50" customHeight="1">
      <c r="A36" s="481" t="s">
        <v>709</v>
      </c>
      <c r="B36" s="482"/>
      <c r="C36" s="483"/>
      <c r="D36" s="73"/>
      <c r="E36" s="62"/>
      <c r="F36" s="44"/>
      <c r="G36" s="44"/>
      <c r="H36" s="106"/>
      <c r="I36" s="44"/>
      <c r="J36" s="459"/>
      <c r="K36" s="460"/>
    </row>
    <row r="37" spans="1:12" ht="30" customHeight="1"/>
    <row r="38" spans="1:12" ht="18" customHeight="1">
      <c r="A38" s="338" t="s">
        <v>171</v>
      </c>
      <c r="B38" s="338"/>
      <c r="C38" s="338"/>
      <c r="D38" s="338"/>
      <c r="E38" s="338"/>
      <c r="F38" s="338"/>
      <c r="G38" s="338"/>
      <c r="H38" s="338"/>
    </row>
    <row r="39" spans="1:12" ht="33" customHeight="1">
      <c r="A39" s="485" t="s">
        <v>254</v>
      </c>
      <c r="B39" s="486"/>
      <c r="C39" s="487"/>
      <c r="D39" s="363"/>
      <c r="E39" s="120"/>
      <c r="F39" s="100" t="s">
        <v>172</v>
      </c>
      <c r="G39" s="403"/>
      <c r="H39" s="47">
        <f>H40-H41</f>
        <v>0</v>
      </c>
    </row>
    <row r="40" spans="1:12" ht="33" customHeight="1">
      <c r="A40" s="481" t="s">
        <v>385</v>
      </c>
      <c r="B40" s="482"/>
      <c r="C40" s="483"/>
      <c r="D40" s="160"/>
      <c r="E40" s="173"/>
      <c r="F40" s="100" t="s">
        <v>49</v>
      </c>
      <c r="G40" s="403"/>
      <c r="H40" s="47">
        <f>(D45+D52-(1-(1-D43)^D44)*(D45+D52-(D45-(D45-D46)*IF(D58&gt;0,(D59/D58),1))-(D52-(D52-D53)*IF(D56&gt;0,(D57/D56),1)*(1-(D54-D55)))))*ERFs!B$57-D49*ERFs!B$23</f>
        <v>0</v>
      </c>
    </row>
    <row r="41" spans="1:12" ht="33" customHeight="1">
      <c r="A41" s="481" t="s">
        <v>407</v>
      </c>
      <c r="B41" s="482"/>
      <c r="C41" s="483"/>
      <c r="D41" s="160"/>
      <c r="E41" s="173"/>
      <c r="F41" s="100" t="s">
        <v>47</v>
      </c>
      <c r="G41" s="403"/>
      <c r="H41" s="47">
        <f>(D47+D52-(1-(1-D43)^D44)*(D47+D52-D48-D53))*ERFs!B$57</f>
        <v>0</v>
      </c>
    </row>
    <row r="42" spans="1:12" ht="23" customHeight="1" thickBot="1">
      <c r="A42" s="481" t="s">
        <v>370</v>
      </c>
      <c r="B42" s="482"/>
      <c r="C42" s="483"/>
      <c r="D42" s="47" t="str">
        <f>IF(D41="Class I", 50, IF(D41="Class II or III",60, IF(D41="Class IV or V", 80,"")))</f>
        <v/>
      </c>
      <c r="E42" s="158"/>
      <c r="F42" s="103" t="s">
        <v>690</v>
      </c>
      <c r="G42" s="413"/>
      <c r="H42" s="413"/>
      <c r="I42" s="1"/>
      <c r="J42" s="1"/>
    </row>
    <row r="43" spans="1:12" s="39" customFormat="1" ht="53" customHeight="1">
      <c r="A43" s="491" t="s">
        <v>89</v>
      </c>
      <c r="B43" s="492"/>
      <c r="C43" s="493"/>
      <c r="D43" s="74"/>
      <c r="E43" s="61"/>
      <c r="F43" s="394" t="s">
        <v>646</v>
      </c>
      <c r="G43" s="395"/>
      <c r="H43" s="392" t="s">
        <v>647</v>
      </c>
      <c r="I43" s="393"/>
      <c r="J43" s="394" t="s">
        <v>648</v>
      </c>
      <c r="K43" s="396"/>
      <c r="L43" s="418" t="s">
        <v>695</v>
      </c>
    </row>
    <row r="44" spans="1:12" s="39" customFormat="1" ht="46" customHeight="1" thickBot="1">
      <c r="A44" s="475" t="s">
        <v>116</v>
      </c>
      <c r="B44" s="475"/>
      <c r="C44" s="475"/>
      <c r="D44" s="86"/>
      <c r="E44" s="61"/>
      <c r="F44" s="385" t="s">
        <v>642</v>
      </c>
      <c r="G44" s="429"/>
      <c r="H44" s="385" t="s">
        <v>642</v>
      </c>
      <c r="I44" s="433"/>
      <c r="J44" s="385" t="s">
        <v>642</v>
      </c>
      <c r="K44" s="435"/>
      <c r="L44" s="436"/>
    </row>
    <row r="45" spans="1:12" s="39" customFormat="1" ht="33" customHeight="1">
      <c r="A45" s="481" t="s">
        <v>476</v>
      </c>
      <c r="B45" s="482"/>
      <c r="C45" s="483"/>
      <c r="D45" s="86"/>
      <c r="E45" s="61"/>
      <c r="F45" s="385" t="s">
        <v>643</v>
      </c>
      <c r="G45" s="429"/>
      <c r="H45" s="385" t="s">
        <v>643</v>
      </c>
      <c r="I45" s="433"/>
      <c r="J45" s="385" t="s">
        <v>643</v>
      </c>
      <c r="K45" s="435"/>
      <c r="L45" s="422"/>
    </row>
    <row r="46" spans="1:12" s="40" customFormat="1" ht="33" customHeight="1">
      <c r="A46" s="488" t="s">
        <v>477</v>
      </c>
      <c r="B46" s="489"/>
      <c r="C46" s="490"/>
      <c r="D46" s="86"/>
      <c r="E46" s="62"/>
      <c r="F46" s="388" t="s">
        <v>657</v>
      </c>
      <c r="G46" s="429"/>
      <c r="H46" s="386" t="s">
        <v>665</v>
      </c>
      <c r="I46" s="429"/>
      <c r="J46" s="386" t="s">
        <v>673</v>
      </c>
      <c r="K46" s="435"/>
      <c r="L46" s="423"/>
    </row>
    <row r="47" spans="1:12" s="40" customFormat="1" ht="33" customHeight="1">
      <c r="A47" s="481" t="s">
        <v>478</v>
      </c>
      <c r="B47" s="482"/>
      <c r="C47" s="483"/>
      <c r="D47" s="86"/>
      <c r="E47" s="62"/>
      <c r="F47" s="388" t="s">
        <v>658</v>
      </c>
      <c r="G47" s="429"/>
      <c r="H47" s="387" t="s">
        <v>693</v>
      </c>
      <c r="I47" s="429"/>
      <c r="J47" s="386" t="s">
        <v>674</v>
      </c>
      <c r="K47" s="435"/>
      <c r="L47" s="423"/>
    </row>
    <row r="48" spans="1:12" s="40" customFormat="1" ht="33" customHeight="1">
      <c r="A48" s="481" t="s">
        <v>479</v>
      </c>
      <c r="B48" s="482"/>
      <c r="C48" s="483"/>
      <c r="D48" s="86"/>
      <c r="E48" s="62"/>
      <c r="F48" s="388" t="s">
        <v>644</v>
      </c>
      <c r="G48" s="429"/>
      <c r="H48" s="386" t="s">
        <v>659</v>
      </c>
      <c r="I48" s="431"/>
      <c r="J48" s="388" t="s">
        <v>679</v>
      </c>
      <c r="K48" s="437"/>
      <c r="L48" s="423"/>
    </row>
    <row r="49" spans="1:12" s="40" customFormat="1" ht="33" customHeight="1">
      <c r="A49" s="481" t="s">
        <v>28</v>
      </c>
      <c r="B49" s="482"/>
      <c r="C49" s="483"/>
      <c r="D49" s="86"/>
      <c r="E49" s="62"/>
      <c r="F49" s="388" t="str">
        <f>IF(G48="Not All Species", "List species to be masticated","")</f>
        <v/>
      </c>
      <c r="G49" s="430"/>
      <c r="H49" s="388" t="str">
        <f>IF(I48="Other", "List fuel moisture conditions","")</f>
        <v/>
      </c>
      <c r="I49" s="434"/>
      <c r="J49" s="386" t="s">
        <v>680</v>
      </c>
      <c r="K49" s="438"/>
      <c r="L49" s="423"/>
    </row>
    <row r="50" spans="1:12" s="40" customFormat="1" ht="51" customHeight="1">
      <c r="A50" s="255" t="s">
        <v>480</v>
      </c>
      <c r="B50" s="256"/>
      <c r="C50" s="256"/>
      <c r="D50" s="257"/>
      <c r="E50" s="62"/>
      <c r="F50" s="388" t="s">
        <v>681</v>
      </c>
      <c r="G50" s="431"/>
      <c r="H50" s="388" t="s">
        <v>672</v>
      </c>
      <c r="I50" s="431"/>
      <c r="J50" s="416" t="s">
        <v>684</v>
      </c>
      <c r="K50" s="435"/>
      <c r="L50" s="423"/>
    </row>
    <row r="51" spans="1:12" s="40" customFormat="1" ht="49" customHeight="1" thickBot="1">
      <c r="A51" s="485" t="s">
        <v>255</v>
      </c>
      <c r="B51" s="486"/>
      <c r="C51" s="487"/>
      <c r="D51" s="461"/>
      <c r="E51" s="62"/>
      <c r="F51" s="386" t="s">
        <v>682</v>
      </c>
      <c r="G51" s="431"/>
      <c r="H51" s="409" t="s">
        <v>683</v>
      </c>
      <c r="I51" s="431"/>
      <c r="J51" s="410"/>
      <c r="K51" s="439"/>
      <c r="L51" s="423"/>
    </row>
    <row r="52" spans="1:12" s="40" customFormat="1" ht="33" customHeight="1" thickBot="1">
      <c r="A52" s="481" t="s">
        <v>481</v>
      </c>
      <c r="B52" s="482"/>
      <c r="C52" s="483"/>
      <c r="D52" s="86"/>
      <c r="E52" s="62"/>
      <c r="F52" s="390" t="s">
        <v>645</v>
      </c>
      <c r="G52" s="432"/>
      <c r="H52" s="411"/>
      <c r="I52" s="412"/>
      <c r="J52" s="391" t="s">
        <v>687</v>
      </c>
      <c r="K52" s="397"/>
      <c r="L52" s="75"/>
    </row>
    <row r="53" spans="1:12" s="40" customFormat="1" ht="33" customHeight="1">
      <c r="A53" s="481" t="s">
        <v>482</v>
      </c>
      <c r="B53" s="482"/>
      <c r="C53" s="483"/>
      <c r="D53" s="86"/>
      <c r="E53" s="62"/>
      <c r="F53" s="406" t="s">
        <v>691</v>
      </c>
      <c r="G53" s="407"/>
      <c r="H53" s="407"/>
      <c r="I53" s="408"/>
      <c r="J53" s="385" t="s">
        <v>642</v>
      </c>
      <c r="K53" s="435"/>
    </row>
    <row r="54" spans="1:12" s="40" customFormat="1" ht="33" customHeight="1">
      <c r="A54" s="475" t="s">
        <v>699</v>
      </c>
      <c r="B54" s="475"/>
      <c r="C54" s="475"/>
      <c r="D54" s="73"/>
      <c r="E54" s="62"/>
      <c r="F54" s="388" t="s">
        <v>665</v>
      </c>
      <c r="G54" s="440"/>
      <c r="H54" s="425" t="s">
        <v>659</v>
      </c>
      <c r="I54" s="441"/>
      <c r="J54" s="389" t="s">
        <v>688</v>
      </c>
      <c r="K54" s="438"/>
    </row>
    <row r="55" spans="1:12" s="40" customFormat="1" ht="33" customHeight="1">
      <c r="A55" s="481" t="s">
        <v>698</v>
      </c>
      <c r="B55" s="482"/>
      <c r="C55" s="483"/>
      <c r="D55" s="73"/>
      <c r="E55" s="62"/>
      <c r="F55" s="387" t="s">
        <v>666</v>
      </c>
      <c r="G55" s="430"/>
      <c r="H55" s="384" t="str">
        <f>IF(I54="Other", "List fuel moisture conditions","")</f>
        <v/>
      </c>
      <c r="I55" s="434"/>
      <c r="J55" s="389" t="s">
        <v>689</v>
      </c>
      <c r="K55" s="438"/>
    </row>
    <row r="56" spans="1:12" s="40" customFormat="1" ht="33" customHeight="1">
      <c r="A56" s="481" t="s">
        <v>703</v>
      </c>
      <c r="B56" s="482"/>
      <c r="C56" s="483"/>
      <c r="D56" s="73"/>
      <c r="E56" s="62"/>
      <c r="F56" s="44"/>
      <c r="G56" s="44"/>
      <c r="H56" s="106"/>
      <c r="I56" s="44"/>
      <c r="J56" s="389" t="s">
        <v>694</v>
      </c>
      <c r="K56" s="435"/>
    </row>
    <row r="57" spans="1:12" s="40" customFormat="1" ht="54" customHeight="1">
      <c r="A57" s="481" t="s">
        <v>706</v>
      </c>
      <c r="B57" s="482"/>
      <c r="C57" s="483"/>
      <c r="D57" s="73"/>
      <c r="E57" s="62"/>
      <c r="F57" s="44"/>
      <c r="G57" s="44"/>
      <c r="H57" s="106"/>
      <c r="I57" s="44"/>
      <c r="J57" s="427"/>
      <c r="K57" s="428"/>
    </row>
    <row r="58" spans="1:12" s="40" customFormat="1" ht="54" customHeight="1">
      <c r="A58" s="481" t="s">
        <v>708</v>
      </c>
      <c r="B58" s="482"/>
      <c r="C58" s="483"/>
      <c r="D58" s="73"/>
      <c r="E58" s="62"/>
      <c r="F58" s="44"/>
      <c r="G58" s="44"/>
      <c r="H58" s="106"/>
      <c r="I58" s="44"/>
      <c r="J58" s="459"/>
      <c r="K58" s="460"/>
    </row>
    <row r="59" spans="1:12" s="40" customFormat="1" ht="54" customHeight="1">
      <c r="A59" s="481" t="s">
        <v>709</v>
      </c>
      <c r="B59" s="482"/>
      <c r="C59" s="483"/>
      <c r="D59" s="73"/>
      <c r="E59" s="62"/>
      <c r="F59" s="44"/>
      <c r="G59" s="44"/>
      <c r="H59" s="106"/>
      <c r="I59" s="44"/>
      <c r="J59" s="459"/>
      <c r="K59" s="460"/>
    </row>
    <row r="60" spans="1:12" ht="30" customHeight="1"/>
    <row r="61" spans="1:12" ht="18" customHeight="1">
      <c r="A61" s="338" t="s">
        <v>173</v>
      </c>
      <c r="B61" s="338"/>
      <c r="C61" s="338"/>
      <c r="D61" s="338"/>
      <c r="E61" s="338"/>
      <c r="F61" s="338"/>
      <c r="G61" s="338"/>
      <c r="H61" s="338"/>
    </row>
    <row r="62" spans="1:12" ht="34.5" customHeight="1">
      <c r="A62" s="485" t="s">
        <v>254</v>
      </c>
      <c r="B62" s="486"/>
      <c r="C62" s="487"/>
      <c r="D62" s="363"/>
      <c r="E62" s="120"/>
      <c r="F62" s="100" t="s">
        <v>174</v>
      </c>
      <c r="G62" s="403"/>
      <c r="H62" s="47">
        <f>H63-H64</f>
        <v>0</v>
      </c>
    </row>
    <row r="63" spans="1:12" ht="34.5" customHeight="1">
      <c r="A63" s="481" t="s">
        <v>385</v>
      </c>
      <c r="B63" s="482"/>
      <c r="C63" s="483"/>
      <c r="D63" s="160"/>
      <c r="E63" s="173"/>
      <c r="F63" s="100" t="s">
        <v>49</v>
      </c>
      <c r="G63" s="403"/>
      <c r="H63" s="47">
        <f>(D68+D75-(1-(1-D66)^D67)*(D68+D75-(D68-(D68-D69)*IF(D81&gt;0,(D82/D81),1))-(D75-(D75-D76)*IF(D79&gt;0,(D80/D79),1)*(1-(D77-D78)))))*ERFs!B$57-D72*ERFs!B$23</f>
        <v>0</v>
      </c>
    </row>
    <row r="64" spans="1:12" ht="34.5" customHeight="1">
      <c r="A64" s="481" t="s">
        <v>407</v>
      </c>
      <c r="B64" s="482"/>
      <c r="C64" s="483"/>
      <c r="D64" s="160"/>
      <c r="E64" s="173"/>
      <c r="F64" s="100" t="s">
        <v>47</v>
      </c>
      <c r="G64" s="403"/>
      <c r="H64" s="47">
        <f>(D70+D75-(1-(1-D66)^D67)*(D70+D75-D71-D76))*ERFs!B$57</f>
        <v>0</v>
      </c>
    </row>
    <row r="65" spans="1:12" ht="34.5" customHeight="1" thickBot="1">
      <c r="A65" s="481" t="s">
        <v>370</v>
      </c>
      <c r="B65" s="482"/>
      <c r="C65" s="483"/>
      <c r="D65" s="47" t="str">
        <f>IF(D64="Class I", 50, IF(D64="Class II or III",60, IF(D64="Class IV or V", 80,"")))</f>
        <v/>
      </c>
      <c r="E65" s="158"/>
      <c r="F65" s="103" t="s">
        <v>690</v>
      </c>
      <c r="G65" s="413"/>
      <c r="H65" s="413"/>
      <c r="I65" s="1"/>
      <c r="J65" s="1"/>
    </row>
    <row r="66" spans="1:12" s="39" customFormat="1" ht="48" customHeight="1">
      <c r="A66" s="491" t="s">
        <v>89</v>
      </c>
      <c r="B66" s="492"/>
      <c r="C66" s="493"/>
      <c r="D66" s="74"/>
      <c r="E66" s="61"/>
      <c r="F66" s="394" t="s">
        <v>646</v>
      </c>
      <c r="G66" s="395"/>
      <c r="H66" s="392" t="s">
        <v>647</v>
      </c>
      <c r="I66" s="393"/>
      <c r="J66" s="394" t="s">
        <v>648</v>
      </c>
      <c r="K66" s="396"/>
      <c r="L66" s="418" t="s">
        <v>695</v>
      </c>
    </row>
    <row r="67" spans="1:12" s="39" customFormat="1" ht="33" customHeight="1" thickBot="1">
      <c r="A67" s="475" t="s">
        <v>116</v>
      </c>
      <c r="B67" s="475"/>
      <c r="C67" s="475"/>
      <c r="D67" s="86"/>
      <c r="E67" s="61"/>
      <c r="F67" s="385" t="s">
        <v>642</v>
      </c>
      <c r="G67" s="429"/>
      <c r="H67" s="385" t="s">
        <v>642</v>
      </c>
      <c r="I67" s="433"/>
      <c r="J67" s="385" t="s">
        <v>642</v>
      </c>
      <c r="K67" s="435"/>
      <c r="L67" s="436"/>
    </row>
    <row r="68" spans="1:12" s="39" customFormat="1" ht="33" customHeight="1">
      <c r="A68" s="481" t="s">
        <v>476</v>
      </c>
      <c r="B68" s="482"/>
      <c r="C68" s="483"/>
      <c r="D68" s="86"/>
      <c r="E68" s="61"/>
      <c r="F68" s="385" t="s">
        <v>643</v>
      </c>
      <c r="G68" s="429"/>
      <c r="H68" s="385" t="s">
        <v>643</v>
      </c>
      <c r="I68" s="433"/>
      <c r="J68" s="385" t="s">
        <v>643</v>
      </c>
      <c r="K68" s="435"/>
      <c r="L68" s="422"/>
    </row>
    <row r="69" spans="1:12" s="40" customFormat="1" ht="33" customHeight="1">
      <c r="A69" s="488" t="s">
        <v>477</v>
      </c>
      <c r="B69" s="489"/>
      <c r="C69" s="490"/>
      <c r="D69" s="86"/>
      <c r="E69" s="62"/>
      <c r="F69" s="388" t="s">
        <v>657</v>
      </c>
      <c r="G69" s="429"/>
      <c r="H69" s="386" t="s">
        <v>665</v>
      </c>
      <c r="I69" s="429"/>
      <c r="J69" s="386" t="s">
        <v>673</v>
      </c>
      <c r="K69" s="435"/>
      <c r="L69" s="423"/>
    </row>
    <row r="70" spans="1:12" s="40" customFormat="1" ht="33" customHeight="1">
      <c r="A70" s="481" t="s">
        <v>478</v>
      </c>
      <c r="B70" s="482"/>
      <c r="C70" s="483"/>
      <c r="D70" s="86"/>
      <c r="E70" s="62"/>
      <c r="F70" s="388" t="s">
        <v>658</v>
      </c>
      <c r="G70" s="429"/>
      <c r="H70" s="387" t="s">
        <v>693</v>
      </c>
      <c r="I70" s="429"/>
      <c r="J70" s="386" t="s">
        <v>674</v>
      </c>
      <c r="K70" s="435"/>
      <c r="L70" s="423"/>
    </row>
    <row r="71" spans="1:12" s="40" customFormat="1" ht="33" customHeight="1">
      <c r="A71" s="481" t="s">
        <v>479</v>
      </c>
      <c r="B71" s="482"/>
      <c r="C71" s="483"/>
      <c r="D71" s="86"/>
      <c r="E71" s="62"/>
      <c r="F71" s="388" t="s">
        <v>644</v>
      </c>
      <c r="G71" s="429"/>
      <c r="H71" s="386" t="s">
        <v>659</v>
      </c>
      <c r="I71" s="431"/>
      <c r="J71" s="388" t="s">
        <v>679</v>
      </c>
      <c r="K71" s="437"/>
      <c r="L71" s="423"/>
    </row>
    <row r="72" spans="1:12" s="40" customFormat="1" ht="33" customHeight="1">
      <c r="A72" s="481" t="s">
        <v>28</v>
      </c>
      <c r="B72" s="482"/>
      <c r="C72" s="483"/>
      <c r="D72" s="86"/>
      <c r="E72" s="62"/>
      <c r="F72" s="388" t="str">
        <f>IF(G71="Not All Species", "List species to be masticated","")</f>
        <v/>
      </c>
      <c r="G72" s="430"/>
      <c r="H72" s="388" t="str">
        <f>IF(I71="Other", "List fuel moisture conditions","")</f>
        <v/>
      </c>
      <c r="I72" s="434"/>
      <c r="J72" s="386" t="s">
        <v>680</v>
      </c>
      <c r="K72" s="438"/>
      <c r="L72" s="423"/>
    </row>
    <row r="73" spans="1:12" s="40" customFormat="1" ht="49" customHeight="1">
      <c r="A73" s="255" t="s">
        <v>480</v>
      </c>
      <c r="B73" s="256"/>
      <c r="C73" s="256"/>
      <c r="D73" s="257"/>
      <c r="E73" s="62"/>
      <c r="F73" s="388" t="s">
        <v>681</v>
      </c>
      <c r="G73" s="431"/>
      <c r="H73" s="388" t="s">
        <v>672</v>
      </c>
      <c r="I73" s="431"/>
      <c r="J73" s="416" t="s">
        <v>684</v>
      </c>
      <c r="K73" s="435"/>
      <c r="L73" s="423"/>
    </row>
    <row r="74" spans="1:12" s="40" customFormat="1" ht="50" customHeight="1" thickBot="1">
      <c r="A74" s="485" t="s">
        <v>255</v>
      </c>
      <c r="B74" s="486"/>
      <c r="C74" s="487"/>
      <c r="D74" s="461"/>
      <c r="E74" s="62"/>
      <c r="F74" s="386" t="s">
        <v>682</v>
      </c>
      <c r="G74" s="431"/>
      <c r="H74" s="409" t="s">
        <v>683</v>
      </c>
      <c r="I74" s="431"/>
      <c r="J74" s="410"/>
      <c r="K74" s="439"/>
      <c r="L74" s="423"/>
    </row>
    <row r="75" spans="1:12" s="40" customFormat="1" ht="33" customHeight="1" thickBot="1">
      <c r="A75" s="481" t="s">
        <v>481</v>
      </c>
      <c r="B75" s="482"/>
      <c r="C75" s="483"/>
      <c r="D75" s="86"/>
      <c r="E75" s="62"/>
      <c r="F75" s="390" t="s">
        <v>645</v>
      </c>
      <c r="G75" s="432"/>
      <c r="H75" s="411"/>
      <c r="I75" s="412"/>
      <c r="J75" s="391" t="s">
        <v>687</v>
      </c>
      <c r="K75" s="397"/>
      <c r="L75" s="75"/>
    </row>
    <row r="76" spans="1:12" s="40" customFormat="1" ht="33" customHeight="1">
      <c r="A76" s="481" t="s">
        <v>482</v>
      </c>
      <c r="B76" s="482"/>
      <c r="C76" s="483"/>
      <c r="D76" s="86"/>
      <c r="E76" s="62"/>
      <c r="F76" s="406" t="s">
        <v>691</v>
      </c>
      <c r="G76" s="407"/>
      <c r="H76" s="407"/>
      <c r="I76" s="408"/>
      <c r="J76" s="385" t="s">
        <v>642</v>
      </c>
      <c r="K76" s="435"/>
    </row>
    <row r="77" spans="1:12" s="40" customFormat="1" ht="33" customHeight="1">
      <c r="A77" s="475" t="s">
        <v>699</v>
      </c>
      <c r="B77" s="475"/>
      <c r="C77" s="475"/>
      <c r="D77" s="73"/>
      <c r="E77" s="62"/>
      <c r="F77" s="388" t="s">
        <v>665</v>
      </c>
      <c r="G77" s="440"/>
      <c r="H77" s="425" t="s">
        <v>659</v>
      </c>
      <c r="I77" s="441"/>
      <c r="J77" s="389" t="s">
        <v>688</v>
      </c>
      <c r="K77" s="438"/>
    </row>
    <row r="78" spans="1:12" s="40" customFormat="1" ht="33" customHeight="1">
      <c r="A78" s="481" t="s">
        <v>698</v>
      </c>
      <c r="B78" s="482"/>
      <c r="C78" s="483"/>
      <c r="D78" s="73"/>
      <c r="E78" s="62"/>
      <c r="F78" s="387" t="s">
        <v>666</v>
      </c>
      <c r="G78" s="430"/>
      <c r="H78" s="384" t="str">
        <f>IF(I77="Other", "List fuel moisture conditions","")</f>
        <v/>
      </c>
      <c r="I78" s="434"/>
      <c r="J78" s="389" t="s">
        <v>689</v>
      </c>
      <c r="K78" s="438"/>
    </row>
    <row r="79" spans="1:12" s="40" customFormat="1" ht="33" customHeight="1">
      <c r="A79" s="481" t="s">
        <v>703</v>
      </c>
      <c r="B79" s="482"/>
      <c r="C79" s="483"/>
      <c r="D79" s="73"/>
      <c r="E79" s="62"/>
      <c r="F79" s="44"/>
      <c r="G79" s="44"/>
      <c r="H79" s="106"/>
      <c r="I79" s="44"/>
      <c r="J79" s="389" t="s">
        <v>694</v>
      </c>
      <c r="K79" s="435"/>
    </row>
    <row r="80" spans="1:12" s="40" customFormat="1" ht="53" customHeight="1">
      <c r="A80" s="481" t="s">
        <v>706</v>
      </c>
      <c r="B80" s="482"/>
      <c r="C80" s="483"/>
      <c r="D80" s="73"/>
      <c r="E80" s="62"/>
      <c r="F80" s="44"/>
      <c r="G80" s="44"/>
      <c r="H80" s="106"/>
      <c r="I80" s="44"/>
      <c r="J80" s="427"/>
      <c r="K80" s="428"/>
    </row>
    <row r="81" spans="1:12" s="40" customFormat="1" ht="53" customHeight="1">
      <c r="A81" s="481" t="s">
        <v>708</v>
      </c>
      <c r="B81" s="482"/>
      <c r="C81" s="483"/>
      <c r="D81" s="73"/>
      <c r="E81" s="62"/>
      <c r="F81" s="44"/>
      <c r="G81" s="44"/>
      <c r="H81" s="106"/>
      <c r="I81" s="44"/>
      <c r="J81" s="459"/>
      <c r="K81" s="460"/>
    </row>
    <row r="82" spans="1:12" s="40" customFormat="1" ht="53" customHeight="1">
      <c r="A82" s="481" t="s">
        <v>709</v>
      </c>
      <c r="B82" s="482"/>
      <c r="C82" s="483"/>
      <c r="D82" s="73"/>
      <c r="E82" s="62"/>
      <c r="F82" s="44"/>
      <c r="G82" s="44"/>
      <c r="H82" s="106"/>
      <c r="I82" s="44"/>
      <c r="J82" s="459"/>
      <c r="K82" s="460"/>
    </row>
    <row r="83" spans="1:12" ht="30" customHeight="1"/>
    <row r="84" spans="1:12" ht="18" customHeight="1">
      <c r="A84" s="338" t="s">
        <v>175</v>
      </c>
      <c r="B84" s="338"/>
      <c r="C84" s="338"/>
      <c r="D84" s="338"/>
      <c r="E84" s="338"/>
      <c r="F84" s="338"/>
      <c r="G84" s="338"/>
      <c r="H84" s="338"/>
    </row>
    <row r="85" spans="1:12" ht="30.75" customHeight="1">
      <c r="A85" s="485" t="s">
        <v>254</v>
      </c>
      <c r="B85" s="486"/>
      <c r="C85" s="487"/>
      <c r="D85" s="363"/>
      <c r="E85" s="120"/>
      <c r="F85" s="100" t="s">
        <v>176</v>
      </c>
      <c r="G85" s="403"/>
      <c r="H85" s="47">
        <f>H86-H87</f>
        <v>0</v>
      </c>
    </row>
    <row r="86" spans="1:12" ht="30.75" customHeight="1">
      <c r="A86" s="481" t="s">
        <v>385</v>
      </c>
      <c r="B86" s="482"/>
      <c r="C86" s="483"/>
      <c r="D86" s="160"/>
      <c r="E86" s="173"/>
      <c r="F86" s="100" t="s">
        <v>49</v>
      </c>
      <c r="G86" s="403"/>
      <c r="H86" s="47">
        <f>(D91+D98-(1-(1-D89)^D90)*(D91+D98-(D91-(D91-D92)*IF(D104&gt;0,(D105/D104),1))-(D98-(D98-D99)*IF(D102&gt;0,(D103/D102),1)*(1-(D100-D101)))))*ERFs!B$57-D95*ERFs!B$23</f>
        <v>0</v>
      </c>
    </row>
    <row r="87" spans="1:12" ht="30.75" customHeight="1">
      <c r="A87" s="481" t="s">
        <v>407</v>
      </c>
      <c r="B87" s="482"/>
      <c r="C87" s="483"/>
      <c r="D87" s="160"/>
      <c r="E87" s="173"/>
      <c r="F87" s="100" t="s">
        <v>47</v>
      </c>
      <c r="G87" s="403"/>
      <c r="H87" s="47">
        <f>(D93+D98-(1-(1-D89)^D90)*(D93+D98-D94-D99))*ERFs!B$57</f>
        <v>0</v>
      </c>
    </row>
    <row r="88" spans="1:12" ht="30.75" customHeight="1" thickBot="1">
      <c r="A88" s="481" t="s">
        <v>370</v>
      </c>
      <c r="B88" s="482"/>
      <c r="C88" s="483"/>
      <c r="D88" s="47" t="str">
        <f>IF(D87="Class I", 50, IF(D87="Class II or III",60, IF(D87="Class IV or V", 80,"")))</f>
        <v/>
      </c>
      <c r="E88" s="158"/>
      <c r="F88" s="103" t="s">
        <v>690</v>
      </c>
      <c r="G88" s="413"/>
      <c r="H88" s="413"/>
      <c r="I88" s="1"/>
      <c r="J88" s="1"/>
    </row>
    <row r="89" spans="1:12" s="39" customFormat="1" ht="47.25" customHeight="1">
      <c r="A89" s="491" t="s">
        <v>89</v>
      </c>
      <c r="B89" s="492"/>
      <c r="C89" s="493"/>
      <c r="D89" s="74"/>
      <c r="E89" s="61"/>
      <c r="F89" s="394" t="s">
        <v>646</v>
      </c>
      <c r="G89" s="395"/>
      <c r="H89" s="392" t="s">
        <v>647</v>
      </c>
      <c r="I89" s="393"/>
      <c r="J89" s="394" t="s">
        <v>648</v>
      </c>
      <c r="K89" s="396"/>
      <c r="L89" s="418" t="s">
        <v>695</v>
      </c>
    </row>
    <row r="90" spans="1:12" s="39" customFormat="1" ht="33" customHeight="1" thickBot="1">
      <c r="A90" s="475" t="s">
        <v>116</v>
      </c>
      <c r="B90" s="475"/>
      <c r="C90" s="475"/>
      <c r="D90" s="86"/>
      <c r="E90" s="61"/>
      <c r="F90" s="385" t="s">
        <v>642</v>
      </c>
      <c r="G90" s="429"/>
      <c r="H90" s="385" t="s">
        <v>642</v>
      </c>
      <c r="I90" s="433"/>
      <c r="J90" s="385" t="s">
        <v>642</v>
      </c>
      <c r="K90" s="435"/>
      <c r="L90" s="436"/>
    </row>
    <row r="91" spans="1:12" s="39" customFormat="1" ht="33" customHeight="1">
      <c r="A91" s="481" t="s">
        <v>476</v>
      </c>
      <c r="B91" s="482"/>
      <c r="C91" s="483"/>
      <c r="D91" s="86"/>
      <c r="E91" s="61"/>
      <c r="F91" s="385" t="s">
        <v>643</v>
      </c>
      <c r="G91" s="429"/>
      <c r="H91" s="385" t="s">
        <v>643</v>
      </c>
      <c r="I91" s="433"/>
      <c r="J91" s="385" t="s">
        <v>643</v>
      </c>
      <c r="K91" s="435"/>
      <c r="L91" s="422"/>
    </row>
    <row r="92" spans="1:12" s="40" customFormat="1" ht="33" customHeight="1">
      <c r="A92" s="488" t="s">
        <v>477</v>
      </c>
      <c r="B92" s="489"/>
      <c r="C92" s="490"/>
      <c r="D92" s="86"/>
      <c r="E92" s="62"/>
      <c r="F92" s="388" t="s">
        <v>657</v>
      </c>
      <c r="G92" s="429"/>
      <c r="H92" s="386" t="s">
        <v>665</v>
      </c>
      <c r="I92" s="429"/>
      <c r="J92" s="386" t="s">
        <v>673</v>
      </c>
      <c r="K92" s="435"/>
      <c r="L92" s="423"/>
    </row>
    <row r="93" spans="1:12" s="40" customFormat="1" ht="33" customHeight="1">
      <c r="A93" s="481" t="s">
        <v>478</v>
      </c>
      <c r="B93" s="482"/>
      <c r="C93" s="483"/>
      <c r="D93" s="86"/>
      <c r="E93" s="62"/>
      <c r="F93" s="388" t="s">
        <v>658</v>
      </c>
      <c r="G93" s="429"/>
      <c r="H93" s="387" t="s">
        <v>693</v>
      </c>
      <c r="I93" s="429"/>
      <c r="J93" s="386" t="s">
        <v>674</v>
      </c>
      <c r="K93" s="435"/>
      <c r="L93" s="423"/>
    </row>
    <row r="94" spans="1:12" s="40" customFormat="1" ht="33" customHeight="1">
      <c r="A94" s="481" t="s">
        <v>479</v>
      </c>
      <c r="B94" s="482"/>
      <c r="C94" s="483"/>
      <c r="D94" s="86"/>
      <c r="E94" s="62"/>
      <c r="F94" s="388" t="s">
        <v>644</v>
      </c>
      <c r="G94" s="429"/>
      <c r="H94" s="386" t="s">
        <v>659</v>
      </c>
      <c r="I94" s="431"/>
      <c r="J94" s="388" t="s">
        <v>679</v>
      </c>
      <c r="K94" s="437"/>
      <c r="L94" s="423"/>
    </row>
    <row r="95" spans="1:12" s="40" customFormat="1" ht="33" customHeight="1">
      <c r="A95" s="481" t="s">
        <v>28</v>
      </c>
      <c r="B95" s="482"/>
      <c r="C95" s="483"/>
      <c r="D95" s="86"/>
      <c r="E95" s="62"/>
      <c r="F95" s="388" t="str">
        <f>IF(G94="Not All Species", "List species to be masticated","")</f>
        <v/>
      </c>
      <c r="G95" s="430"/>
      <c r="H95" s="388" t="str">
        <f>IF(I94="Other", "List fuel moisture conditions","")</f>
        <v/>
      </c>
      <c r="I95" s="434"/>
      <c r="J95" s="386" t="s">
        <v>680</v>
      </c>
      <c r="K95" s="438"/>
      <c r="L95" s="423"/>
    </row>
    <row r="96" spans="1:12" s="40" customFormat="1" ht="55" customHeight="1">
      <c r="A96" s="255" t="s">
        <v>480</v>
      </c>
      <c r="B96" s="256"/>
      <c r="C96" s="256"/>
      <c r="D96" s="257"/>
      <c r="E96" s="62"/>
      <c r="F96" s="388" t="s">
        <v>681</v>
      </c>
      <c r="G96" s="431"/>
      <c r="H96" s="388" t="s">
        <v>672</v>
      </c>
      <c r="I96" s="431"/>
      <c r="J96" s="416" t="s">
        <v>684</v>
      </c>
      <c r="K96" s="435"/>
      <c r="L96" s="423"/>
    </row>
    <row r="97" spans="1:12" s="40" customFormat="1" ht="51" customHeight="1" thickBot="1">
      <c r="A97" s="485" t="s">
        <v>255</v>
      </c>
      <c r="B97" s="486"/>
      <c r="C97" s="487"/>
      <c r="D97" s="461"/>
      <c r="E97" s="62"/>
      <c r="F97" s="386" t="s">
        <v>682</v>
      </c>
      <c r="G97" s="431"/>
      <c r="H97" s="409" t="s">
        <v>683</v>
      </c>
      <c r="I97" s="431"/>
      <c r="J97" s="410"/>
      <c r="K97" s="439"/>
      <c r="L97" s="423"/>
    </row>
    <row r="98" spans="1:12" s="40" customFormat="1" ht="33" customHeight="1" thickBot="1">
      <c r="A98" s="481" t="s">
        <v>481</v>
      </c>
      <c r="B98" s="482"/>
      <c r="C98" s="483"/>
      <c r="D98" s="86"/>
      <c r="E98" s="62"/>
      <c r="F98" s="390" t="s">
        <v>645</v>
      </c>
      <c r="G98" s="432"/>
      <c r="H98" s="411"/>
      <c r="I98" s="412"/>
      <c r="J98" s="391" t="s">
        <v>687</v>
      </c>
      <c r="K98" s="397"/>
      <c r="L98" s="75"/>
    </row>
    <row r="99" spans="1:12" s="40" customFormat="1" ht="33" customHeight="1">
      <c r="A99" s="481" t="s">
        <v>482</v>
      </c>
      <c r="B99" s="482"/>
      <c r="C99" s="483"/>
      <c r="D99" s="86"/>
      <c r="E99" s="62"/>
      <c r="F99" s="406" t="s">
        <v>691</v>
      </c>
      <c r="G99" s="407"/>
      <c r="H99" s="407"/>
      <c r="I99" s="408"/>
      <c r="J99" s="385" t="s">
        <v>642</v>
      </c>
      <c r="K99" s="435"/>
    </row>
    <row r="100" spans="1:12" s="40" customFormat="1" ht="33" customHeight="1">
      <c r="A100" s="475" t="s">
        <v>699</v>
      </c>
      <c r="B100" s="475"/>
      <c r="C100" s="475"/>
      <c r="D100" s="73"/>
      <c r="E100" s="62"/>
      <c r="F100" s="388" t="s">
        <v>665</v>
      </c>
      <c r="G100" s="440"/>
      <c r="H100" s="425" t="s">
        <v>659</v>
      </c>
      <c r="I100" s="441"/>
      <c r="J100" s="389" t="s">
        <v>688</v>
      </c>
      <c r="K100" s="438"/>
    </row>
    <row r="101" spans="1:12" s="40" customFormat="1" ht="33" customHeight="1">
      <c r="A101" s="481" t="s">
        <v>698</v>
      </c>
      <c r="B101" s="482"/>
      <c r="C101" s="483"/>
      <c r="D101" s="73"/>
      <c r="E101" s="62"/>
      <c r="F101" s="387" t="s">
        <v>666</v>
      </c>
      <c r="G101" s="430"/>
      <c r="H101" s="384" t="str">
        <f>IF(I100="Other", "List fuel moisture conditions","")</f>
        <v/>
      </c>
      <c r="I101" s="434"/>
      <c r="J101" s="389" t="s">
        <v>689</v>
      </c>
      <c r="K101" s="438"/>
    </row>
    <row r="102" spans="1:12" s="40" customFormat="1" ht="33" customHeight="1">
      <c r="A102" s="481" t="s">
        <v>703</v>
      </c>
      <c r="B102" s="482"/>
      <c r="C102" s="483"/>
      <c r="D102" s="73"/>
      <c r="E102" s="62"/>
      <c r="F102" s="44"/>
      <c r="G102" s="44"/>
      <c r="H102" s="106"/>
      <c r="I102" s="44"/>
      <c r="J102" s="389" t="s">
        <v>694</v>
      </c>
      <c r="K102" s="435"/>
    </row>
    <row r="103" spans="1:12" s="40" customFormat="1" ht="57" customHeight="1">
      <c r="A103" s="481" t="s">
        <v>706</v>
      </c>
      <c r="B103" s="482"/>
      <c r="C103" s="483"/>
      <c r="D103" s="73"/>
      <c r="E103" s="62"/>
      <c r="F103" s="44"/>
      <c r="G103" s="44"/>
      <c r="H103" s="106"/>
      <c r="I103" s="44"/>
      <c r="J103" s="427"/>
      <c r="K103" s="428"/>
    </row>
    <row r="104" spans="1:12" s="40" customFormat="1" ht="57" customHeight="1">
      <c r="A104" s="481" t="s">
        <v>708</v>
      </c>
      <c r="B104" s="482"/>
      <c r="C104" s="483"/>
      <c r="D104" s="73"/>
      <c r="E104" s="62"/>
      <c r="F104" s="44"/>
      <c r="G104" s="44"/>
      <c r="H104" s="106"/>
      <c r="I104" s="44"/>
      <c r="J104" s="459"/>
      <c r="K104" s="460"/>
    </row>
    <row r="105" spans="1:12" s="40" customFormat="1" ht="57" customHeight="1">
      <c r="A105" s="481" t="s">
        <v>709</v>
      </c>
      <c r="B105" s="482"/>
      <c r="C105" s="483"/>
      <c r="D105" s="73"/>
      <c r="E105" s="62"/>
      <c r="F105" s="44"/>
      <c r="G105" s="44"/>
      <c r="H105" s="106"/>
      <c r="I105" s="44"/>
      <c r="J105" s="459"/>
      <c r="K105" s="460"/>
    </row>
    <row r="106" spans="1:12" ht="30" customHeight="1"/>
    <row r="107" spans="1:12" ht="18" customHeight="1">
      <c r="A107" s="338" t="s">
        <v>177</v>
      </c>
      <c r="B107" s="338"/>
      <c r="C107" s="338"/>
      <c r="D107" s="338"/>
      <c r="E107" s="338"/>
      <c r="F107" s="338"/>
      <c r="G107" s="338"/>
      <c r="H107" s="338"/>
    </row>
    <row r="108" spans="1:12" ht="33" customHeight="1">
      <c r="A108" s="485" t="s">
        <v>254</v>
      </c>
      <c r="B108" s="486"/>
      <c r="C108" s="487"/>
      <c r="D108" s="185"/>
      <c r="E108" s="120"/>
      <c r="F108" s="100" t="s">
        <v>178</v>
      </c>
      <c r="G108" s="403"/>
      <c r="H108" s="47">
        <f>H109-H110</f>
        <v>0</v>
      </c>
    </row>
    <row r="109" spans="1:12" ht="33" customHeight="1">
      <c r="A109" s="481" t="s">
        <v>385</v>
      </c>
      <c r="B109" s="482"/>
      <c r="C109" s="483"/>
      <c r="D109" s="160"/>
      <c r="E109" s="173"/>
      <c r="F109" s="100" t="s">
        <v>49</v>
      </c>
      <c r="G109" s="403"/>
      <c r="H109" s="47">
        <f>(D114+D121-(1-(1-D112)^D113)*(D114+D121-(D114-(D114-D115)*IF(D127&gt;0,(D128/D127),1))-(D121-(D121-D122)*IF(D125&gt;0,(D126/D125),1)*(1-(D123-D124)))))*ERFs!B$57-D118*ERFs!B$23</f>
        <v>0</v>
      </c>
    </row>
    <row r="110" spans="1:12" ht="33" customHeight="1">
      <c r="A110" s="481" t="s">
        <v>407</v>
      </c>
      <c r="B110" s="482"/>
      <c r="C110" s="483"/>
      <c r="D110" s="160"/>
      <c r="E110" s="173"/>
      <c r="F110" s="100" t="s">
        <v>47</v>
      </c>
      <c r="G110" s="403"/>
      <c r="H110" s="47">
        <f>(D116+D121-(1-(1-D112)^D113)*(D116+D121-D117-D122))*ERFs!B$57</f>
        <v>0</v>
      </c>
    </row>
    <row r="111" spans="1:12" ht="33" customHeight="1" thickBot="1">
      <c r="A111" s="481" t="s">
        <v>370</v>
      </c>
      <c r="B111" s="482"/>
      <c r="C111" s="483"/>
      <c r="D111" s="47" t="str">
        <f>IF(D110="Class I", 50, IF(D110="Class II or III",60, IF(D110="Class IV or V", 80,"")))</f>
        <v/>
      </c>
      <c r="E111" s="158"/>
      <c r="F111" s="103" t="s">
        <v>690</v>
      </c>
      <c r="G111" s="413"/>
      <c r="H111" s="413"/>
      <c r="I111" s="1"/>
      <c r="J111" s="1"/>
    </row>
    <row r="112" spans="1:12" s="39" customFormat="1" ht="46.5" customHeight="1">
      <c r="A112" s="491" t="s">
        <v>89</v>
      </c>
      <c r="B112" s="492"/>
      <c r="C112" s="493"/>
      <c r="D112" s="74"/>
      <c r="E112" s="61"/>
      <c r="F112" s="394" t="s">
        <v>646</v>
      </c>
      <c r="G112" s="395"/>
      <c r="H112" s="392" t="s">
        <v>647</v>
      </c>
      <c r="I112" s="393"/>
      <c r="J112" s="394" t="s">
        <v>648</v>
      </c>
      <c r="K112" s="396"/>
      <c r="L112" s="418" t="s">
        <v>695</v>
      </c>
    </row>
    <row r="113" spans="1:12" s="39" customFormat="1" ht="33" customHeight="1" thickBot="1">
      <c r="A113" s="475" t="s">
        <v>116</v>
      </c>
      <c r="B113" s="475"/>
      <c r="C113" s="475"/>
      <c r="D113" s="86"/>
      <c r="E113" s="61"/>
      <c r="F113" s="385" t="s">
        <v>642</v>
      </c>
      <c r="G113" s="429"/>
      <c r="H113" s="385" t="s">
        <v>642</v>
      </c>
      <c r="I113" s="433"/>
      <c r="J113" s="385" t="s">
        <v>642</v>
      </c>
      <c r="K113" s="435"/>
      <c r="L113" s="436"/>
    </row>
    <row r="114" spans="1:12" s="39" customFormat="1" ht="33" customHeight="1">
      <c r="A114" s="481" t="s">
        <v>476</v>
      </c>
      <c r="B114" s="482"/>
      <c r="C114" s="483"/>
      <c r="D114" s="86"/>
      <c r="E114" s="61"/>
      <c r="F114" s="385" t="s">
        <v>643</v>
      </c>
      <c r="G114" s="429"/>
      <c r="H114" s="385" t="s">
        <v>643</v>
      </c>
      <c r="I114" s="433"/>
      <c r="J114" s="385" t="s">
        <v>643</v>
      </c>
      <c r="K114" s="435"/>
      <c r="L114" s="422"/>
    </row>
    <row r="115" spans="1:12" s="40" customFormat="1" ht="33" customHeight="1">
      <c r="A115" s="488" t="s">
        <v>477</v>
      </c>
      <c r="B115" s="489"/>
      <c r="C115" s="490"/>
      <c r="D115" s="86"/>
      <c r="E115" s="62"/>
      <c r="F115" s="388" t="s">
        <v>657</v>
      </c>
      <c r="G115" s="429"/>
      <c r="H115" s="386" t="s">
        <v>665</v>
      </c>
      <c r="I115" s="429"/>
      <c r="J115" s="386" t="s">
        <v>673</v>
      </c>
      <c r="K115" s="435"/>
      <c r="L115" s="423"/>
    </row>
    <row r="116" spans="1:12" s="40" customFormat="1" ht="33" customHeight="1">
      <c r="A116" s="481" t="s">
        <v>478</v>
      </c>
      <c r="B116" s="482"/>
      <c r="C116" s="483"/>
      <c r="D116" s="86"/>
      <c r="E116" s="62"/>
      <c r="F116" s="388" t="s">
        <v>658</v>
      </c>
      <c r="G116" s="429"/>
      <c r="H116" s="387" t="s">
        <v>693</v>
      </c>
      <c r="I116" s="429"/>
      <c r="J116" s="386" t="s">
        <v>674</v>
      </c>
      <c r="K116" s="435"/>
      <c r="L116" s="423"/>
    </row>
    <row r="117" spans="1:12" s="40" customFormat="1" ht="33" customHeight="1">
      <c r="A117" s="481" t="s">
        <v>479</v>
      </c>
      <c r="B117" s="482"/>
      <c r="C117" s="483"/>
      <c r="D117" s="86"/>
      <c r="E117" s="62"/>
      <c r="F117" s="388" t="s">
        <v>644</v>
      </c>
      <c r="G117" s="429"/>
      <c r="H117" s="386" t="s">
        <v>659</v>
      </c>
      <c r="I117" s="431"/>
      <c r="J117" s="388" t="s">
        <v>679</v>
      </c>
      <c r="K117" s="437"/>
      <c r="L117" s="423"/>
    </row>
    <row r="118" spans="1:12" s="40" customFormat="1" ht="33" customHeight="1">
      <c r="A118" s="481" t="s">
        <v>28</v>
      </c>
      <c r="B118" s="482"/>
      <c r="C118" s="483"/>
      <c r="D118" s="86"/>
      <c r="E118" s="62"/>
      <c r="F118" s="388" t="str">
        <f>IF(G117="Not All Species", "List species to be masticated","")</f>
        <v/>
      </c>
      <c r="G118" s="430"/>
      <c r="H118" s="388" t="str">
        <f>IF(I117="Other", "List fuel moisture conditions","")</f>
        <v/>
      </c>
      <c r="I118" s="434"/>
      <c r="J118" s="386" t="s">
        <v>680</v>
      </c>
      <c r="K118" s="438"/>
      <c r="L118" s="423"/>
    </row>
    <row r="119" spans="1:12" s="40" customFormat="1" ht="52" customHeight="1">
      <c r="A119" s="255" t="s">
        <v>480</v>
      </c>
      <c r="B119" s="256"/>
      <c r="C119" s="256"/>
      <c r="D119" s="257"/>
      <c r="E119" s="62"/>
      <c r="F119" s="388" t="s">
        <v>681</v>
      </c>
      <c r="G119" s="431"/>
      <c r="H119" s="388" t="s">
        <v>672</v>
      </c>
      <c r="I119" s="431"/>
      <c r="J119" s="416" t="s">
        <v>684</v>
      </c>
      <c r="K119" s="435"/>
      <c r="L119" s="423"/>
    </row>
    <row r="120" spans="1:12" s="40" customFormat="1" ht="47" customHeight="1" thickBot="1">
      <c r="A120" s="485" t="s">
        <v>255</v>
      </c>
      <c r="B120" s="486"/>
      <c r="C120" s="487"/>
      <c r="D120" s="461"/>
      <c r="E120" s="62"/>
      <c r="F120" s="386" t="s">
        <v>682</v>
      </c>
      <c r="G120" s="431"/>
      <c r="H120" s="409" t="s">
        <v>683</v>
      </c>
      <c r="I120" s="431"/>
      <c r="J120" s="410"/>
      <c r="K120" s="439"/>
      <c r="L120" s="423"/>
    </row>
    <row r="121" spans="1:12" s="40" customFormat="1" ht="33" customHeight="1" thickBot="1">
      <c r="A121" s="481" t="s">
        <v>481</v>
      </c>
      <c r="B121" s="482"/>
      <c r="C121" s="483"/>
      <c r="D121" s="86"/>
      <c r="E121" s="62"/>
      <c r="F121" s="390" t="s">
        <v>645</v>
      </c>
      <c r="G121" s="432"/>
      <c r="H121" s="411"/>
      <c r="I121" s="412"/>
      <c r="J121" s="391" t="s">
        <v>687</v>
      </c>
      <c r="K121" s="397"/>
      <c r="L121" s="75"/>
    </row>
    <row r="122" spans="1:12" s="40" customFormat="1" ht="33" customHeight="1">
      <c r="A122" s="481" t="s">
        <v>482</v>
      </c>
      <c r="B122" s="482"/>
      <c r="C122" s="483"/>
      <c r="D122" s="86"/>
      <c r="E122" s="62"/>
      <c r="F122" s="406" t="s">
        <v>691</v>
      </c>
      <c r="G122" s="407"/>
      <c r="H122" s="407"/>
      <c r="I122" s="408"/>
      <c r="J122" s="385" t="s">
        <v>642</v>
      </c>
      <c r="K122" s="435"/>
    </row>
    <row r="123" spans="1:12" s="40" customFormat="1" ht="33" customHeight="1">
      <c r="A123" s="475" t="s">
        <v>699</v>
      </c>
      <c r="B123" s="475"/>
      <c r="C123" s="475"/>
      <c r="D123" s="73"/>
      <c r="E123" s="62"/>
      <c r="F123" s="388" t="s">
        <v>665</v>
      </c>
      <c r="G123" s="440"/>
      <c r="H123" s="425" t="s">
        <v>659</v>
      </c>
      <c r="I123" s="441"/>
      <c r="J123" s="389" t="s">
        <v>688</v>
      </c>
      <c r="K123" s="438"/>
    </row>
    <row r="124" spans="1:12" s="40" customFormat="1" ht="33" customHeight="1">
      <c r="A124" s="481" t="s">
        <v>698</v>
      </c>
      <c r="B124" s="482"/>
      <c r="C124" s="483"/>
      <c r="D124" s="73"/>
      <c r="E124" s="62"/>
      <c r="F124" s="387" t="s">
        <v>666</v>
      </c>
      <c r="G124" s="430"/>
      <c r="H124" s="384" t="str">
        <f>IF(I123="Other", "List fuel moisture conditions","")</f>
        <v/>
      </c>
      <c r="I124" s="434"/>
      <c r="J124" s="389" t="s">
        <v>689</v>
      </c>
      <c r="K124" s="438"/>
    </row>
    <row r="125" spans="1:12" s="40" customFormat="1" ht="33" customHeight="1">
      <c r="A125" s="481" t="s">
        <v>703</v>
      </c>
      <c r="B125" s="482"/>
      <c r="C125" s="483"/>
      <c r="D125" s="73"/>
      <c r="E125" s="62"/>
      <c r="F125" s="44"/>
      <c r="G125" s="44"/>
      <c r="H125" s="106"/>
      <c r="I125" s="44"/>
      <c r="J125" s="389" t="s">
        <v>694</v>
      </c>
      <c r="K125" s="435"/>
    </row>
    <row r="126" spans="1:12" s="40" customFormat="1" ht="49" customHeight="1">
      <c r="A126" s="481" t="s">
        <v>706</v>
      </c>
      <c r="B126" s="482"/>
      <c r="C126" s="483"/>
      <c r="D126" s="73"/>
      <c r="E126" s="62"/>
      <c r="F126" s="44"/>
      <c r="G126" s="44"/>
      <c r="H126" s="106"/>
      <c r="I126" s="44"/>
      <c r="J126" s="427"/>
      <c r="K126" s="428"/>
    </row>
    <row r="127" spans="1:12" s="40" customFormat="1" ht="49" customHeight="1">
      <c r="A127" s="481" t="s">
        <v>708</v>
      </c>
      <c r="B127" s="482"/>
      <c r="C127" s="483"/>
      <c r="D127" s="73"/>
      <c r="E127" s="62"/>
      <c r="F127" s="44"/>
      <c r="G127" s="44"/>
      <c r="H127" s="106"/>
      <c r="I127" s="44"/>
      <c r="J127" s="459"/>
      <c r="K127" s="460"/>
    </row>
    <row r="128" spans="1:12" s="40" customFormat="1" ht="49" customHeight="1">
      <c r="A128" s="481" t="s">
        <v>709</v>
      </c>
      <c r="B128" s="482"/>
      <c r="C128" s="483"/>
      <c r="D128" s="73"/>
      <c r="E128" s="62"/>
      <c r="F128" s="44"/>
      <c r="G128" s="44"/>
      <c r="H128" s="106"/>
      <c r="I128" s="44"/>
      <c r="J128" s="459"/>
      <c r="K128" s="460"/>
    </row>
    <row r="129" spans="1:12" ht="30" customHeight="1"/>
    <row r="130" spans="1:12" ht="18" customHeight="1">
      <c r="A130" s="338" t="s">
        <v>327</v>
      </c>
      <c r="B130" s="338"/>
      <c r="C130" s="338"/>
      <c r="D130" s="338"/>
      <c r="E130" s="338"/>
      <c r="F130" s="338"/>
      <c r="G130" s="338"/>
      <c r="H130" s="338"/>
    </row>
    <row r="131" spans="1:12" ht="33" customHeight="1">
      <c r="A131" s="485" t="s">
        <v>254</v>
      </c>
      <c r="B131" s="486"/>
      <c r="C131" s="487"/>
      <c r="D131" s="185"/>
      <c r="E131" s="154"/>
      <c r="F131" s="100" t="s">
        <v>328</v>
      </c>
      <c r="G131" s="403"/>
      <c r="H131" s="47">
        <f>H132-H133</f>
        <v>0</v>
      </c>
    </row>
    <row r="132" spans="1:12" ht="33" customHeight="1">
      <c r="A132" s="481" t="s">
        <v>385</v>
      </c>
      <c r="B132" s="482"/>
      <c r="C132" s="483"/>
      <c r="D132" s="160"/>
      <c r="E132" s="173"/>
      <c r="F132" s="100" t="s">
        <v>49</v>
      </c>
      <c r="G132" s="403"/>
      <c r="H132" s="47">
        <f>(D137+D144-(1-(1-D135)^D136)*(D137+D144-(D137-(D137-D138)*IF(D150&gt;0,(D151/D150),1))-(D144-(D144-D145)*IF(D148&gt;0,(D149/D148),1)*(1-(D146-D147)))))*ERFs!B$57-D141*ERFs!B$23</f>
        <v>0</v>
      </c>
    </row>
    <row r="133" spans="1:12" ht="33" customHeight="1">
      <c r="A133" s="481" t="s">
        <v>407</v>
      </c>
      <c r="B133" s="482"/>
      <c r="C133" s="483"/>
      <c r="D133" s="160"/>
      <c r="E133" s="173"/>
      <c r="F133" s="100" t="s">
        <v>47</v>
      </c>
      <c r="G133" s="403"/>
      <c r="H133" s="47">
        <f>(D139+D144-(1-(1-D135)^D136)*(D139+D144-D140-D145))*ERFs!B$57</f>
        <v>0</v>
      </c>
    </row>
    <row r="134" spans="1:12" ht="33" customHeight="1" thickBot="1">
      <c r="A134" s="481" t="s">
        <v>370</v>
      </c>
      <c r="B134" s="482"/>
      <c r="C134" s="483"/>
      <c r="D134" s="47" t="str">
        <f>IF(D133="Class I", 50, IF(D133="Class II or III",60, IF(D133="Class IV or V", 80,"")))</f>
        <v/>
      </c>
      <c r="E134" s="158"/>
      <c r="F134" s="103" t="s">
        <v>690</v>
      </c>
      <c r="G134" s="413"/>
      <c r="H134" s="413"/>
      <c r="I134" s="1"/>
      <c r="J134" s="1"/>
    </row>
    <row r="135" spans="1:12" s="39" customFormat="1" ht="46.5" customHeight="1">
      <c r="A135" s="491" t="s">
        <v>89</v>
      </c>
      <c r="B135" s="492"/>
      <c r="C135" s="493"/>
      <c r="D135" s="74"/>
      <c r="E135" s="61"/>
      <c r="F135" s="394" t="s">
        <v>646</v>
      </c>
      <c r="G135" s="395"/>
      <c r="H135" s="392" t="s">
        <v>647</v>
      </c>
      <c r="I135" s="393"/>
      <c r="J135" s="394" t="s">
        <v>648</v>
      </c>
      <c r="K135" s="396"/>
      <c r="L135" s="418" t="s">
        <v>695</v>
      </c>
    </row>
    <row r="136" spans="1:12" s="39" customFormat="1" ht="33" customHeight="1" thickBot="1">
      <c r="A136" s="475" t="s">
        <v>116</v>
      </c>
      <c r="B136" s="475"/>
      <c r="C136" s="475"/>
      <c r="D136" s="86"/>
      <c r="E136" s="61"/>
      <c r="F136" s="385" t="s">
        <v>642</v>
      </c>
      <c r="G136" s="429"/>
      <c r="H136" s="385" t="s">
        <v>642</v>
      </c>
      <c r="I136" s="433"/>
      <c r="J136" s="385" t="s">
        <v>642</v>
      </c>
      <c r="K136" s="435"/>
      <c r="L136" s="436"/>
    </row>
    <row r="137" spans="1:12" s="39" customFormat="1" ht="33" customHeight="1">
      <c r="A137" s="481" t="s">
        <v>476</v>
      </c>
      <c r="B137" s="482"/>
      <c r="C137" s="483"/>
      <c r="D137" s="86"/>
      <c r="E137" s="61"/>
      <c r="F137" s="385" t="s">
        <v>643</v>
      </c>
      <c r="G137" s="429"/>
      <c r="H137" s="385" t="s">
        <v>643</v>
      </c>
      <c r="I137" s="433"/>
      <c r="J137" s="385" t="s">
        <v>643</v>
      </c>
      <c r="K137" s="435"/>
      <c r="L137" s="422"/>
    </row>
    <row r="138" spans="1:12" s="40" customFormat="1" ht="33" customHeight="1">
      <c r="A138" s="488" t="s">
        <v>477</v>
      </c>
      <c r="B138" s="489"/>
      <c r="C138" s="490"/>
      <c r="D138" s="86"/>
      <c r="E138" s="62"/>
      <c r="F138" s="388" t="s">
        <v>657</v>
      </c>
      <c r="G138" s="429"/>
      <c r="H138" s="386" t="s">
        <v>665</v>
      </c>
      <c r="I138" s="429"/>
      <c r="J138" s="386" t="s">
        <v>673</v>
      </c>
      <c r="K138" s="435"/>
      <c r="L138" s="423"/>
    </row>
    <row r="139" spans="1:12" s="40" customFormat="1" ht="33" customHeight="1">
      <c r="A139" s="481" t="s">
        <v>478</v>
      </c>
      <c r="B139" s="482"/>
      <c r="C139" s="483"/>
      <c r="D139" s="86"/>
      <c r="E139" s="62"/>
      <c r="F139" s="388" t="s">
        <v>658</v>
      </c>
      <c r="G139" s="429"/>
      <c r="H139" s="387" t="s">
        <v>693</v>
      </c>
      <c r="I139" s="429"/>
      <c r="J139" s="386" t="s">
        <v>674</v>
      </c>
      <c r="K139" s="435"/>
      <c r="L139" s="423"/>
    </row>
    <row r="140" spans="1:12" s="40" customFormat="1" ht="33" customHeight="1">
      <c r="A140" s="481" t="s">
        <v>479</v>
      </c>
      <c r="B140" s="482"/>
      <c r="C140" s="483"/>
      <c r="D140" s="86"/>
      <c r="E140" s="62"/>
      <c r="F140" s="388" t="s">
        <v>644</v>
      </c>
      <c r="G140" s="429"/>
      <c r="H140" s="386" t="s">
        <v>659</v>
      </c>
      <c r="I140" s="431"/>
      <c r="J140" s="388" t="s">
        <v>679</v>
      </c>
      <c r="K140" s="437"/>
      <c r="L140" s="423"/>
    </row>
    <row r="141" spans="1:12" s="40" customFormat="1" ht="33" customHeight="1">
      <c r="A141" s="481" t="s">
        <v>28</v>
      </c>
      <c r="B141" s="482"/>
      <c r="C141" s="483"/>
      <c r="D141" s="86"/>
      <c r="E141" s="62"/>
      <c r="F141" s="388" t="str">
        <f>IF(G140="Not All Species", "List species to be masticated","")</f>
        <v/>
      </c>
      <c r="G141" s="430"/>
      <c r="H141" s="388" t="str">
        <f>IF(I140="Other", "List fuel moisture conditions","")</f>
        <v/>
      </c>
      <c r="I141" s="434"/>
      <c r="J141" s="386" t="s">
        <v>680</v>
      </c>
      <c r="K141" s="438"/>
      <c r="L141" s="423"/>
    </row>
    <row r="142" spans="1:12" s="40" customFormat="1" ht="56" customHeight="1">
      <c r="A142" s="255" t="s">
        <v>480</v>
      </c>
      <c r="B142" s="256"/>
      <c r="C142" s="256"/>
      <c r="D142" s="257"/>
      <c r="E142" s="62"/>
      <c r="F142" s="388" t="s">
        <v>681</v>
      </c>
      <c r="G142" s="431"/>
      <c r="H142" s="388" t="s">
        <v>672</v>
      </c>
      <c r="I142" s="431"/>
      <c r="J142" s="416" t="s">
        <v>684</v>
      </c>
      <c r="K142" s="435"/>
      <c r="L142" s="423"/>
    </row>
    <row r="143" spans="1:12" s="40" customFormat="1" ht="55" customHeight="1" thickBot="1">
      <c r="A143" s="485" t="s">
        <v>255</v>
      </c>
      <c r="B143" s="486"/>
      <c r="C143" s="487"/>
      <c r="D143" s="461"/>
      <c r="E143" s="62"/>
      <c r="F143" s="386" t="s">
        <v>682</v>
      </c>
      <c r="G143" s="431"/>
      <c r="H143" s="409" t="s">
        <v>683</v>
      </c>
      <c r="I143" s="431"/>
      <c r="J143" s="410"/>
      <c r="K143" s="439"/>
      <c r="L143" s="423"/>
    </row>
    <row r="144" spans="1:12" s="40" customFormat="1" ht="33" customHeight="1" thickBot="1">
      <c r="A144" s="481" t="s">
        <v>481</v>
      </c>
      <c r="B144" s="482"/>
      <c r="C144" s="483"/>
      <c r="D144" s="86"/>
      <c r="E144" s="62"/>
      <c r="F144" s="390" t="s">
        <v>645</v>
      </c>
      <c r="G144" s="432"/>
      <c r="H144" s="411"/>
      <c r="I144" s="412"/>
      <c r="J144" s="391" t="s">
        <v>687</v>
      </c>
      <c r="K144" s="397"/>
      <c r="L144" s="75"/>
    </row>
    <row r="145" spans="1:12" s="40" customFormat="1" ht="33" customHeight="1">
      <c r="A145" s="481" t="s">
        <v>482</v>
      </c>
      <c r="B145" s="482"/>
      <c r="C145" s="483"/>
      <c r="D145" s="86"/>
      <c r="E145" s="62"/>
      <c r="F145" s="406" t="s">
        <v>691</v>
      </c>
      <c r="G145" s="407"/>
      <c r="H145" s="407"/>
      <c r="I145" s="408"/>
      <c r="J145" s="385" t="s">
        <v>642</v>
      </c>
      <c r="K145" s="435"/>
    </row>
    <row r="146" spans="1:12" s="40" customFormat="1" ht="33" customHeight="1">
      <c r="A146" s="475" t="s">
        <v>699</v>
      </c>
      <c r="B146" s="475"/>
      <c r="C146" s="475"/>
      <c r="D146" s="73"/>
      <c r="E146" s="62"/>
      <c r="F146" s="388" t="s">
        <v>665</v>
      </c>
      <c r="G146" s="440"/>
      <c r="H146" s="425" t="s">
        <v>659</v>
      </c>
      <c r="I146" s="441"/>
      <c r="J146" s="389" t="s">
        <v>688</v>
      </c>
      <c r="K146" s="438"/>
    </row>
    <row r="147" spans="1:12" s="40" customFormat="1" ht="33" customHeight="1">
      <c r="A147" s="481" t="s">
        <v>698</v>
      </c>
      <c r="B147" s="482"/>
      <c r="C147" s="483"/>
      <c r="D147" s="73"/>
      <c r="E147" s="62"/>
      <c r="F147" s="387" t="s">
        <v>666</v>
      </c>
      <c r="G147" s="430"/>
      <c r="H147" s="384" t="str">
        <f>IF(I146="Other", "List fuel moisture conditions","")</f>
        <v/>
      </c>
      <c r="I147" s="434"/>
      <c r="J147" s="389" t="s">
        <v>689</v>
      </c>
      <c r="K147" s="438"/>
    </row>
    <row r="148" spans="1:12" s="40" customFormat="1" ht="33" customHeight="1">
      <c r="A148" s="481" t="s">
        <v>703</v>
      </c>
      <c r="B148" s="482"/>
      <c r="C148" s="483"/>
      <c r="D148" s="73"/>
      <c r="E148" s="62"/>
      <c r="F148" s="44"/>
      <c r="G148" s="44"/>
      <c r="H148" s="106"/>
      <c r="I148" s="44"/>
      <c r="J148" s="389" t="s">
        <v>694</v>
      </c>
      <c r="K148" s="435"/>
    </row>
    <row r="149" spans="1:12" s="40" customFormat="1" ht="53" customHeight="1">
      <c r="A149" s="481" t="s">
        <v>706</v>
      </c>
      <c r="B149" s="482"/>
      <c r="C149" s="483"/>
      <c r="D149" s="73"/>
      <c r="E149" s="62"/>
      <c r="F149" s="44"/>
      <c r="G149" s="44"/>
      <c r="H149" s="106"/>
      <c r="I149" s="44"/>
      <c r="J149" s="427"/>
      <c r="K149" s="428"/>
    </row>
    <row r="150" spans="1:12" s="40" customFormat="1" ht="53" customHeight="1">
      <c r="A150" s="481" t="s">
        <v>708</v>
      </c>
      <c r="B150" s="482"/>
      <c r="C150" s="483"/>
      <c r="D150" s="73"/>
      <c r="E150" s="62"/>
      <c r="F150" s="44"/>
      <c r="G150" s="44"/>
      <c r="H150" s="106"/>
      <c r="I150" s="44"/>
      <c r="J150" s="459"/>
      <c r="K150" s="460"/>
    </row>
    <row r="151" spans="1:12" s="40" customFormat="1" ht="53" customHeight="1">
      <c r="A151" s="481" t="s">
        <v>709</v>
      </c>
      <c r="B151" s="482"/>
      <c r="C151" s="483"/>
      <c r="D151" s="73"/>
      <c r="E151" s="62"/>
      <c r="F151" s="44"/>
      <c r="G151" s="44"/>
      <c r="H151" s="106"/>
      <c r="I151" s="44"/>
      <c r="J151" s="459"/>
      <c r="K151" s="460"/>
    </row>
    <row r="152" spans="1:12" ht="30" customHeight="1"/>
    <row r="153" spans="1:12" ht="18" customHeight="1">
      <c r="A153" s="338" t="s">
        <v>329</v>
      </c>
      <c r="B153" s="338"/>
      <c r="C153" s="338"/>
      <c r="D153" s="338"/>
      <c r="E153" s="338"/>
      <c r="F153" s="338"/>
      <c r="G153" s="338"/>
      <c r="H153" s="338"/>
    </row>
    <row r="154" spans="1:12" ht="33" customHeight="1">
      <c r="A154" s="485" t="s">
        <v>254</v>
      </c>
      <c r="B154" s="486"/>
      <c r="C154" s="487"/>
      <c r="D154" s="185"/>
      <c r="E154" s="154"/>
      <c r="F154" s="100" t="s">
        <v>330</v>
      </c>
      <c r="G154" s="403"/>
      <c r="H154" s="47">
        <f>H155-H156</f>
        <v>0</v>
      </c>
    </row>
    <row r="155" spans="1:12" ht="33" customHeight="1">
      <c r="A155" s="481" t="s">
        <v>385</v>
      </c>
      <c r="B155" s="482"/>
      <c r="C155" s="483"/>
      <c r="D155" s="160"/>
      <c r="E155" s="173"/>
      <c r="F155" s="100" t="s">
        <v>49</v>
      </c>
      <c r="G155" s="403"/>
      <c r="H155" s="47">
        <f>(D160+D167-(1-(1-D158)^D159)*(D160+D167-(D160-(D160-D161)*IF(D173&gt;0,(D174/D173),1))-(D167-(D167-D168)*IF(D171&gt;0,(D172/D171),1)*(1-(D169-D170)))))*ERFs!B$57-D164*ERFs!B$23</f>
        <v>0</v>
      </c>
    </row>
    <row r="156" spans="1:12" ht="33" customHeight="1">
      <c r="A156" s="481" t="s">
        <v>407</v>
      </c>
      <c r="B156" s="482"/>
      <c r="C156" s="483"/>
      <c r="D156" s="160"/>
      <c r="E156" s="173"/>
      <c r="F156" s="100" t="s">
        <v>47</v>
      </c>
      <c r="G156" s="403"/>
      <c r="H156" s="47">
        <f>(D162+D167-(1-(1-D158)^D159)*(D162+D167-D163-D168))*ERFs!B$57</f>
        <v>0</v>
      </c>
    </row>
    <row r="157" spans="1:12" ht="33" customHeight="1" thickBot="1">
      <c r="A157" s="481" t="s">
        <v>370</v>
      </c>
      <c r="B157" s="482"/>
      <c r="C157" s="483"/>
      <c r="D157" s="47" t="str">
        <f>IF(D156="Class I", 50, IF(D156="Class II or III",60, IF(D156="Class IV or V", 80,"")))</f>
        <v/>
      </c>
      <c r="E157" s="158"/>
      <c r="F157" s="103" t="s">
        <v>690</v>
      </c>
      <c r="G157" s="413"/>
      <c r="H157" s="413"/>
      <c r="I157" s="1"/>
      <c r="J157" s="1"/>
    </row>
    <row r="158" spans="1:12" s="39" customFormat="1" ht="46.5" customHeight="1">
      <c r="A158" s="491" t="s">
        <v>89</v>
      </c>
      <c r="B158" s="492"/>
      <c r="C158" s="493"/>
      <c r="D158" s="74"/>
      <c r="E158" s="61"/>
      <c r="F158" s="394" t="s">
        <v>646</v>
      </c>
      <c r="G158" s="395"/>
      <c r="H158" s="392" t="s">
        <v>647</v>
      </c>
      <c r="I158" s="393"/>
      <c r="J158" s="394" t="s">
        <v>648</v>
      </c>
      <c r="K158" s="396"/>
      <c r="L158" s="418" t="s">
        <v>695</v>
      </c>
    </row>
    <row r="159" spans="1:12" s="39" customFormat="1" ht="33" customHeight="1" thickBot="1">
      <c r="A159" s="475" t="s">
        <v>116</v>
      </c>
      <c r="B159" s="475"/>
      <c r="C159" s="475"/>
      <c r="D159" s="86"/>
      <c r="E159" s="61"/>
      <c r="F159" s="385" t="s">
        <v>642</v>
      </c>
      <c r="G159" s="429"/>
      <c r="H159" s="385" t="s">
        <v>642</v>
      </c>
      <c r="I159" s="433"/>
      <c r="J159" s="385" t="s">
        <v>642</v>
      </c>
      <c r="K159" s="435"/>
      <c r="L159" s="436"/>
    </row>
    <row r="160" spans="1:12" s="39" customFormat="1" ht="33" customHeight="1">
      <c r="A160" s="481" t="s">
        <v>476</v>
      </c>
      <c r="B160" s="482"/>
      <c r="C160" s="483"/>
      <c r="D160" s="86"/>
      <c r="E160" s="61"/>
      <c r="F160" s="385" t="s">
        <v>643</v>
      </c>
      <c r="G160" s="429"/>
      <c r="H160" s="385" t="s">
        <v>643</v>
      </c>
      <c r="I160" s="433"/>
      <c r="J160" s="385" t="s">
        <v>643</v>
      </c>
      <c r="K160" s="435"/>
      <c r="L160" s="422"/>
    </row>
    <row r="161" spans="1:12" s="40" customFormat="1" ht="33" customHeight="1">
      <c r="A161" s="488" t="s">
        <v>477</v>
      </c>
      <c r="B161" s="489"/>
      <c r="C161" s="490"/>
      <c r="D161" s="86"/>
      <c r="E161" s="62"/>
      <c r="F161" s="388" t="s">
        <v>657</v>
      </c>
      <c r="G161" s="429"/>
      <c r="H161" s="386" t="s">
        <v>665</v>
      </c>
      <c r="I161" s="429"/>
      <c r="J161" s="386" t="s">
        <v>673</v>
      </c>
      <c r="K161" s="435"/>
      <c r="L161" s="423"/>
    </row>
    <row r="162" spans="1:12" s="40" customFormat="1" ht="33" customHeight="1">
      <c r="A162" s="481" t="s">
        <v>478</v>
      </c>
      <c r="B162" s="482"/>
      <c r="C162" s="483"/>
      <c r="D162" s="86"/>
      <c r="E162" s="62"/>
      <c r="F162" s="388" t="s">
        <v>658</v>
      </c>
      <c r="G162" s="429"/>
      <c r="H162" s="387" t="s">
        <v>693</v>
      </c>
      <c r="I162" s="429"/>
      <c r="J162" s="386" t="s">
        <v>674</v>
      </c>
      <c r="K162" s="435"/>
      <c r="L162" s="423"/>
    </row>
    <row r="163" spans="1:12" s="40" customFormat="1" ht="33" customHeight="1">
      <c r="A163" s="481" t="s">
        <v>479</v>
      </c>
      <c r="B163" s="482"/>
      <c r="C163" s="483"/>
      <c r="D163" s="86"/>
      <c r="E163" s="62"/>
      <c r="F163" s="388" t="s">
        <v>644</v>
      </c>
      <c r="G163" s="429"/>
      <c r="H163" s="386" t="s">
        <v>659</v>
      </c>
      <c r="I163" s="431"/>
      <c r="J163" s="388" t="s">
        <v>679</v>
      </c>
      <c r="K163" s="437"/>
      <c r="L163" s="423"/>
    </row>
    <row r="164" spans="1:12" s="40" customFormat="1" ht="33" customHeight="1">
      <c r="A164" s="481" t="s">
        <v>28</v>
      </c>
      <c r="B164" s="482"/>
      <c r="C164" s="483"/>
      <c r="D164" s="86"/>
      <c r="E164" s="62"/>
      <c r="F164" s="388" t="str">
        <f>IF(G163="Not All Species", "List species to be masticated","")</f>
        <v/>
      </c>
      <c r="G164" s="430"/>
      <c r="H164" s="388" t="str">
        <f>IF(I163="Other", "List fuel moisture conditions","")</f>
        <v/>
      </c>
      <c r="I164" s="434"/>
      <c r="J164" s="386" t="s">
        <v>680</v>
      </c>
      <c r="K164" s="438"/>
      <c r="L164" s="423"/>
    </row>
    <row r="165" spans="1:12" s="40" customFormat="1" ht="50" customHeight="1">
      <c r="A165" s="255" t="s">
        <v>480</v>
      </c>
      <c r="B165" s="256"/>
      <c r="C165" s="256"/>
      <c r="D165" s="257"/>
      <c r="E165" s="62"/>
      <c r="F165" s="388" t="s">
        <v>681</v>
      </c>
      <c r="G165" s="431"/>
      <c r="H165" s="388" t="s">
        <v>672</v>
      </c>
      <c r="I165" s="431"/>
      <c r="J165" s="416" t="s">
        <v>684</v>
      </c>
      <c r="K165" s="435"/>
      <c r="L165" s="423"/>
    </row>
    <row r="166" spans="1:12" s="40" customFormat="1" ht="46" customHeight="1" thickBot="1">
      <c r="A166" s="485" t="s">
        <v>255</v>
      </c>
      <c r="B166" s="486"/>
      <c r="C166" s="487"/>
      <c r="D166" s="461"/>
      <c r="E166" s="62"/>
      <c r="F166" s="386" t="s">
        <v>682</v>
      </c>
      <c r="G166" s="431"/>
      <c r="H166" s="409" t="s">
        <v>683</v>
      </c>
      <c r="I166" s="431"/>
      <c r="J166" s="410"/>
      <c r="K166" s="439"/>
      <c r="L166" s="423"/>
    </row>
    <row r="167" spans="1:12" s="40" customFormat="1" ht="33" customHeight="1" thickBot="1">
      <c r="A167" s="481" t="s">
        <v>481</v>
      </c>
      <c r="B167" s="482"/>
      <c r="C167" s="483"/>
      <c r="D167" s="86"/>
      <c r="E167" s="62"/>
      <c r="F167" s="390" t="s">
        <v>645</v>
      </c>
      <c r="G167" s="432"/>
      <c r="H167" s="411"/>
      <c r="I167" s="412"/>
      <c r="J167" s="391" t="s">
        <v>687</v>
      </c>
      <c r="K167" s="397"/>
      <c r="L167" s="75"/>
    </row>
    <row r="168" spans="1:12" s="40" customFormat="1" ht="33" customHeight="1">
      <c r="A168" s="481" t="s">
        <v>482</v>
      </c>
      <c r="B168" s="482"/>
      <c r="C168" s="483"/>
      <c r="D168" s="86"/>
      <c r="E168" s="62"/>
      <c r="F168" s="406" t="s">
        <v>691</v>
      </c>
      <c r="G168" s="407"/>
      <c r="H168" s="407"/>
      <c r="I168" s="408"/>
      <c r="J168" s="385" t="s">
        <v>642</v>
      </c>
      <c r="K168" s="435"/>
    </row>
    <row r="169" spans="1:12" s="40" customFormat="1" ht="33" customHeight="1">
      <c r="A169" s="475" t="s">
        <v>699</v>
      </c>
      <c r="B169" s="475"/>
      <c r="C169" s="475"/>
      <c r="D169" s="73"/>
      <c r="E169" s="62"/>
      <c r="F169" s="388" t="s">
        <v>665</v>
      </c>
      <c r="G169" s="440"/>
      <c r="H169" s="425" t="s">
        <v>659</v>
      </c>
      <c r="I169" s="441"/>
      <c r="J169" s="389" t="s">
        <v>688</v>
      </c>
      <c r="K169" s="438"/>
    </row>
    <row r="170" spans="1:12" s="40" customFormat="1" ht="33" customHeight="1">
      <c r="A170" s="481" t="s">
        <v>698</v>
      </c>
      <c r="B170" s="482"/>
      <c r="C170" s="483"/>
      <c r="D170" s="73"/>
      <c r="E170" s="62"/>
      <c r="F170" s="387" t="s">
        <v>666</v>
      </c>
      <c r="G170" s="430"/>
      <c r="H170" s="384" t="str">
        <f>IF(I169="Other", "List fuel moisture conditions","")</f>
        <v/>
      </c>
      <c r="I170" s="434"/>
      <c r="J170" s="389" t="s">
        <v>689</v>
      </c>
      <c r="K170" s="438"/>
    </row>
    <row r="171" spans="1:12" s="40" customFormat="1" ht="33" customHeight="1">
      <c r="A171" s="481" t="s">
        <v>703</v>
      </c>
      <c r="B171" s="482"/>
      <c r="C171" s="483"/>
      <c r="D171" s="73"/>
      <c r="E171" s="62"/>
      <c r="F171" s="44"/>
      <c r="G171" s="44"/>
      <c r="H171" s="106"/>
      <c r="I171" s="44"/>
      <c r="J171" s="389" t="s">
        <v>694</v>
      </c>
      <c r="K171" s="435"/>
    </row>
    <row r="172" spans="1:12" s="40" customFormat="1" ht="51" customHeight="1">
      <c r="A172" s="481" t="s">
        <v>706</v>
      </c>
      <c r="B172" s="482"/>
      <c r="C172" s="483"/>
      <c r="D172" s="73"/>
      <c r="E172" s="62"/>
      <c r="F172" s="44"/>
      <c r="G172" s="44"/>
      <c r="H172" s="106"/>
      <c r="I172" s="44"/>
      <c r="J172" s="427"/>
      <c r="K172" s="428"/>
    </row>
    <row r="173" spans="1:12" s="40" customFormat="1" ht="51" customHeight="1">
      <c r="A173" s="481" t="s">
        <v>708</v>
      </c>
      <c r="B173" s="482"/>
      <c r="C173" s="483"/>
      <c r="D173" s="73"/>
      <c r="E173" s="62"/>
      <c r="F173" s="44"/>
      <c r="G173" s="44"/>
      <c r="H173" s="106"/>
      <c r="I173" s="44"/>
      <c r="J173" s="459"/>
      <c r="K173" s="460"/>
    </row>
    <row r="174" spans="1:12" s="40" customFormat="1" ht="51" customHeight="1">
      <c r="A174" s="481" t="s">
        <v>709</v>
      </c>
      <c r="B174" s="482"/>
      <c r="C174" s="483"/>
      <c r="D174" s="73"/>
      <c r="E174" s="62"/>
      <c r="F174" s="44"/>
      <c r="G174" s="44"/>
      <c r="H174" s="106"/>
      <c r="I174" s="44"/>
      <c r="J174" s="459"/>
      <c r="K174" s="460"/>
    </row>
    <row r="175" spans="1:12" ht="30" customHeight="1"/>
    <row r="176" spans="1:12" ht="18" customHeight="1">
      <c r="A176" s="338" t="s">
        <v>331</v>
      </c>
      <c r="B176" s="338"/>
      <c r="C176" s="338"/>
      <c r="D176" s="338"/>
      <c r="E176" s="338"/>
      <c r="F176" s="338"/>
      <c r="G176" s="338"/>
      <c r="H176" s="338"/>
    </row>
    <row r="177" spans="1:12" ht="33" customHeight="1">
      <c r="A177" s="485" t="s">
        <v>254</v>
      </c>
      <c r="B177" s="486"/>
      <c r="C177" s="487"/>
      <c r="D177" s="185"/>
      <c r="E177" s="154"/>
      <c r="F177" s="404" t="s">
        <v>332</v>
      </c>
      <c r="G177" s="405"/>
      <c r="H177" s="47">
        <f>H178-H179</f>
        <v>0</v>
      </c>
    </row>
    <row r="178" spans="1:12" ht="33" customHeight="1">
      <c r="A178" s="481" t="s">
        <v>385</v>
      </c>
      <c r="B178" s="482"/>
      <c r="C178" s="483"/>
      <c r="D178" s="160"/>
      <c r="E178" s="173"/>
      <c r="F178" s="100" t="s">
        <v>49</v>
      </c>
      <c r="G178" s="405"/>
      <c r="H178" s="47">
        <f>(D183+D190-(1-(1-D181)^D182)*(D183+D190-(D183-(D183-D184)*IF(D196&gt;0,(D197/D196),1))-(D190-(D190-D191)*IF(D194&gt;0,(D195/D194),1)*(1-(D192-D193)))))*ERFs!B$57-D187*ERFs!B$23</f>
        <v>0</v>
      </c>
    </row>
    <row r="179" spans="1:12" ht="33" customHeight="1">
      <c r="A179" s="481" t="s">
        <v>407</v>
      </c>
      <c r="B179" s="482"/>
      <c r="C179" s="483"/>
      <c r="D179" s="160"/>
      <c r="E179" s="173"/>
      <c r="F179" s="404" t="s">
        <v>47</v>
      </c>
      <c r="G179" s="405"/>
      <c r="H179" s="47">
        <f>(D185+D190-(1-(1-D181)^D182)*(D185+D190-D186-D191))*ERFs!B$57</f>
        <v>0</v>
      </c>
    </row>
    <row r="180" spans="1:12" ht="33" customHeight="1" thickBot="1">
      <c r="A180" s="481" t="s">
        <v>370</v>
      </c>
      <c r="B180" s="482"/>
      <c r="C180" s="483"/>
      <c r="D180" s="47" t="str">
        <f>IF(D179="Class I", 50, IF(D179="Class II or III",60, IF(D179="Class IV or V", 80,"")))</f>
        <v/>
      </c>
      <c r="E180" s="158"/>
      <c r="F180" s="103" t="s">
        <v>690</v>
      </c>
      <c r="G180" s="413"/>
      <c r="H180" s="413"/>
      <c r="I180" s="1"/>
      <c r="J180" s="1"/>
    </row>
    <row r="181" spans="1:12" s="39" customFormat="1" ht="46.5" customHeight="1">
      <c r="A181" s="491" t="s">
        <v>89</v>
      </c>
      <c r="B181" s="492"/>
      <c r="C181" s="493"/>
      <c r="D181" s="74"/>
      <c r="E181" s="61"/>
      <c r="F181" s="394" t="s">
        <v>646</v>
      </c>
      <c r="G181" s="395"/>
      <c r="H181" s="392" t="s">
        <v>647</v>
      </c>
      <c r="I181" s="393"/>
      <c r="J181" s="394" t="s">
        <v>648</v>
      </c>
      <c r="K181" s="396"/>
      <c r="L181" s="418" t="s">
        <v>695</v>
      </c>
    </row>
    <row r="182" spans="1:12" s="39" customFormat="1" ht="33" customHeight="1" thickBot="1">
      <c r="A182" s="475" t="s">
        <v>116</v>
      </c>
      <c r="B182" s="475"/>
      <c r="C182" s="475"/>
      <c r="D182" s="86"/>
      <c r="E182" s="61"/>
      <c r="F182" s="385" t="s">
        <v>642</v>
      </c>
      <c r="G182" s="429"/>
      <c r="H182" s="385" t="s">
        <v>642</v>
      </c>
      <c r="I182" s="433"/>
      <c r="J182" s="385" t="s">
        <v>642</v>
      </c>
      <c r="K182" s="435"/>
      <c r="L182" s="436"/>
    </row>
    <row r="183" spans="1:12" s="39" customFormat="1" ht="33" customHeight="1">
      <c r="A183" s="481" t="s">
        <v>476</v>
      </c>
      <c r="B183" s="482"/>
      <c r="C183" s="483"/>
      <c r="D183" s="86"/>
      <c r="E183" s="61"/>
      <c r="F183" s="385" t="s">
        <v>643</v>
      </c>
      <c r="G183" s="429"/>
      <c r="H183" s="385" t="s">
        <v>643</v>
      </c>
      <c r="I183" s="433"/>
      <c r="J183" s="385" t="s">
        <v>643</v>
      </c>
      <c r="K183" s="435"/>
      <c r="L183" s="422"/>
    </row>
    <row r="184" spans="1:12" s="40" customFormat="1" ht="33" customHeight="1">
      <c r="A184" s="488" t="s">
        <v>477</v>
      </c>
      <c r="B184" s="489"/>
      <c r="C184" s="490"/>
      <c r="D184" s="86"/>
      <c r="E184" s="62"/>
      <c r="F184" s="388" t="s">
        <v>657</v>
      </c>
      <c r="G184" s="429"/>
      <c r="H184" s="386" t="s">
        <v>665</v>
      </c>
      <c r="I184" s="429"/>
      <c r="J184" s="386" t="s">
        <v>673</v>
      </c>
      <c r="K184" s="435"/>
      <c r="L184" s="423"/>
    </row>
    <row r="185" spans="1:12" s="40" customFormat="1" ht="33" customHeight="1">
      <c r="A185" s="481" t="s">
        <v>478</v>
      </c>
      <c r="B185" s="482"/>
      <c r="C185" s="483"/>
      <c r="D185" s="86"/>
      <c r="E185" s="62"/>
      <c r="F185" s="388" t="s">
        <v>658</v>
      </c>
      <c r="G185" s="429"/>
      <c r="H185" s="387" t="s">
        <v>693</v>
      </c>
      <c r="I185" s="429"/>
      <c r="J185" s="386" t="s">
        <v>674</v>
      </c>
      <c r="K185" s="435"/>
      <c r="L185" s="423"/>
    </row>
    <row r="186" spans="1:12" s="40" customFormat="1" ht="33" customHeight="1">
      <c r="A186" s="481" t="s">
        <v>479</v>
      </c>
      <c r="B186" s="482"/>
      <c r="C186" s="483"/>
      <c r="D186" s="86"/>
      <c r="E186" s="62"/>
      <c r="F186" s="388" t="s">
        <v>644</v>
      </c>
      <c r="G186" s="429"/>
      <c r="H186" s="386" t="s">
        <v>659</v>
      </c>
      <c r="I186" s="431"/>
      <c r="J186" s="388" t="s">
        <v>679</v>
      </c>
      <c r="K186" s="437"/>
      <c r="L186" s="423"/>
    </row>
    <row r="187" spans="1:12" s="40" customFormat="1" ht="33" customHeight="1">
      <c r="A187" s="481" t="s">
        <v>28</v>
      </c>
      <c r="B187" s="482"/>
      <c r="C187" s="483"/>
      <c r="D187" s="86"/>
      <c r="E187" s="62"/>
      <c r="F187" s="388" t="str">
        <f>IF(G186="Not All Species", "List species to be masticated","")</f>
        <v/>
      </c>
      <c r="G187" s="430"/>
      <c r="H187" s="388" t="str">
        <f>IF(I186="Other", "List fuel moisture conditions","")</f>
        <v/>
      </c>
      <c r="I187" s="434"/>
      <c r="J187" s="386" t="s">
        <v>680</v>
      </c>
      <c r="K187" s="438"/>
      <c r="L187" s="423"/>
    </row>
    <row r="188" spans="1:12" s="40" customFormat="1" ht="52" customHeight="1">
      <c r="A188" s="255" t="s">
        <v>480</v>
      </c>
      <c r="B188" s="256"/>
      <c r="C188" s="256"/>
      <c r="D188" s="257"/>
      <c r="E188" s="62"/>
      <c r="F188" s="388" t="s">
        <v>681</v>
      </c>
      <c r="G188" s="431"/>
      <c r="H188" s="388" t="s">
        <v>672</v>
      </c>
      <c r="I188" s="431"/>
      <c r="J188" s="416" t="s">
        <v>684</v>
      </c>
      <c r="K188" s="435"/>
      <c r="L188" s="423"/>
    </row>
    <row r="189" spans="1:12" s="40" customFormat="1" ht="57" customHeight="1" thickBot="1">
      <c r="A189" s="485" t="s">
        <v>255</v>
      </c>
      <c r="B189" s="486"/>
      <c r="C189" s="487"/>
      <c r="D189" s="461"/>
      <c r="E189" s="62"/>
      <c r="F189" s="386" t="s">
        <v>682</v>
      </c>
      <c r="G189" s="431"/>
      <c r="H189" s="409" t="s">
        <v>683</v>
      </c>
      <c r="I189" s="431"/>
      <c r="J189" s="410"/>
      <c r="K189" s="439"/>
      <c r="L189" s="423"/>
    </row>
    <row r="190" spans="1:12" s="40" customFormat="1" ht="33" customHeight="1" thickBot="1">
      <c r="A190" s="481" t="s">
        <v>481</v>
      </c>
      <c r="B190" s="482"/>
      <c r="C190" s="483"/>
      <c r="D190" s="86"/>
      <c r="E190" s="62"/>
      <c r="F190" s="390" t="s">
        <v>645</v>
      </c>
      <c r="G190" s="432"/>
      <c r="H190" s="411"/>
      <c r="I190" s="412"/>
      <c r="J190" s="391" t="s">
        <v>687</v>
      </c>
      <c r="K190" s="397"/>
      <c r="L190" s="75"/>
    </row>
    <row r="191" spans="1:12" s="40" customFormat="1" ht="33" customHeight="1">
      <c r="A191" s="481" t="s">
        <v>482</v>
      </c>
      <c r="B191" s="482"/>
      <c r="C191" s="483"/>
      <c r="D191" s="86"/>
      <c r="E191" s="62"/>
      <c r="F191" s="406" t="s">
        <v>691</v>
      </c>
      <c r="G191" s="407"/>
      <c r="H191" s="407"/>
      <c r="I191" s="408"/>
      <c r="J191" s="385" t="s">
        <v>642</v>
      </c>
      <c r="K191" s="435"/>
    </row>
    <row r="192" spans="1:12" s="40" customFormat="1" ht="33" customHeight="1">
      <c r="A192" s="475" t="s">
        <v>699</v>
      </c>
      <c r="B192" s="475"/>
      <c r="C192" s="475"/>
      <c r="D192" s="73"/>
      <c r="E192" s="62"/>
      <c r="F192" s="388" t="s">
        <v>665</v>
      </c>
      <c r="G192" s="440"/>
      <c r="H192" s="425" t="s">
        <v>659</v>
      </c>
      <c r="I192" s="441"/>
      <c r="J192" s="389" t="s">
        <v>688</v>
      </c>
      <c r="K192" s="438"/>
    </row>
    <row r="193" spans="1:12" s="40" customFormat="1" ht="33" customHeight="1">
      <c r="A193" s="481" t="s">
        <v>698</v>
      </c>
      <c r="B193" s="482"/>
      <c r="C193" s="483"/>
      <c r="D193" s="73"/>
      <c r="E193" s="62"/>
      <c r="F193" s="387" t="s">
        <v>666</v>
      </c>
      <c r="G193" s="430"/>
      <c r="H193" s="384" t="str">
        <f>IF(I192="Other", "List fuel moisture conditions","")</f>
        <v/>
      </c>
      <c r="I193" s="434"/>
      <c r="J193" s="389" t="s">
        <v>689</v>
      </c>
      <c r="K193" s="438"/>
    </row>
    <row r="194" spans="1:12" s="40" customFormat="1" ht="33" customHeight="1">
      <c r="A194" s="481" t="s">
        <v>703</v>
      </c>
      <c r="B194" s="482"/>
      <c r="C194" s="483"/>
      <c r="D194" s="73"/>
      <c r="E194" s="62"/>
      <c r="F194" s="44"/>
      <c r="G194" s="44"/>
      <c r="H194" s="106"/>
      <c r="I194" s="44"/>
      <c r="J194" s="389" t="s">
        <v>694</v>
      </c>
      <c r="K194" s="435"/>
    </row>
    <row r="195" spans="1:12" s="40" customFormat="1" ht="46" customHeight="1">
      <c r="A195" s="481" t="s">
        <v>706</v>
      </c>
      <c r="B195" s="482"/>
      <c r="C195" s="483"/>
      <c r="D195" s="73"/>
      <c r="E195" s="62"/>
      <c r="F195" s="44"/>
      <c r="G195" s="44"/>
      <c r="H195" s="106"/>
      <c r="I195" s="44"/>
      <c r="J195" s="427"/>
      <c r="K195" s="428"/>
    </row>
    <row r="196" spans="1:12" s="40" customFormat="1" ht="46" customHeight="1">
      <c r="A196" s="481" t="s">
        <v>708</v>
      </c>
      <c r="B196" s="482"/>
      <c r="C196" s="483"/>
      <c r="D196" s="73"/>
      <c r="E196" s="62"/>
      <c r="F196" s="44"/>
      <c r="G196" s="44"/>
      <c r="H196" s="106"/>
      <c r="I196" s="44"/>
      <c r="J196" s="459"/>
      <c r="K196" s="460"/>
    </row>
    <row r="197" spans="1:12" s="40" customFormat="1" ht="46" customHeight="1">
      <c r="A197" s="481" t="s">
        <v>709</v>
      </c>
      <c r="B197" s="482"/>
      <c r="C197" s="483"/>
      <c r="D197" s="73"/>
      <c r="E197" s="62"/>
      <c r="F197" s="44"/>
      <c r="G197" s="44"/>
      <c r="H197" s="106"/>
      <c r="I197" s="44"/>
      <c r="J197" s="459"/>
      <c r="K197" s="460"/>
    </row>
    <row r="198" spans="1:12" ht="30" customHeight="1"/>
    <row r="199" spans="1:12" ht="18" customHeight="1">
      <c r="A199" s="338" t="s">
        <v>333</v>
      </c>
      <c r="B199" s="338"/>
      <c r="C199" s="338"/>
      <c r="D199" s="338"/>
      <c r="E199" s="338"/>
      <c r="F199" s="338"/>
      <c r="G199" s="338"/>
      <c r="H199" s="338"/>
    </row>
    <row r="200" spans="1:12" ht="33" customHeight="1">
      <c r="A200" s="485" t="s">
        <v>254</v>
      </c>
      <c r="B200" s="486"/>
      <c r="C200" s="487"/>
      <c r="D200" s="185"/>
      <c r="E200" s="154"/>
      <c r="F200" s="100" t="s">
        <v>334</v>
      </c>
      <c r="G200" s="403"/>
      <c r="H200" s="47">
        <f>H201-H202</f>
        <v>0</v>
      </c>
    </row>
    <row r="201" spans="1:12" ht="33" customHeight="1">
      <c r="A201" s="481" t="s">
        <v>385</v>
      </c>
      <c r="B201" s="482"/>
      <c r="C201" s="483"/>
      <c r="D201" s="160"/>
      <c r="E201" s="173"/>
      <c r="F201" s="100" t="s">
        <v>49</v>
      </c>
      <c r="G201" s="403"/>
      <c r="H201" s="47">
        <f>(D206+D213-(1-(1-D204)^D205)*(D206+D213-(D206-(D206-D207)*IF(D219&gt;0,(D220/D219),1))-(D213-(D213-D214)*IF(D217&gt;0,(D218/D217),1)*(1-(D215-D216)))))*ERFs!B$57-D210*ERFs!B$23</f>
        <v>0</v>
      </c>
    </row>
    <row r="202" spans="1:12" ht="33" customHeight="1">
      <c r="A202" s="481" t="s">
        <v>407</v>
      </c>
      <c r="B202" s="482"/>
      <c r="C202" s="483"/>
      <c r="D202" s="160"/>
      <c r="E202" s="173"/>
      <c r="F202" s="100" t="s">
        <v>47</v>
      </c>
      <c r="G202" s="403"/>
      <c r="H202" s="47">
        <f>(D208+D213-(1-(1-D204)^D205)*(D208+D213-D209-D214))*ERFs!B$57</f>
        <v>0</v>
      </c>
    </row>
    <row r="203" spans="1:12" ht="33" customHeight="1" thickBot="1">
      <c r="A203" s="481" t="s">
        <v>370</v>
      </c>
      <c r="B203" s="482"/>
      <c r="C203" s="483"/>
      <c r="D203" s="47" t="str">
        <f>IF(D202="Class I", 50, IF(D202="Class II or III",60, IF(D202="Class IV or V", 80,"")))</f>
        <v/>
      </c>
      <c r="E203" s="158"/>
      <c r="F203" s="103" t="s">
        <v>690</v>
      </c>
      <c r="G203" s="413"/>
      <c r="H203" s="413"/>
      <c r="I203" s="1"/>
      <c r="J203" s="1"/>
    </row>
    <row r="204" spans="1:12" s="39" customFormat="1" ht="46.5" customHeight="1">
      <c r="A204" s="491" t="s">
        <v>89</v>
      </c>
      <c r="B204" s="492"/>
      <c r="C204" s="493"/>
      <c r="D204" s="74"/>
      <c r="E204" s="61"/>
      <c r="F204" s="394" t="s">
        <v>646</v>
      </c>
      <c r="G204" s="395"/>
      <c r="H204" s="392" t="s">
        <v>647</v>
      </c>
      <c r="I204" s="393"/>
      <c r="J204" s="394" t="s">
        <v>648</v>
      </c>
      <c r="K204" s="396"/>
      <c r="L204" s="418" t="s">
        <v>695</v>
      </c>
    </row>
    <row r="205" spans="1:12" s="39" customFormat="1" ht="33" customHeight="1" thickBot="1">
      <c r="A205" s="475" t="s">
        <v>116</v>
      </c>
      <c r="B205" s="475"/>
      <c r="C205" s="475"/>
      <c r="D205" s="86"/>
      <c r="E205" s="61"/>
      <c r="F205" s="385" t="s">
        <v>642</v>
      </c>
      <c r="G205" s="429"/>
      <c r="H205" s="385" t="s">
        <v>642</v>
      </c>
      <c r="I205" s="433"/>
      <c r="J205" s="385" t="s">
        <v>642</v>
      </c>
      <c r="K205" s="435"/>
      <c r="L205" s="436"/>
    </row>
    <row r="206" spans="1:12" s="39" customFormat="1" ht="33" customHeight="1">
      <c r="A206" s="481" t="s">
        <v>476</v>
      </c>
      <c r="B206" s="482"/>
      <c r="C206" s="483"/>
      <c r="D206" s="86"/>
      <c r="E206" s="61"/>
      <c r="F206" s="385" t="s">
        <v>643</v>
      </c>
      <c r="G206" s="429"/>
      <c r="H206" s="385" t="s">
        <v>643</v>
      </c>
      <c r="I206" s="433"/>
      <c r="J206" s="385" t="s">
        <v>643</v>
      </c>
      <c r="K206" s="435"/>
      <c r="L206" s="422"/>
    </row>
    <row r="207" spans="1:12" s="40" customFormat="1" ht="33" customHeight="1">
      <c r="A207" s="488" t="s">
        <v>477</v>
      </c>
      <c r="B207" s="489"/>
      <c r="C207" s="490"/>
      <c r="D207" s="86"/>
      <c r="E207" s="62"/>
      <c r="F207" s="388" t="s">
        <v>657</v>
      </c>
      <c r="G207" s="429"/>
      <c r="H207" s="386" t="s">
        <v>665</v>
      </c>
      <c r="I207" s="429"/>
      <c r="J207" s="386" t="s">
        <v>673</v>
      </c>
      <c r="K207" s="435"/>
      <c r="L207" s="423"/>
    </row>
    <row r="208" spans="1:12" s="40" customFormat="1" ht="33" customHeight="1">
      <c r="A208" s="481" t="s">
        <v>478</v>
      </c>
      <c r="B208" s="482"/>
      <c r="C208" s="483"/>
      <c r="D208" s="86"/>
      <c r="E208" s="62"/>
      <c r="F208" s="388" t="s">
        <v>658</v>
      </c>
      <c r="G208" s="429"/>
      <c r="H208" s="387" t="s">
        <v>693</v>
      </c>
      <c r="I208" s="429"/>
      <c r="J208" s="386" t="s">
        <v>674</v>
      </c>
      <c r="K208" s="435"/>
      <c r="L208" s="423"/>
    </row>
    <row r="209" spans="1:12" s="40" customFormat="1" ht="33" customHeight="1">
      <c r="A209" s="481" t="s">
        <v>479</v>
      </c>
      <c r="B209" s="482"/>
      <c r="C209" s="483"/>
      <c r="D209" s="86"/>
      <c r="E209" s="62"/>
      <c r="F209" s="388" t="s">
        <v>644</v>
      </c>
      <c r="G209" s="429"/>
      <c r="H209" s="386" t="s">
        <v>659</v>
      </c>
      <c r="I209" s="431"/>
      <c r="J209" s="388" t="s">
        <v>679</v>
      </c>
      <c r="K209" s="437"/>
      <c r="L209" s="423"/>
    </row>
    <row r="210" spans="1:12" s="40" customFormat="1" ht="33" customHeight="1">
      <c r="A210" s="481" t="s">
        <v>28</v>
      </c>
      <c r="B210" s="482"/>
      <c r="C210" s="483"/>
      <c r="D210" s="86"/>
      <c r="E210" s="62"/>
      <c r="F210" s="388" t="str">
        <f>IF(G209="Not All Species", "List species to be masticated","")</f>
        <v/>
      </c>
      <c r="G210" s="430"/>
      <c r="H210" s="388" t="str">
        <f>IF(I209="Other", "List fuel moisture conditions","")</f>
        <v/>
      </c>
      <c r="I210" s="434"/>
      <c r="J210" s="386" t="s">
        <v>680</v>
      </c>
      <c r="K210" s="438"/>
      <c r="L210" s="423"/>
    </row>
    <row r="211" spans="1:12" s="40" customFormat="1" ht="48" customHeight="1">
      <c r="A211" s="255" t="s">
        <v>480</v>
      </c>
      <c r="B211" s="256"/>
      <c r="C211" s="256"/>
      <c r="D211" s="257"/>
      <c r="E211" s="62"/>
      <c r="F211" s="388" t="s">
        <v>681</v>
      </c>
      <c r="G211" s="431"/>
      <c r="H211" s="388" t="s">
        <v>672</v>
      </c>
      <c r="I211" s="431"/>
      <c r="J211" s="416" t="s">
        <v>684</v>
      </c>
      <c r="K211" s="435"/>
      <c r="L211" s="423"/>
    </row>
    <row r="212" spans="1:12" s="40" customFormat="1" ht="48" customHeight="1" thickBot="1">
      <c r="A212" s="485" t="s">
        <v>255</v>
      </c>
      <c r="B212" s="486"/>
      <c r="C212" s="487"/>
      <c r="D212" s="461"/>
      <c r="E212" s="62"/>
      <c r="F212" s="386" t="s">
        <v>682</v>
      </c>
      <c r="G212" s="431"/>
      <c r="H212" s="409" t="s">
        <v>683</v>
      </c>
      <c r="I212" s="431"/>
      <c r="J212" s="410"/>
      <c r="K212" s="439"/>
      <c r="L212" s="423"/>
    </row>
    <row r="213" spans="1:12" s="40" customFormat="1" ht="33" customHeight="1" thickBot="1">
      <c r="A213" s="481" t="s">
        <v>481</v>
      </c>
      <c r="B213" s="482"/>
      <c r="C213" s="483"/>
      <c r="D213" s="86"/>
      <c r="E213" s="62"/>
      <c r="F213" s="390" t="s">
        <v>645</v>
      </c>
      <c r="G213" s="432"/>
      <c r="H213" s="411"/>
      <c r="I213" s="412"/>
      <c r="J213" s="391" t="s">
        <v>687</v>
      </c>
      <c r="K213" s="397"/>
      <c r="L213" s="75"/>
    </row>
    <row r="214" spans="1:12" s="40" customFormat="1" ht="33" customHeight="1">
      <c r="A214" s="481" t="s">
        <v>482</v>
      </c>
      <c r="B214" s="482"/>
      <c r="C214" s="483"/>
      <c r="D214" s="86"/>
      <c r="E214" s="62"/>
      <c r="F214" s="406" t="s">
        <v>691</v>
      </c>
      <c r="G214" s="407"/>
      <c r="H214" s="407"/>
      <c r="I214" s="408"/>
      <c r="J214" s="385" t="s">
        <v>642</v>
      </c>
      <c r="K214" s="435"/>
    </row>
    <row r="215" spans="1:12" s="40" customFormat="1" ht="33" customHeight="1">
      <c r="A215" s="475" t="s">
        <v>699</v>
      </c>
      <c r="B215" s="475"/>
      <c r="C215" s="475"/>
      <c r="D215" s="73"/>
      <c r="E215" s="62"/>
      <c r="F215" s="388" t="s">
        <v>665</v>
      </c>
      <c r="G215" s="440"/>
      <c r="H215" s="425" t="s">
        <v>659</v>
      </c>
      <c r="I215" s="441"/>
      <c r="J215" s="389" t="s">
        <v>688</v>
      </c>
      <c r="K215" s="438"/>
    </row>
    <row r="216" spans="1:12" s="40" customFormat="1" ht="33" customHeight="1">
      <c r="A216" s="481" t="s">
        <v>698</v>
      </c>
      <c r="B216" s="482"/>
      <c r="C216" s="483"/>
      <c r="D216" s="73"/>
      <c r="E216" s="62"/>
      <c r="F216" s="387" t="s">
        <v>666</v>
      </c>
      <c r="G216" s="430"/>
      <c r="H216" s="384" t="str">
        <f>IF(I215="Other", "List fuel moisture conditions","")</f>
        <v/>
      </c>
      <c r="I216" s="434"/>
      <c r="J216" s="389" t="s">
        <v>689</v>
      </c>
      <c r="K216" s="438"/>
    </row>
    <row r="217" spans="1:12" s="40" customFormat="1" ht="33" customHeight="1">
      <c r="A217" s="481" t="s">
        <v>703</v>
      </c>
      <c r="B217" s="482"/>
      <c r="C217" s="483"/>
      <c r="D217" s="73"/>
      <c r="E217" s="62"/>
      <c r="F217" s="44"/>
      <c r="G217" s="44"/>
      <c r="H217" s="106"/>
      <c r="I217" s="44"/>
      <c r="J217" s="389" t="s">
        <v>694</v>
      </c>
      <c r="K217" s="435"/>
    </row>
    <row r="218" spans="1:12" s="40" customFormat="1" ht="46" customHeight="1">
      <c r="A218" s="481" t="s">
        <v>706</v>
      </c>
      <c r="B218" s="482"/>
      <c r="C218" s="483"/>
      <c r="D218" s="73"/>
      <c r="E218" s="62"/>
      <c r="F218" s="44"/>
      <c r="G218" s="44"/>
      <c r="H218" s="106"/>
      <c r="I218" s="44"/>
      <c r="J218" s="427"/>
      <c r="K218" s="428"/>
    </row>
    <row r="219" spans="1:12" s="40" customFormat="1" ht="46" customHeight="1">
      <c r="A219" s="481" t="s">
        <v>708</v>
      </c>
      <c r="B219" s="482"/>
      <c r="C219" s="483"/>
      <c r="D219" s="73"/>
      <c r="E219" s="62"/>
      <c r="F219" s="44"/>
      <c r="G219" s="44"/>
      <c r="H219" s="106"/>
      <c r="I219" s="44"/>
      <c r="J219" s="459"/>
      <c r="K219" s="460"/>
    </row>
    <row r="220" spans="1:12" s="40" customFormat="1" ht="46" customHeight="1">
      <c r="A220" s="481" t="s">
        <v>709</v>
      </c>
      <c r="B220" s="482"/>
      <c r="C220" s="483"/>
      <c r="D220" s="73"/>
      <c r="E220" s="62"/>
      <c r="F220" s="44"/>
      <c r="G220" s="44"/>
      <c r="H220" s="106"/>
      <c r="I220" s="44"/>
      <c r="J220" s="459"/>
      <c r="K220" s="460"/>
    </row>
    <row r="221" spans="1:12" ht="30" customHeight="1"/>
    <row r="222" spans="1:12" ht="18" customHeight="1">
      <c r="A222" s="338" t="s">
        <v>335</v>
      </c>
      <c r="B222" s="338"/>
      <c r="C222" s="338"/>
      <c r="D222" s="338"/>
      <c r="E222" s="338"/>
      <c r="F222" s="338"/>
      <c r="G222" s="338"/>
      <c r="H222" s="338"/>
    </row>
    <row r="223" spans="1:12" ht="33" customHeight="1">
      <c r="A223" s="485" t="s">
        <v>254</v>
      </c>
      <c r="B223" s="486"/>
      <c r="C223" s="487"/>
      <c r="D223" s="185"/>
      <c r="E223" s="154"/>
      <c r="F223" s="100" t="s">
        <v>336</v>
      </c>
      <c r="G223" s="403"/>
      <c r="H223" s="47">
        <f>H224-H225</f>
        <v>0</v>
      </c>
    </row>
    <row r="224" spans="1:12" ht="33" customHeight="1">
      <c r="A224" s="481" t="s">
        <v>385</v>
      </c>
      <c r="B224" s="482"/>
      <c r="C224" s="483"/>
      <c r="D224" s="160"/>
      <c r="E224" s="173"/>
      <c r="F224" s="100" t="s">
        <v>49</v>
      </c>
      <c r="G224" s="403"/>
      <c r="H224" s="47">
        <f>(D229+D236-(1-(1-D227)^D228)*(D229+D236-(D229-(D229-D230)*IF(D242&gt;0,(D243/D242),1))-(D236-(D236-D237)*IF(D240&gt;0,(D241/D240),1)*(1-(D238-D239)))))*ERFs!B$57-D233*ERFs!B$23</f>
        <v>0</v>
      </c>
    </row>
    <row r="225" spans="1:12" ht="33" customHeight="1">
      <c r="A225" s="481" t="s">
        <v>407</v>
      </c>
      <c r="B225" s="482"/>
      <c r="C225" s="483"/>
      <c r="D225" s="160"/>
      <c r="E225" s="173"/>
      <c r="F225" s="100" t="s">
        <v>47</v>
      </c>
      <c r="G225" s="403"/>
      <c r="H225" s="47">
        <f>(D231+D236-(1-(1-D227)^D228)*(D231+D236-D232-D237))*ERFs!B$57</f>
        <v>0</v>
      </c>
    </row>
    <row r="226" spans="1:12" ht="33" customHeight="1" thickBot="1">
      <c r="A226" s="481" t="s">
        <v>370</v>
      </c>
      <c r="B226" s="482"/>
      <c r="C226" s="483"/>
      <c r="D226" s="47" t="str">
        <f>IF(D225="Class I", 50, IF(D225="Class II or III",60, IF(D225="Class IV or V", 80,"")))</f>
        <v/>
      </c>
      <c r="E226" s="158"/>
      <c r="F226" s="103" t="s">
        <v>690</v>
      </c>
      <c r="G226" s="413"/>
      <c r="H226" s="413"/>
      <c r="I226" s="1"/>
      <c r="J226" s="1"/>
    </row>
    <row r="227" spans="1:12" s="39" customFormat="1" ht="46.5" customHeight="1">
      <c r="A227" s="491" t="s">
        <v>89</v>
      </c>
      <c r="B227" s="492"/>
      <c r="C227" s="493"/>
      <c r="D227" s="74"/>
      <c r="E227" s="61"/>
      <c r="F227" s="394" t="s">
        <v>646</v>
      </c>
      <c r="G227" s="395"/>
      <c r="H227" s="392" t="s">
        <v>647</v>
      </c>
      <c r="I227" s="393"/>
      <c r="J227" s="394" t="s">
        <v>648</v>
      </c>
      <c r="K227" s="396"/>
      <c r="L227" s="418" t="s">
        <v>695</v>
      </c>
    </row>
    <row r="228" spans="1:12" s="39" customFormat="1" ht="33" customHeight="1" thickBot="1">
      <c r="A228" s="475" t="s">
        <v>116</v>
      </c>
      <c r="B228" s="475"/>
      <c r="C228" s="475"/>
      <c r="D228" s="86"/>
      <c r="E228" s="61"/>
      <c r="F228" s="385" t="s">
        <v>642</v>
      </c>
      <c r="G228" s="429"/>
      <c r="H228" s="385" t="s">
        <v>642</v>
      </c>
      <c r="I228" s="433"/>
      <c r="J228" s="385" t="s">
        <v>642</v>
      </c>
      <c r="K228" s="435"/>
      <c r="L228" s="436"/>
    </row>
    <row r="229" spans="1:12" s="39" customFormat="1" ht="33" customHeight="1">
      <c r="A229" s="481" t="s">
        <v>476</v>
      </c>
      <c r="B229" s="482"/>
      <c r="C229" s="483"/>
      <c r="D229" s="86"/>
      <c r="E229" s="61"/>
      <c r="F229" s="385" t="s">
        <v>643</v>
      </c>
      <c r="G229" s="429"/>
      <c r="H229" s="385" t="s">
        <v>643</v>
      </c>
      <c r="I229" s="433"/>
      <c r="J229" s="385" t="s">
        <v>643</v>
      </c>
      <c r="K229" s="435"/>
      <c r="L229" s="422"/>
    </row>
    <row r="230" spans="1:12" s="40" customFormat="1" ht="33" customHeight="1">
      <c r="A230" s="488" t="s">
        <v>477</v>
      </c>
      <c r="B230" s="489"/>
      <c r="C230" s="490"/>
      <c r="D230" s="86"/>
      <c r="E230" s="62"/>
      <c r="F230" s="388" t="s">
        <v>657</v>
      </c>
      <c r="G230" s="429"/>
      <c r="H230" s="386" t="s">
        <v>665</v>
      </c>
      <c r="I230" s="429"/>
      <c r="J230" s="386" t="s">
        <v>673</v>
      </c>
      <c r="K230" s="435"/>
      <c r="L230" s="423"/>
    </row>
    <row r="231" spans="1:12" s="40" customFormat="1" ht="33" customHeight="1">
      <c r="A231" s="481" t="s">
        <v>478</v>
      </c>
      <c r="B231" s="482"/>
      <c r="C231" s="483"/>
      <c r="D231" s="86"/>
      <c r="E231" s="62"/>
      <c r="F231" s="388" t="s">
        <v>658</v>
      </c>
      <c r="G231" s="429"/>
      <c r="H231" s="387" t="s">
        <v>693</v>
      </c>
      <c r="I231" s="429"/>
      <c r="J231" s="386" t="s">
        <v>674</v>
      </c>
      <c r="K231" s="435"/>
      <c r="L231" s="423"/>
    </row>
    <row r="232" spans="1:12" s="40" customFormat="1" ht="33" customHeight="1">
      <c r="A232" s="481" t="s">
        <v>479</v>
      </c>
      <c r="B232" s="482"/>
      <c r="C232" s="483"/>
      <c r="D232" s="86"/>
      <c r="E232" s="62"/>
      <c r="F232" s="388" t="s">
        <v>644</v>
      </c>
      <c r="G232" s="429"/>
      <c r="H232" s="386" t="s">
        <v>659</v>
      </c>
      <c r="I232" s="431"/>
      <c r="J232" s="388" t="s">
        <v>679</v>
      </c>
      <c r="K232" s="437"/>
      <c r="L232" s="423"/>
    </row>
    <row r="233" spans="1:12" s="40" customFormat="1" ht="33" customHeight="1">
      <c r="A233" s="481" t="s">
        <v>28</v>
      </c>
      <c r="B233" s="482"/>
      <c r="C233" s="483"/>
      <c r="D233" s="86"/>
      <c r="E233" s="62"/>
      <c r="F233" s="388" t="str">
        <f>IF(G232="Not All Species", "List species to be masticated","")</f>
        <v/>
      </c>
      <c r="G233" s="430"/>
      <c r="H233" s="388" t="str">
        <f>IF(I232="Other", "List fuel moisture conditions","")</f>
        <v/>
      </c>
      <c r="I233" s="434"/>
      <c r="J233" s="386" t="s">
        <v>680</v>
      </c>
      <c r="K233" s="438"/>
      <c r="L233" s="423"/>
    </row>
    <row r="234" spans="1:12" s="40" customFormat="1" ht="50" customHeight="1">
      <c r="A234" s="255" t="s">
        <v>480</v>
      </c>
      <c r="B234" s="256"/>
      <c r="C234" s="256"/>
      <c r="D234" s="257"/>
      <c r="E234" s="62"/>
      <c r="F234" s="388" t="s">
        <v>681</v>
      </c>
      <c r="G234" s="431"/>
      <c r="H234" s="388" t="s">
        <v>672</v>
      </c>
      <c r="I234" s="431"/>
      <c r="J234" s="416" t="s">
        <v>684</v>
      </c>
      <c r="K234" s="435"/>
      <c r="L234" s="423"/>
    </row>
    <row r="235" spans="1:12" s="40" customFormat="1" ht="50" customHeight="1" thickBot="1">
      <c r="A235" s="485" t="s">
        <v>255</v>
      </c>
      <c r="B235" s="486"/>
      <c r="C235" s="487"/>
      <c r="D235" s="461"/>
      <c r="E235" s="62"/>
      <c r="F235" s="386" t="s">
        <v>682</v>
      </c>
      <c r="G235" s="431"/>
      <c r="H235" s="409" t="s">
        <v>683</v>
      </c>
      <c r="I235" s="431"/>
      <c r="J235" s="410"/>
      <c r="K235" s="439"/>
      <c r="L235" s="423"/>
    </row>
    <row r="236" spans="1:12" s="40" customFormat="1" ht="33" customHeight="1" thickBot="1">
      <c r="A236" s="481" t="s">
        <v>481</v>
      </c>
      <c r="B236" s="482"/>
      <c r="C236" s="483"/>
      <c r="D236" s="86"/>
      <c r="E236" s="62"/>
      <c r="F236" s="390" t="s">
        <v>645</v>
      </c>
      <c r="G236" s="432"/>
      <c r="H236" s="411"/>
      <c r="I236" s="412"/>
      <c r="J236" s="391" t="s">
        <v>687</v>
      </c>
      <c r="K236" s="397"/>
      <c r="L236" s="75"/>
    </row>
    <row r="237" spans="1:12" s="40" customFormat="1" ht="33" customHeight="1">
      <c r="A237" s="481" t="s">
        <v>482</v>
      </c>
      <c r="B237" s="482"/>
      <c r="C237" s="483"/>
      <c r="D237" s="86"/>
      <c r="E237" s="62"/>
      <c r="F237" s="406" t="s">
        <v>691</v>
      </c>
      <c r="G237" s="407"/>
      <c r="H237" s="407"/>
      <c r="I237" s="408"/>
      <c r="J237" s="385" t="s">
        <v>642</v>
      </c>
      <c r="K237" s="435"/>
    </row>
    <row r="238" spans="1:12" s="40" customFormat="1" ht="33" customHeight="1">
      <c r="A238" s="475" t="s">
        <v>699</v>
      </c>
      <c r="B238" s="475"/>
      <c r="C238" s="475"/>
      <c r="D238" s="73"/>
      <c r="E238" s="62"/>
      <c r="F238" s="388" t="s">
        <v>665</v>
      </c>
      <c r="G238" s="440"/>
      <c r="H238" s="425" t="s">
        <v>659</v>
      </c>
      <c r="I238" s="441"/>
      <c r="J238" s="389" t="s">
        <v>688</v>
      </c>
      <c r="K238" s="438"/>
    </row>
    <row r="239" spans="1:12" s="40" customFormat="1" ht="33" customHeight="1">
      <c r="A239" s="481" t="s">
        <v>698</v>
      </c>
      <c r="B239" s="482"/>
      <c r="C239" s="483"/>
      <c r="D239" s="73"/>
      <c r="E239" s="62"/>
      <c r="F239" s="387" t="s">
        <v>666</v>
      </c>
      <c r="G239" s="430"/>
      <c r="H239" s="384" t="str">
        <f>IF(I238="Other", "List fuel moisture conditions","")</f>
        <v/>
      </c>
      <c r="I239" s="434"/>
      <c r="J239" s="389" t="s">
        <v>689</v>
      </c>
      <c r="K239" s="438"/>
    </row>
    <row r="240" spans="1:12" s="40" customFormat="1" ht="33" customHeight="1">
      <c r="A240" s="481" t="s">
        <v>703</v>
      </c>
      <c r="B240" s="482"/>
      <c r="C240" s="483"/>
      <c r="D240" s="73"/>
      <c r="E240" s="62"/>
      <c r="F240" s="44"/>
      <c r="G240" s="44"/>
      <c r="H240" s="106"/>
      <c r="I240" s="44"/>
      <c r="J240" s="389" t="s">
        <v>694</v>
      </c>
      <c r="K240" s="435"/>
    </row>
    <row r="241" spans="1:11" s="40" customFormat="1" ht="46" customHeight="1">
      <c r="A241" s="481" t="s">
        <v>706</v>
      </c>
      <c r="B241" s="482"/>
      <c r="C241" s="483"/>
      <c r="D241" s="73"/>
      <c r="E241" s="62"/>
      <c r="F241" s="44"/>
      <c r="G241" s="44"/>
      <c r="H241" s="106"/>
      <c r="I241" s="44"/>
      <c r="J241" s="427"/>
      <c r="K241" s="428"/>
    </row>
    <row r="242" spans="1:11" ht="46" customHeight="1">
      <c r="A242" s="481" t="s">
        <v>708</v>
      </c>
      <c r="B242" s="482"/>
      <c r="C242" s="483"/>
      <c r="D242" s="73"/>
    </row>
    <row r="243" spans="1:11" ht="46" customHeight="1">
      <c r="A243" s="481" t="s">
        <v>709</v>
      </c>
      <c r="B243" s="482"/>
      <c r="C243" s="483"/>
      <c r="D243" s="73"/>
      <c r="F243" s="424"/>
      <c r="G243" s="424"/>
      <c r="H243" s="424"/>
    </row>
  </sheetData>
  <sheetProtection algorithmName="SHA-512" hashValue="ENVU4FLDnnbVQ5R+zAaN0Tg7uAbg+8V0F19mL2tcBs9aRraiakTryQrTHaGmNu3DFg99at7c+PYk4NIU2vem2A==" saltValue="hYlNXLD8yRe9FJoY1+XkhQ==" spinCount="100000" sheet="1" objects="1" scenarios="1"/>
  <mergeCells count="201">
    <mergeCell ref="A138:C138"/>
    <mergeCell ref="A139:C139"/>
    <mergeCell ref="A140:C140"/>
    <mergeCell ref="A141:C141"/>
    <mergeCell ref="A146:C146"/>
    <mergeCell ref="A147:C147"/>
    <mergeCell ref="A155:C155"/>
    <mergeCell ref="A156:C156"/>
    <mergeCell ref="A157:C157"/>
    <mergeCell ref="A149:C149"/>
    <mergeCell ref="A150:C150"/>
    <mergeCell ref="A151:C151"/>
    <mergeCell ref="A143:C143"/>
    <mergeCell ref="A144:C144"/>
    <mergeCell ref="A154:C154"/>
    <mergeCell ref="A182:C182"/>
    <mergeCell ref="A193:C193"/>
    <mergeCell ref="A184:C184"/>
    <mergeCell ref="A185:C185"/>
    <mergeCell ref="A186:C186"/>
    <mergeCell ref="A187:C187"/>
    <mergeCell ref="A183:C183"/>
    <mergeCell ref="A158:C158"/>
    <mergeCell ref="A159:C159"/>
    <mergeCell ref="A178:C178"/>
    <mergeCell ref="A179:C179"/>
    <mergeCell ref="A180:C180"/>
    <mergeCell ref="A181:C181"/>
    <mergeCell ref="A238:C238"/>
    <mergeCell ref="A239:C239"/>
    <mergeCell ref="A230:C230"/>
    <mergeCell ref="A231:C231"/>
    <mergeCell ref="A232:C232"/>
    <mergeCell ref="A233:C233"/>
    <mergeCell ref="A227:C227"/>
    <mergeCell ref="A228:C228"/>
    <mergeCell ref="A229:C229"/>
    <mergeCell ref="A235:C235"/>
    <mergeCell ref="A236:C236"/>
    <mergeCell ref="A237:C237"/>
    <mergeCell ref="A212:C212"/>
    <mergeCell ref="A213:C213"/>
    <mergeCell ref="A214:C214"/>
    <mergeCell ref="A215:C215"/>
    <mergeCell ref="A216:C216"/>
    <mergeCell ref="A197:C197"/>
    <mergeCell ref="A219:C219"/>
    <mergeCell ref="A220:C220"/>
    <mergeCell ref="A131:C131"/>
    <mergeCell ref="A135:C135"/>
    <mergeCell ref="A136:C136"/>
    <mergeCell ref="A225:C225"/>
    <mergeCell ref="A226:C226"/>
    <mergeCell ref="A207:C207"/>
    <mergeCell ref="A208:C208"/>
    <mergeCell ref="A209:C209"/>
    <mergeCell ref="A210:C210"/>
    <mergeCell ref="A200:C200"/>
    <mergeCell ref="A204:C204"/>
    <mergeCell ref="A205:C205"/>
    <mergeCell ref="A206:C206"/>
    <mergeCell ref="A202:C202"/>
    <mergeCell ref="A203:C203"/>
    <mergeCell ref="A201:C201"/>
    <mergeCell ref="A223:C223"/>
    <mergeCell ref="A137:C137"/>
    <mergeCell ref="A132:C132"/>
    <mergeCell ref="A133:C133"/>
    <mergeCell ref="A134:C134"/>
    <mergeCell ref="A161:C161"/>
    <mergeCell ref="A162:C162"/>
    <mergeCell ref="A163:C163"/>
    <mergeCell ref="A124:C124"/>
    <mergeCell ref="A121:C121"/>
    <mergeCell ref="A118:C118"/>
    <mergeCell ref="A122:C122"/>
    <mergeCell ref="A120:C120"/>
    <mergeCell ref="A116:C116"/>
    <mergeCell ref="A117:C117"/>
    <mergeCell ref="A224:C224"/>
    <mergeCell ref="A164:C164"/>
    <mergeCell ref="A145:C145"/>
    <mergeCell ref="A189:C189"/>
    <mergeCell ref="A190:C190"/>
    <mergeCell ref="A191:C191"/>
    <mergeCell ref="A192:C192"/>
    <mergeCell ref="A166:C166"/>
    <mergeCell ref="A167:C167"/>
    <mergeCell ref="A168:C168"/>
    <mergeCell ref="A169:C169"/>
    <mergeCell ref="A170:C170"/>
    <mergeCell ref="A177:C177"/>
    <mergeCell ref="A160:C160"/>
    <mergeCell ref="A173:C173"/>
    <mergeCell ref="A174:C174"/>
    <mergeCell ref="A196:C196"/>
    <mergeCell ref="A101:C101"/>
    <mergeCell ref="A95:C95"/>
    <mergeCell ref="A109:C109"/>
    <mergeCell ref="A110:C110"/>
    <mergeCell ref="A111:C111"/>
    <mergeCell ref="A112:C112"/>
    <mergeCell ref="A113:C113"/>
    <mergeCell ref="A123:C123"/>
    <mergeCell ref="A103:C103"/>
    <mergeCell ref="A45:C45"/>
    <mergeCell ref="A52:C52"/>
    <mergeCell ref="A46:C46"/>
    <mergeCell ref="A53:C53"/>
    <mergeCell ref="A44:C44"/>
    <mergeCell ref="A39:C39"/>
    <mergeCell ref="A51:C51"/>
    <mergeCell ref="A89:C89"/>
    <mergeCell ref="A65:C65"/>
    <mergeCell ref="A85:C85"/>
    <mergeCell ref="A47:C47"/>
    <mergeCell ref="A48:C48"/>
    <mergeCell ref="A54:C54"/>
    <mergeCell ref="A55:C55"/>
    <mergeCell ref="A49:C49"/>
    <mergeCell ref="A71:C71"/>
    <mergeCell ref="A77:C77"/>
    <mergeCell ref="A78:C78"/>
    <mergeCell ref="A72:C72"/>
    <mergeCell ref="A66:C66"/>
    <mergeCell ref="A67:C67"/>
    <mergeCell ref="A68:C68"/>
    <mergeCell ref="A75:C75"/>
    <mergeCell ref="A69:C69"/>
    <mergeCell ref="A20:C20"/>
    <mergeCell ref="A21:C21"/>
    <mergeCell ref="A22:C22"/>
    <mergeCell ref="A13:H13"/>
    <mergeCell ref="A43:C43"/>
    <mergeCell ref="A23:C23"/>
    <mergeCell ref="A30:C30"/>
    <mergeCell ref="A29:C29"/>
    <mergeCell ref="A26:C26"/>
    <mergeCell ref="A25:C25"/>
    <mergeCell ref="A24:C24"/>
    <mergeCell ref="A28:C28"/>
    <mergeCell ref="A16:C16"/>
    <mergeCell ref="A31:C31"/>
    <mergeCell ref="A32:C32"/>
    <mergeCell ref="A18:C18"/>
    <mergeCell ref="A19:C19"/>
    <mergeCell ref="A17:C17"/>
    <mergeCell ref="A40:C40"/>
    <mergeCell ref="A41:C41"/>
    <mergeCell ref="A42:C42"/>
    <mergeCell ref="A33:C33"/>
    <mergeCell ref="A34:C34"/>
    <mergeCell ref="A35:C35"/>
    <mergeCell ref="A125:C125"/>
    <mergeCell ref="A126:C126"/>
    <mergeCell ref="A148:C148"/>
    <mergeCell ref="A74:C74"/>
    <mergeCell ref="A62:C62"/>
    <mergeCell ref="A76:C76"/>
    <mergeCell ref="A70:C70"/>
    <mergeCell ref="A63:C63"/>
    <mergeCell ref="A64:C64"/>
    <mergeCell ref="A114:C114"/>
    <mergeCell ref="A86:C86"/>
    <mergeCell ref="A87:C87"/>
    <mergeCell ref="A88:C88"/>
    <mergeCell ref="A90:C90"/>
    <mergeCell ref="A115:C115"/>
    <mergeCell ref="A99:C99"/>
    <mergeCell ref="A91:C91"/>
    <mergeCell ref="A98:C98"/>
    <mergeCell ref="A92:C92"/>
    <mergeCell ref="A93:C93"/>
    <mergeCell ref="A94:C94"/>
    <mergeCell ref="A97:C97"/>
    <mergeCell ref="A108:C108"/>
    <mergeCell ref="A100:C100"/>
    <mergeCell ref="A242:C242"/>
    <mergeCell ref="A243:C243"/>
    <mergeCell ref="A36:C36"/>
    <mergeCell ref="A58:C58"/>
    <mergeCell ref="A59:C59"/>
    <mergeCell ref="A81:C81"/>
    <mergeCell ref="A82:C82"/>
    <mergeCell ref="A104:C104"/>
    <mergeCell ref="A105:C105"/>
    <mergeCell ref="A127:C127"/>
    <mergeCell ref="A128:C128"/>
    <mergeCell ref="A171:C171"/>
    <mergeCell ref="A172:C172"/>
    <mergeCell ref="A194:C194"/>
    <mergeCell ref="A195:C195"/>
    <mergeCell ref="A217:C217"/>
    <mergeCell ref="A218:C218"/>
    <mergeCell ref="A240:C240"/>
    <mergeCell ref="A241:C241"/>
    <mergeCell ref="A56:C56"/>
    <mergeCell ref="A57:C57"/>
    <mergeCell ref="A79:C79"/>
    <mergeCell ref="A80:C80"/>
    <mergeCell ref="A102:C102"/>
  </mergeCells>
  <conditionalFormatting sqref="G26">
    <cfRule type="containsText" dxfId="9" priority="37" operator="containsText" text="List species to be masticated">
      <formula>NOT(ISERROR(SEARCH("List species to be masticated",G26)))</formula>
    </cfRule>
  </conditionalFormatting>
  <conditionalFormatting sqref="G49">
    <cfRule type="containsText" dxfId="8" priority="9" operator="containsText" text="List species to be masticated">
      <formula>NOT(ISERROR(SEARCH("List species to be masticated",G49)))</formula>
    </cfRule>
  </conditionalFormatting>
  <conditionalFormatting sqref="G72">
    <cfRule type="containsText" dxfId="7" priority="8" operator="containsText" text="List species to be masticated">
      <formula>NOT(ISERROR(SEARCH("List species to be masticated",G72)))</formula>
    </cfRule>
  </conditionalFormatting>
  <conditionalFormatting sqref="G95">
    <cfRule type="containsText" dxfId="6" priority="7" operator="containsText" text="List species to be masticated">
      <formula>NOT(ISERROR(SEARCH("List species to be masticated",G95)))</formula>
    </cfRule>
  </conditionalFormatting>
  <conditionalFormatting sqref="G118">
    <cfRule type="containsText" dxfId="5" priority="6" operator="containsText" text="List species to be masticated">
      <formula>NOT(ISERROR(SEARCH("List species to be masticated",G118)))</formula>
    </cfRule>
  </conditionalFormatting>
  <conditionalFormatting sqref="G141">
    <cfRule type="containsText" dxfId="4" priority="5" operator="containsText" text="List species to be masticated">
      <formula>NOT(ISERROR(SEARCH("List species to be masticated",G141)))</formula>
    </cfRule>
  </conditionalFormatting>
  <conditionalFormatting sqref="G164">
    <cfRule type="containsText" dxfId="3" priority="4" operator="containsText" text="List species to be masticated">
      <formula>NOT(ISERROR(SEARCH("List species to be masticated",G164)))</formula>
    </cfRule>
  </conditionalFormatting>
  <conditionalFormatting sqref="G187">
    <cfRule type="containsText" dxfId="2" priority="3" operator="containsText" text="List species to be masticated">
      <formula>NOT(ISERROR(SEARCH("List species to be masticated",G187)))</formula>
    </cfRule>
  </conditionalFormatting>
  <conditionalFormatting sqref="G210">
    <cfRule type="containsText" dxfId="1" priority="2" operator="containsText" text="List species to be masticated">
      <formula>NOT(ISERROR(SEARCH("List species to be masticated",G210)))</formula>
    </cfRule>
  </conditionalFormatting>
  <conditionalFormatting sqref="G233">
    <cfRule type="containsText" dxfId="0" priority="1" operator="containsText" text="List species to be masticated">
      <formula>NOT(ISERROR(SEARCH("List species to be masticated",G233)))</formula>
    </cfRule>
  </conditionalFormatting>
  <dataValidations xWindow="651" yWindow="865" count="21">
    <dataValidation type="whole" allowBlank="1" showInputMessage="1" showErrorMessage="1" error="The data you have entered is not valid. Entry must be a whole number between 1 and 25." sqref="D228 D67 D90 D113 D136 D159 D182 D205" xr:uid="{00000000-0002-0000-0400-000000000000}">
      <formula1>1</formula1>
      <formula2>25</formula2>
    </dataValidation>
    <dataValidation allowBlank="1" showInputMessage="1" showErrorMessage="1" prompt="Enter fire probability as a percent. For example, a 2.2% annual probability should be entered as 2.2." sqref="D20 D43" xr:uid="{00000000-0002-0000-0400-000001000000}"/>
    <dataValidation type="whole" allowBlank="1" showInputMessage="1" showErrorMessage="1" error="The data you have entered is not valid. Entry must be a whole number between 1 and 25." prompt="Enter the number of years (whole number from 1 to 25) that the fuel treatment is effective." sqref="D21 D44" xr:uid="{00000000-0002-0000-0400-000002000000}">
      <formula1>1</formula1>
      <formula2>25</formula2>
    </dataValidation>
    <dataValidation allowBlank="1" showInputMessage="1" showErrorMessage="1" prompt="Project duration. Automatically calculated based on Site Productivity Class. Class I: 50 yrs; Class II &amp; III: 60 yrs; Class IV &amp; V: 80 yrs." sqref="D19 D226 D65 D88 D111 D134 D157 D180 D203 D42" xr:uid="{00000000-0002-0000-0400-000003000000}"/>
    <dataValidation allowBlank="1" showInputMessage="1" showErrorMessage="1" prompt="Enter the area of land expected to receive fuels reduction treatments (i.e., only acres with vegetation that will be treated)." sqref="D16 D39 D62 D85 D108 D131 D154 D177 D200 D223" xr:uid="{00000000-0002-0000-0400-000004000000}"/>
    <dataValidation type="decimal" allowBlank="1" showInputMessage="1" showErrorMessage="1" prompt="Sum the values in the FVS_Carbon output table for “Aboveground_Total_Live” and “Belowground_Live” columns in the row for the year that the project will end (50-80 years); multiply the MT C/acre by the treatment area acreage." sqref="D22:D25 D45:D48" xr:uid="{00000000-0002-0000-0400-000005000000}">
      <formula1>0</formula1>
      <formula2>100000000</formula2>
    </dataValidation>
    <dataValidation type="decimal" allowBlank="1" showInputMessage="1" showErrorMessage="1" prompt="Amount of biomass (wood products or bioenergy) removed from within the treatment boundary via mechanical treatment (used to account for mobile source combustion emissions). Enter the total value (BDT/acre * treatment acreage). " sqref="D26 D49" xr:uid="{00000000-0002-0000-0400-000006000000}">
      <formula1>0</formula1>
      <formula2>1000000</formula2>
    </dataValidation>
    <dataValidation type="decimal" allowBlank="1" showInputMessage="1" showErrorMessage="1" error="Please enter a value between 0% and 100%." prompt="Proportion of area within the impact boundary (%) with &gt;50% probability of experiencing high flame lengths (&gt;8 ft), based on Monte Carlo simulations of wildfire across the landscape without fuels reduction treatment (from IFTDSS)." sqref="D215 D31 D54 D77 D100 D123 D146 D169 D192 D238" xr:uid="{00000000-0002-0000-0400-000007000000}">
      <formula1>0</formula1>
      <formula2>1</formula2>
    </dataValidation>
    <dataValidation type="whole" allowBlank="1" showInputMessage="1" showErrorMessage="1" error="Enter an integer between 2019 and 2030." prompt="Enter the year the treatment will be completed." sqref="G21 I21 K21 K30 G159 I159 K159 K168 G182 I182 K182 K191 G205 I205 K205 K214 G44 I44 K44 K53 G67 I67 K67 K76 G90 I90 K90 K99 G113 I113 K113 K122 G136 I136 K136 K145 G228 I228 K228 K237" xr:uid="{00000000-0002-0000-0400-000008000000}">
      <formula1>2019</formula1>
      <formula2>2030</formula2>
    </dataValidation>
    <dataValidation type="whole" allowBlank="1" showInputMessage="1" showErrorMessage="1" error="Enter an integer between 0 and 100,000." prompt="Enter the acreage to be treated with this fuels reduction method." sqref="G22 I22 K22 G160 I160 K160 G183 I183 K183 G206 I206 K206 G45 I45 K45 G68 I68 K68 G91 I91 K91 G114 I114 K114 G137 I137 K137 G229 I229 K229" xr:uid="{00000000-0002-0000-0400-000009000000}">
      <formula1>0</formula1>
      <formula2>100000</formula2>
    </dataValidation>
    <dataValidation type="decimal" allowBlank="1" showInputMessage="1" showErrorMessage="1" prompt="Enter a percentage from 0 to 100" sqref="G27:G28 I28 K26 K31:K36 G165:G166 I166 K169:K174 K192:K197 G188:G189 K146:K151 I189 K215:K220 G211:G212 G119:G120 K238:K241 K54:K59 G50:G51 G142:G143 I51 K77:K82 G73:G74 K187 I74 K100:K105 G96:G97 I212 I97 K123:K128 I120 K164 K118 K72 I143 K49 K141 K95 K210 G234:G235 I235 K233" xr:uid="{00000000-0002-0000-0400-00000A000000}">
      <formula1>0</formula1>
      <formula2>1</formula2>
    </dataValidation>
    <dataValidation type="textLength" allowBlank="1" showInputMessage="1" showErrorMessage="1" error="Enter text between 0 and 250 characters." prompt="If not all species, provide the scientific name(s) of all species that will be masticated." sqref="G26 G164 G187 G210 G49 G72 G95 G118 G141 G233" xr:uid="{00000000-0002-0000-0400-00000B000000}">
      <formula1>0</formula1>
      <formula2>250</formula2>
    </dataValidation>
    <dataValidation type="decimal" allowBlank="1" showInputMessage="1" showErrorMessage="1" error="Enter a value between 0 and 36 inches." sqref="G23:G24 K23:K24 G207:G208 G161:G162 K161:K162 G138:G139 G184:G185 K184:K185 K171 K207:K208 K194 K33 G46:G47 K46:K47 K217 G69:G70 K69:K70 K56 G92:G93 K92:K93 K79 G115:G116 K115:K116 K102 K138:K139 K148 K125 G230:G231 K230:K231 K240" xr:uid="{00000000-0002-0000-0400-00000C000000}">
      <formula1>0</formula1>
      <formula2>36</formula2>
    </dataValidation>
    <dataValidation type="decimal" allowBlank="1" showInputMessage="1" showErrorMessage="1" error="Enter a value between 0 and 500." prompt="Enter the trees per acre or basal area (sq ft/ac)" sqref="K27 K142 K165 K188 K211 K50 K73 K96 K119 K234" xr:uid="{00000000-0002-0000-0400-00000D000000}">
      <formula1>0</formula1>
      <formula2>500</formula2>
    </dataValidation>
    <dataValidation type="decimal" allowBlank="1" showInputMessage="1" showErrorMessage="1" sqref="I24 I185 I208 I47 I70 I93 I116 I139 I162 I231" xr:uid="{00000000-0002-0000-0400-00000E000000}">
      <formula1>32</formula1>
      <formula2>125</formula2>
    </dataValidation>
    <dataValidation type="textLength" allowBlank="1" showInputMessage="1" showErrorMessage="1" sqref="L182 L159 L136 L113 L90 L67 L44 L205 L21 L228" xr:uid="{00000000-0002-0000-0400-00000F000000}">
      <formula1>0</formula1>
      <formula2>1000</formula2>
    </dataValidation>
    <dataValidation type="decimal" allowBlank="1" showInputMessage="1" showErrorMessage="1" error="Please enter a value between 0% and 100%." prompt="Proportion of area within the impact boundary (%) with &gt;50% probability of experiencing high flame lengths (&gt;8 ft), based on Monte Carlo simulations of wildfire across the landscape with fuels reduction treatment (from IFTDSS)." sqref="D216 D32 D55 D78 D101 D124 D147 D170 D193 D239" xr:uid="{00000000-0002-0000-0400-000010000000}">
      <formula1>0</formula1>
      <formula2>1</formula2>
    </dataValidation>
    <dataValidation type="decimal" allowBlank="1" showInputMessage="1" showErrorMessage="1" error="Please enter a value between 0% and 100%." prompt="Conditional burn probability in the baseline scenario for the area within the impact boundary with high flame lengths (conditional flame length &gt;8 ft), based on Monte Carlo simulations of wildfire across the landscape without fuels reduction treatment (fr" sqref="D33 D56 D79 D102 D125 D148 D171 D217 D194 D240" xr:uid="{00000000-0002-0000-0400-000011000000}">
      <formula1>0</formula1>
      <formula2>1</formula2>
    </dataValidation>
    <dataValidation type="decimal" allowBlank="1" showInputMessage="1" showErrorMessage="1" error="Please enter a value between 0% and 100%." prompt="Conditional burn probability in the project (fuels reduction) scenario for the area within the impact boundary with high flame lengths (conditional flame length &gt;8 ft), based on Monte Carlo simulations of wildfire across the landscape without fuels reduct" sqref="D172 D34 D57 D80 D103 D126 D149 D218 D195 D241" xr:uid="{00000000-0002-0000-0400-000012000000}">
      <formula1>0</formula1>
      <formula2>1</formula2>
    </dataValidation>
    <dataValidation type="decimal" allowBlank="1" showInputMessage="1" showErrorMessage="1" error="Please enter a value between 0% and 100%." prompt="Conditional burn probability in the baseline scenario for the area within the treatment boundary with high flame lengths (conditional flame length &gt;8 ft)." sqref="D219 D35 D58 D81 D104 D127 D150 D173 D196 D242" xr:uid="{00000000-0002-0000-0400-000013000000}">
      <formula1>0</formula1>
      <formula2>1</formula2>
    </dataValidation>
    <dataValidation type="decimal" allowBlank="1" showInputMessage="1" showErrorMessage="1" error="Please enter a value between 0% and 100%." prompt="Conditional burn probability in the project (fuels reduction) scenario for the area within the treatment boundary with high flame lengths (conditional flame length &gt;8 ft)." sqref="D220 D36 D59 D82 D105 D128 D151 D174 D197 D243" xr:uid="{00000000-0002-0000-0400-000014000000}">
      <formula1>0</formula1>
      <formula2>1</formula2>
    </dataValidation>
  </dataValidations>
  <hyperlinks>
    <hyperlink ref="A20:C20" r:id="rId1" tooltip="Follow link to CAL FIRE Fire Probability Map Tool" display="Annual probability of fire occurrence (%)" xr:uid="{00000000-0004-0000-0400-000000000000}"/>
    <hyperlink ref="A66:C66" r:id="rId2" tooltip="Follow link to CAL FIRE Fire Probability Map Tool" display="Annual probability of fire occurrence (%)" xr:uid="{00000000-0004-0000-0400-000001000000}"/>
    <hyperlink ref="A43:C43" r:id="rId3" tooltip="Follow link to CAL FIRE Fire Probability Map Tool" display="Annual probability of fire occurrence (%)" xr:uid="{00000000-0004-0000-0400-000002000000}"/>
    <hyperlink ref="A89:C89" r:id="rId4" tooltip="Follow link to CAL FIRE Fire Probability Map Tool" display="Annual probability of fire occurrence (%)" xr:uid="{00000000-0004-0000-0400-000003000000}"/>
    <hyperlink ref="A112:C112" r:id="rId5" tooltip="Follow link to CAL FIRE Fire Probability Map Tool" display="Annual probability of fire occurrence (%)" xr:uid="{00000000-0004-0000-0400-000004000000}"/>
    <hyperlink ref="A135:C135" r:id="rId6" tooltip="Follow link to CAL FIRE Fire Probability Map Tool" display="Annual probability of fire occurrence (%)" xr:uid="{00000000-0004-0000-0400-000005000000}"/>
    <hyperlink ref="A158:C158" r:id="rId7" tooltip="Follow link to CAL FIRE Fire Probability Map Tool" display="Annual probability of fire occurrence (%)" xr:uid="{00000000-0004-0000-0400-000006000000}"/>
    <hyperlink ref="A204:C204" r:id="rId8" tooltip="Follow link to CAL FIRE Fire Probability Map Tool" display="Annual probability of fire occurrence (%)" xr:uid="{00000000-0004-0000-0400-000007000000}"/>
    <hyperlink ref="A227:C227" r:id="rId9" tooltip="Follow link to CAL FIRE Fire Probability Map Tool" display="Annual probability of fire occurrence (%)" xr:uid="{00000000-0004-0000-0400-000008000000}"/>
    <hyperlink ref="A181:C181" r:id="rId10" tooltip="Follow link to CAL FIRE Fire Probability Map Tool" display="Annual probability of fire occurrence (%)" xr:uid="{00000000-0004-0000-0400-000009000000}"/>
  </hyperlinks>
  <pageMargins left="0" right="0.7" top="0" bottom="0.75" header="0.3" footer="0.3"/>
  <pageSetup scale="47" fitToHeight="0" orientation="landscape" r:id="rId11"/>
  <headerFooter>
    <oddFooter>&amp;CPage 5 of 12
Fuels Reduction Worksheet</oddFooter>
  </headerFooter>
  <drawing r:id="rId12"/>
  <extLst>
    <ext xmlns:x14="http://schemas.microsoft.com/office/spreadsheetml/2009/9/main" uri="{CCE6A557-97BC-4b89-ADB6-D9C93CAAB3DF}">
      <x14:dataValidations xmlns:xm="http://schemas.microsoft.com/office/excel/2006/main" xWindow="651" yWindow="865" count="8">
        <x14:dataValidation type="list" allowBlank="1" showInputMessage="1" showErrorMessage="1" prompt="Select from dropdown. If the treatment area includes different site classes, enter the lowest site class (e.g., if class I and II, enter class I). Used to determine project duration." xr:uid="{00000000-0002-0000-0400-000015000000}">
          <x14:formula1>
            <xm:f>LISTS!$A$31:$A$33</xm:f>
          </x14:formula1>
          <xm:sqref>D18 D41 D64 D87 D110 D133 D156 D179 D202 D225</xm:sqref>
        </x14:dataValidation>
        <x14:dataValidation type="list" allowBlank="1" showInputMessage="1" showErrorMessage="1" prompt="Select from dropdown. Used to help track State-funded activities treating and restoring natural and working lands. Does not influence GHG or other calculations." xr:uid="{00000000-0002-0000-0400-000016000000}">
          <x14:formula1>
            <xm:f>LISTS!$A$20:$A$28</xm:f>
          </x14:formula1>
          <xm:sqref>D17 D40 D63 D86 D109 D132 D155 D178 D201 D224</xm:sqref>
        </x14:dataValidation>
        <x14:dataValidation type="list" allowBlank="1" showInputMessage="1" showErrorMessage="1" error="Select from dropdown." prompt="Masticated fuel particle size in inches. Select from dropdown." xr:uid="{00000000-0002-0000-0400-000017000000}">
          <x14:formula1>
            <xm:f>LISTS!$A$85:$A$88</xm:f>
          </x14:formula1>
          <xm:sqref>G29 G167 G190 G213 G52 G75 G98 G121 G144 G236</xm:sqref>
        </x14:dataValidation>
        <x14:dataValidation type="list" allowBlank="1" showInputMessage="1" showErrorMessage="1" xr:uid="{00000000-0002-0000-0400-000018000000}">
          <x14:formula1>
            <xm:f>LISTS!$A$91:$A$92</xm:f>
          </x14:formula1>
          <xm:sqref>G25 G163 G186 G209 G48 G71 G94 G117 G140 G232</xm:sqref>
        </x14:dataValidation>
        <x14:dataValidation type="list" allowBlank="1" showInputMessage="1" showErrorMessage="1" error="Select from dropdown list." prompt="Select from dropdown list." xr:uid="{00000000-0002-0000-0400-000019000000}">
          <x14:formula1>
            <xm:f>LISTS!$A$102:$A$105</xm:f>
          </x14:formula1>
          <xm:sqref>I27 I165 I188 I211 I50 I73 I96 I119 I142 I234</xm:sqref>
        </x14:dataValidation>
        <x14:dataValidation type="list" allowBlank="1" showInputMessage="1" showErrorMessage="1" error="Select from dropdown." prompt="Select from dropdown." xr:uid="{00000000-0002-0000-0400-00001A000000}">
          <x14:formula1>
            <xm:f>LISTS!$A$108:$A$110</xm:f>
          </x14:formula1>
          <xm:sqref>K25 K163 K186 K209 K48 K71 K94 K117 K140 K232</xm:sqref>
        </x14:dataValidation>
        <x14:dataValidation type="list" allowBlank="1" showInputMessage="1" showErrorMessage="1" error="Select from dropdown list." prompt="Select either Trees Per Acre or Basal Area" xr:uid="{00000000-0002-0000-0400-00001B000000}">
          <x14:formula1>
            <xm:f>LISTS!$A$113:$A$114</xm:f>
          </x14:formula1>
          <xm:sqref>K28 K143 K166 K189 K212 K51 K74 K97 K120 K235</xm:sqref>
        </x14:dataValidation>
        <x14:dataValidation type="list" allowBlank="1" showInputMessage="1" showErrorMessage="1" error="Select from dropdown list." prompt="Select from dropdown list." xr:uid="{00000000-0002-0000-0400-00001C000000}">
          <x14:formula1>
            <xm:f>LISTS!$A$95:$A$99</xm:f>
          </x14:formula1>
          <xm:sqref>I25 I31 I186 I192 I209 I215 I48 I54 I71 I77 I94 I100 I117 I123 I140 I146 I163 I169 I232 I238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M183"/>
  <sheetViews>
    <sheetView showGridLines="0" zoomScale="89" zoomScaleNormal="90" workbookViewId="0">
      <selection activeCell="A12" sqref="A12"/>
    </sheetView>
  </sheetViews>
  <sheetFormatPr baseColWidth="10" defaultColWidth="9.1640625" defaultRowHeight="15"/>
  <cols>
    <col min="1" max="1" width="25.6640625" style="1" customWidth="1"/>
    <col min="2" max="2" width="30.6640625" style="1" customWidth="1"/>
    <col min="3" max="3" width="28" style="1" customWidth="1"/>
    <col min="4" max="4" width="15.6640625" style="1" customWidth="1"/>
    <col min="5" max="5" width="10.6640625" style="1" customWidth="1"/>
    <col min="6" max="6" width="48.33203125" style="14" customWidth="1"/>
    <col min="7" max="7" width="15.6640625" style="1" customWidth="1"/>
    <col min="8" max="15" width="9.1640625" style="1" customWidth="1"/>
    <col min="16" max="16384" width="9.1640625" style="1"/>
  </cols>
  <sheetData>
    <row r="1" spans="1:11" ht="19">
      <c r="C1" s="3" t="s">
        <v>278</v>
      </c>
      <c r="F1" s="28"/>
      <c r="G1" s="3"/>
      <c r="H1" s="3"/>
      <c r="I1" s="3"/>
      <c r="J1" s="3"/>
      <c r="K1" s="2"/>
    </row>
    <row r="2" spans="1:11" ht="19">
      <c r="C2" s="3" t="s">
        <v>585</v>
      </c>
      <c r="F2" s="28"/>
      <c r="G2" s="3"/>
      <c r="H2" s="3"/>
      <c r="I2" s="3"/>
      <c r="J2" s="3"/>
      <c r="K2" s="2"/>
    </row>
    <row r="3" spans="1:11" ht="19">
      <c r="C3" s="3" t="s">
        <v>586</v>
      </c>
      <c r="K3" s="2"/>
    </row>
    <row r="4" spans="1:11" ht="19">
      <c r="C4" s="118" t="s">
        <v>587</v>
      </c>
      <c r="F4" s="28"/>
      <c r="G4" s="3"/>
      <c r="H4" s="3"/>
      <c r="I4" s="3"/>
      <c r="J4" s="3"/>
      <c r="K4" s="2"/>
    </row>
    <row r="5" spans="1:11" ht="19">
      <c r="C5" s="217"/>
      <c r="F5" s="28"/>
      <c r="G5" s="3"/>
      <c r="H5" s="3"/>
      <c r="I5" s="3"/>
      <c r="J5" s="3"/>
      <c r="K5" s="2"/>
    </row>
    <row r="6" spans="1:11" ht="19">
      <c r="C6" s="365"/>
      <c r="F6" s="28"/>
      <c r="G6" s="3"/>
      <c r="H6" s="3"/>
      <c r="I6" s="3"/>
      <c r="J6" s="3"/>
    </row>
    <row r="7" spans="1:11" ht="19">
      <c r="A7" s="9"/>
      <c r="B7" s="9"/>
      <c r="C7" s="217"/>
      <c r="F7" s="34"/>
      <c r="G7" s="3"/>
      <c r="H7" s="3"/>
      <c r="I7" s="3"/>
      <c r="J7" s="3"/>
    </row>
    <row r="8" spans="1:11" ht="19">
      <c r="A8" s="9"/>
      <c r="B8" s="9"/>
      <c r="C8" s="9"/>
      <c r="G8" s="3"/>
      <c r="H8" s="3"/>
      <c r="I8" s="3"/>
      <c r="J8" s="3"/>
    </row>
    <row r="9" spans="1:11" ht="18" customHeight="1">
      <c r="A9" s="45" t="s">
        <v>0</v>
      </c>
      <c r="B9" s="260" t="str">
        <f>IF('Read Me'!B26="","",'Read Me'!B26)</f>
        <v/>
      </c>
      <c r="C9" s="261"/>
      <c r="D9" s="65"/>
      <c r="E9" s="65"/>
      <c r="F9" s="13"/>
      <c r="G9" s="24"/>
    </row>
    <row r="10" spans="1:11" ht="18" customHeight="1">
      <c r="A10" s="72" t="s">
        <v>10</v>
      </c>
      <c r="B10" s="258" t="str">
        <f>IF('Read Me'!B27="","",'Read Me'!B27)</f>
        <v/>
      </c>
      <c r="C10" s="259"/>
      <c r="D10" s="66"/>
      <c r="E10" s="66"/>
      <c r="F10" s="27"/>
      <c r="G10" s="24"/>
    </row>
    <row r="11" spans="1:11" ht="18" customHeight="1">
      <c r="E11" s="9"/>
      <c r="F11" s="29"/>
      <c r="G11" s="11"/>
    </row>
    <row r="12" spans="1:11" ht="19">
      <c r="A12" s="4" t="s">
        <v>233</v>
      </c>
      <c r="B12" s="9"/>
      <c r="C12" s="9"/>
      <c r="D12" s="16"/>
      <c r="E12" s="16"/>
      <c r="F12" s="16"/>
      <c r="G12" s="16"/>
      <c r="H12" s="16"/>
      <c r="I12" s="16"/>
      <c r="J12" s="16"/>
      <c r="K12" s="16"/>
    </row>
    <row r="13" spans="1:11" ht="33" customHeight="1">
      <c r="A13" s="484" t="s">
        <v>41</v>
      </c>
      <c r="B13" s="484"/>
      <c r="C13" s="484"/>
      <c r="D13" s="484"/>
      <c r="E13" s="484"/>
      <c r="F13" s="484"/>
      <c r="G13" s="484"/>
      <c r="H13" s="16"/>
      <c r="I13" s="16"/>
      <c r="J13" s="16"/>
    </row>
    <row r="14" spans="1:11" ht="15" customHeight="1">
      <c r="A14" s="71"/>
      <c r="B14" s="26"/>
      <c r="C14" s="26"/>
      <c r="D14" s="69"/>
      <c r="E14" s="69"/>
      <c r="F14" s="69"/>
      <c r="G14" s="30"/>
    </row>
    <row r="15" spans="1:11" ht="18" customHeight="1">
      <c r="A15" s="501" t="s">
        <v>234</v>
      </c>
      <c r="B15" s="501"/>
      <c r="C15" s="501"/>
      <c r="D15" s="501"/>
      <c r="E15" s="501"/>
      <c r="F15" s="501"/>
      <c r="G15" s="501"/>
    </row>
    <row r="16" spans="1:11" ht="33" customHeight="1">
      <c r="A16" s="498" t="s">
        <v>216</v>
      </c>
      <c r="B16" s="499"/>
      <c r="C16" s="500"/>
      <c r="D16" s="86"/>
      <c r="E16" s="69"/>
      <c r="F16" s="100" t="s">
        <v>179</v>
      </c>
      <c r="G16" s="47">
        <f>G17-G18</f>
        <v>0</v>
      </c>
    </row>
    <row r="17" spans="1:13" s="39" customFormat="1" ht="33" customHeight="1">
      <c r="A17" s="498" t="s">
        <v>214</v>
      </c>
      <c r="B17" s="499"/>
      <c r="C17" s="500"/>
      <c r="D17" s="86"/>
      <c r="F17" s="100" t="s">
        <v>50</v>
      </c>
      <c r="G17" s="47">
        <f>D22*ERFs!B$57</f>
        <v>0</v>
      </c>
    </row>
    <row r="18" spans="1:13" s="39" customFormat="1" ht="33" customHeight="1">
      <c r="A18" s="498" t="s">
        <v>219</v>
      </c>
      <c r="B18" s="499"/>
      <c r="C18" s="500"/>
      <c r="D18" s="119">
        <f>IFERROR(D17/D16,0)</f>
        <v>0</v>
      </c>
      <c r="F18" s="100" t="s">
        <v>47</v>
      </c>
      <c r="G18" s="47">
        <f>(D22-(D22*D18)*(IF(D23=LISTS!A$9,ERFs!B$25,IF(D23=LISTS!A$10,ERFs!B$26,IF(D23=LISTS!A$11,ERFs!B$27,IF(D23=LISTS!A$12,ERFs!B$28,IF(D23=LISTS!A$13,ERFs!B$29,IF(D23=LISTS!A$14,ERFs!B$30,0))))))))*ERFs!B$57</f>
        <v>0</v>
      </c>
    </row>
    <row r="19" spans="1:13" s="39" customFormat="1" ht="33" customHeight="1">
      <c r="A19" s="481" t="s">
        <v>408</v>
      </c>
      <c r="B19" s="482"/>
      <c r="C19" s="483"/>
      <c r="D19" s="160"/>
      <c r="F19" s="103" t="s">
        <v>690</v>
      </c>
      <c r="G19" s="179"/>
    </row>
    <row r="20" spans="1:13" s="39" customFormat="1" ht="33" customHeight="1">
      <c r="A20" s="481" t="s">
        <v>407</v>
      </c>
      <c r="B20" s="482"/>
      <c r="C20" s="483"/>
      <c r="D20" s="160"/>
      <c r="F20" s="398" t="s">
        <v>635</v>
      </c>
    </row>
    <row r="21" spans="1:13" s="39" customFormat="1" ht="33" customHeight="1">
      <c r="A21" s="481" t="s">
        <v>370</v>
      </c>
      <c r="B21" s="482"/>
      <c r="C21" s="483"/>
      <c r="D21" s="47" t="str">
        <f>IF(D20="Class I", 50, IF(D20="Class II or III",60, IF(D20="Class IV or V", 80,"")))</f>
        <v/>
      </c>
      <c r="F21" s="462"/>
    </row>
    <row r="22" spans="1:13" s="39" customFormat="1" ht="33" customHeight="1">
      <c r="A22" s="498" t="s">
        <v>138</v>
      </c>
      <c r="B22" s="499"/>
      <c r="C22" s="500"/>
      <c r="D22" s="86"/>
      <c r="F22" s="398" t="s">
        <v>636</v>
      </c>
    </row>
    <row r="23" spans="1:13" s="39" customFormat="1" ht="33" customHeight="1">
      <c r="A23" s="498" t="s">
        <v>29</v>
      </c>
      <c r="B23" s="499"/>
      <c r="C23" s="500"/>
      <c r="D23" s="70"/>
      <c r="F23" s="462"/>
      <c r="G23" s="187"/>
      <c r="H23" s="187"/>
      <c r="I23" s="187"/>
      <c r="J23" s="187"/>
      <c r="K23" s="187"/>
    </row>
    <row r="24" spans="1:13" s="39" customFormat="1" ht="33" customHeight="1">
      <c r="A24" s="495" t="s">
        <v>277</v>
      </c>
      <c r="B24" s="496"/>
      <c r="C24" s="497"/>
      <c r="D24" s="86"/>
      <c r="F24" s="187"/>
      <c r="G24" s="187"/>
      <c r="H24" s="187"/>
      <c r="I24" s="187"/>
      <c r="J24" s="187"/>
      <c r="K24" s="187"/>
    </row>
    <row r="25" spans="1:13" s="40" customFormat="1" ht="33" customHeight="1">
      <c r="A25" s="498" t="s">
        <v>397</v>
      </c>
      <c r="B25" s="499"/>
      <c r="C25" s="500"/>
      <c r="D25" s="86"/>
      <c r="F25" s="399" t="s">
        <v>96</v>
      </c>
      <c r="G25" s="400">
        <f>(D25+D27+D29)</f>
        <v>0</v>
      </c>
      <c r="H25" s="401"/>
      <c r="I25" s="188"/>
      <c r="J25" s="188"/>
      <c r="K25" s="188"/>
    </row>
    <row r="26" spans="1:13" s="40" customFormat="1" ht="39.75" customHeight="1">
      <c r="A26" s="498" t="s">
        <v>398</v>
      </c>
      <c r="B26" s="499"/>
      <c r="C26" s="500"/>
      <c r="D26" s="86"/>
      <c r="F26" s="399" t="s">
        <v>97</v>
      </c>
      <c r="G26" s="400" t="e">
        <f>D22*(IF(D23=[1]LISTS!$A$9,[1]ERFs!$B$25,IF(D23=[1]LISTS!$A$10,[1]ERFs!$B$26,IF(D23=[1]LISTS!$A$11,[1]ERFs!$B$27,IF(D23=[1]LISTS!$A$12,[1]ERFs!$B$28,IF(D23=[1]LISTS!$A$13,[1]ERFs!$B$29,IF(D23=[1]LISTS!$A$14,[1]ERFs!$B$34,0)))))))/[1]ERFs!$B$58*[1]ERFs!$B$62/[1]ERFs!$B$63</f>
        <v>#REF!</v>
      </c>
      <c r="H26" s="402" t="e">
        <f>(IF(G25=G26,"",IF(G25&lt;G26,"okay","error")))</f>
        <v>#REF!</v>
      </c>
      <c r="I26" s="188"/>
      <c r="J26" s="188"/>
      <c r="K26" s="188"/>
    </row>
    <row r="27" spans="1:13" s="40" customFormat="1" ht="45" customHeight="1">
      <c r="A27" s="481" t="s">
        <v>399</v>
      </c>
      <c r="B27" s="482"/>
      <c r="C27" s="483"/>
      <c r="D27" s="86"/>
      <c r="F27" s="188"/>
      <c r="G27" s="188"/>
      <c r="H27" s="188"/>
      <c r="I27" s="188"/>
      <c r="J27" s="188"/>
      <c r="K27" s="188"/>
      <c r="L27" s="188"/>
      <c r="M27" s="188"/>
    </row>
    <row r="28" spans="1:13" s="40" customFormat="1" ht="45" customHeight="1">
      <c r="A28" s="481" t="s">
        <v>400</v>
      </c>
      <c r="B28" s="482"/>
      <c r="C28" s="483"/>
      <c r="D28" s="86"/>
      <c r="F28" s="189"/>
      <c r="G28" s="188"/>
      <c r="H28" s="188"/>
      <c r="I28" s="188"/>
      <c r="J28" s="188"/>
      <c r="K28" s="188"/>
      <c r="L28" s="188"/>
      <c r="M28" s="188"/>
    </row>
    <row r="29" spans="1:13" s="40" customFormat="1" ht="45" customHeight="1">
      <c r="A29" s="481" t="s">
        <v>401</v>
      </c>
      <c r="B29" s="482"/>
      <c r="C29" s="483"/>
      <c r="D29" s="86"/>
      <c r="F29" s="189"/>
      <c r="G29" s="188"/>
      <c r="H29" s="188"/>
      <c r="I29" s="188"/>
      <c r="J29" s="188"/>
      <c r="K29" s="188"/>
      <c r="L29" s="188"/>
      <c r="M29" s="188"/>
    </row>
    <row r="30" spans="1:13" s="40" customFormat="1" ht="48" customHeight="1">
      <c r="A30" s="481" t="s">
        <v>402</v>
      </c>
      <c r="B30" s="482"/>
      <c r="C30" s="483"/>
      <c r="D30" s="86"/>
      <c r="F30" s="41"/>
    </row>
    <row r="31" spans="1:13" s="40" customFormat="1" ht="30" customHeight="1">
      <c r="F31" s="41"/>
    </row>
    <row r="32" spans="1:13" s="32" customFormat="1" ht="18" customHeight="1">
      <c r="A32" s="501" t="s">
        <v>235</v>
      </c>
      <c r="B32" s="501"/>
      <c r="C32" s="501"/>
      <c r="D32" s="501"/>
      <c r="E32" s="501"/>
      <c r="F32" s="501"/>
      <c r="G32" s="501"/>
    </row>
    <row r="33" spans="1:8" ht="33" customHeight="1">
      <c r="A33" s="498" t="s">
        <v>216</v>
      </c>
      <c r="B33" s="499"/>
      <c r="C33" s="500"/>
      <c r="D33" s="86"/>
      <c r="E33" s="97"/>
      <c r="F33" s="100" t="s">
        <v>180</v>
      </c>
      <c r="G33" s="47">
        <f>G34-G35</f>
        <v>0</v>
      </c>
    </row>
    <row r="34" spans="1:8" s="39" customFormat="1" ht="33" customHeight="1">
      <c r="A34" s="498" t="s">
        <v>214</v>
      </c>
      <c r="B34" s="499"/>
      <c r="C34" s="500"/>
      <c r="D34" s="86"/>
      <c r="F34" s="100" t="s">
        <v>50</v>
      </c>
      <c r="G34" s="47">
        <f>D39*ERFs!B$57</f>
        <v>0</v>
      </c>
    </row>
    <row r="35" spans="1:8" s="39" customFormat="1" ht="33" customHeight="1">
      <c r="A35" s="498" t="s">
        <v>219</v>
      </c>
      <c r="B35" s="499"/>
      <c r="C35" s="500"/>
      <c r="D35" s="119">
        <f>IFERROR(D34/D33,0)</f>
        <v>0</v>
      </c>
      <c r="F35" s="100" t="s">
        <v>47</v>
      </c>
      <c r="G35" s="47">
        <f>(D39-(D39*D35)*(IF(D40=LISTS!A$9,ERFs!B$25,IF(D40=LISTS!A$10,ERFs!B$26,IF(D40=LISTS!A$11,ERFs!B$27,IF(D40=LISTS!A$12,ERFs!B$28,IF(D40=LISTS!A$13,ERFs!B$29,IF(D40=LISTS!A$14,ERFs!B$31,0))))))))*ERFs!B$57</f>
        <v>0</v>
      </c>
    </row>
    <row r="36" spans="1:8" s="39" customFormat="1" ht="33" customHeight="1">
      <c r="A36" s="481" t="s">
        <v>408</v>
      </c>
      <c r="B36" s="482"/>
      <c r="C36" s="483"/>
      <c r="D36" s="160"/>
      <c r="F36" s="103" t="s">
        <v>690</v>
      </c>
      <c r="G36" s="179"/>
    </row>
    <row r="37" spans="1:8" s="39" customFormat="1" ht="33" customHeight="1">
      <c r="A37" s="481" t="s">
        <v>407</v>
      </c>
      <c r="B37" s="482"/>
      <c r="C37" s="483"/>
      <c r="D37" s="160"/>
      <c r="F37" s="449" t="s">
        <v>635</v>
      </c>
    </row>
    <row r="38" spans="1:8" s="39" customFormat="1" ht="33" customHeight="1">
      <c r="A38" s="481" t="s">
        <v>370</v>
      </c>
      <c r="B38" s="482"/>
      <c r="C38" s="483"/>
      <c r="D38" s="47" t="str">
        <f>IF(D37="Class I", 50, IF(D37="Class II or III",60, IF(D37="Class IV or V", 80,"")))</f>
        <v/>
      </c>
      <c r="F38" s="463"/>
    </row>
    <row r="39" spans="1:8" s="39" customFormat="1" ht="33" customHeight="1">
      <c r="A39" s="498" t="s">
        <v>138</v>
      </c>
      <c r="B39" s="499"/>
      <c r="C39" s="500"/>
      <c r="D39" s="86"/>
      <c r="F39" s="451" t="s">
        <v>636</v>
      </c>
    </row>
    <row r="40" spans="1:8" s="39" customFormat="1" ht="33" customHeight="1">
      <c r="A40" s="498" t="s">
        <v>29</v>
      </c>
      <c r="B40" s="499"/>
      <c r="C40" s="500"/>
      <c r="D40" s="70"/>
      <c r="F40" s="450"/>
      <c r="G40" s="187"/>
      <c r="H40" s="187"/>
    </row>
    <row r="41" spans="1:8" s="39" customFormat="1" ht="33" customHeight="1">
      <c r="A41" s="495" t="s">
        <v>277</v>
      </c>
      <c r="B41" s="496"/>
      <c r="C41" s="497"/>
      <c r="D41" s="86"/>
      <c r="F41" s="187"/>
      <c r="G41" s="187"/>
      <c r="H41" s="187"/>
    </row>
    <row r="42" spans="1:8" s="40" customFormat="1" ht="33" customHeight="1">
      <c r="A42" s="498" t="s">
        <v>397</v>
      </c>
      <c r="B42" s="499"/>
      <c r="C42" s="500"/>
      <c r="D42" s="86"/>
      <c r="F42" s="399" t="s">
        <v>96</v>
      </c>
      <c r="G42" s="400">
        <f>(D42+D44+D46)</f>
        <v>0</v>
      </c>
      <c r="H42" s="401"/>
    </row>
    <row r="43" spans="1:8" s="40" customFormat="1" ht="33" customHeight="1">
      <c r="A43" s="498" t="s">
        <v>398</v>
      </c>
      <c r="B43" s="499"/>
      <c r="C43" s="500"/>
      <c r="D43" s="86"/>
      <c r="F43" s="399" t="s">
        <v>97</v>
      </c>
      <c r="G43" s="400" t="e">
        <f>D39*(IF(D40=[1]LISTS!$A$9,[1]ERFs!$B$25,IF(D40=[1]LISTS!$A$10,[1]ERFs!$B$26,IF(D40=[1]LISTS!$A$11,[1]ERFs!$B$27,IF(D40=[1]LISTS!$A$12,[1]ERFs!$B$28,IF(D40=[1]LISTS!$A$13,[1]ERFs!$B$29,IF(D40=[1]LISTS!$A$14,[1]ERFs!$B$34,0)))))))/[1]ERFs!$B$58*[1]ERFs!$B$62/[1]ERFs!$B$63</f>
        <v>#REF!</v>
      </c>
      <c r="H43" s="402" t="e">
        <f>(IF(G42=G43,"",IF(G42&lt;G43,"okay","error")))</f>
        <v>#REF!</v>
      </c>
    </row>
    <row r="44" spans="1:8" s="40" customFormat="1" ht="44.25" customHeight="1">
      <c r="A44" s="481" t="s">
        <v>399</v>
      </c>
      <c r="B44" s="482"/>
      <c r="C44" s="483"/>
      <c r="D44" s="86"/>
    </row>
    <row r="45" spans="1:8" s="40" customFormat="1" ht="48" customHeight="1">
      <c r="A45" s="481" t="s">
        <v>400</v>
      </c>
      <c r="B45" s="482"/>
      <c r="C45" s="483"/>
      <c r="D45" s="86"/>
      <c r="F45" s="41"/>
    </row>
    <row r="46" spans="1:8" s="40" customFormat="1" ht="43.5" customHeight="1">
      <c r="A46" s="481" t="s">
        <v>401</v>
      </c>
      <c r="B46" s="482"/>
      <c r="C46" s="483"/>
      <c r="D46" s="86"/>
      <c r="F46" s="41"/>
    </row>
    <row r="47" spans="1:8" s="40" customFormat="1" ht="41.25" customHeight="1">
      <c r="A47" s="481" t="s">
        <v>402</v>
      </c>
      <c r="B47" s="482"/>
      <c r="C47" s="483"/>
      <c r="D47" s="86"/>
      <c r="F47" s="41"/>
    </row>
    <row r="48" spans="1:8" s="40" customFormat="1" ht="30" customHeight="1">
      <c r="F48" s="41"/>
    </row>
    <row r="49" spans="1:8" s="32" customFormat="1" ht="18" customHeight="1">
      <c r="A49" s="501" t="s">
        <v>236</v>
      </c>
      <c r="B49" s="501"/>
      <c r="C49" s="501"/>
      <c r="D49" s="501"/>
      <c r="E49" s="501"/>
      <c r="F49" s="501"/>
      <c r="G49" s="501"/>
    </row>
    <row r="50" spans="1:8" ht="33" customHeight="1">
      <c r="A50" s="498" t="s">
        <v>216</v>
      </c>
      <c r="B50" s="499"/>
      <c r="C50" s="500"/>
      <c r="D50" s="86"/>
      <c r="E50" s="97"/>
      <c r="F50" s="100" t="s">
        <v>181</v>
      </c>
      <c r="G50" s="47">
        <f>G51-G52</f>
        <v>0</v>
      </c>
    </row>
    <row r="51" spans="1:8" s="39" customFormat="1" ht="33" customHeight="1">
      <c r="A51" s="498" t="s">
        <v>214</v>
      </c>
      <c r="B51" s="499"/>
      <c r="C51" s="500"/>
      <c r="D51" s="86"/>
      <c r="F51" s="100" t="s">
        <v>50</v>
      </c>
      <c r="G51" s="47">
        <f>D56*ERFs!B$57</f>
        <v>0</v>
      </c>
    </row>
    <row r="52" spans="1:8" s="39" customFormat="1" ht="33" customHeight="1">
      <c r="A52" s="498" t="s">
        <v>219</v>
      </c>
      <c r="B52" s="499"/>
      <c r="C52" s="500"/>
      <c r="D52" s="119">
        <f>IFERROR(D51/D50,0)</f>
        <v>0</v>
      </c>
      <c r="F52" s="100" t="s">
        <v>47</v>
      </c>
      <c r="G52" s="47">
        <f>(D56-(D56*D52)*(IF(D57=LISTS!A$9,ERFs!B$25,IF(D57=LISTS!A$10,ERFs!B$26,IF(D57=LISTS!A$11,ERFs!B$27,IF(D57=LISTS!A$12,ERFs!B$28,IF(D57=LISTS!A$13,ERFs!B$29,IF(D57=LISTS!A$14,ERFs!B$32,0))))))))*ERFs!B$57</f>
        <v>0</v>
      </c>
    </row>
    <row r="53" spans="1:8" s="39" customFormat="1" ht="33" customHeight="1">
      <c r="A53" s="481" t="s">
        <v>408</v>
      </c>
      <c r="B53" s="482"/>
      <c r="C53" s="483"/>
      <c r="D53" s="160"/>
      <c r="F53" s="103" t="s">
        <v>690</v>
      </c>
      <c r="G53" s="179"/>
    </row>
    <row r="54" spans="1:8" s="39" customFormat="1" ht="33" customHeight="1">
      <c r="A54" s="481" t="s">
        <v>407</v>
      </c>
      <c r="B54" s="482"/>
      <c r="C54" s="483"/>
      <c r="D54" s="160"/>
      <c r="F54" s="449" t="s">
        <v>635</v>
      </c>
    </row>
    <row r="55" spans="1:8" s="39" customFormat="1" ht="33" customHeight="1">
      <c r="A55" s="481" t="s">
        <v>370</v>
      </c>
      <c r="B55" s="482"/>
      <c r="C55" s="483"/>
      <c r="D55" s="47" t="str">
        <f>IF(D54="Class I", 50, IF(D54="Class II or III",60, IF(D54="Class IV or V", 80,"")))</f>
        <v/>
      </c>
      <c r="F55" s="463"/>
    </row>
    <row r="56" spans="1:8" s="39" customFormat="1" ht="33" customHeight="1">
      <c r="A56" s="498" t="s">
        <v>138</v>
      </c>
      <c r="B56" s="499"/>
      <c r="C56" s="500"/>
      <c r="D56" s="86"/>
      <c r="F56" s="451" t="s">
        <v>636</v>
      </c>
    </row>
    <row r="57" spans="1:8" s="39" customFormat="1" ht="33" customHeight="1">
      <c r="A57" s="498" t="s">
        <v>29</v>
      </c>
      <c r="B57" s="499"/>
      <c r="C57" s="500"/>
      <c r="D57" s="70"/>
      <c r="F57" s="450"/>
      <c r="G57" s="187"/>
      <c r="H57" s="187"/>
    </row>
    <row r="58" spans="1:8" s="39" customFormat="1" ht="33" customHeight="1">
      <c r="A58" s="495" t="s">
        <v>277</v>
      </c>
      <c r="B58" s="496"/>
      <c r="C58" s="497"/>
      <c r="D58" s="86"/>
      <c r="F58" s="187"/>
      <c r="G58" s="187"/>
      <c r="H58" s="187"/>
    </row>
    <row r="59" spans="1:8" s="40" customFormat="1" ht="33" customHeight="1">
      <c r="A59" s="498" t="s">
        <v>397</v>
      </c>
      <c r="B59" s="499"/>
      <c r="C59" s="500"/>
      <c r="D59" s="86"/>
      <c r="F59" s="399" t="s">
        <v>96</v>
      </c>
      <c r="G59" s="400">
        <f>(D59+D61+D63)</f>
        <v>0</v>
      </c>
      <c r="H59" s="401"/>
    </row>
    <row r="60" spans="1:8" s="40" customFormat="1" ht="33" customHeight="1">
      <c r="A60" s="498" t="s">
        <v>398</v>
      </c>
      <c r="B60" s="499"/>
      <c r="C60" s="500"/>
      <c r="D60" s="86"/>
      <c r="F60" s="399" t="s">
        <v>97</v>
      </c>
      <c r="G60" s="400" t="e">
        <f>D56*(IF(D57=[1]LISTS!$A$9,[1]ERFs!$B$25,IF(D57=[1]LISTS!$A$10,[1]ERFs!$B$26,IF(D57=[1]LISTS!$A$11,[1]ERFs!$B$27,IF(D57=[1]LISTS!$A$12,[1]ERFs!$B$28,IF(D57=[1]LISTS!$A$13,[1]ERFs!$B$29,IF(D57=[1]LISTS!$A$14,[1]ERFs!$B$34,0)))))))/[1]ERFs!$B$58*[1]ERFs!$B$62/[1]ERFs!$B$63</f>
        <v>#REF!</v>
      </c>
      <c r="H60" s="402" t="e">
        <f>(IF(G59=G60,"",IF(G59&lt;G60,"okay","error")))</f>
        <v>#REF!</v>
      </c>
    </row>
    <row r="61" spans="1:8" s="40" customFormat="1" ht="45" customHeight="1">
      <c r="A61" s="481" t="s">
        <v>399</v>
      </c>
      <c r="B61" s="482"/>
      <c r="C61" s="483"/>
      <c r="D61" s="86"/>
    </row>
    <row r="62" spans="1:8" s="40" customFormat="1" ht="45.75" customHeight="1">
      <c r="A62" s="481" t="s">
        <v>400</v>
      </c>
      <c r="B62" s="482"/>
      <c r="C62" s="483"/>
      <c r="D62" s="86"/>
      <c r="F62" s="41"/>
    </row>
    <row r="63" spans="1:8" s="40" customFormat="1" ht="46.5" customHeight="1">
      <c r="A63" s="481" t="s">
        <v>401</v>
      </c>
      <c r="B63" s="482"/>
      <c r="C63" s="483"/>
      <c r="D63" s="86"/>
      <c r="F63" s="41"/>
    </row>
    <row r="64" spans="1:8" s="40" customFormat="1" ht="44.25" customHeight="1">
      <c r="A64" s="481" t="s">
        <v>402</v>
      </c>
      <c r="B64" s="482"/>
      <c r="C64" s="483"/>
      <c r="D64" s="86"/>
      <c r="F64" s="41"/>
    </row>
    <row r="65" spans="1:8" s="40" customFormat="1" ht="30" customHeight="1">
      <c r="F65" s="41"/>
    </row>
    <row r="66" spans="1:8" s="32" customFormat="1" ht="18" customHeight="1">
      <c r="A66" s="501" t="s">
        <v>237</v>
      </c>
      <c r="B66" s="501"/>
      <c r="C66" s="501"/>
      <c r="D66" s="501"/>
      <c r="E66" s="501"/>
      <c r="F66" s="501"/>
      <c r="G66" s="501"/>
    </row>
    <row r="67" spans="1:8" ht="33" customHeight="1">
      <c r="A67" s="498" t="s">
        <v>216</v>
      </c>
      <c r="B67" s="499"/>
      <c r="C67" s="500"/>
      <c r="D67" s="86"/>
      <c r="E67" s="97"/>
      <c r="F67" s="100" t="s">
        <v>182</v>
      </c>
      <c r="G67" s="47">
        <f>G68-G69</f>
        <v>0</v>
      </c>
    </row>
    <row r="68" spans="1:8" s="39" customFormat="1" ht="33" customHeight="1">
      <c r="A68" s="498" t="s">
        <v>214</v>
      </c>
      <c r="B68" s="499"/>
      <c r="C68" s="500"/>
      <c r="D68" s="86"/>
      <c r="F68" s="100" t="s">
        <v>50</v>
      </c>
      <c r="G68" s="47">
        <f>D73*ERFs!B$57</f>
        <v>0</v>
      </c>
    </row>
    <row r="69" spans="1:8" s="39" customFormat="1" ht="33" customHeight="1">
      <c r="A69" s="498" t="s">
        <v>219</v>
      </c>
      <c r="B69" s="499"/>
      <c r="C69" s="500"/>
      <c r="D69" s="119">
        <f>IFERROR(D68/D67,0)</f>
        <v>0</v>
      </c>
      <c r="F69" s="100" t="s">
        <v>47</v>
      </c>
      <c r="G69" s="47">
        <f>(D73-(D73*D69)*(IF(D74=LISTS!A$9,ERFs!B$25,IF(D74=LISTS!A$10,ERFs!B$26,IF(D74=LISTS!A$11,ERFs!B$27,IF(D74=LISTS!A$12,ERFs!B$28,IF(D74=LISTS!A$13,ERFs!B$29,IF(D74=LISTS!A$14,ERFs!B$33,0))))))))*ERFs!B$57</f>
        <v>0</v>
      </c>
    </row>
    <row r="70" spans="1:8" s="39" customFormat="1" ht="33" customHeight="1">
      <c r="A70" s="481" t="s">
        <v>408</v>
      </c>
      <c r="B70" s="482"/>
      <c r="C70" s="483"/>
      <c r="D70" s="160"/>
      <c r="F70" s="103" t="s">
        <v>690</v>
      </c>
      <c r="G70" s="179"/>
    </row>
    <row r="71" spans="1:8" s="39" customFormat="1" ht="33" customHeight="1">
      <c r="A71" s="481" t="s">
        <v>407</v>
      </c>
      <c r="B71" s="482"/>
      <c r="C71" s="483"/>
      <c r="D71" s="160"/>
      <c r="F71" s="449" t="s">
        <v>635</v>
      </c>
    </row>
    <row r="72" spans="1:8" s="39" customFormat="1" ht="33" customHeight="1">
      <c r="A72" s="481" t="s">
        <v>370</v>
      </c>
      <c r="B72" s="482"/>
      <c r="C72" s="483"/>
      <c r="D72" s="47" t="str">
        <f>IF(D71="Class I", 50, IF(D71="Class II or III",60, IF(D71="Class IV or V", 80,"")))</f>
        <v/>
      </c>
      <c r="F72" s="463"/>
    </row>
    <row r="73" spans="1:8" s="39" customFormat="1" ht="33" customHeight="1">
      <c r="A73" s="498" t="s">
        <v>138</v>
      </c>
      <c r="B73" s="499"/>
      <c r="C73" s="500"/>
      <c r="D73" s="86"/>
      <c r="F73" s="451" t="s">
        <v>636</v>
      </c>
    </row>
    <row r="74" spans="1:8" s="39" customFormat="1" ht="33" customHeight="1">
      <c r="A74" s="498" t="s">
        <v>29</v>
      </c>
      <c r="B74" s="499"/>
      <c r="C74" s="500"/>
      <c r="D74" s="70"/>
      <c r="F74" s="450"/>
      <c r="G74" s="187"/>
      <c r="H74" s="187"/>
    </row>
    <row r="75" spans="1:8" s="39" customFormat="1" ht="33" customHeight="1">
      <c r="A75" s="495" t="s">
        <v>277</v>
      </c>
      <c r="B75" s="496"/>
      <c r="C75" s="497"/>
      <c r="D75" s="86"/>
      <c r="F75" s="187"/>
      <c r="G75" s="187"/>
      <c r="H75" s="187"/>
    </row>
    <row r="76" spans="1:8" s="40" customFormat="1" ht="33" customHeight="1">
      <c r="A76" s="498" t="s">
        <v>397</v>
      </c>
      <c r="B76" s="499"/>
      <c r="C76" s="500"/>
      <c r="D76" s="86"/>
      <c r="F76" s="399" t="s">
        <v>96</v>
      </c>
      <c r="G76" s="400">
        <f>(D76+D78+D80)</f>
        <v>0</v>
      </c>
      <c r="H76" s="401"/>
    </row>
    <row r="77" spans="1:8" s="40" customFormat="1" ht="33" customHeight="1">
      <c r="A77" s="498" t="s">
        <v>398</v>
      </c>
      <c r="B77" s="499"/>
      <c r="C77" s="500"/>
      <c r="D77" s="86"/>
      <c r="F77" s="399" t="s">
        <v>97</v>
      </c>
      <c r="G77" s="400" t="e">
        <f>D73*(IF(D74=[1]LISTS!$A$9,[1]ERFs!$B$25,IF(D74=[1]LISTS!$A$10,[1]ERFs!$B$26,IF(D74=[1]LISTS!$A$11,[1]ERFs!$B$27,IF(D74=[1]LISTS!$A$12,[1]ERFs!$B$28,IF(D74=[1]LISTS!$A$13,[1]ERFs!$B$29,IF(D74=[1]LISTS!$A$14,[1]ERFs!$B$34,0)))))))/[1]ERFs!$B$58*[1]ERFs!$B$62/[1]ERFs!$B$63</f>
        <v>#REF!</v>
      </c>
      <c r="H77" s="402" t="e">
        <f>(IF(G76=G77,"",IF(G76&lt;G77,"okay","error")))</f>
        <v>#REF!</v>
      </c>
    </row>
    <row r="78" spans="1:8" s="40" customFormat="1" ht="43.5" customHeight="1">
      <c r="A78" s="481" t="s">
        <v>399</v>
      </c>
      <c r="B78" s="482"/>
      <c r="C78" s="483"/>
      <c r="D78" s="86"/>
    </row>
    <row r="79" spans="1:8" s="40" customFormat="1" ht="48" customHeight="1">
      <c r="A79" s="481" t="s">
        <v>400</v>
      </c>
      <c r="B79" s="482"/>
      <c r="C79" s="483"/>
      <c r="D79" s="86"/>
      <c r="F79" s="41"/>
    </row>
    <row r="80" spans="1:8" s="40" customFormat="1" ht="45.75" customHeight="1">
      <c r="A80" s="481" t="s">
        <v>401</v>
      </c>
      <c r="B80" s="482"/>
      <c r="C80" s="483"/>
      <c r="D80" s="86"/>
      <c r="F80" s="41"/>
    </row>
    <row r="81" spans="1:8" s="40" customFormat="1" ht="45" customHeight="1">
      <c r="A81" s="481" t="s">
        <v>402</v>
      </c>
      <c r="B81" s="482"/>
      <c r="C81" s="483"/>
      <c r="D81" s="86"/>
      <c r="F81" s="41"/>
    </row>
    <row r="82" spans="1:8" s="40" customFormat="1" ht="30" customHeight="1">
      <c r="F82" s="41"/>
    </row>
    <row r="83" spans="1:8" s="32" customFormat="1" ht="18" customHeight="1">
      <c r="A83" s="501" t="s">
        <v>238</v>
      </c>
      <c r="B83" s="501"/>
      <c r="C83" s="501"/>
      <c r="D83" s="501"/>
      <c r="E83" s="501"/>
      <c r="F83" s="501"/>
      <c r="G83" s="501"/>
    </row>
    <row r="84" spans="1:8" ht="33" customHeight="1">
      <c r="A84" s="498" t="s">
        <v>216</v>
      </c>
      <c r="B84" s="499"/>
      <c r="C84" s="500"/>
      <c r="D84" s="86"/>
      <c r="E84" s="97"/>
      <c r="F84" s="100" t="s">
        <v>183</v>
      </c>
      <c r="G84" s="47">
        <f>G85-G86</f>
        <v>0</v>
      </c>
    </row>
    <row r="85" spans="1:8" s="39" customFormat="1" ht="33" customHeight="1">
      <c r="A85" s="498" t="s">
        <v>214</v>
      </c>
      <c r="B85" s="499"/>
      <c r="C85" s="500"/>
      <c r="D85" s="86"/>
      <c r="F85" s="100" t="s">
        <v>50</v>
      </c>
      <c r="G85" s="47">
        <f>D90*ERFs!B$57</f>
        <v>0</v>
      </c>
    </row>
    <row r="86" spans="1:8" s="39" customFormat="1" ht="33" customHeight="1">
      <c r="A86" s="498" t="s">
        <v>219</v>
      </c>
      <c r="B86" s="499"/>
      <c r="C86" s="500"/>
      <c r="D86" s="119">
        <f>IFERROR(D85/D84,0)</f>
        <v>0</v>
      </c>
      <c r="F86" s="100" t="s">
        <v>47</v>
      </c>
      <c r="G86" s="47">
        <f>(D90-(D90*D86)*(IF(D91=LISTS!A$9,ERFs!B$25,IF(D91=LISTS!A$10,ERFs!B$26,IF(D91=LISTS!A$11,ERFs!B$27,IF(D91=LISTS!A$12,ERFs!B$28,IF(D91=LISTS!A$13,ERFs!B$29,IF(D91=LISTS!A$14,ERFs!B$34,0))))))))*ERFs!B$57</f>
        <v>0</v>
      </c>
    </row>
    <row r="87" spans="1:8" s="39" customFormat="1" ht="33" customHeight="1">
      <c r="A87" s="481" t="s">
        <v>408</v>
      </c>
      <c r="B87" s="482"/>
      <c r="C87" s="483"/>
      <c r="D87" s="160"/>
      <c r="F87" s="103" t="s">
        <v>690</v>
      </c>
      <c r="G87" s="179"/>
    </row>
    <row r="88" spans="1:8" s="39" customFormat="1" ht="33" customHeight="1">
      <c r="A88" s="481" t="s">
        <v>407</v>
      </c>
      <c r="B88" s="482"/>
      <c r="C88" s="483"/>
      <c r="D88" s="160"/>
      <c r="F88" s="449" t="s">
        <v>635</v>
      </c>
    </row>
    <row r="89" spans="1:8" s="39" customFormat="1" ht="33" customHeight="1">
      <c r="A89" s="481" t="s">
        <v>370</v>
      </c>
      <c r="B89" s="482"/>
      <c r="C89" s="483"/>
      <c r="D89" s="47" t="str">
        <f>IF(D88="Class I", 50, IF(D88="Class II or III",60, IF(D88="Class IV or V", 80,"")))</f>
        <v/>
      </c>
      <c r="F89" s="463"/>
    </row>
    <row r="90" spans="1:8" s="39" customFormat="1" ht="33" customHeight="1">
      <c r="A90" s="498" t="s">
        <v>138</v>
      </c>
      <c r="B90" s="499"/>
      <c r="C90" s="500"/>
      <c r="D90" s="86"/>
      <c r="F90" s="451" t="s">
        <v>636</v>
      </c>
    </row>
    <row r="91" spans="1:8" s="39" customFormat="1" ht="33" customHeight="1">
      <c r="A91" s="498" t="s">
        <v>29</v>
      </c>
      <c r="B91" s="499"/>
      <c r="C91" s="500"/>
      <c r="D91" s="70"/>
      <c r="F91" s="450"/>
      <c r="G91" s="187"/>
      <c r="H91" s="187"/>
    </row>
    <row r="92" spans="1:8" s="39" customFormat="1" ht="33" customHeight="1">
      <c r="A92" s="495" t="s">
        <v>277</v>
      </c>
      <c r="B92" s="496"/>
      <c r="C92" s="497"/>
      <c r="D92" s="86"/>
      <c r="F92" s="187"/>
      <c r="G92" s="187"/>
      <c r="H92" s="187"/>
    </row>
    <row r="93" spans="1:8" s="40" customFormat="1" ht="33" customHeight="1">
      <c r="A93" s="498" t="s">
        <v>397</v>
      </c>
      <c r="B93" s="499"/>
      <c r="C93" s="500"/>
      <c r="D93" s="86"/>
      <c r="F93" s="399" t="s">
        <v>96</v>
      </c>
      <c r="G93" s="400">
        <f>(D93+D95+D97)</f>
        <v>0</v>
      </c>
      <c r="H93" s="401"/>
    </row>
    <row r="94" spans="1:8" s="40" customFormat="1" ht="33" customHeight="1">
      <c r="A94" s="498" t="s">
        <v>398</v>
      </c>
      <c r="B94" s="499"/>
      <c r="C94" s="500"/>
      <c r="D94" s="86"/>
      <c r="F94" s="399" t="s">
        <v>97</v>
      </c>
      <c r="G94" s="400" t="e">
        <f>D90*(IF(D91=[1]LISTS!$A$9,[1]ERFs!$B$25,IF(D91=[1]LISTS!$A$10,[1]ERFs!$B$26,IF(D91=[1]LISTS!$A$11,[1]ERFs!$B$27,IF(D91=[1]LISTS!$A$12,[1]ERFs!$B$28,IF(D91=[1]LISTS!$A$13,[1]ERFs!$B$29,IF(D91=[1]LISTS!$A$14,[1]ERFs!$B$34,0)))))))/[1]ERFs!$B$58*[1]ERFs!$B$62/[1]ERFs!$B$63</f>
        <v>#REF!</v>
      </c>
      <c r="H94" s="402" t="e">
        <f>(IF(G93=G94,"",IF(G93&lt;G94,"okay","error")))</f>
        <v>#REF!</v>
      </c>
    </row>
    <row r="95" spans="1:8" s="40" customFormat="1" ht="46.5" customHeight="1">
      <c r="A95" s="481" t="s">
        <v>399</v>
      </c>
      <c r="B95" s="482"/>
      <c r="C95" s="483"/>
      <c r="D95" s="86"/>
    </row>
    <row r="96" spans="1:8" s="40" customFormat="1" ht="43.5" customHeight="1">
      <c r="A96" s="481" t="s">
        <v>400</v>
      </c>
      <c r="B96" s="482"/>
      <c r="C96" s="483"/>
      <c r="D96" s="86"/>
      <c r="F96" s="41"/>
    </row>
    <row r="97" spans="1:12" s="40" customFormat="1" ht="48.75" customHeight="1">
      <c r="A97" s="481" t="s">
        <v>401</v>
      </c>
      <c r="B97" s="482"/>
      <c r="C97" s="483"/>
      <c r="D97" s="86"/>
      <c r="F97" s="41"/>
    </row>
    <row r="98" spans="1:12" s="40" customFormat="1" ht="50.25" customHeight="1">
      <c r="A98" s="481" t="s">
        <v>402</v>
      </c>
      <c r="B98" s="482"/>
      <c r="C98" s="483"/>
      <c r="D98" s="86"/>
      <c r="F98" s="41"/>
    </row>
    <row r="99" spans="1:12" s="40" customFormat="1" ht="30" customHeight="1">
      <c r="F99" s="41"/>
    </row>
    <row r="100" spans="1:12" ht="16">
      <c r="A100" s="501" t="s">
        <v>312</v>
      </c>
      <c r="B100" s="501"/>
      <c r="C100" s="501"/>
      <c r="D100" s="501"/>
      <c r="E100" s="501"/>
      <c r="F100" s="501"/>
      <c r="G100" s="501"/>
    </row>
    <row r="101" spans="1:12" ht="45" customHeight="1">
      <c r="A101" s="498" t="s">
        <v>216</v>
      </c>
      <c r="B101" s="499"/>
      <c r="C101" s="500"/>
      <c r="D101" s="86"/>
      <c r="E101" s="97"/>
      <c r="F101" s="100" t="s">
        <v>337</v>
      </c>
      <c r="G101" s="47">
        <f>G102-G103</f>
        <v>0</v>
      </c>
    </row>
    <row r="102" spans="1:12" ht="45" customHeight="1">
      <c r="A102" s="498" t="s">
        <v>214</v>
      </c>
      <c r="B102" s="499"/>
      <c r="C102" s="500"/>
      <c r="D102" s="86"/>
      <c r="E102" s="39"/>
      <c r="F102" s="100" t="s">
        <v>50</v>
      </c>
      <c r="G102" s="47">
        <f>D107*ERFs!B$57</f>
        <v>0</v>
      </c>
    </row>
    <row r="103" spans="1:12" ht="45" customHeight="1">
      <c r="A103" s="498" t="s">
        <v>219</v>
      </c>
      <c r="B103" s="499"/>
      <c r="C103" s="500"/>
      <c r="D103" s="119">
        <f>IFERROR(D102/D101,0)</f>
        <v>0</v>
      </c>
      <c r="E103" s="39"/>
      <c r="F103" s="100" t="s">
        <v>47</v>
      </c>
      <c r="G103" s="47">
        <f>(D107-(D107*D103)*(IF(D108=LISTS!A$9,ERFs!B$25,IF(D108=LISTS!A$10,ERFs!B$26,IF(D108=LISTS!A$11,ERFs!B$27,IF(D108=LISTS!A$12,ERFs!B$28,IF(D108=LISTS!A$13,ERFs!B$29,IF(D108=LISTS!A$14,ERFs!B$34,0))))))))*ERFs!B$57</f>
        <v>0</v>
      </c>
    </row>
    <row r="104" spans="1:12" ht="45" customHeight="1">
      <c r="A104" s="481" t="s">
        <v>408</v>
      </c>
      <c r="B104" s="482"/>
      <c r="C104" s="483"/>
      <c r="D104" s="160"/>
      <c r="E104" s="39"/>
      <c r="F104" s="103" t="s">
        <v>690</v>
      </c>
      <c r="G104" s="179"/>
      <c r="H104" s="39"/>
      <c r="I104" s="39"/>
      <c r="J104" s="39"/>
      <c r="K104" s="39"/>
      <c r="L104" s="39"/>
    </row>
    <row r="105" spans="1:12" ht="45" customHeight="1">
      <c r="A105" s="481" t="s">
        <v>407</v>
      </c>
      <c r="B105" s="482"/>
      <c r="C105" s="483"/>
      <c r="D105" s="160"/>
      <c r="E105" s="39"/>
      <c r="F105" s="449" t="s">
        <v>635</v>
      </c>
      <c r="G105" s="39"/>
      <c r="H105" s="39"/>
      <c r="I105" s="39"/>
      <c r="J105" s="39"/>
    </row>
    <row r="106" spans="1:12" ht="45" customHeight="1">
      <c r="A106" s="481" t="s">
        <v>370</v>
      </c>
      <c r="B106" s="482"/>
      <c r="C106" s="483"/>
      <c r="D106" s="47" t="str">
        <f>IF(D105="Class I", 50, IF(D105="Class II or III",60, IF(D105="Class IV or V", 80,"")))</f>
        <v/>
      </c>
      <c r="E106" s="39"/>
      <c r="F106" s="463"/>
      <c r="G106" s="39"/>
      <c r="H106" s="39"/>
      <c r="I106" s="39"/>
      <c r="J106" s="39"/>
    </row>
    <row r="107" spans="1:12" ht="45" customHeight="1">
      <c r="A107" s="498" t="s">
        <v>138</v>
      </c>
      <c r="B107" s="499"/>
      <c r="C107" s="500"/>
      <c r="D107" s="86"/>
      <c r="E107" s="39"/>
      <c r="F107" s="451" t="s">
        <v>636</v>
      </c>
      <c r="G107" s="39"/>
      <c r="H107" s="39"/>
      <c r="I107" s="39"/>
      <c r="J107" s="39"/>
    </row>
    <row r="108" spans="1:12" ht="45" customHeight="1">
      <c r="A108" s="498" t="s">
        <v>29</v>
      </c>
      <c r="B108" s="499"/>
      <c r="C108" s="500"/>
      <c r="D108" s="70"/>
      <c r="E108" s="39"/>
      <c r="F108" s="450"/>
      <c r="G108" s="187"/>
      <c r="H108" s="187"/>
      <c r="I108" s="39"/>
      <c r="J108" s="39"/>
    </row>
    <row r="109" spans="1:12" ht="45" customHeight="1">
      <c r="A109" s="495" t="s">
        <v>277</v>
      </c>
      <c r="B109" s="496"/>
      <c r="C109" s="497"/>
      <c r="D109" s="86"/>
      <c r="E109" s="39"/>
      <c r="F109" s="187"/>
      <c r="G109" s="187"/>
      <c r="H109" s="187"/>
      <c r="I109" s="39"/>
      <c r="J109" s="39"/>
    </row>
    <row r="110" spans="1:12" ht="45" customHeight="1">
      <c r="A110" s="498" t="s">
        <v>397</v>
      </c>
      <c r="B110" s="499"/>
      <c r="C110" s="500"/>
      <c r="D110" s="86"/>
      <c r="E110" s="40"/>
      <c r="F110" s="399" t="s">
        <v>96</v>
      </c>
      <c r="G110" s="400">
        <f>(D110+D112+D114)</f>
        <v>0</v>
      </c>
      <c r="H110" s="401"/>
      <c r="I110" s="40"/>
      <c r="J110" s="40"/>
    </row>
    <row r="111" spans="1:12" ht="45" customHeight="1">
      <c r="A111" s="498" t="s">
        <v>398</v>
      </c>
      <c r="B111" s="499"/>
      <c r="C111" s="500"/>
      <c r="D111" s="86"/>
      <c r="E111" s="40"/>
      <c r="F111" s="399" t="s">
        <v>97</v>
      </c>
      <c r="G111" s="400" t="e">
        <f>D107*(IF(D108=[1]LISTS!$A$9,[1]ERFs!$B$25,IF(D108=[1]LISTS!$A$10,[1]ERFs!$B$26,IF(D108=[1]LISTS!$A$11,[1]ERFs!$B$27,IF(D108=[1]LISTS!$A$12,[1]ERFs!$B$28,IF(D108=[1]LISTS!$A$13,[1]ERFs!$B$29,IF(D108=[1]LISTS!$A$14,[1]ERFs!$B$34,0)))))))/[1]ERFs!$B$58*[1]ERFs!$B$62/[1]ERFs!$B$63</f>
        <v>#REF!</v>
      </c>
      <c r="H111" s="402" t="e">
        <f>(IF(G110=G111,"",IF(G110&lt;G111,"okay","error")))</f>
        <v>#REF!</v>
      </c>
      <c r="I111" s="40"/>
      <c r="J111" s="40"/>
    </row>
    <row r="112" spans="1:12" ht="45" customHeight="1">
      <c r="A112" s="481" t="s">
        <v>399</v>
      </c>
      <c r="B112" s="482"/>
      <c r="C112" s="483"/>
      <c r="D112" s="86"/>
      <c r="E112" s="40"/>
      <c r="F112" s="40"/>
      <c r="G112" s="40"/>
      <c r="H112" s="40"/>
      <c r="I112" s="40"/>
      <c r="J112" s="40"/>
      <c r="K112" s="40"/>
      <c r="L112" s="40"/>
    </row>
    <row r="113" spans="1:12" ht="45" customHeight="1">
      <c r="A113" s="481" t="s">
        <v>400</v>
      </c>
      <c r="B113" s="482"/>
      <c r="C113" s="483"/>
      <c r="D113" s="86"/>
      <c r="E113" s="40"/>
      <c r="F113" s="41"/>
      <c r="G113" s="40"/>
      <c r="H113" s="40"/>
      <c r="I113" s="40"/>
      <c r="J113" s="40"/>
      <c r="K113" s="40"/>
      <c r="L113" s="40"/>
    </row>
    <row r="114" spans="1:12" ht="45" customHeight="1">
      <c r="A114" s="481" t="s">
        <v>401</v>
      </c>
      <c r="B114" s="482"/>
      <c r="C114" s="483"/>
      <c r="D114" s="86"/>
      <c r="E114" s="40"/>
      <c r="F114" s="41"/>
      <c r="G114" s="40"/>
      <c r="H114" s="40"/>
      <c r="I114" s="40"/>
      <c r="J114" s="40"/>
      <c r="K114" s="40"/>
      <c r="L114" s="40"/>
    </row>
    <row r="115" spans="1:12" ht="45" customHeight="1">
      <c r="A115" s="481" t="s">
        <v>402</v>
      </c>
      <c r="B115" s="482"/>
      <c r="C115" s="483"/>
      <c r="D115" s="86"/>
      <c r="E115" s="40"/>
      <c r="F115" s="41"/>
      <c r="G115" s="40"/>
      <c r="H115" s="40"/>
      <c r="I115" s="40"/>
      <c r="J115" s="40"/>
      <c r="K115" s="40"/>
      <c r="L115" s="40"/>
    </row>
    <row r="116" spans="1:12">
      <c r="A116" s="40"/>
      <c r="B116" s="40"/>
      <c r="C116" s="40"/>
      <c r="D116" s="40"/>
      <c r="E116" s="40"/>
      <c r="F116" s="41"/>
      <c r="G116" s="40"/>
    </row>
    <row r="117" spans="1:12" ht="16">
      <c r="A117" s="501" t="s">
        <v>313</v>
      </c>
      <c r="B117" s="501"/>
      <c r="C117" s="501"/>
      <c r="D117" s="501"/>
      <c r="E117" s="501"/>
      <c r="F117" s="501"/>
      <c r="G117" s="501"/>
    </row>
    <row r="118" spans="1:12" ht="45" customHeight="1">
      <c r="A118" s="498" t="s">
        <v>216</v>
      </c>
      <c r="B118" s="499"/>
      <c r="C118" s="500"/>
      <c r="D118" s="86"/>
      <c r="E118" s="97"/>
      <c r="F118" s="100" t="s">
        <v>338</v>
      </c>
      <c r="G118" s="47">
        <f>G119-G120</f>
        <v>0</v>
      </c>
    </row>
    <row r="119" spans="1:12" ht="45" customHeight="1">
      <c r="A119" s="498" t="s">
        <v>214</v>
      </c>
      <c r="B119" s="499"/>
      <c r="C119" s="500"/>
      <c r="D119" s="86"/>
      <c r="E119" s="39"/>
      <c r="F119" s="100" t="s">
        <v>50</v>
      </c>
      <c r="G119" s="47">
        <f>D124*ERFs!B$57</f>
        <v>0</v>
      </c>
    </row>
    <row r="120" spans="1:12" ht="45" customHeight="1">
      <c r="A120" s="498" t="s">
        <v>219</v>
      </c>
      <c r="B120" s="499"/>
      <c r="C120" s="500"/>
      <c r="D120" s="119">
        <f>IFERROR(D119/D118,0)</f>
        <v>0</v>
      </c>
      <c r="E120" s="39"/>
      <c r="F120" s="100" t="s">
        <v>47</v>
      </c>
      <c r="G120" s="47">
        <f>(D124-(D124*D120)*(IF(D125=LISTS!A$9,ERFs!B$25,IF(D125=LISTS!A$10,ERFs!B$26,IF(D125=LISTS!A$11,ERFs!B$27,IF(D125=LISTS!A$12,ERFs!B$28,IF(D125=LISTS!A$13,ERFs!B$29,IF(D125=LISTS!A$14,ERFs!B$34,0))))))))*ERFs!B$57</f>
        <v>0</v>
      </c>
    </row>
    <row r="121" spans="1:12" ht="45" customHeight="1">
      <c r="A121" s="481" t="s">
        <v>408</v>
      </c>
      <c r="B121" s="482"/>
      <c r="C121" s="483"/>
      <c r="D121" s="160"/>
      <c r="E121" s="39"/>
      <c r="F121" s="103" t="s">
        <v>690</v>
      </c>
      <c r="G121" s="179"/>
      <c r="H121" s="39"/>
      <c r="I121" s="39"/>
      <c r="J121" s="39"/>
      <c r="K121" s="39"/>
      <c r="L121" s="39"/>
    </row>
    <row r="122" spans="1:12" ht="45" customHeight="1">
      <c r="A122" s="481" t="s">
        <v>407</v>
      </c>
      <c r="B122" s="482"/>
      <c r="C122" s="483"/>
      <c r="D122" s="160"/>
      <c r="E122" s="39"/>
      <c r="F122" s="449" t="s">
        <v>635</v>
      </c>
      <c r="G122" s="39"/>
      <c r="H122" s="39"/>
      <c r="I122" s="39"/>
      <c r="J122" s="39"/>
    </row>
    <row r="123" spans="1:12" ht="45" customHeight="1">
      <c r="A123" s="481" t="s">
        <v>370</v>
      </c>
      <c r="B123" s="482"/>
      <c r="C123" s="483"/>
      <c r="D123" s="47" t="str">
        <f>IF(D122="Class I", 50, IF(D122="Class II or III",60, IF(D122="Class IV or V", 80,"")))</f>
        <v/>
      </c>
      <c r="E123" s="39"/>
      <c r="F123" s="463"/>
      <c r="G123" s="39"/>
      <c r="H123" s="39"/>
      <c r="I123" s="39"/>
      <c r="J123" s="39"/>
    </row>
    <row r="124" spans="1:12" ht="45" customHeight="1">
      <c r="A124" s="498" t="s">
        <v>138</v>
      </c>
      <c r="B124" s="499"/>
      <c r="C124" s="500"/>
      <c r="D124" s="86"/>
      <c r="E124" s="39"/>
      <c r="F124" s="451" t="s">
        <v>636</v>
      </c>
      <c r="G124" s="39"/>
      <c r="H124" s="39"/>
      <c r="I124" s="39"/>
      <c r="J124" s="39"/>
    </row>
    <row r="125" spans="1:12" ht="45" customHeight="1">
      <c r="A125" s="498" t="s">
        <v>29</v>
      </c>
      <c r="B125" s="499"/>
      <c r="C125" s="500"/>
      <c r="D125" s="70"/>
      <c r="E125" s="39"/>
      <c r="F125" s="450"/>
      <c r="G125" s="187"/>
      <c r="H125" s="187"/>
      <c r="I125" s="39"/>
      <c r="J125" s="39"/>
    </row>
    <row r="126" spans="1:12" ht="45" customHeight="1">
      <c r="A126" s="495" t="s">
        <v>277</v>
      </c>
      <c r="B126" s="496"/>
      <c r="C126" s="497"/>
      <c r="D126" s="86"/>
      <c r="E126" s="39"/>
      <c r="F126" s="187"/>
      <c r="G126" s="187"/>
      <c r="H126" s="187"/>
      <c r="I126" s="39"/>
      <c r="J126" s="39"/>
    </row>
    <row r="127" spans="1:12" ht="45" customHeight="1">
      <c r="A127" s="498" t="s">
        <v>397</v>
      </c>
      <c r="B127" s="499"/>
      <c r="C127" s="500"/>
      <c r="D127" s="86"/>
      <c r="E127" s="40"/>
      <c r="F127" s="399" t="s">
        <v>96</v>
      </c>
      <c r="G127" s="400">
        <f>(D127+D129+D131)</f>
        <v>0</v>
      </c>
      <c r="H127" s="401"/>
      <c r="I127" s="40"/>
      <c r="J127" s="40"/>
    </row>
    <row r="128" spans="1:12" ht="45" customHeight="1">
      <c r="A128" s="498" t="s">
        <v>398</v>
      </c>
      <c r="B128" s="499"/>
      <c r="C128" s="500"/>
      <c r="D128" s="86"/>
      <c r="E128" s="40"/>
      <c r="F128" s="399" t="s">
        <v>97</v>
      </c>
      <c r="G128" s="400" t="e">
        <f>D124*(IF(D125=[1]LISTS!$A$9,[1]ERFs!$B$25,IF(D125=[1]LISTS!$A$10,[1]ERFs!$B$26,IF(D125=[1]LISTS!$A$11,[1]ERFs!$B$27,IF(D125=[1]LISTS!$A$12,[1]ERFs!$B$28,IF(D125=[1]LISTS!$A$13,[1]ERFs!$B$29,IF(D125=[1]LISTS!$A$14,[1]ERFs!$B$34,0)))))))/[1]ERFs!$B$58*[1]ERFs!$B$62/[1]ERFs!$B$63</f>
        <v>#REF!</v>
      </c>
      <c r="H128" s="402" t="e">
        <f>(IF(G127=G128,"",IF(G127&lt;G128,"okay","error")))</f>
        <v>#REF!</v>
      </c>
      <c r="I128" s="40"/>
      <c r="J128" s="40"/>
    </row>
    <row r="129" spans="1:12" ht="45" customHeight="1">
      <c r="A129" s="481" t="s">
        <v>399</v>
      </c>
      <c r="B129" s="482"/>
      <c r="C129" s="483"/>
      <c r="D129" s="86"/>
      <c r="E129" s="40"/>
      <c r="F129" s="40"/>
      <c r="G129" s="40"/>
      <c r="H129" s="40"/>
      <c r="I129" s="40"/>
      <c r="J129" s="40"/>
      <c r="K129" s="40"/>
      <c r="L129" s="40"/>
    </row>
    <row r="130" spans="1:12" ht="45" customHeight="1">
      <c r="A130" s="481" t="s">
        <v>400</v>
      </c>
      <c r="B130" s="482"/>
      <c r="C130" s="483"/>
      <c r="D130" s="86"/>
      <c r="E130" s="40"/>
      <c r="F130" s="41"/>
      <c r="G130" s="40"/>
      <c r="H130" s="40"/>
      <c r="I130" s="40"/>
      <c r="J130" s="40"/>
      <c r="K130" s="40"/>
      <c r="L130" s="40"/>
    </row>
    <row r="131" spans="1:12" ht="45" customHeight="1">
      <c r="A131" s="481" t="s">
        <v>401</v>
      </c>
      <c r="B131" s="482"/>
      <c r="C131" s="483"/>
      <c r="D131" s="86"/>
      <c r="E131" s="40"/>
      <c r="F131" s="41"/>
      <c r="G131" s="40"/>
      <c r="H131" s="40"/>
      <c r="I131" s="40"/>
      <c r="J131" s="40"/>
      <c r="K131" s="40"/>
      <c r="L131" s="40"/>
    </row>
    <row r="132" spans="1:12" ht="45" customHeight="1">
      <c r="A132" s="481" t="s">
        <v>402</v>
      </c>
      <c r="B132" s="482"/>
      <c r="C132" s="483"/>
      <c r="D132" s="86"/>
      <c r="E132" s="40"/>
      <c r="F132" s="41"/>
      <c r="G132" s="40"/>
      <c r="H132" s="40"/>
      <c r="I132" s="40"/>
      <c r="J132" s="40"/>
      <c r="K132" s="40"/>
      <c r="L132" s="40"/>
    </row>
    <row r="133" spans="1:12">
      <c r="A133" s="40"/>
      <c r="B133" s="40"/>
      <c r="C133" s="40"/>
      <c r="D133" s="40"/>
      <c r="E133" s="40"/>
      <c r="F133" s="41"/>
      <c r="G133" s="40"/>
    </row>
    <row r="134" spans="1:12" ht="16">
      <c r="A134" s="501" t="s">
        <v>314</v>
      </c>
      <c r="B134" s="501"/>
      <c r="C134" s="501"/>
      <c r="D134" s="501"/>
      <c r="E134" s="501"/>
      <c r="F134" s="501"/>
      <c r="G134" s="501"/>
    </row>
    <row r="135" spans="1:12" ht="45" customHeight="1">
      <c r="A135" s="498" t="s">
        <v>216</v>
      </c>
      <c r="B135" s="499"/>
      <c r="C135" s="500"/>
      <c r="D135" s="86"/>
      <c r="E135" s="97"/>
      <c r="F135" s="100" t="s">
        <v>339</v>
      </c>
      <c r="G135" s="47">
        <f>G136-G137</f>
        <v>0</v>
      </c>
    </row>
    <row r="136" spans="1:12" ht="45" customHeight="1">
      <c r="A136" s="498" t="s">
        <v>214</v>
      </c>
      <c r="B136" s="499"/>
      <c r="C136" s="500"/>
      <c r="D136" s="86"/>
      <c r="E136" s="39"/>
      <c r="F136" s="100" t="s">
        <v>50</v>
      </c>
      <c r="G136" s="47">
        <f>D141*ERFs!B$57</f>
        <v>0</v>
      </c>
    </row>
    <row r="137" spans="1:12" ht="45" customHeight="1">
      <c r="A137" s="498" t="s">
        <v>219</v>
      </c>
      <c r="B137" s="499"/>
      <c r="C137" s="500"/>
      <c r="D137" s="119">
        <f>IFERROR(D136/D135,0)</f>
        <v>0</v>
      </c>
      <c r="E137" s="39"/>
      <c r="F137" s="100" t="s">
        <v>47</v>
      </c>
      <c r="G137" s="47">
        <f>(D141-(D141*D137)*(IF(D142=LISTS!A$9,ERFs!B$25,IF(D142=LISTS!A$10,ERFs!B$26,IF(D142=LISTS!A$11,ERFs!B$27,IF(D142=LISTS!A$12,ERFs!B$28,IF(D142=LISTS!A$13,ERFs!B$29,IF(D142=LISTS!A$14,ERFs!B$34,0))))))))*ERFs!B$57</f>
        <v>0</v>
      </c>
    </row>
    <row r="138" spans="1:12" ht="45" customHeight="1">
      <c r="A138" s="481" t="s">
        <v>408</v>
      </c>
      <c r="B138" s="482"/>
      <c r="C138" s="483"/>
      <c r="D138" s="160"/>
      <c r="E138" s="39"/>
      <c r="F138" s="103" t="s">
        <v>690</v>
      </c>
      <c r="G138" s="179"/>
      <c r="H138" s="39"/>
      <c r="I138" s="39"/>
      <c r="J138" s="39"/>
      <c r="K138" s="39"/>
      <c r="L138" s="39"/>
    </row>
    <row r="139" spans="1:12" ht="45" customHeight="1">
      <c r="A139" s="481" t="s">
        <v>407</v>
      </c>
      <c r="B139" s="482"/>
      <c r="C139" s="483"/>
      <c r="D139" s="160"/>
      <c r="E139" s="39"/>
      <c r="F139" s="449" t="s">
        <v>635</v>
      </c>
      <c r="G139" s="39"/>
      <c r="H139" s="39"/>
      <c r="I139" s="39"/>
      <c r="J139" s="39"/>
    </row>
    <row r="140" spans="1:12" ht="45" customHeight="1">
      <c r="A140" s="481" t="s">
        <v>370</v>
      </c>
      <c r="B140" s="482"/>
      <c r="C140" s="483"/>
      <c r="D140" s="47" t="str">
        <f>IF(D139="Class I", 50, IF(D139="Class II or III",60, IF(D139="Class IV or V", 80,"")))</f>
        <v/>
      </c>
      <c r="E140" s="39"/>
      <c r="F140" s="463"/>
      <c r="G140" s="39"/>
      <c r="H140" s="39"/>
      <c r="I140" s="39"/>
      <c r="J140" s="39"/>
    </row>
    <row r="141" spans="1:12" ht="45" customHeight="1">
      <c r="A141" s="498" t="s">
        <v>138</v>
      </c>
      <c r="B141" s="499"/>
      <c r="C141" s="500"/>
      <c r="D141" s="86"/>
      <c r="E141" s="39"/>
      <c r="F141" s="451" t="s">
        <v>636</v>
      </c>
      <c r="G141" s="39"/>
      <c r="H141" s="39"/>
      <c r="I141" s="39"/>
      <c r="J141" s="39"/>
    </row>
    <row r="142" spans="1:12" ht="45" customHeight="1">
      <c r="A142" s="498" t="s">
        <v>29</v>
      </c>
      <c r="B142" s="499"/>
      <c r="C142" s="500"/>
      <c r="D142" s="70"/>
      <c r="E142" s="39"/>
      <c r="F142" s="450"/>
      <c r="G142" s="187"/>
      <c r="H142" s="187"/>
      <c r="I142" s="39"/>
      <c r="J142" s="39"/>
    </row>
    <row r="143" spans="1:12" ht="45" customHeight="1">
      <c r="A143" s="495" t="s">
        <v>277</v>
      </c>
      <c r="B143" s="496"/>
      <c r="C143" s="497"/>
      <c r="D143" s="86"/>
      <c r="E143" s="39"/>
      <c r="F143" s="187"/>
      <c r="G143" s="187"/>
      <c r="H143" s="187"/>
      <c r="I143" s="39"/>
      <c r="J143" s="39"/>
    </row>
    <row r="144" spans="1:12" ht="45" customHeight="1">
      <c r="A144" s="498" t="s">
        <v>397</v>
      </c>
      <c r="B144" s="499"/>
      <c r="C144" s="500"/>
      <c r="D144" s="86"/>
      <c r="E144" s="40"/>
      <c r="F144" s="399" t="s">
        <v>96</v>
      </c>
      <c r="G144" s="400">
        <f>(D144+D146+D148)</f>
        <v>0</v>
      </c>
      <c r="H144" s="401"/>
      <c r="I144" s="40"/>
      <c r="J144" s="40"/>
    </row>
    <row r="145" spans="1:12" ht="45" customHeight="1">
      <c r="A145" s="498" t="s">
        <v>398</v>
      </c>
      <c r="B145" s="499"/>
      <c r="C145" s="500"/>
      <c r="D145" s="86"/>
      <c r="E145" s="40"/>
      <c r="F145" s="399" t="s">
        <v>97</v>
      </c>
      <c r="G145" s="400" t="e">
        <f>D141*(IF(D142=[1]LISTS!$A$9,[1]ERFs!$B$25,IF(D142=[1]LISTS!$A$10,[1]ERFs!$B$26,IF(D142=[1]LISTS!$A$11,[1]ERFs!$B$27,IF(D142=[1]LISTS!$A$12,[1]ERFs!$B$28,IF(D142=[1]LISTS!$A$13,[1]ERFs!$B$29,IF(D142=[1]LISTS!$A$14,[1]ERFs!$B$34,0)))))))/[1]ERFs!$B$58*[1]ERFs!$B$62/[1]ERFs!$B$63</f>
        <v>#REF!</v>
      </c>
      <c r="H145" s="402" t="e">
        <f>(IF(G144=G145,"",IF(G144&lt;G145,"okay","error")))</f>
        <v>#REF!</v>
      </c>
      <c r="I145" s="40"/>
      <c r="J145" s="40"/>
    </row>
    <row r="146" spans="1:12" ht="45" customHeight="1">
      <c r="A146" s="481" t="s">
        <v>399</v>
      </c>
      <c r="B146" s="482"/>
      <c r="C146" s="483"/>
      <c r="D146" s="86"/>
      <c r="E146" s="40"/>
      <c r="F146" s="40"/>
      <c r="G146" s="40"/>
      <c r="H146" s="40"/>
      <c r="I146" s="40"/>
      <c r="J146" s="40"/>
    </row>
    <row r="147" spans="1:12" ht="45" customHeight="1">
      <c r="A147" s="481" t="s">
        <v>400</v>
      </c>
      <c r="B147" s="482"/>
      <c r="C147" s="483"/>
      <c r="D147" s="86"/>
      <c r="E147" s="40"/>
      <c r="F147" s="41"/>
      <c r="G147" s="40"/>
      <c r="H147" s="40"/>
      <c r="I147" s="40"/>
      <c r="J147" s="40"/>
      <c r="K147" s="40"/>
      <c r="L147" s="40"/>
    </row>
    <row r="148" spans="1:12" ht="45" customHeight="1">
      <c r="A148" s="481" t="s">
        <v>401</v>
      </c>
      <c r="B148" s="482"/>
      <c r="C148" s="483"/>
      <c r="D148" s="86"/>
      <c r="E148" s="40"/>
      <c r="F148" s="41"/>
      <c r="G148" s="40"/>
      <c r="H148" s="40"/>
      <c r="I148" s="40"/>
      <c r="J148" s="40"/>
      <c r="K148" s="40"/>
      <c r="L148" s="40"/>
    </row>
    <row r="149" spans="1:12" ht="45" customHeight="1">
      <c r="A149" s="481" t="s">
        <v>402</v>
      </c>
      <c r="B149" s="482"/>
      <c r="C149" s="483"/>
      <c r="D149" s="86"/>
      <c r="E149" s="40"/>
      <c r="F149" s="41"/>
      <c r="G149" s="40"/>
      <c r="H149" s="40"/>
      <c r="I149" s="40"/>
      <c r="J149" s="40"/>
      <c r="K149" s="40"/>
      <c r="L149" s="40"/>
    </row>
    <row r="150" spans="1:12">
      <c r="A150" s="40"/>
      <c r="B150" s="40"/>
      <c r="C150" s="40"/>
      <c r="D150" s="40"/>
      <c r="E150" s="40"/>
      <c r="F150" s="41"/>
      <c r="G150" s="40"/>
    </row>
    <row r="151" spans="1:12" ht="16">
      <c r="A151" s="501" t="s">
        <v>315</v>
      </c>
      <c r="B151" s="501"/>
      <c r="C151" s="501"/>
      <c r="D151" s="501"/>
      <c r="E151" s="501"/>
      <c r="F151" s="501"/>
      <c r="G151" s="501"/>
    </row>
    <row r="152" spans="1:12" ht="45" customHeight="1">
      <c r="A152" s="498" t="s">
        <v>216</v>
      </c>
      <c r="B152" s="499"/>
      <c r="C152" s="500"/>
      <c r="D152" s="86"/>
      <c r="E152" s="97"/>
      <c r="F152" s="100" t="s">
        <v>340</v>
      </c>
      <c r="G152" s="47">
        <f>G153-G154</f>
        <v>0</v>
      </c>
    </row>
    <row r="153" spans="1:12" ht="45" customHeight="1">
      <c r="A153" s="498" t="s">
        <v>214</v>
      </c>
      <c r="B153" s="499"/>
      <c r="C153" s="500"/>
      <c r="D153" s="86"/>
      <c r="E153" s="39"/>
      <c r="F153" s="100" t="s">
        <v>50</v>
      </c>
      <c r="G153" s="47">
        <f>D158*ERFs!B$57</f>
        <v>0</v>
      </c>
    </row>
    <row r="154" spans="1:12" ht="45" customHeight="1">
      <c r="A154" s="498" t="s">
        <v>219</v>
      </c>
      <c r="B154" s="499"/>
      <c r="C154" s="500"/>
      <c r="D154" s="119">
        <f>IFERROR(D153/D152,0)</f>
        <v>0</v>
      </c>
      <c r="E154" s="39"/>
      <c r="F154" s="100" t="s">
        <v>47</v>
      </c>
      <c r="G154" s="47">
        <f>(D158-(D158*D154)*(IF(D159=LISTS!A$9,ERFs!B$25,IF(D159=LISTS!A$10,ERFs!B$26,IF(D159=LISTS!A$11,ERFs!B$27,IF(D159=LISTS!A$12,ERFs!B$28,IF(D159=LISTS!A$13,ERFs!B$29,IF(D159=LISTS!A$14,ERFs!B$34,0))))))))*ERFs!B$57</f>
        <v>0</v>
      </c>
    </row>
    <row r="155" spans="1:12" ht="45" customHeight="1">
      <c r="A155" s="481" t="s">
        <v>408</v>
      </c>
      <c r="B155" s="482"/>
      <c r="C155" s="483"/>
      <c r="D155" s="160"/>
      <c r="E155" s="39"/>
      <c r="F155" s="103" t="s">
        <v>690</v>
      </c>
      <c r="G155" s="179"/>
      <c r="H155" s="39"/>
      <c r="I155" s="39"/>
      <c r="J155" s="39"/>
      <c r="K155" s="39"/>
      <c r="L155" s="39"/>
    </row>
    <row r="156" spans="1:12" ht="45" customHeight="1">
      <c r="A156" s="481" t="s">
        <v>407</v>
      </c>
      <c r="B156" s="482"/>
      <c r="C156" s="483"/>
      <c r="D156" s="160"/>
      <c r="E156" s="39"/>
      <c r="F156" s="449" t="s">
        <v>635</v>
      </c>
      <c r="G156" s="39"/>
      <c r="H156" s="39"/>
      <c r="I156" s="39"/>
      <c r="J156" s="39"/>
    </row>
    <row r="157" spans="1:12" ht="45" customHeight="1">
      <c r="A157" s="481" t="s">
        <v>370</v>
      </c>
      <c r="B157" s="482"/>
      <c r="C157" s="483"/>
      <c r="D157" s="47" t="str">
        <f>IF(D156="Class I", 50, IF(D156="Class II or III",60, IF(D156="Class IV or V", 80,"")))</f>
        <v/>
      </c>
      <c r="E157" s="39"/>
      <c r="F157" s="463"/>
      <c r="G157" s="39"/>
      <c r="H157" s="39"/>
      <c r="I157" s="39"/>
      <c r="J157" s="39"/>
    </row>
    <row r="158" spans="1:12" ht="45" customHeight="1">
      <c r="A158" s="498" t="s">
        <v>138</v>
      </c>
      <c r="B158" s="499"/>
      <c r="C158" s="500"/>
      <c r="D158" s="86"/>
      <c r="E158" s="39"/>
      <c r="F158" s="451" t="s">
        <v>636</v>
      </c>
      <c r="G158" s="39"/>
      <c r="H158" s="39"/>
      <c r="I158" s="39"/>
      <c r="J158" s="39"/>
    </row>
    <row r="159" spans="1:12" ht="45" customHeight="1">
      <c r="A159" s="498" t="s">
        <v>29</v>
      </c>
      <c r="B159" s="499"/>
      <c r="C159" s="500"/>
      <c r="D159" s="70"/>
      <c r="E159" s="39"/>
      <c r="F159" s="450"/>
      <c r="G159" s="187"/>
      <c r="H159" s="187"/>
      <c r="I159" s="39"/>
      <c r="J159" s="39"/>
    </row>
    <row r="160" spans="1:12" ht="45" customHeight="1">
      <c r="A160" s="495" t="s">
        <v>277</v>
      </c>
      <c r="B160" s="496"/>
      <c r="C160" s="497"/>
      <c r="D160" s="86"/>
      <c r="E160" s="39"/>
      <c r="F160" s="187"/>
      <c r="G160" s="187"/>
      <c r="H160" s="187"/>
      <c r="I160" s="39"/>
      <c r="J160" s="39"/>
    </row>
    <row r="161" spans="1:12" ht="45" customHeight="1">
      <c r="A161" s="498" t="s">
        <v>397</v>
      </c>
      <c r="B161" s="499"/>
      <c r="C161" s="500"/>
      <c r="D161" s="86"/>
      <c r="E161" s="40"/>
      <c r="F161" s="399" t="s">
        <v>96</v>
      </c>
      <c r="G161" s="400">
        <f>(D161+D163+D165)</f>
        <v>0</v>
      </c>
      <c r="H161" s="401"/>
      <c r="I161" s="40"/>
      <c r="J161" s="40"/>
    </row>
    <row r="162" spans="1:12" ht="45" customHeight="1">
      <c r="A162" s="498" t="s">
        <v>398</v>
      </c>
      <c r="B162" s="499"/>
      <c r="C162" s="500"/>
      <c r="D162" s="86"/>
      <c r="E162" s="40"/>
      <c r="F162" s="399" t="s">
        <v>97</v>
      </c>
      <c r="G162" s="400" t="e">
        <f>D158*(IF(D159=[1]LISTS!$A$9,[1]ERFs!$B$25,IF(D159=[1]LISTS!$A$10,[1]ERFs!$B$26,IF(D159=[1]LISTS!$A$11,[1]ERFs!$B$27,IF(D159=[1]LISTS!$A$12,[1]ERFs!$B$28,IF(D159=[1]LISTS!$A$13,[1]ERFs!$B$29,IF(D159=[1]LISTS!$A$14,[1]ERFs!$B$34,0)))))))/[1]ERFs!$B$58*[1]ERFs!$B$62/[1]ERFs!$B$63</f>
        <v>#REF!</v>
      </c>
      <c r="H162" s="402" t="e">
        <f>(IF(G161=G162,"",IF(G161&lt;G162,"okay","error")))</f>
        <v>#REF!</v>
      </c>
      <c r="I162" s="40"/>
      <c r="J162" s="40"/>
    </row>
    <row r="163" spans="1:12" ht="45" customHeight="1">
      <c r="A163" s="481" t="s">
        <v>399</v>
      </c>
      <c r="B163" s="482"/>
      <c r="C163" s="483"/>
      <c r="D163" s="86"/>
      <c r="E163" s="40"/>
      <c r="F163" s="40"/>
      <c r="G163" s="40"/>
      <c r="H163" s="40"/>
      <c r="I163" s="40"/>
      <c r="J163" s="40"/>
      <c r="K163" s="40"/>
      <c r="L163" s="40"/>
    </row>
    <row r="164" spans="1:12" ht="45" customHeight="1">
      <c r="A164" s="481" t="s">
        <v>400</v>
      </c>
      <c r="B164" s="482"/>
      <c r="C164" s="483"/>
      <c r="D164" s="86"/>
      <c r="E164" s="40"/>
      <c r="F164" s="41"/>
      <c r="G164" s="40"/>
      <c r="H164" s="40"/>
      <c r="I164" s="40"/>
      <c r="J164" s="40"/>
      <c r="K164" s="40"/>
      <c r="L164" s="40"/>
    </row>
    <row r="165" spans="1:12" ht="45" customHeight="1">
      <c r="A165" s="481" t="s">
        <v>401</v>
      </c>
      <c r="B165" s="482"/>
      <c r="C165" s="483"/>
      <c r="D165" s="86"/>
      <c r="E165" s="40"/>
      <c r="F165" s="41"/>
      <c r="G165" s="40"/>
      <c r="H165" s="40"/>
      <c r="I165" s="40"/>
      <c r="J165" s="40"/>
      <c r="K165" s="40"/>
      <c r="L165" s="40"/>
    </row>
    <row r="166" spans="1:12" ht="45" customHeight="1">
      <c r="A166" s="481" t="s">
        <v>402</v>
      </c>
      <c r="B166" s="482"/>
      <c r="C166" s="483"/>
      <c r="D166" s="86"/>
      <c r="E166" s="40"/>
      <c r="F166" s="41"/>
      <c r="G166" s="40"/>
      <c r="H166" s="40"/>
      <c r="I166" s="40"/>
      <c r="J166" s="40"/>
      <c r="K166" s="40"/>
      <c r="L166" s="40"/>
    </row>
    <row r="167" spans="1:12">
      <c r="A167" s="40"/>
      <c r="B167" s="40"/>
      <c r="C167" s="40"/>
      <c r="D167" s="40"/>
      <c r="E167" s="40"/>
      <c r="F167" s="41"/>
      <c r="G167" s="40"/>
    </row>
    <row r="168" spans="1:12" ht="16">
      <c r="A168" s="501" t="s">
        <v>316</v>
      </c>
      <c r="B168" s="501"/>
      <c r="C168" s="501"/>
      <c r="D168" s="501"/>
      <c r="E168" s="501"/>
      <c r="F168" s="501"/>
      <c r="G168" s="501"/>
    </row>
    <row r="169" spans="1:12" ht="45" customHeight="1">
      <c r="A169" s="498" t="s">
        <v>216</v>
      </c>
      <c r="B169" s="499"/>
      <c r="C169" s="500"/>
      <c r="D169" s="86"/>
      <c r="E169" s="97"/>
      <c r="F169" s="100" t="s">
        <v>341</v>
      </c>
      <c r="G169" s="47">
        <f>G170-G171</f>
        <v>0</v>
      </c>
    </row>
    <row r="170" spans="1:12" ht="45" customHeight="1">
      <c r="A170" s="498" t="s">
        <v>214</v>
      </c>
      <c r="B170" s="499"/>
      <c r="C170" s="500"/>
      <c r="D170" s="86"/>
      <c r="E170" s="39"/>
      <c r="F170" s="100" t="s">
        <v>50</v>
      </c>
      <c r="G170" s="47">
        <f>D175*ERFs!B$57</f>
        <v>0</v>
      </c>
    </row>
    <row r="171" spans="1:12" ht="45" customHeight="1">
      <c r="A171" s="498" t="s">
        <v>219</v>
      </c>
      <c r="B171" s="499"/>
      <c r="C171" s="500"/>
      <c r="D171" s="119">
        <f>IFERROR(D170/D169,0)</f>
        <v>0</v>
      </c>
      <c r="E171" s="39"/>
      <c r="F171" s="100" t="s">
        <v>47</v>
      </c>
      <c r="G171" s="47">
        <f>(D175-(D175*D171)*(IF(D176=LISTS!A$9,ERFs!B$25,IF(D176=LISTS!A$10,ERFs!B$26,IF(D176=LISTS!A$11,ERFs!B$27,IF(D176=LISTS!A$12,ERFs!B$28,IF(D176=LISTS!A$13,ERFs!B$29,IF(D176=LISTS!A$14,ERFs!B$34,0))))))))*ERFs!B$57</f>
        <v>0</v>
      </c>
    </row>
    <row r="172" spans="1:12" ht="45" customHeight="1">
      <c r="A172" s="481" t="s">
        <v>408</v>
      </c>
      <c r="B172" s="482"/>
      <c r="C172" s="483"/>
      <c r="D172" s="160"/>
      <c r="E172" s="39"/>
      <c r="F172" s="103" t="s">
        <v>690</v>
      </c>
      <c r="G172" s="179"/>
      <c r="H172" s="39"/>
      <c r="I172" s="39"/>
      <c r="J172" s="39"/>
      <c r="K172" s="39"/>
      <c r="L172" s="39"/>
    </row>
    <row r="173" spans="1:12" ht="45" customHeight="1">
      <c r="A173" s="481" t="s">
        <v>407</v>
      </c>
      <c r="B173" s="482"/>
      <c r="C173" s="483"/>
      <c r="D173" s="160"/>
      <c r="E173" s="39"/>
      <c r="F173" s="449" t="s">
        <v>635</v>
      </c>
      <c r="G173" s="39"/>
      <c r="H173" s="39"/>
      <c r="I173" s="39"/>
      <c r="J173" s="39"/>
    </row>
    <row r="174" spans="1:12" ht="45" customHeight="1">
      <c r="A174" s="481" t="s">
        <v>370</v>
      </c>
      <c r="B174" s="482"/>
      <c r="C174" s="483"/>
      <c r="D174" s="47" t="str">
        <f>IF(D173="Class I", 50, IF(D173="Class II or III",60, IF(D173="Class IV or V", 80,"")))</f>
        <v/>
      </c>
      <c r="E174" s="39"/>
      <c r="F174" s="463"/>
      <c r="G174" s="39"/>
      <c r="H174" s="39"/>
      <c r="I174" s="39"/>
      <c r="J174" s="39"/>
    </row>
    <row r="175" spans="1:12" ht="45" customHeight="1">
      <c r="A175" s="498" t="s">
        <v>138</v>
      </c>
      <c r="B175" s="499"/>
      <c r="C175" s="500"/>
      <c r="D175" s="86"/>
      <c r="E175" s="39"/>
      <c r="F175" s="451" t="s">
        <v>636</v>
      </c>
      <c r="G175" s="39"/>
      <c r="H175" s="39"/>
      <c r="I175" s="39"/>
      <c r="J175" s="39"/>
    </row>
    <row r="176" spans="1:12" ht="45" customHeight="1">
      <c r="A176" s="498" t="s">
        <v>29</v>
      </c>
      <c r="B176" s="499"/>
      <c r="C176" s="500"/>
      <c r="D176" s="70"/>
      <c r="E176" s="39"/>
      <c r="F176" s="450"/>
      <c r="G176" s="187"/>
      <c r="H176" s="187"/>
      <c r="I176" s="39"/>
      <c r="J176" s="39"/>
    </row>
    <row r="177" spans="1:12" ht="45" customHeight="1">
      <c r="A177" s="495" t="s">
        <v>277</v>
      </c>
      <c r="B177" s="496"/>
      <c r="C177" s="497"/>
      <c r="D177" s="86"/>
      <c r="E177" s="39"/>
      <c r="F177" s="187"/>
      <c r="G177" s="187"/>
      <c r="H177" s="187"/>
      <c r="I177" s="39"/>
      <c r="J177" s="39"/>
    </row>
    <row r="178" spans="1:12" ht="45" customHeight="1">
      <c r="A178" s="498" t="s">
        <v>397</v>
      </c>
      <c r="B178" s="499"/>
      <c r="C178" s="500"/>
      <c r="D178" s="86"/>
      <c r="E178" s="40"/>
      <c r="F178" s="399" t="s">
        <v>96</v>
      </c>
      <c r="G178" s="400">
        <f>(D178+D180+D182)</f>
        <v>0</v>
      </c>
      <c r="H178" s="401"/>
      <c r="I178" s="40"/>
      <c r="J178" s="40"/>
    </row>
    <row r="179" spans="1:12" ht="45" customHeight="1">
      <c r="A179" s="498" t="s">
        <v>398</v>
      </c>
      <c r="B179" s="499"/>
      <c r="C179" s="500"/>
      <c r="D179" s="86"/>
      <c r="E179" s="40"/>
      <c r="F179" s="399" t="s">
        <v>97</v>
      </c>
      <c r="G179" s="400" t="e">
        <f>D175*(IF(D176=[1]LISTS!$A$9,[1]ERFs!$B$25,IF(D176=[1]LISTS!$A$10,[1]ERFs!$B$26,IF(D176=[1]LISTS!$A$11,[1]ERFs!$B$27,IF(D176=[1]LISTS!$A$12,[1]ERFs!$B$28,IF(D176=[1]LISTS!$A$13,[1]ERFs!$B$29,IF(D176=[1]LISTS!$A$14,[1]ERFs!$B$34,0)))))))/[1]ERFs!$B$58*[1]ERFs!$B$62/[1]ERFs!$B$63</f>
        <v>#REF!</v>
      </c>
      <c r="H179" s="402" t="e">
        <f>(IF(G178=G179,"",IF(G178&lt;G179,"okay","error")))</f>
        <v>#REF!</v>
      </c>
      <c r="I179" s="40"/>
      <c r="J179" s="40"/>
    </row>
    <row r="180" spans="1:12" ht="45" customHeight="1">
      <c r="A180" s="481" t="s">
        <v>399</v>
      </c>
      <c r="B180" s="482"/>
      <c r="C180" s="483"/>
      <c r="D180" s="86"/>
      <c r="E180" s="40"/>
      <c r="F180" s="40"/>
      <c r="G180" s="40"/>
      <c r="H180" s="40"/>
      <c r="I180" s="40"/>
      <c r="J180" s="40"/>
      <c r="K180" s="40"/>
      <c r="L180" s="40"/>
    </row>
    <row r="181" spans="1:12" ht="45" customHeight="1">
      <c r="A181" s="481" t="s">
        <v>400</v>
      </c>
      <c r="B181" s="482"/>
      <c r="C181" s="483"/>
      <c r="D181" s="86"/>
      <c r="E181" s="40"/>
      <c r="F181" s="41"/>
      <c r="G181" s="40"/>
      <c r="H181" s="40"/>
      <c r="I181" s="40"/>
      <c r="J181" s="40"/>
      <c r="K181" s="40"/>
      <c r="L181" s="40"/>
    </row>
    <row r="182" spans="1:12" ht="45" customHeight="1">
      <c r="A182" s="481" t="s">
        <v>401</v>
      </c>
      <c r="B182" s="482"/>
      <c r="C182" s="483"/>
      <c r="D182" s="86"/>
      <c r="E182" s="40"/>
      <c r="F182" s="41"/>
      <c r="G182" s="40"/>
      <c r="H182" s="40"/>
      <c r="I182" s="40"/>
      <c r="J182" s="40"/>
      <c r="K182" s="40"/>
      <c r="L182" s="40"/>
    </row>
    <row r="183" spans="1:12" ht="45" customHeight="1">
      <c r="A183" s="481" t="s">
        <v>402</v>
      </c>
      <c r="B183" s="482"/>
      <c r="C183" s="483"/>
      <c r="D183" s="86"/>
      <c r="E183" s="40"/>
      <c r="F183" s="41"/>
      <c r="G183" s="40"/>
      <c r="H183" s="40"/>
      <c r="I183" s="40"/>
      <c r="J183" s="40"/>
      <c r="K183" s="40"/>
      <c r="L183" s="40"/>
    </row>
  </sheetData>
  <sheetProtection algorithmName="SHA-512" hashValue="MHVQVSgAt/z/B3cPI8AIegMneIST/4vkdRNDNPRlrwbM/Mscs7hI3lur3ca2vMikp31Lptac5doPFQkxulszHA==" saltValue="9FbOGXvNiO9U/SGfg753Nw==" spinCount="100000" sheet="1" objects="1" scenarios="1"/>
  <mergeCells count="161">
    <mergeCell ref="A70:C70"/>
    <mergeCell ref="A71:C71"/>
    <mergeCell ref="A72:C72"/>
    <mergeCell ref="A87:C87"/>
    <mergeCell ref="A88:C88"/>
    <mergeCell ref="A89:C89"/>
    <mergeCell ref="A104:C104"/>
    <mergeCell ref="A105:C105"/>
    <mergeCell ref="A106:C106"/>
    <mergeCell ref="A100:G100"/>
    <mergeCell ref="A101:C101"/>
    <mergeCell ref="A102:C102"/>
    <mergeCell ref="A103:C103"/>
    <mergeCell ref="A84:C84"/>
    <mergeCell ref="A85:C85"/>
    <mergeCell ref="A86:C86"/>
    <mergeCell ref="A78:C78"/>
    <mergeCell ref="A79:C79"/>
    <mergeCell ref="A80:C80"/>
    <mergeCell ref="A81:C81"/>
    <mergeCell ref="A83:G83"/>
    <mergeCell ref="A73:C73"/>
    <mergeCell ref="A74:C74"/>
    <mergeCell ref="A75:C75"/>
    <mergeCell ref="A179:C179"/>
    <mergeCell ref="A180:C180"/>
    <mergeCell ref="A181:C181"/>
    <mergeCell ref="A182:C182"/>
    <mergeCell ref="A183:C183"/>
    <mergeCell ref="A171:C171"/>
    <mergeCell ref="A175:C175"/>
    <mergeCell ref="A176:C176"/>
    <mergeCell ref="A177:C177"/>
    <mergeCell ref="A178:C178"/>
    <mergeCell ref="A172:C172"/>
    <mergeCell ref="A173:C173"/>
    <mergeCell ref="A174:C174"/>
    <mergeCell ref="A165:C165"/>
    <mergeCell ref="A166:C166"/>
    <mergeCell ref="A168:G168"/>
    <mergeCell ref="A169:C169"/>
    <mergeCell ref="A170:C170"/>
    <mergeCell ref="A160:C160"/>
    <mergeCell ref="A161:C161"/>
    <mergeCell ref="A162:C162"/>
    <mergeCell ref="A163:C163"/>
    <mergeCell ref="A164:C164"/>
    <mergeCell ref="A152:C152"/>
    <mergeCell ref="A153:C153"/>
    <mergeCell ref="A154:C154"/>
    <mergeCell ref="A158:C158"/>
    <mergeCell ref="A159:C159"/>
    <mergeCell ref="A146:C146"/>
    <mergeCell ref="A147:C147"/>
    <mergeCell ref="A148:C148"/>
    <mergeCell ref="A149:C149"/>
    <mergeCell ref="A151:G151"/>
    <mergeCell ref="A155:C155"/>
    <mergeCell ref="A156:C156"/>
    <mergeCell ref="A157:C157"/>
    <mergeCell ref="A141:C141"/>
    <mergeCell ref="A142:C142"/>
    <mergeCell ref="A143:C143"/>
    <mergeCell ref="A144:C144"/>
    <mergeCell ref="A145:C145"/>
    <mergeCell ref="A132:C132"/>
    <mergeCell ref="A134:G134"/>
    <mergeCell ref="A135:C135"/>
    <mergeCell ref="A136:C136"/>
    <mergeCell ref="A137:C137"/>
    <mergeCell ref="A138:C138"/>
    <mergeCell ref="A139:C139"/>
    <mergeCell ref="A140:C140"/>
    <mergeCell ref="A127:C127"/>
    <mergeCell ref="A128:C128"/>
    <mergeCell ref="A129:C129"/>
    <mergeCell ref="A130:C130"/>
    <mergeCell ref="A131:C131"/>
    <mergeCell ref="A119:C119"/>
    <mergeCell ref="A120:C120"/>
    <mergeCell ref="A124:C124"/>
    <mergeCell ref="A125:C125"/>
    <mergeCell ref="A126:C126"/>
    <mergeCell ref="A121:C121"/>
    <mergeCell ref="A122:C122"/>
    <mergeCell ref="A123:C123"/>
    <mergeCell ref="A113:C113"/>
    <mergeCell ref="A114:C114"/>
    <mergeCell ref="A115:C115"/>
    <mergeCell ref="A117:G117"/>
    <mergeCell ref="A118:C118"/>
    <mergeCell ref="A108:C108"/>
    <mergeCell ref="A109:C109"/>
    <mergeCell ref="A110:C110"/>
    <mergeCell ref="A111:C111"/>
    <mergeCell ref="A112:C112"/>
    <mergeCell ref="A107:C107"/>
    <mergeCell ref="A97:C97"/>
    <mergeCell ref="A98:C98"/>
    <mergeCell ref="A91:C91"/>
    <mergeCell ref="A92:C92"/>
    <mergeCell ref="A93:C93"/>
    <mergeCell ref="A94:C94"/>
    <mergeCell ref="A90:C90"/>
    <mergeCell ref="A95:C95"/>
    <mergeCell ref="A96:C96"/>
    <mergeCell ref="A69:C69"/>
    <mergeCell ref="A77:C77"/>
    <mergeCell ref="A76:C76"/>
    <mergeCell ref="A56:C56"/>
    <mergeCell ref="A57:C57"/>
    <mergeCell ref="A42:C42"/>
    <mergeCell ref="A51:C51"/>
    <mergeCell ref="A52:C52"/>
    <mergeCell ref="A44:C44"/>
    <mergeCell ref="A45:C45"/>
    <mergeCell ref="A46:C46"/>
    <mergeCell ref="A47:C47"/>
    <mergeCell ref="A49:G49"/>
    <mergeCell ref="A50:C50"/>
    <mergeCell ref="A67:C67"/>
    <mergeCell ref="A68:C68"/>
    <mergeCell ref="A58:C58"/>
    <mergeCell ref="A60:C60"/>
    <mergeCell ref="A61:C61"/>
    <mergeCell ref="A62:C62"/>
    <mergeCell ref="A63:C63"/>
    <mergeCell ref="A64:C64"/>
    <mergeCell ref="A66:G66"/>
    <mergeCell ref="A59:C59"/>
    <mergeCell ref="A23:C23"/>
    <mergeCell ref="A24:C24"/>
    <mergeCell ref="A25:C25"/>
    <mergeCell ref="A26:C26"/>
    <mergeCell ref="A27:C27"/>
    <mergeCell ref="A15:G15"/>
    <mergeCell ref="A13:G13"/>
    <mergeCell ref="A22:C22"/>
    <mergeCell ref="A16:C16"/>
    <mergeCell ref="A17:C17"/>
    <mergeCell ref="A18:C18"/>
    <mergeCell ref="A21:C21"/>
    <mergeCell ref="A19:C19"/>
    <mergeCell ref="A20:C20"/>
    <mergeCell ref="A53:C53"/>
    <mergeCell ref="A54:C54"/>
    <mergeCell ref="A55:C55"/>
    <mergeCell ref="A28:C28"/>
    <mergeCell ref="A29:C29"/>
    <mergeCell ref="A30:C30"/>
    <mergeCell ref="A41:C41"/>
    <mergeCell ref="A43:C43"/>
    <mergeCell ref="A32:G32"/>
    <mergeCell ref="A39:C39"/>
    <mergeCell ref="A40:C40"/>
    <mergeCell ref="A33:C33"/>
    <mergeCell ref="A34:C34"/>
    <mergeCell ref="A35:C35"/>
    <mergeCell ref="A36:C36"/>
    <mergeCell ref="A37:C37"/>
    <mergeCell ref="A38:C38"/>
  </mergeCells>
  <dataValidations count="12">
    <dataValidation type="decimal" allowBlank="1" showInputMessage="1" showErrorMessage="1" error="Must be between 0 and 1,000,000." prompt="Enter the acres within the easement." sqref="D16" xr:uid="{00000000-0002-0000-0500-000000000000}">
      <formula1>0</formula1>
      <formula2>1000000</formula2>
    </dataValidation>
    <dataValidation type="decimal" allowBlank="1" showInputMessage="1" showErrorMessage="1" error="Must be greater than 0 and less than or equal to the size of the treatment area." prompt="Enter the acres within the easement that are at risk of conversion to non-forest use." sqref="D17" xr:uid="{00000000-0002-0000-0500-000001000000}">
      <formula1>0</formula1>
      <formula2>D16</formula2>
    </dataValidation>
    <dataValidation type="decimal" allowBlank="1" showInputMessage="1" showErrorMessage="1" prompt="Enter the carbon stored in standing live and dead trees within the treatment boundary at the end of the project with the conservation easement (from COLE or FVS)." sqref="D22 D73 D39 D56 D90 D107 D124 D141 D158 D175" xr:uid="{00000000-0002-0000-0500-000002000000}">
      <formula1>0</formula1>
      <formula2>100000000</formula2>
    </dataValidation>
    <dataValidation type="decimal" allowBlank="1" showInputMessage="1" showErrorMessage="1" error="If applicable, enter a value between 0 and 1,000,000." prompt="If conversion threat type is residential, enter the number of parcels, or home lots, that the land would be divided into within the area at-risk of conversion. If type of conversion threat is not residential, leave blank." sqref="D24 D75 D41 D58 D92 D109 D126 D143 D160 D177" xr:uid="{00000000-0002-0000-0500-000003000000}">
      <formula1>0</formula1>
      <formula2>1000000</formula2>
    </dataValidation>
    <dataValidation type="whole" allowBlank="1" showInputMessage="1" showErrorMessage="1" error="Enter a value between 0 and 100,000,000." prompt="The amount of biomass (BDT) that would be removed from within the treatment boundary and utilized for wood products without the easement." sqref="D25 D76 D42 D59 D93 D110 D127 D144 D161 D178" xr:uid="{00000000-0002-0000-0500-000004000000}">
      <formula1>0</formula1>
      <formula2>100000000</formula2>
    </dataValidation>
    <dataValidation type="whole" allowBlank="1" showInputMessage="1" showErrorMessage="1" error="Enter a value between 0 and 100,000,000." prompt="The amount of biomass (BDT) that would be removed from within the treatment boundary and utilized for wood products with the easement." sqref="D26 D77 D43 D60 D94 D111 D128 D145 D162 D179" xr:uid="{00000000-0002-0000-0500-000005000000}">
      <formula1>0</formula1>
      <formula2>100000000</formula2>
    </dataValidation>
    <dataValidation type="whole" allowBlank="1" showInputMessage="1" showErrorMessage="1" error="Enter a value between 0 and 100,000,000." prompt="The amount of biomass (BDT) that would be removed from within the treatment boundary and utilized for electricity generation via combustion without the easement." sqref="D27 D78 D44 D61 D95 D112 D129 D146 D163 D180" xr:uid="{00000000-0002-0000-0500-000006000000}">
      <formula1>0</formula1>
      <formula2>100000000</formula2>
    </dataValidation>
    <dataValidation type="whole" allowBlank="1" showInputMessage="1" showErrorMessage="1" error="Enter a value between 0 and 100,000,000." prompt="The amount of biomass (BDT) that would be removed from within the treatment boundary and utilized for electricity generation via combustion with the easement." sqref="D28 D79 D45 D62 D96 D113 D130 D147 D164 D181" xr:uid="{00000000-0002-0000-0500-000007000000}">
      <formula1>0</formula1>
      <formula2>100000000</formula2>
    </dataValidation>
    <dataValidation type="whole" allowBlank="1" showInputMessage="1" showErrorMessage="1" error="Enter a value between 0 and 100,000,000." prompt="The amount of biomass (BDT) that would be removed from within the treatment boundary and utilized for electricity generation via gasification without the easement." sqref="D29 D80 D46 D63 D97 D114 D131 D148 D165 D182" xr:uid="{00000000-0002-0000-0500-000008000000}">
      <formula1>0</formula1>
      <formula2>100000000</formula2>
    </dataValidation>
    <dataValidation type="whole" allowBlank="1" showInputMessage="1" showErrorMessage="1" error="Enter a value between 0 and 100,000,000." prompt="The amount of biomass (BDT) that would be removed from within the treatment boundary and utilized for electricity generation via gasification with the easement." sqref="D30 D81 D47 D64 D98 D115 D132 D149 D166 D183" xr:uid="{00000000-0002-0000-0500-000009000000}">
      <formula1>0</formula1>
      <formula2>100000000</formula2>
    </dataValidation>
    <dataValidation allowBlank="1" showInputMessage="1" showErrorMessage="1" prompt="Project duration. Automatically calculated based on Site Productivity Class. Class I: 50 yrs; Class II &amp; III: 60 yrs; Class IV &amp; V: 80 yrs." sqref="D174 D72 D38 D55 D89 D106 D123 D140 D157 D21" xr:uid="{00000000-0002-0000-0500-00000A000000}"/>
    <dataValidation type="textLength" allowBlank="1" showInputMessage="1" showErrorMessage="1" error="Exceeds 1000 characters." prompt="Enter text description." sqref="F21 F23" xr:uid="{00000000-0002-0000-0500-00000B000000}">
      <formula1>0</formula1>
      <formula2>1000</formula2>
    </dataValidation>
  </dataValidations>
  <pageMargins left="0.7" right="0.7" top="0.75" bottom="0.75" header="0.3" footer="0.3"/>
  <pageSetup scale="19" orientation="landscape" r:id="rId1"/>
  <headerFooter>
    <oddFooter>&amp;CPage 6 of 12
Easement--Avoided Conversion Worksheet</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Please select from dropdown list." xr:uid="{00000000-0002-0000-0500-00000C000000}">
          <x14:formula1>
            <xm:f>LISTS!$A$9:$A$14</xm:f>
          </x14:formula1>
          <xm:sqref>D23 D74 D40 D57 D91 D108 D125 D142 D159 D176</xm:sqref>
        </x14:dataValidation>
        <x14:dataValidation type="list" allowBlank="1" showInputMessage="1" showErrorMessage="1" prompt="Select from dropdown. Used to help track State-funded activities treating and restoring natural and working lands. Does not influence GHG or other calculations." xr:uid="{00000000-0002-0000-0500-00000D000000}">
          <x14:formula1>
            <xm:f>LISTS!$A$20:$A$28</xm:f>
          </x14:formula1>
          <xm:sqref>D19 D70 D36 D53 D87 D104 D121 D138 D155 D172</xm:sqref>
        </x14:dataValidation>
        <x14:dataValidation type="list" allowBlank="1" showInputMessage="1" showErrorMessage="1" prompt="Select from dropdown. If the treatment area includes different site classes, enter the lowest site class (e.g., if class I and II, enter class I). Used to determine project duration." xr:uid="{00000000-0002-0000-0500-00000E000000}">
          <x14:formula1>
            <xm:f>LISTS!$A$31:$A$33</xm:f>
          </x14:formula1>
          <xm:sqref>D20 D71 D37 D54 D88 D105 D122 D139 D156 D173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fitToPage="1"/>
  </sheetPr>
  <dimension ref="A1:G163"/>
  <sheetViews>
    <sheetView zoomScale="90" zoomScaleNormal="90" zoomScalePageLayoutView="90" workbookViewId="0">
      <selection activeCell="A15" sqref="A15:G15"/>
    </sheetView>
  </sheetViews>
  <sheetFormatPr baseColWidth="10" defaultColWidth="9.1640625" defaultRowHeight="15"/>
  <cols>
    <col min="1" max="3" width="27.6640625" style="123" customWidth="1"/>
    <col min="4" max="4" width="15.6640625" style="123" customWidth="1"/>
    <col min="5" max="5" width="10.6640625" style="123" customWidth="1"/>
    <col min="6" max="6" width="48.1640625" style="123" customWidth="1"/>
    <col min="7" max="16384" width="9.1640625" style="123"/>
  </cols>
  <sheetData>
    <row r="1" spans="1:7" ht="19" customHeight="1">
      <c r="A1" s="122"/>
      <c r="B1" s="122"/>
      <c r="C1" s="214" t="s">
        <v>278</v>
      </c>
      <c r="D1" s="122"/>
      <c r="E1" s="122"/>
    </row>
    <row r="2" spans="1:7" ht="19" customHeight="1">
      <c r="A2" s="122"/>
      <c r="B2" s="122"/>
      <c r="C2" s="214" t="s">
        <v>585</v>
      </c>
      <c r="D2" s="122"/>
      <c r="E2" s="122"/>
    </row>
    <row r="3" spans="1:7" ht="19" customHeight="1">
      <c r="A3" s="122"/>
      <c r="B3" s="122"/>
      <c r="C3" s="214" t="s">
        <v>586</v>
      </c>
      <c r="D3" s="122"/>
      <c r="E3" s="122"/>
    </row>
    <row r="4" spans="1:7" ht="19" customHeight="1">
      <c r="A4" s="122"/>
      <c r="B4" s="122"/>
      <c r="C4" s="215" t="s">
        <v>587</v>
      </c>
      <c r="D4" s="122"/>
      <c r="E4" s="122"/>
    </row>
    <row r="5" spans="1:7" ht="19" customHeight="1">
      <c r="A5" s="122"/>
      <c r="B5" s="122"/>
      <c r="C5" s="367"/>
      <c r="D5" s="122"/>
      <c r="E5" s="122"/>
    </row>
    <row r="6" spans="1:7" ht="19" customHeight="1">
      <c r="A6" s="122"/>
      <c r="B6" s="122"/>
      <c r="C6" s="368"/>
      <c r="D6" s="122"/>
      <c r="E6" s="122"/>
    </row>
    <row r="7" spans="1:7" ht="19" customHeight="1">
      <c r="A7" s="124"/>
      <c r="B7" s="124"/>
      <c r="C7" s="367"/>
      <c r="D7" s="122"/>
      <c r="E7" s="122"/>
    </row>
    <row r="8" spans="1:7" ht="19" customHeight="1">
      <c r="A8" s="124"/>
      <c r="B8" s="124"/>
      <c r="C8" s="124"/>
      <c r="D8" s="122"/>
      <c r="E8" s="122"/>
    </row>
    <row r="9" spans="1:7" ht="19" customHeight="1">
      <c r="A9" s="125" t="s">
        <v>0</v>
      </c>
      <c r="B9" s="260" t="str">
        <f>IF('Read Me'!B26="","",'Read Me'!B26)</f>
        <v/>
      </c>
      <c r="C9" s="261"/>
      <c r="D9" s="126"/>
      <c r="E9" s="126"/>
    </row>
    <row r="10" spans="1:7" ht="19" customHeight="1">
      <c r="A10" s="127" t="s">
        <v>10</v>
      </c>
      <c r="B10" s="258" t="str">
        <f>IF('Read Me'!B27="","",'Read Me'!B27)</f>
        <v/>
      </c>
      <c r="C10" s="259"/>
      <c r="D10" s="128"/>
      <c r="E10" s="128"/>
    </row>
    <row r="11" spans="1:7" ht="19" customHeight="1">
      <c r="A11" s="122"/>
      <c r="B11" s="122"/>
      <c r="C11" s="122"/>
      <c r="D11" s="122"/>
      <c r="E11" s="124"/>
    </row>
    <row r="12" spans="1:7" ht="19" customHeight="1">
      <c r="A12" s="129" t="s">
        <v>227</v>
      </c>
      <c r="B12" s="124"/>
      <c r="C12" s="124"/>
      <c r="D12" s="130"/>
      <c r="E12" s="130"/>
    </row>
    <row r="13" spans="1:7" ht="33" customHeight="1">
      <c r="A13" s="506" t="s">
        <v>41</v>
      </c>
      <c r="B13" s="506"/>
      <c r="C13" s="506"/>
      <c r="D13" s="506"/>
      <c r="E13" s="506"/>
      <c r="F13" s="506"/>
      <c r="G13" s="506"/>
    </row>
    <row r="14" spans="1:7">
      <c r="A14" s="131"/>
      <c r="B14" s="132"/>
      <c r="C14" s="132"/>
      <c r="D14" s="133"/>
      <c r="E14" s="133"/>
      <c r="F14" s="133"/>
      <c r="G14" s="134"/>
    </row>
    <row r="15" spans="1:7" ht="16">
      <c r="A15" s="507" t="s">
        <v>228</v>
      </c>
      <c r="B15" s="507"/>
      <c r="C15" s="507"/>
      <c r="D15" s="507"/>
      <c r="E15" s="507"/>
      <c r="F15" s="507"/>
      <c r="G15" s="507"/>
    </row>
    <row r="16" spans="1:7" ht="34.5" customHeight="1">
      <c r="A16" s="498" t="s">
        <v>295</v>
      </c>
      <c r="B16" s="499"/>
      <c r="C16" s="500"/>
      <c r="D16" s="86"/>
      <c r="E16" s="152"/>
      <c r="F16" s="135" t="s">
        <v>179</v>
      </c>
      <c r="G16" s="47">
        <f>G17-G18</f>
        <v>0</v>
      </c>
    </row>
    <row r="17" spans="1:7" ht="36">
      <c r="A17" s="502" t="s">
        <v>282</v>
      </c>
      <c r="B17" s="508"/>
      <c r="C17" s="509"/>
      <c r="D17" s="363"/>
      <c r="E17" s="147"/>
      <c r="F17" s="135" t="s">
        <v>50</v>
      </c>
      <c r="G17" s="47">
        <f>D22*ERFs!B$57</f>
        <v>0</v>
      </c>
    </row>
    <row r="18" spans="1:7" ht="35" customHeight="1">
      <c r="A18" s="481" t="s">
        <v>408</v>
      </c>
      <c r="B18" s="482"/>
      <c r="C18" s="483"/>
      <c r="D18" s="160"/>
      <c r="E18" s="175"/>
      <c r="F18" s="135" t="s">
        <v>47</v>
      </c>
      <c r="G18" s="47">
        <f>D21*ERFs!B$57</f>
        <v>0</v>
      </c>
    </row>
    <row r="19" spans="1:7" ht="16" customHeight="1">
      <c r="A19" s="481" t="s">
        <v>407</v>
      </c>
      <c r="B19" s="482"/>
      <c r="C19" s="483"/>
      <c r="D19" s="160"/>
      <c r="E19" s="175"/>
      <c r="F19" s="137"/>
      <c r="G19" s="381"/>
    </row>
    <row r="20" spans="1:7" ht="16" customHeight="1">
      <c r="A20" s="481" t="s">
        <v>370</v>
      </c>
      <c r="B20" s="482"/>
      <c r="C20" s="483"/>
      <c r="D20" s="47"/>
      <c r="E20" s="175"/>
      <c r="F20" s="103" t="s">
        <v>690</v>
      </c>
      <c r="G20" s="381"/>
    </row>
    <row r="21" spans="1:7" ht="33" customHeight="1">
      <c r="A21" s="502" t="s">
        <v>283</v>
      </c>
      <c r="B21" s="503"/>
      <c r="C21" s="504"/>
      <c r="D21" s="86"/>
      <c r="E21" s="133"/>
      <c r="F21" s="398" t="s">
        <v>635</v>
      </c>
    </row>
    <row r="22" spans="1:7" ht="33" customHeight="1">
      <c r="A22" s="502" t="s">
        <v>284</v>
      </c>
      <c r="B22" s="503"/>
      <c r="C22" s="504"/>
      <c r="D22" s="86"/>
      <c r="E22" s="136"/>
      <c r="F22" s="442"/>
    </row>
    <row r="23" spans="1:7" ht="33" customHeight="1">
      <c r="A23" s="502" t="s">
        <v>285</v>
      </c>
      <c r="B23" s="503"/>
      <c r="C23" s="504"/>
      <c r="D23" s="86"/>
      <c r="E23" s="136"/>
      <c r="F23" s="398" t="s">
        <v>636</v>
      </c>
    </row>
    <row r="24" spans="1:7" ht="33" customHeight="1">
      <c r="A24" s="502" t="s">
        <v>286</v>
      </c>
      <c r="B24" s="503"/>
      <c r="C24" s="504"/>
      <c r="D24" s="86"/>
      <c r="E24" s="136"/>
      <c r="F24" s="442"/>
    </row>
    <row r="25" spans="1:7" ht="44.25" customHeight="1">
      <c r="A25" s="502" t="s">
        <v>287</v>
      </c>
      <c r="B25" s="503"/>
      <c r="C25" s="504"/>
      <c r="D25" s="86"/>
      <c r="E25" s="136"/>
    </row>
    <row r="26" spans="1:7" ht="42" customHeight="1">
      <c r="A26" s="502" t="s">
        <v>416</v>
      </c>
      <c r="B26" s="503"/>
      <c r="C26" s="504"/>
      <c r="D26" s="86"/>
      <c r="E26" s="136"/>
    </row>
    <row r="27" spans="1:7" ht="46.5" customHeight="1">
      <c r="A27" s="502" t="s">
        <v>414</v>
      </c>
      <c r="B27" s="503"/>
      <c r="C27" s="504"/>
      <c r="D27" s="86"/>
      <c r="E27" s="138"/>
      <c r="F27" s="139" t="s">
        <v>96</v>
      </c>
      <c r="G27" s="140">
        <f>(D23+D25+D27)</f>
        <v>0</v>
      </c>
    </row>
    <row r="28" spans="1:7" ht="42" customHeight="1">
      <c r="A28" s="502" t="s">
        <v>415</v>
      </c>
      <c r="B28" s="503"/>
      <c r="C28" s="504"/>
      <c r="D28" s="86"/>
      <c r="E28" s="138"/>
      <c r="F28" s="139" t="s">
        <v>97</v>
      </c>
    </row>
    <row r="29" spans="1:7" ht="25" customHeight="1">
      <c r="A29" s="505"/>
      <c r="B29" s="505"/>
      <c r="C29" s="505"/>
      <c r="E29" s="138"/>
      <c r="F29" s="138"/>
      <c r="G29" s="138"/>
    </row>
    <row r="30" spans="1:7" ht="33" customHeight="1">
      <c r="A30" s="507" t="s">
        <v>230</v>
      </c>
      <c r="B30" s="507"/>
      <c r="C30" s="507"/>
      <c r="D30" s="507"/>
      <c r="E30" s="507"/>
      <c r="F30" s="507"/>
      <c r="G30" s="507"/>
    </row>
    <row r="31" spans="1:7" ht="33" customHeight="1">
      <c r="A31" s="498" t="s">
        <v>295</v>
      </c>
      <c r="B31" s="499"/>
      <c r="C31" s="500"/>
      <c r="D31" s="86"/>
      <c r="E31" s="152"/>
      <c r="F31" s="135" t="s">
        <v>180</v>
      </c>
      <c r="G31" s="47">
        <f>G32-G33</f>
        <v>0</v>
      </c>
    </row>
    <row r="32" spans="1:7" ht="33" customHeight="1">
      <c r="A32" s="502" t="s">
        <v>282</v>
      </c>
      <c r="B32" s="508"/>
      <c r="C32" s="509"/>
      <c r="D32" s="363"/>
      <c r="E32" s="147"/>
      <c r="F32" s="135" t="s">
        <v>50</v>
      </c>
      <c r="G32" s="47">
        <f>D37*ERFs!B$57</f>
        <v>0</v>
      </c>
    </row>
    <row r="33" spans="1:7" ht="33" customHeight="1">
      <c r="A33" s="481" t="s">
        <v>408</v>
      </c>
      <c r="B33" s="482"/>
      <c r="C33" s="483"/>
      <c r="D33" s="160"/>
      <c r="E33" s="175"/>
      <c r="F33" s="135" t="s">
        <v>47</v>
      </c>
      <c r="G33" s="47">
        <f>D36*ERFs!B$57</f>
        <v>0</v>
      </c>
    </row>
    <row r="34" spans="1:7" ht="16" customHeight="1">
      <c r="A34" s="481" t="s">
        <v>407</v>
      </c>
      <c r="B34" s="482"/>
      <c r="C34" s="483"/>
      <c r="D34" s="160"/>
      <c r="E34" s="175"/>
      <c r="F34" s="137"/>
      <c r="G34" s="381"/>
    </row>
    <row r="35" spans="1:7" ht="16" customHeight="1">
      <c r="A35" s="481" t="s">
        <v>370</v>
      </c>
      <c r="B35" s="482"/>
      <c r="C35" s="483"/>
      <c r="D35" s="47" t="str">
        <f>IF(D34="Class I", 50, IF(D34="Class II or III",60, IF(D34="Class IV or V", 80,"")))</f>
        <v/>
      </c>
      <c r="E35" s="175"/>
      <c r="F35" s="103" t="s">
        <v>690</v>
      </c>
    </row>
    <row r="36" spans="1:7" ht="33" customHeight="1">
      <c r="A36" s="502" t="s">
        <v>283</v>
      </c>
      <c r="B36" s="503"/>
      <c r="C36" s="504"/>
      <c r="D36" s="86"/>
      <c r="E36" s="133"/>
      <c r="F36" s="398" t="s">
        <v>635</v>
      </c>
    </row>
    <row r="37" spans="1:7" ht="33" customHeight="1">
      <c r="A37" s="502" t="s">
        <v>284</v>
      </c>
      <c r="B37" s="503"/>
      <c r="C37" s="504"/>
      <c r="D37" s="86"/>
      <c r="E37" s="136"/>
      <c r="F37" s="442"/>
    </row>
    <row r="38" spans="1:7" ht="33" customHeight="1">
      <c r="A38" s="502" t="s">
        <v>285</v>
      </c>
      <c r="B38" s="503"/>
      <c r="C38" s="504"/>
      <c r="D38" s="86"/>
      <c r="E38" s="136"/>
      <c r="F38" s="398" t="s">
        <v>636</v>
      </c>
    </row>
    <row r="39" spans="1:7" ht="33" customHeight="1">
      <c r="A39" s="502" t="s">
        <v>286</v>
      </c>
      <c r="B39" s="503"/>
      <c r="C39" s="504"/>
      <c r="D39" s="86"/>
      <c r="E39" s="136"/>
      <c r="F39" s="442"/>
    </row>
    <row r="40" spans="1:7" ht="45" customHeight="1">
      <c r="A40" s="502" t="s">
        <v>287</v>
      </c>
      <c r="B40" s="503"/>
      <c r="C40" s="504"/>
      <c r="D40" s="86"/>
      <c r="E40" s="136"/>
    </row>
    <row r="41" spans="1:7" ht="45" customHeight="1">
      <c r="A41" s="502" t="s">
        <v>416</v>
      </c>
      <c r="B41" s="503"/>
      <c r="C41" s="504"/>
      <c r="D41" s="86"/>
      <c r="E41" s="136"/>
    </row>
    <row r="42" spans="1:7" ht="45" customHeight="1">
      <c r="A42" s="502" t="s">
        <v>414</v>
      </c>
      <c r="B42" s="503"/>
      <c r="C42" s="504"/>
      <c r="D42" s="86"/>
      <c r="E42" s="138"/>
      <c r="F42" s="139" t="s">
        <v>96</v>
      </c>
      <c r="G42" s="140">
        <f>(D38+D40+D42)</f>
        <v>0</v>
      </c>
    </row>
    <row r="43" spans="1:7" ht="45" customHeight="1">
      <c r="A43" s="502" t="s">
        <v>415</v>
      </c>
      <c r="B43" s="503"/>
      <c r="C43" s="504"/>
      <c r="D43" s="86"/>
      <c r="E43" s="138"/>
      <c r="F43" s="139" t="s">
        <v>97</v>
      </c>
    </row>
    <row r="44" spans="1:7" ht="25" customHeight="1"/>
    <row r="45" spans="1:7" ht="16">
      <c r="A45" s="507" t="s">
        <v>232</v>
      </c>
      <c r="B45" s="507"/>
      <c r="C45" s="507"/>
      <c r="D45" s="507"/>
      <c r="E45" s="507"/>
      <c r="F45" s="507"/>
      <c r="G45" s="507"/>
    </row>
    <row r="46" spans="1:7" ht="34.5" customHeight="1">
      <c r="A46" s="498" t="s">
        <v>295</v>
      </c>
      <c r="B46" s="499"/>
      <c r="C46" s="500"/>
      <c r="D46" s="86"/>
      <c r="E46" s="152"/>
      <c r="F46" s="135" t="s">
        <v>181</v>
      </c>
      <c r="G46" s="47">
        <f>G47-G48</f>
        <v>0</v>
      </c>
    </row>
    <row r="47" spans="1:7" ht="34.5" customHeight="1">
      <c r="A47" s="502" t="s">
        <v>282</v>
      </c>
      <c r="B47" s="508"/>
      <c r="C47" s="509"/>
      <c r="D47" s="363"/>
      <c r="E47" s="147"/>
      <c r="F47" s="135" t="s">
        <v>50</v>
      </c>
      <c r="G47" s="47">
        <f>D52*ERFs!B$57</f>
        <v>0</v>
      </c>
    </row>
    <row r="48" spans="1:7" ht="34.5" customHeight="1">
      <c r="A48" s="481" t="s">
        <v>408</v>
      </c>
      <c r="B48" s="482"/>
      <c r="C48" s="483"/>
      <c r="D48" s="160"/>
      <c r="E48" s="175"/>
      <c r="F48" s="135" t="s">
        <v>47</v>
      </c>
      <c r="G48" s="47">
        <f>D51*ERFs!B$57</f>
        <v>0</v>
      </c>
    </row>
    <row r="49" spans="1:7" ht="16" customHeight="1">
      <c r="A49" s="481" t="s">
        <v>407</v>
      </c>
      <c r="B49" s="482"/>
      <c r="C49" s="483"/>
      <c r="D49" s="160"/>
      <c r="E49" s="175"/>
      <c r="F49" s="137"/>
      <c r="G49" s="381"/>
    </row>
    <row r="50" spans="1:7" ht="16" customHeight="1">
      <c r="A50" s="481" t="s">
        <v>370</v>
      </c>
      <c r="B50" s="482"/>
      <c r="C50" s="483"/>
      <c r="D50" s="47" t="str">
        <f>IF(D49="Class I", 50, IF(D49="Class II or III",60, IF(D49="Class IV or V", 80,"")))</f>
        <v/>
      </c>
      <c r="E50" s="175"/>
      <c r="F50" s="103" t="s">
        <v>690</v>
      </c>
    </row>
    <row r="51" spans="1:7" ht="33" customHeight="1">
      <c r="A51" s="502" t="s">
        <v>283</v>
      </c>
      <c r="B51" s="503"/>
      <c r="C51" s="504"/>
      <c r="D51" s="86"/>
      <c r="E51" s="133"/>
      <c r="F51" s="398" t="s">
        <v>635</v>
      </c>
    </row>
    <row r="52" spans="1:7" ht="33" customHeight="1">
      <c r="A52" s="502" t="s">
        <v>284</v>
      </c>
      <c r="B52" s="503"/>
      <c r="C52" s="504"/>
      <c r="D52" s="86"/>
      <c r="E52" s="136"/>
      <c r="F52" s="442"/>
    </row>
    <row r="53" spans="1:7" ht="33" customHeight="1">
      <c r="A53" s="502" t="s">
        <v>285</v>
      </c>
      <c r="B53" s="503"/>
      <c r="C53" s="504"/>
      <c r="D53" s="86"/>
      <c r="E53" s="136"/>
      <c r="F53" s="398" t="s">
        <v>636</v>
      </c>
    </row>
    <row r="54" spans="1:7" ht="33" customHeight="1">
      <c r="A54" s="502" t="s">
        <v>286</v>
      </c>
      <c r="B54" s="503"/>
      <c r="C54" s="504"/>
      <c r="D54" s="86"/>
      <c r="E54" s="136"/>
      <c r="F54" s="442"/>
    </row>
    <row r="55" spans="1:7" ht="45" customHeight="1">
      <c r="A55" s="502" t="s">
        <v>287</v>
      </c>
      <c r="B55" s="503"/>
      <c r="C55" s="504"/>
      <c r="D55" s="86"/>
      <c r="E55" s="136"/>
    </row>
    <row r="56" spans="1:7" ht="45" customHeight="1">
      <c r="A56" s="502" t="s">
        <v>416</v>
      </c>
      <c r="B56" s="503"/>
      <c r="C56" s="504"/>
      <c r="D56" s="86"/>
      <c r="E56" s="136"/>
    </row>
    <row r="57" spans="1:7" ht="45" customHeight="1">
      <c r="A57" s="502" t="s">
        <v>414</v>
      </c>
      <c r="B57" s="503"/>
      <c r="C57" s="504"/>
      <c r="D57" s="86"/>
      <c r="E57" s="138"/>
      <c r="F57" s="139" t="s">
        <v>96</v>
      </c>
      <c r="G57" s="140">
        <f>(D53+D55+D57)</f>
        <v>0</v>
      </c>
    </row>
    <row r="58" spans="1:7" ht="45" customHeight="1">
      <c r="A58" s="502" t="s">
        <v>415</v>
      </c>
      <c r="B58" s="503"/>
      <c r="C58" s="504"/>
      <c r="D58" s="86"/>
      <c r="E58" s="138"/>
      <c r="F58" s="139" t="s">
        <v>97</v>
      </c>
    </row>
    <row r="59" spans="1:7" ht="25" customHeight="1"/>
    <row r="60" spans="1:7" ht="16">
      <c r="A60" s="507" t="s">
        <v>231</v>
      </c>
      <c r="B60" s="507"/>
      <c r="C60" s="507"/>
      <c r="D60" s="507"/>
      <c r="E60" s="507"/>
      <c r="F60" s="507"/>
      <c r="G60" s="507"/>
    </row>
    <row r="61" spans="1:7" ht="34.5" customHeight="1">
      <c r="A61" s="498" t="s">
        <v>295</v>
      </c>
      <c r="B61" s="499"/>
      <c r="C61" s="500"/>
      <c r="D61" s="86"/>
      <c r="E61" s="152"/>
      <c r="F61" s="135" t="s">
        <v>182</v>
      </c>
      <c r="G61" s="47">
        <f>G62-G63</f>
        <v>0</v>
      </c>
    </row>
    <row r="62" spans="1:7" ht="34.5" customHeight="1">
      <c r="A62" s="502" t="s">
        <v>282</v>
      </c>
      <c r="B62" s="508"/>
      <c r="C62" s="509"/>
      <c r="D62" s="153"/>
      <c r="E62" s="147"/>
      <c r="F62" s="135" t="s">
        <v>50</v>
      </c>
      <c r="G62" s="47">
        <f>D67*ERFs!B$57</f>
        <v>0</v>
      </c>
    </row>
    <row r="63" spans="1:7" ht="34.5" customHeight="1">
      <c r="A63" s="481" t="s">
        <v>408</v>
      </c>
      <c r="B63" s="482"/>
      <c r="C63" s="483"/>
      <c r="D63" s="160"/>
      <c r="E63" s="175"/>
      <c r="F63" s="135" t="s">
        <v>47</v>
      </c>
      <c r="G63" s="47">
        <f>D66*ERFs!B$57</f>
        <v>0</v>
      </c>
    </row>
    <row r="64" spans="1:7" ht="16" customHeight="1">
      <c r="A64" s="481" t="s">
        <v>407</v>
      </c>
      <c r="B64" s="482"/>
      <c r="C64" s="483"/>
      <c r="D64" s="160"/>
      <c r="E64" s="175"/>
      <c r="F64" s="137"/>
      <c r="G64" s="381"/>
    </row>
    <row r="65" spans="1:7" ht="16" customHeight="1">
      <c r="A65" s="481" t="s">
        <v>370</v>
      </c>
      <c r="B65" s="482"/>
      <c r="C65" s="483"/>
      <c r="D65" s="47" t="str">
        <f>IF(D64="Class I", 50, IF(D64="Class II or III",60, IF(D64="Class IV or V", 80,"")))</f>
        <v/>
      </c>
      <c r="E65" s="175"/>
      <c r="F65" s="103" t="s">
        <v>690</v>
      </c>
    </row>
    <row r="66" spans="1:7" ht="33" customHeight="1">
      <c r="A66" s="502" t="s">
        <v>283</v>
      </c>
      <c r="B66" s="503"/>
      <c r="C66" s="504"/>
      <c r="D66" s="86"/>
      <c r="E66" s="133"/>
      <c r="F66" s="398" t="s">
        <v>635</v>
      </c>
    </row>
    <row r="67" spans="1:7" ht="33" customHeight="1">
      <c r="A67" s="502" t="s">
        <v>284</v>
      </c>
      <c r="B67" s="503"/>
      <c r="C67" s="504"/>
      <c r="D67" s="86"/>
      <c r="E67" s="136"/>
      <c r="F67" s="442"/>
    </row>
    <row r="68" spans="1:7" ht="33" customHeight="1">
      <c r="A68" s="502" t="s">
        <v>285</v>
      </c>
      <c r="B68" s="503"/>
      <c r="C68" s="504"/>
      <c r="D68" s="86"/>
      <c r="E68" s="136"/>
      <c r="F68" s="398" t="s">
        <v>636</v>
      </c>
    </row>
    <row r="69" spans="1:7" ht="33" customHeight="1">
      <c r="A69" s="502" t="s">
        <v>286</v>
      </c>
      <c r="B69" s="503"/>
      <c r="C69" s="504"/>
      <c r="D69" s="86"/>
      <c r="E69" s="136"/>
      <c r="F69" s="442"/>
    </row>
    <row r="70" spans="1:7" ht="45" customHeight="1">
      <c r="A70" s="502" t="s">
        <v>287</v>
      </c>
      <c r="B70" s="503"/>
      <c r="C70" s="504"/>
      <c r="D70" s="86"/>
      <c r="E70" s="136"/>
    </row>
    <row r="71" spans="1:7" ht="45" customHeight="1">
      <c r="A71" s="502" t="s">
        <v>416</v>
      </c>
      <c r="B71" s="503"/>
      <c r="C71" s="504"/>
      <c r="D71" s="86"/>
      <c r="E71" s="136"/>
    </row>
    <row r="72" spans="1:7" ht="45" customHeight="1">
      <c r="A72" s="502" t="s">
        <v>414</v>
      </c>
      <c r="B72" s="503"/>
      <c r="C72" s="504"/>
      <c r="D72" s="86"/>
      <c r="E72" s="138"/>
      <c r="F72" s="139" t="s">
        <v>96</v>
      </c>
      <c r="G72" s="140">
        <f>(D68+D70+D72)</f>
        <v>0</v>
      </c>
    </row>
    <row r="73" spans="1:7" ht="45" customHeight="1">
      <c r="A73" s="502" t="s">
        <v>415</v>
      </c>
      <c r="B73" s="503"/>
      <c r="C73" s="504"/>
      <c r="D73" s="86"/>
      <c r="E73" s="138"/>
      <c r="F73" s="139" t="s">
        <v>97</v>
      </c>
    </row>
    <row r="74" spans="1:7" ht="25" customHeight="1"/>
    <row r="75" spans="1:7" ht="16">
      <c r="A75" s="507" t="s">
        <v>229</v>
      </c>
      <c r="B75" s="507"/>
      <c r="C75" s="507"/>
      <c r="D75" s="507"/>
      <c r="E75" s="507"/>
      <c r="F75" s="507"/>
      <c r="G75" s="507"/>
    </row>
    <row r="76" spans="1:7" ht="34.5" customHeight="1">
      <c r="A76" s="498" t="s">
        <v>295</v>
      </c>
      <c r="B76" s="499"/>
      <c r="C76" s="500"/>
      <c r="D76" s="86"/>
      <c r="E76" s="152"/>
      <c r="F76" s="135" t="s">
        <v>183</v>
      </c>
      <c r="G76" s="47">
        <f>G77-G78</f>
        <v>0</v>
      </c>
    </row>
    <row r="77" spans="1:7" ht="34.5" customHeight="1">
      <c r="A77" s="502" t="s">
        <v>282</v>
      </c>
      <c r="B77" s="508"/>
      <c r="C77" s="509"/>
      <c r="D77" s="363"/>
      <c r="E77" s="147"/>
      <c r="F77" s="135" t="s">
        <v>50</v>
      </c>
      <c r="G77" s="47">
        <f>D82*ERFs!B$57</f>
        <v>0</v>
      </c>
    </row>
    <row r="78" spans="1:7" ht="34.5" customHeight="1">
      <c r="A78" s="481" t="s">
        <v>408</v>
      </c>
      <c r="B78" s="482"/>
      <c r="C78" s="483"/>
      <c r="D78" s="160"/>
      <c r="E78" s="175"/>
      <c r="F78" s="135" t="s">
        <v>47</v>
      </c>
      <c r="G78" s="47">
        <f>D81*ERFs!B$57</f>
        <v>0</v>
      </c>
    </row>
    <row r="79" spans="1:7" ht="16" customHeight="1">
      <c r="A79" s="481" t="s">
        <v>407</v>
      </c>
      <c r="B79" s="482"/>
      <c r="C79" s="483"/>
      <c r="D79" s="160"/>
      <c r="E79" s="175"/>
      <c r="F79" s="137"/>
      <c r="G79" s="381"/>
    </row>
    <row r="80" spans="1:7" ht="16" customHeight="1">
      <c r="A80" s="481" t="s">
        <v>370</v>
      </c>
      <c r="B80" s="482"/>
      <c r="C80" s="483"/>
      <c r="D80" s="47" t="str">
        <f>IF(D79="Class I", 50, IF(D79="Class II or III",60, IF(D79="Class IV or V", 80,"")))</f>
        <v/>
      </c>
      <c r="E80" s="175"/>
      <c r="F80" s="103" t="s">
        <v>690</v>
      </c>
    </row>
    <row r="81" spans="1:7" ht="33" customHeight="1">
      <c r="A81" s="502" t="s">
        <v>283</v>
      </c>
      <c r="B81" s="503"/>
      <c r="C81" s="504"/>
      <c r="D81" s="86"/>
      <c r="E81" s="133"/>
      <c r="F81" s="398" t="s">
        <v>635</v>
      </c>
    </row>
    <row r="82" spans="1:7" ht="33" customHeight="1">
      <c r="A82" s="502" t="s">
        <v>284</v>
      </c>
      <c r="B82" s="503"/>
      <c r="C82" s="504"/>
      <c r="D82" s="86"/>
      <c r="E82" s="136"/>
      <c r="F82" s="442"/>
    </row>
    <row r="83" spans="1:7" ht="33" customHeight="1">
      <c r="A83" s="502" t="s">
        <v>285</v>
      </c>
      <c r="B83" s="503"/>
      <c r="C83" s="504"/>
      <c r="D83" s="86"/>
      <c r="E83" s="136"/>
      <c r="F83" s="398" t="s">
        <v>636</v>
      </c>
    </row>
    <row r="84" spans="1:7" ht="33" customHeight="1">
      <c r="A84" s="502" t="s">
        <v>286</v>
      </c>
      <c r="B84" s="503"/>
      <c r="C84" s="504"/>
      <c r="D84" s="86"/>
      <c r="E84" s="136"/>
      <c r="F84" s="442"/>
    </row>
    <row r="85" spans="1:7" ht="45" customHeight="1">
      <c r="A85" s="502" t="s">
        <v>287</v>
      </c>
      <c r="B85" s="503"/>
      <c r="C85" s="504"/>
      <c r="D85" s="86"/>
      <c r="E85" s="136"/>
    </row>
    <row r="86" spans="1:7" ht="45" customHeight="1">
      <c r="A86" s="502" t="s">
        <v>416</v>
      </c>
      <c r="B86" s="503"/>
      <c r="C86" s="504"/>
      <c r="D86" s="86"/>
      <c r="E86" s="136"/>
    </row>
    <row r="87" spans="1:7" ht="45" customHeight="1">
      <c r="A87" s="502" t="s">
        <v>414</v>
      </c>
      <c r="B87" s="503"/>
      <c r="C87" s="504"/>
      <c r="D87" s="86"/>
      <c r="E87" s="138"/>
      <c r="F87" s="139" t="s">
        <v>96</v>
      </c>
      <c r="G87" s="140">
        <f>(D83+D85+D87)</f>
        <v>0</v>
      </c>
    </row>
    <row r="88" spans="1:7" ht="45" customHeight="1">
      <c r="A88" s="502" t="s">
        <v>415</v>
      </c>
      <c r="B88" s="503"/>
      <c r="C88" s="504"/>
      <c r="D88" s="86"/>
      <c r="E88" s="138"/>
      <c r="F88" s="139" t="s">
        <v>97</v>
      </c>
    </row>
    <row r="90" spans="1:7" ht="16">
      <c r="A90" s="507" t="s">
        <v>321</v>
      </c>
      <c r="B90" s="507"/>
      <c r="C90" s="507"/>
      <c r="D90" s="507"/>
      <c r="E90" s="507"/>
      <c r="F90" s="507"/>
      <c r="G90" s="507"/>
    </row>
    <row r="91" spans="1:7" ht="34.5" customHeight="1">
      <c r="A91" s="498" t="s">
        <v>295</v>
      </c>
      <c r="B91" s="499"/>
      <c r="C91" s="500"/>
      <c r="D91" s="86"/>
      <c r="E91" s="156"/>
      <c r="F91" s="135" t="s">
        <v>337</v>
      </c>
      <c r="G91" s="47">
        <f>G92-G93</f>
        <v>0</v>
      </c>
    </row>
    <row r="92" spans="1:7" ht="34.5" customHeight="1">
      <c r="A92" s="502" t="s">
        <v>282</v>
      </c>
      <c r="B92" s="508"/>
      <c r="C92" s="509"/>
      <c r="D92" s="363"/>
      <c r="E92" s="156"/>
      <c r="F92" s="135" t="s">
        <v>50</v>
      </c>
      <c r="G92" s="47">
        <f>D97*ERFs!B$57</f>
        <v>0</v>
      </c>
    </row>
    <row r="93" spans="1:7" ht="36">
      <c r="A93" s="481" t="s">
        <v>408</v>
      </c>
      <c r="B93" s="482"/>
      <c r="C93" s="483"/>
      <c r="D93" s="160"/>
      <c r="E93" s="175"/>
      <c r="F93" s="135" t="s">
        <v>47</v>
      </c>
      <c r="G93" s="47">
        <f>D96*ERFs!B$57</f>
        <v>0</v>
      </c>
    </row>
    <row r="94" spans="1:7" ht="15.75" customHeight="1">
      <c r="A94" s="481" t="s">
        <v>407</v>
      </c>
      <c r="B94" s="482"/>
      <c r="C94" s="483"/>
      <c r="D94" s="160"/>
      <c r="E94" s="175"/>
      <c r="F94" s="137"/>
      <c r="G94" s="381"/>
    </row>
    <row r="95" spans="1:7" ht="16">
      <c r="A95" s="481" t="s">
        <v>370</v>
      </c>
      <c r="B95" s="482"/>
      <c r="C95" s="483"/>
      <c r="D95" s="47" t="str">
        <f>IF(D94="Class I", 50, IF(D94="Class II or III",60, IF(D94="Class IV or V", 80,"")))</f>
        <v/>
      </c>
      <c r="E95" s="175"/>
      <c r="F95" s="103" t="s">
        <v>690</v>
      </c>
    </row>
    <row r="96" spans="1:7" ht="38" customHeight="1">
      <c r="A96" s="502" t="s">
        <v>283</v>
      </c>
      <c r="B96" s="503"/>
      <c r="C96" s="504"/>
      <c r="D96" s="86"/>
      <c r="E96" s="133"/>
      <c r="F96" s="398" t="s">
        <v>635</v>
      </c>
    </row>
    <row r="97" spans="1:7" ht="45" customHeight="1">
      <c r="A97" s="502" t="s">
        <v>284</v>
      </c>
      <c r="B97" s="503"/>
      <c r="C97" s="504"/>
      <c r="D97" s="86"/>
      <c r="E97" s="136"/>
      <c r="F97" s="442"/>
    </row>
    <row r="98" spans="1:7" ht="45" customHeight="1">
      <c r="A98" s="502" t="s">
        <v>285</v>
      </c>
      <c r="B98" s="503"/>
      <c r="C98" s="504"/>
      <c r="D98" s="86"/>
      <c r="E98" s="136"/>
      <c r="F98" s="398" t="s">
        <v>636</v>
      </c>
    </row>
    <row r="99" spans="1:7" ht="45" customHeight="1">
      <c r="A99" s="502" t="s">
        <v>286</v>
      </c>
      <c r="B99" s="503"/>
      <c r="C99" s="504"/>
      <c r="D99" s="86"/>
      <c r="E99" s="136"/>
      <c r="F99" s="442"/>
    </row>
    <row r="100" spans="1:7" ht="45" customHeight="1">
      <c r="A100" s="502" t="s">
        <v>287</v>
      </c>
      <c r="B100" s="503"/>
      <c r="C100" s="504"/>
      <c r="D100" s="86"/>
      <c r="E100" s="136"/>
    </row>
    <row r="101" spans="1:7" ht="45" customHeight="1">
      <c r="A101" s="502" t="s">
        <v>416</v>
      </c>
      <c r="B101" s="503"/>
      <c r="C101" s="504"/>
      <c r="D101" s="86"/>
      <c r="E101" s="136"/>
    </row>
    <row r="102" spans="1:7" ht="45" customHeight="1">
      <c r="A102" s="502" t="s">
        <v>414</v>
      </c>
      <c r="B102" s="503"/>
      <c r="C102" s="504"/>
      <c r="D102" s="86"/>
      <c r="E102" s="138"/>
      <c r="F102" s="139" t="s">
        <v>96</v>
      </c>
      <c r="G102" s="140">
        <f>(D98+D100+D102)</f>
        <v>0</v>
      </c>
    </row>
    <row r="103" spans="1:7" ht="45" customHeight="1">
      <c r="A103" s="502" t="s">
        <v>415</v>
      </c>
      <c r="B103" s="503"/>
      <c r="C103" s="504"/>
      <c r="D103" s="86"/>
      <c r="E103" s="138"/>
      <c r="F103" s="139" t="s">
        <v>97</v>
      </c>
    </row>
    <row r="105" spans="1:7" ht="16">
      <c r="A105" s="507" t="s">
        <v>320</v>
      </c>
      <c r="B105" s="507"/>
      <c r="C105" s="507"/>
      <c r="D105" s="507"/>
      <c r="E105" s="507"/>
      <c r="F105" s="507"/>
      <c r="G105" s="507"/>
    </row>
    <row r="106" spans="1:7" ht="34.5" customHeight="1">
      <c r="A106" s="498" t="s">
        <v>295</v>
      </c>
      <c r="B106" s="499"/>
      <c r="C106" s="500"/>
      <c r="D106" s="86"/>
      <c r="E106" s="156"/>
      <c r="F106" s="135" t="s">
        <v>338</v>
      </c>
      <c r="G106" s="47">
        <f>G107-G108</f>
        <v>0</v>
      </c>
    </row>
    <row r="107" spans="1:7" ht="34.5" customHeight="1">
      <c r="A107" s="502" t="s">
        <v>282</v>
      </c>
      <c r="B107" s="508"/>
      <c r="C107" s="509"/>
      <c r="D107" s="363"/>
      <c r="E107" s="156"/>
      <c r="F107" s="135" t="s">
        <v>50</v>
      </c>
      <c r="G107" s="47">
        <f>D112*ERFs!B$57</f>
        <v>0</v>
      </c>
    </row>
    <row r="108" spans="1:7" ht="36">
      <c r="A108" s="481" t="s">
        <v>408</v>
      </c>
      <c r="B108" s="482"/>
      <c r="C108" s="483"/>
      <c r="D108" s="160"/>
      <c r="E108" s="175"/>
      <c r="F108" s="135" t="s">
        <v>47</v>
      </c>
      <c r="G108" s="47">
        <f>D111*ERFs!B$57</f>
        <v>0</v>
      </c>
    </row>
    <row r="109" spans="1:7" ht="15.75" customHeight="1">
      <c r="A109" s="481" t="s">
        <v>407</v>
      </c>
      <c r="B109" s="482"/>
      <c r="C109" s="483"/>
      <c r="D109" s="160"/>
      <c r="E109" s="175"/>
      <c r="F109" s="137"/>
      <c r="G109" s="381"/>
    </row>
    <row r="110" spans="1:7" ht="16">
      <c r="A110" s="481" t="s">
        <v>370</v>
      </c>
      <c r="B110" s="482"/>
      <c r="C110" s="483"/>
      <c r="D110" s="47" t="str">
        <f>IF(D109="Class I", 50, IF(D109="Class II or III",60, IF(D109="Class IV or V", 80,"")))</f>
        <v/>
      </c>
      <c r="E110" s="175"/>
      <c r="F110" s="103" t="s">
        <v>690</v>
      </c>
    </row>
    <row r="111" spans="1:7" ht="45" customHeight="1">
      <c r="A111" s="502" t="s">
        <v>283</v>
      </c>
      <c r="B111" s="503"/>
      <c r="C111" s="504"/>
      <c r="D111" s="86"/>
      <c r="E111" s="133"/>
      <c r="F111" s="398" t="s">
        <v>635</v>
      </c>
    </row>
    <row r="112" spans="1:7" ht="45" customHeight="1">
      <c r="A112" s="502" t="s">
        <v>284</v>
      </c>
      <c r="B112" s="503"/>
      <c r="C112" s="504"/>
      <c r="D112" s="86"/>
      <c r="E112" s="136"/>
      <c r="F112" s="442"/>
    </row>
    <row r="113" spans="1:7" ht="45" customHeight="1">
      <c r="A113" s="502" t="s">
        <v>285</v>
      </c>
      <c r="B113" s="503"/>
      <c r="C113" s="504"/>
      <c r="D113" s="86"/>
      <c r="E113" s="136"/>
      <c r="F113" s="398" t="s">
        <v>636</v>
      </c>
    </row>
    <row r="114" spans="1:7" ht="45" customHeight="1">
      <c r="A114" s="502" t="s">
        <v>286</v>
      </c>
      <c r="B114" s="503"/>
      <c r="C114" s="504"/>
      <c r="D114" s="86"/>
      <c r="E114" s="136"/>
      <c r="F114" s="442"/>
    </row>
    <row r="115" spans="1:7" ht="45" customHeight="1">
      <c r="A115" s="502" t="s">
        <v>287</v>
      </c>
      <c r="B115" s="503"/>
      <c r="C115" s="504"/>
      <c r="D115" s="86"/>
      <c r="E115" s="136"/>
    </row>
    <row r="116" spans="1:7" ht="45" customHeight="1">
      <c r="A116" s="502" t="s">
        <v>416</v>
      </c>
      <c r="B116" s="503"/>
      <c r="C116" s="504"/>
      <c r="D116" s="86"/>
      <c r="E116" s="136"/>
    </row>
    <row r="117" spans="1:7" ht="45" customHeight="1">
      <c r="A117" s="502" t="s">
        <v>414</v>
      </c>
      <c r="B117" s="503"/>
      <c r="C117" s="504"/>
      <c r="D117" s="86"/>
      <c r="E117" s="138"/>
      <c r="F117" s="139" t="s">
        <v>96</v>
      </c>
      <c r="G117" s="140">
        <f>(D113+D115+D117)</f>
        <v>0</v>
      </c>
    </row>
    <row r="118" spans="1:7" ht="45" customHeight="1">
      <c r="A118" s="502" t="s">
        <v>415</v>
      </c>
      <c r="B118" s="503"/>
      <c r="C118" s="504"/>
      <c r="D118" s="86"/>
      <c r="E118" s="138"/>
      <c r="F118" s="139" t="s">
        <v>97</v>
      </c>
    </row>
    <row r="120" spans="1:7" ht="16">
      <c r="A120" s="507" t="s">
        <v>319</v>
      </c>
      <c r="B120" s="507"/>
      <c r="C120" s="507"/>
      <c r="D120" s="507"/>
      <c r="E120" s="507"/>
      <c r="F120" s="507"/>
      <c r="G120" s="507"/>
    </row>
    <row r="121" spans="1:7" ht="45" customHeight="1">
      <c r="A121" s="498" t="s">
        <v>295</v>
      </c>
      <c r="B121" s="499"/>
      <c r="C121" s="500"/>
      <c r="D121" s="86"/>
      <c r="E121" s="156"/>
      <c r="F121" s="135" t="s">
        <v>339</v>
      </c>
      <c r="G121" s="47">
        <f>G122-G123</f>
        <v>0</v>
      </c>
    </row>
    <row r="122" spans="1:7" ht="45" customHeight="1">
      <c r="A122" s="502" t="s">
        <v>282</v>
      </c>
      <c r="B122" s="508"/>
      <c r="C122" s="509"/>
      <c r="D122" s="363"/>
      <c r="E122" s="156"/>
      <c r="F122" s="135" t="s">
        <v>50</v>
      </c>
      <c r="G122" s="47">
        <f>D127*ERFs!B$57</f>
        <v>0</v>
      </c>
    </row>
    <row r="123" spans="1:7" ht="45" customHeight="1">
      <c r="A123" s="481" t="s">
        <v>408</v>
      </c>
      <c r="B123" s="482"/>
      <c r="C123" s="483"/>
      <c r="D123" s="160"/>
      <c r="E123" s="175"/>
      <c r="F123" s="135" t="s">
        <v>47</v>
      </c>
      <c r="G123" s="47">
        <f>D126*ERFs!B$57</f>
        <v>0</v>
      </c>
    </row>
    <row r="124" spans="1:7" ht="15.75" customHeight="1">
      <c r="A124" s="481" t="s">
        <v>407</v>
      </c>
      <c r="B124" s="482"/>
      <c r="C124" s="483"/>
      <c r="D124" s="160"/>
      <c r="E124" s="175"/>
      <c r="F124" s="137"/>
      <c r="G124" s="381"/>
    </row>
    <row r="125" spans="1:7" ht="15.75" customHeight="1">
      <c r="A125" s="481" t="s">
        <v>370</v>
      </c>
      <c r="B125" s="482"/>
      <c r="C125" s="483"/>
      <c r="D125" s="47" t="str">
        <f>IF(D124="Class I", 50, IF(D124="Class II or III",60, IF(D124="Class IV or V", 80,"")))</f>
        <v/>
      </c>
      <c r="E125" s="175"/>
      <c r="F125" s="103" t="s">
        <v>690</v>
      </c>
    </row>
    <row r="126" spans="1:7" ht="45" customHeight="1">
      <c r="A126" s="502" t="s">
        <v>283</v>
      </c>
      <c r="B126" s="503"/>
      <c r="C126" s="504"/>
      <c r="D126" s="86"/>
      <c r="E126" s="133"/>
      <c r="F126" s="398" t="s">
        <v>635</v>
      </c>
    </row>
    <row r="127" spans="1:7" ht="45" customHeight="1">
      <c r="A127" s="502" t="s">
        <v>284</v>
      </c>
      <c r="B127" s="503"/>
      <c r="C127" s="504"/>
      <c r="D127" s="86"/>
      <c r="E127" s="136"/>
      <c r="F127" s="442"/>
    </row>
    <row r="128" spans="1:7" ht="45" customHeight="1">
      <c r="A128" s="502" t="s">
        <v>285</v>
      </c>
      <c r="B128" s="503"/>
      <c r="C128" s="504"/>
      <c r="D128" s="86"/>
      <c r="E128" s="136"/>
      <c r="F128" s="398" t="s">
        <v>636</v>
      </c>
    </row>
    <row r="129" spans="1:7" ht="45" customHeight="1">
      <c r="A129" s="502" t="s">
        <v>286</v>
      </c>
      <c r="B129" s="503"/>
      <c r="C129" s="504"/>
      <c r="D129" s="86"/>
      <c r="E129" s="136"/>
      <c r="F129" s="442"/>
    </row>
    <row r="130" spans="1:7" ht="45" customHeight="1">
      <c r="A130" s="502" t="s">
        <v>287</v>
      </c>
      <c r="B130" s="503"/>
      <c r="C130" s="504"/>
      <c r="D130" s="86"/>
      <c r="E130" s="136"/>
    </row>
    <row r="131" spans="1:7" ht="45" customHeight="1">
      <c r="A131" s="502" t="s">
        <v>416</v>
      </c>
      <c r="B131" s="503"/>
      <c r="C131" s="504"/>
      <c r="D131" s="86"/>
      <c r="E131" s="136"/>
    </row>
    <row r="132" spans="1:7" ht="45" customHeight="1">
      <c r="A132" s="502" t="s">
        <v>414</v>
      </c>
      <c r="B132" s="503"/>
      <c r="C132" s="504"/>
      <c r="D132" s="86"/>
      <c r="E132" s="138"/>
      <c r="F132" s="139" t="s">
        <v>96</v>
      </c>
      <c r="G132" s="140">
        <f>(D128+D130+D132)</f>
        <v>0</v>
      </c>
    </row>
    <row r="133" spans="1:7" ht="45" customHeight="1">
      <c r="A133" s="502" t="s">
        <v>415</v>
      </c>
      <c r="B133" s="503"/>
      <c r="C133" s="504"/>
      <c r="D133" s="86"/>
      <c r="E133" s="138"/>
      <c r="F133" s="139" t="s">
        <v>97</v>
      </c>
    </row>
    <row r="135" spans="1:7" ht="16">
      <c r="A135" s="507" t="s">
        <v>318</v>
      </c>
      <c r="B135" s="507"/>
      <c r="C135" s="507"/>
      <c r="D135" s="507"/>
      <c r="E135" s="507"/>
      <c r="F135" s="507"/>
      <c r="G135" s="507"/>
    </row>
    <row r="136" spans="1:7" ht="34.5" customHeight="1">
      <c r="A136" s="498" t="s">
        <v>295</v>
      </c>
      <c r="B136" s="499"/>
      <c r="C136" s="500"/>
      <c r="D136" s="86"/>
      <c r="E136" s="156"/>
      <c r="F136" s="135" t="s">
        <v>340</v>
      </c>
      <c r="G136" s="47">
        <f>G137-G138</f>
        <v>0</v>
      </c>
    </row>
    <row r="137" spans="1:7" ht="34.5" customHeight="1">
      <c r="A137" s="502" t="s">
        <v>282</v>
      </c>
      <c r="B137" s="508"/>
      <c r="C137" s="509"/>
      <c r="D137" s="185"/>
      <c r="E137" s="156"/>
      <c r="F137" s="135" t="s">
        <v>50</v>
      </c>
      <c r="G137" s="47">
        <f>D142*ERFs!B$57</f>
        <v>0</v>
      </c>
    </row>
    <row r="138" spans="1:7" ht="36">
      <c r="A138" s="481" t="s">
        <v>408</v>
      </c>
      <c r="B138" s="482"/>
      <c r="C138" s="483"/>
      <c r="D138" s="160"/>
      <c r="E138" s="175"/>
      <c r="F138" s="135" t="s">
        <v>47</v>
      </c>
      <c r="G138" s="47">
        <f>D141*ERFs!B$57</f>
        <v>0</v>
      </c>
    </row>
    <row r="139" spans="1:7" ht="15.75" customHeight="1">
      <c r="A139" s="481" t="s">
        <v>407</v>
      </c>
      <c r="B139" s="482"/>
      <c r="C139" s="483"/>
      <c r="D139" s="160"/>
      <c r="E139" s="175"/>
      <c r="F139" s="137"/>
      <c r="G139" s="381"/>
    </row>
    <row r="140" spans="1:7" ht="16">
      <c r="A140" s="481" t="s">
        <v>370</v>
      </c>
      <c r="B140" s="482"/>
      <c r="C140" s="483"/>
      <c r="D140" s="47" t="str">
        <f>IF(D139="Class I", 50, IF(D139="Class II or III",60, IF(D139="Class IV or V", 80,"")))</f>
        <v/>
      </c>
      <c r="E140" s="175"/>
      <c r="F140" s="103" t="s">
        <v>690</v>
      </c>
    </row>
    <row r="141" spans="1:7" ht="45" customHeight="1">
      <c r="A141" s="502" t="s">
        <v>283</v>
      </c>
      <c r="B141" s="503"/>
      <c r="C141" s="504"/>
      <c r="D141" s="86"/>
      <c r="E141" s="133"/>
      <c r="F141" s="398" t="s">
        <v>635</v>
      </c>
    </row>
    <row r="142" spans="1:7" ht="45" customHeight="1">
      <c r="A142" s="502" t="s">
        <v>284</v>
      </c>
      <c r="B142" s="503"/>
      <c r="C142" s="504"/>
      <c r="D142" s="86"/>
      <c r="E142" s="136"/>
      <c r="F142" s="442"/>
    </row>
    <row r="143" spans="1:7" ht="45" customHeight="1">
      <c r="A143" s="502" t="s">
        <v>285</v>
      </c>
      <c r="B143" s="503"/>
      <c r="C143" s="504"/>
      <c r="D143" s="86"/>
      <c r="E143" s="136"/>
      <c r="F143" s="398" t="s">
        <v>636</v>
      </c>
    </row>
    <row r="144" spans="1:7" ht="45" customHeight="1">
      <c r="A144" s="502" t="s">
        <v>286</v>
      </c>
      <c r="B144" s="503"/>
      <c r="C144" s="504"/>
      <c r="D144" s="86"/>
      <c r="E144" s="136"/>
      <c r="F144" s="442"/>
    </row>
    <row r="145" spans="1:7" ht="45" customHeight="1">
      <c r="A145" s="502" t="s">
        <v>287</v>
      </c>
      <c r="B145" s="503"/>
      <c r="C145" s="504"/>
      <c r="D145" s="86"/>
      <c r="E145" s="136"/>
    </row>
    <row r="146" spans="1:7" ht="45" customHeight="1">
      <c r="A146" s="502" t="s">
        <v>416</v>
      </c>
      <c r="B146" s="503"/>
      <c r="C146" s="504"/>
      <c r="D146" s="86"/>
      <c r="E146" s="136"/>
    </row>
    <row r="147" spans="1:7" ht="45" customHeight="1">
      <c r="A147" s="502" t="s">
        <v>414</v>
      </c>
      <c r="B147" s="503"/>
      <c r="C147" s="504"/>
      <c r="D147" s="86"/>
      <c r="E147" s="138"/>
      <c r="F147" s="139" t="s">
        <v>96</v>
      </c>
      <c r="G147" s="140">
        <f>(D143+D145+D147)</f>
        <v>0</v>
      </c>
    </row>
    <row r="148" spans="1:7" ht="45" customHeight="1">
      <c r="A148" s="502" t="s">
        <v>415</v>
      </c>
      <c r="B148" s="503"/>
      <c r="C148" s="504"/>
      <c r="D148" s="86"/>
      <c r="E148" s="138"/>
      <c r="F148" s="139" t="s">
        <v>97</v>
      </c>
    </row>
    <row r="150" spans="1:7" ht="16">
      <c r="A150" s="507" t="s">
        <v>317</v>
      </c>
      <c r="B150" s="507"/>
      <c r="C150" s="507"/>
      <c r="D150" s="507"/>
      <c r="E150" s="507"/>
      <c r="F150" s="507"/>
      <c r="G150" s="507"/>
    </row>
    <row r="151" spans="1:7" ht="34.5" customHeight="1">
      <c r="A151" s="498" t="s">
        <v>295</v>
      </c>
      <c r="B151" s="499"/>
      <c r="C151" s="500"/>
      <c r="D151" s="86"/>
      <c r="E151" s="156"/>
      <c r="F151" s="135" t="s">
        <v>341</v>
      </c>
      <c r="G151" s="47">
        <f>G152-G153</f>
        <v>0</v>
      </c>
    </row>
    <row r="152" spans="1:7" ht="34.5" customHeight="1">
      <c r="A152" s="502" t="s">
        <v>282</v>
      </c>
      <c r="B152" s="508"/>
      <c r="C152" s="509"/>
      <c r="D152" s="363"/>
      <c r="E152" s="156"/>
      <c r="F152" s="135" t="s">
        <v>50</v>
      </c>
      <c r="G152" s="47">
        <f>D157*ERFs!B$57</f>
        <v>0</v>
      </c>
    </row>
    <row r="153" spans="1:7" ht="36">
      <c r="A153" s="481" t="s">
        <v>408</v>
      </c>
      <c r="B153" s="482"/>
      <c r="C153" s="483"/>
      <c r="D153" s="160"/>
      <c r="E153" s="175"/>
      <c r="F153" s="135" t="s">
        <v>47</v>
      </c>
      <c r="G153" s="47">
        <f>D156*ERFs!B$57</f>
        <v>0</v>
      </c>
    </row>
    <row r="154" spans="1:7" ht="15.75" customHeight="1">
      <c r="A154" s="481" t="s">
        <v>407</v>
      </c>
      <c r="B154" s="482"/>
      <c r="C154" s="483"/>
      <c r="D154" s="160"/>
      <c r="E154" s="175"/>
      <c r="F154" s="137"/>
      <c r="G154" s="381"/>
    </row>
    <row r="155" spans="1:7" ht="16">
      <c r="A155" s="481" t="s">
        <v>370</v>
      </c>
      <c r="B155" s="482"/>
      <c r="C155" s="483"/>
      <c r="D155" s="47" t="str">
        <f>IF(D154="Class I", 50, IF(D154="Class II or III",60, IF(D154="Class IV or V", 80,"")))</f>
        <v/>
      </c>
      <c r="E155" s="175"/>
      <c r="F155" s="103" t="s">
        <v>690</v>
      </c>
    </row>
    <row r="156" spans="1:7" ht="34" customHeight="1">
      <c r="A156" s="502" t="s">
        <v>283</v>
      </c>
      <c r="B156" s="503"/>
      <c r="C156" s="504"/>
      <c r="D156" s="86"/>
      <c r="E156" s="133"/>
      <c r="F156" s="398" t="s">
        <v>635</v>
      </c>
    </row>
    <row r="157" spans="1:7" ht="45" customHeight="1">
      <c r="A157" s="502" t="s">
        <v>284</v>
      </c>
      <c r="B157" s="503"/>
      <c r="C157" s="504"/>
      <c r="D157" s="86"/>
      <c r="E157" s="136"/>
      <c r="F157" s="442"/>
    </row>
    <row r="158" spans="1:7" ht="45" customHeight="1">
      <c r="A158" s="502" t="s">
        <v>285</v>
      </c>
      <c r="B158" s="503"/>
      <c r="C158" s="504"/>
      <c r="D158" s="86"/>
      <c r="E158" s="136"/>
      <c r="F158" s="398" t="s">
        <v>636</v>
      </c>
    </row>
    <row r="159" spans="1:7" ht="45" customHeight="1">
      <c r="A159" s="502" t="s">
        <v>286</v>
      </c>
      <c r="B159" s="503"/>
      <c r="C159" s="504"/>
      <c r="D159" s="86"/>
      <c r="E159" s="136"/>
      <c r="F159" s="442"/>
    </row>
    <row r="160" spans="1:7" ht="45" customHeight="1">
      <c r="A160" s="502" t="s">
        <v>287</v>
      </c>
      <c r="B160" s="503"/>
      <c r="C160" s="504"/>
      <c r="D160" s="86"/>
      <c r="E160" s="136"/>
    </row>
    <row r="161" spans="1:7" ht="45" customHeight="1">
      <c r="A161" s="502" t="s">
        <v>416</v>
      </c>
      <c r="B161" s="503"/>
      <c r="C161" s="504"/>
      <c r="D161" s="86"/>
      <c r="E161" s="136"/>
    </row>
    <row r="162" spans="1:7" ht="45" customHeight="1">
      <c r="A162" s="502" t="s">
        <v>414</v>
      </c>
      <c r="B162" s="503"/>
      <c r="C162" s="504"/>
      <c r="D162" s="86"/>
      <c r="E162" s="138"/>
      <c r="F162" s="139" t="s">
        <v>96</v>
      </c>
      <c r="G162" s="140">
        <f>(D158+D160+D162)</f>
        <v>0</v>
      </c>
    </row>
    <row r="163" spans="1:7" ht="45" customHeight="1">
      <c r="A163" s="502" t="s">
        <v>415</v>
      </c>
      <c r="B163" s="503"/>
      <c r="C163" s="504"/>
      <c r="D163" s="86"/>
      <c r="E163" s="138"/>
      <c r="F163" s="139" t="s">
        <v>97</v>
      </c>
    </row>
  </sheetData>
  <sheetProtection algorithmName="SHA-512" hashValue="d9m9G3iWHMQAirFl07NHVat/ZBx8XeE/dbcXxqPyuKERny/DxcW+cnfQvmEsFGpOR4384JxWerPVtESRRQpDLA==" saltValue="VDjYTwAKy/jeMqlmSwm3IQ==" spinCount="100000" sheet="1" objects="1" scenarios="1"/>
  <mergeCells count="142">
    <mergeCell ref="A137:C137"/>
    <mergeCell ref="A141:C141"/>
    <mergeCell ref="A142:C142"/>
    <mergeCell ref="A143:C143"/>
    <mergeCell ref="A144:C144"/>
    <mergeCell ref="A131:C131"/>
    <mergeCell ref="A132:C132"/>
    <mergeCell ref="A133:C133"/>
    <mergeCell ref="A135:G135"/>
    <mergeCell ref="A136:C136"/>
    <mergeCell ref="A138:C138"/>
    <mergeCell ref="A139:C139"/>
    <mergeCell ref="A140:C140"/>
    <mergeCell ref="A37:C37"/>
    <mergeCell ref="A38:C38"/>
    <mergeCell ref="A39:C39"/>
    <mergeCell ref="A145:C145"/>
    <mergeCell ref="A146:C146"/>
    <mergeCell ref="A147:C147"/>
    <mergeCell ref="A148:C148"/>
    <mergeCell ref="A150:G150"/>
    <mergeCell ref="A63:C63"/>
    <mergeCell ref="A64:C64"/>
    <mergeCell ref="A65:C65"/>
    <mergeCell ref="A78:C78"/>
    <mergeCell ref="A79:C79"/>
    <mergeCell ref="A80:C80"/>
    <mergeCell ref="A93:C93"/>
    <mergeCell ref="A94:C94"/>
    <mergeCell ref="A95:C95"/>
    <mergeCell ref="A92:C92"/>
    <mergeCell ref="A109:C109"/>
    <mergeCell ref="A110:C110"/>
    <mergeCell ref="A90:G90"/>
    <mergeCell ref="A91:C91"/>
    <mergeCell ref="A126:C126"/>
    <mergeCell ref="A127:C127"/>
    <mergeCell ref="A159:C159"/>
    <mergeCell ref="A160:C160"/>
    <mergeCell ref="A161:C161"/>
    <mergeCell ref="A162:C162"/>
    <mergeCell ref="A163:C163"/>
    <mergeCell ref="A151:C151"/>
    <mergeCell ref="A152:C152"/>
    <mergeCell ref="A156:C156"/>
    <mergeCell ref="A157:C157"/>
    <mergeCell ref="A158:C158"/>
    <mergeCell ref="A153:C153"/>
    <mergeCell ref="A154:C154"/>
    <mergeCell ref="A155:C155"/>
    <mergeCell ref="A128:C128"/>
    <mergeCell ref="A129:C129"/>
    <mergeCell ref="A130:C130"/>
    <mergeCell ref="A117:C117"/>
    <mergeCell ref="A118:C118"/>
    <mergeCell ref="A120:G120"/>
    <mergeCell ref="A121:C121"/>
    <mergeCell ref="A122:C122"/>
    <mergeCell ref="A123:C123"/>
    <mergeCell ref="A124:C124"/>
    <mergeCell ref="A125:C125"/>
    <mergeCell ref="A114:C114"/>
    <mergeCell ref="A115:C115"/>
    <mergeCell ref="A116:C116"/>
    <mergeCell ref="A75:G75"/>
    <mergeCell ref="A81:C81"/>
    <mergeCell ref="A76:C76"/>
    <mergeCell ref="A82:C82"/>
    <mergeCell ref="A103:C103"/>
    <mergeCell ref="A105:G105"/>
    <mergeCell ref="A106:C106"/>
    <mergeCell ref="A107:C107"/>
    <mergeCell ref="A111:C111"/>
    <mergeCell ref="A98:C98"/>
    <mergeCell ref="A99:C99"/>
    <mergeCell ref="A100:C100"/>
    <mergeCell ref="A101:C101"/>
    <mergeCell ref="A102:C102"/>
    <mergeCell ref="A108:C108"/>
    <mergeCell ref="A112:C112"/>
    <mergeCell ref="A113:C113"/>
    <mergeCell ref="A96:C96"/>
    <mergeCell ref="A97:C97"/>
    <mergeCell ref="A57:C57"/>
    <mergeCell ref="A58:C58"/>
    <mergeCell ref="A60:G60"/>
    <mergeCell ref="A66:C66"/>
    <mergeCell ref="A61:C61"/>
    <mergeCell ref="A88:C88"/>
    <mergeCell ref="A87:C87"/>
    <mergeCell ref="A77:C77"/>
    <mergeCell ref="A62:C62"/>
    <mergeCell ref="A83:C83"/>
    <mergeCell ref="A84:C84"/>
    <mergeCell ref="A85:C85"/>
    <mergeCell ref="A86:C86"/>
    <mergeCell ref="A72:C72"/>
    <mergeCell ref="A73:C73"/>
    <mergeCell ref="A67:C67"/>
    <mergeCell ref="A68:C68"/>
    <mergeCell ref="A69:C69"/>
    <mergeCell ref="A70:C70"/>
    <mergeCell ref="A71:C71"/>
    <mergeCell ref="A53:C53"/>
    <mergeCell ref="A54:C54"/>
    <mergeCell ref="A55:C55"/>
    <mergeCell ref="A40:C40"/>
    <mergeCell ref="A41:C41"/>
    <mergeCell ref="A43:C43"/>
    <mergeCell ref="A45:G45"/>
    <mergeCell ref="A56:C56"/>
    <mergeCell ref="A51:C51"/>
    <mergeCell ref="A52:C52"/>
    <mergeCell ref="A48:C48"/>
    <mergeCell ref="A49:C49"/>
    <mergeCell ref="A50:C50"/>
    <mergeCell ref="A47:C47"/>
    <mergeCell ref="A46:C46"/>
    <mergeCell ref="A28:C28"/>
    <mergeCell ref="A29:C29"/>
    <mergeCell ref="A42:C42"/>
    <mergeCell ref="A13:G13"/>
    <mergeCell ref="A15:G15"/>
    <mergeCell ref="A21:C21"/>
    <mergeCell ref="A25:C25"/>
    <mergeCell ref="A26:C26"/>
    <mergeCell ref="A27:C27"/>
    <mergeCell ref="A22:C22"/>
    <mergeCell ref="A23:C23"/>
    <mergeCell ref="A24:C24"/>
    <mergeCell ref="A17:C17"/>
    <mergeCell ref="A16:C16"/>
    <mergeCell ref="A18:C18"/>
    <mergeCell ref="A19:C19"/>
    <mergeCell ref="A20:C20"/>
    <mergeCell ref="A33:C33"/>
    <mergeCell ref="A34:C34"/>
    <mergeCell ref="A35:C35"/>
    <mergeCell ref="A31:C31"/>
    <mergeCell ref="A30:G30"/>
    <mergeCell ref="A36:C36"/>
    <mergeCell ref="A32:C32"/>
  </mergeCells>
  <dataValidations count="12">
    <dataValidation type="decimal" allowBlank="1" showInputMessage="1" showErrorMessage="1" error="Enter number between 0 and 1,000,000." prompt="Enter the acres within the easement." sqref="D16 D31 D46 D61 D76 D91 D106 D121 D136 D151" xr:uid="{00000000-0002-0000-0600-000000000000}">
      <formula1>0</formula1>
      <formula2>1000000</formula2>
    </dataValidation>
    <dataValidation allowBlank="1" showInputMessage="1" showErrorMessage="1" prompt="Project duration. Automatically calculated based on Site Productivity Class. Class I: 50 yrs; Class II &amp; III: 60 yrs; Class IV &amp; V: 80 yrs." sqref="D125 D110 D140 D20 D35 D50 D65 D80 D95 D155" xr:uid="{00000000-0002-0000-0600-000001000000}"/>
    <dataValidation type="decimal" allowBlank="1" showInputMessage="1" showErrorMessage="1" error="Enter number between 0 and 1,000,000." prompt="Enter the acres within the treatment boundary that are subject to active forest management prescriptions through the conservation easement." sqref="D17 D32 D47 D62 D77 D92 D107 D122 D137 D152" xr:uid="{00000000-0002-0000-0600-000002000000}">
      <formula1>0</formula1>
      <formula2>1000000</formula2>
    </dataValidation>
    <dataValidation type="decimal" allowBlank="1" showInputMessage="1" showErrorMessage="1" error="Enter a number between 0 and 100,000,000." prompt="Enter the carbon stored in standing live and dead trees within the active forest management portion of the easement at the end of the project without the conservation easement (from FVS or other approved model). " sqref="D21 D36 D51 D66 D81 D96 D111 D126 D141 D156" xr:uid="{00000000-0002-0000-0600-000003000000}">
      <formula1>0</formula1>
      <formula2>100000000</formula2>
    </dataValidation>
    <dataValidation type="decimal" allowBlank="1" showInputMessage="1" showErrorMessage="1" error="Enter a number between 0 and 100,000,000." prompt="Enter the carbon stored in standing live and dead trees within the active forest management portion of the easement at the end of the project with the conservation easement (from FVS or other approved model). " sqref="D22 D37 D52 D67 D82 D97 D112 D127 D142 D157" xr:uid="{00000000-0002-0000-0600-000004000000}">
      <formula1>0</formula1>
      <formula2>100000000</formula2>
    </dataValidation>
    <dataValidation type="decimal" allowBlank="1" showInputMessage="1" showErrorMessage="1" error="Enter a value between 0 and 100,000,000." prompt="Estimate biomass that would be utilized for electricity generation via gasification with the conservation easement in place.  " sqref="D28 D43 D58 D73 D88 D103 D118 D133 D148 D163" xr:uid="{00000000-0002-0000-0600-000005000000}">
      <formula1>0</formula1>
      <formula2>100000000</formula2>
    </dataValidation>
    <dataValidation type="decimal" allowBlank="1" showInputMessage="1" showErrorMessage="1" error="Enter a value between 0 and 100,000,000." prompt="Estimate biomass that would be utilized for wood products with the conservation easement in place.  " sqref="D24 D39 D54 D69 D84 D99 D114 D129 D144 D159" xr:uid="{00000000-0002-0000-0600-000006000000}">
      <formula1>0</formula1>
      <formula2>100000000</formula2>
    </dataValidation>
    <dataValidation type="decimal" allowBlank="1" showInputMessage="1" showErrorMessage="1" error="Enter a value between 0 and 100,000,000." prompt="Estimate biomass that would be utilized for wood products without the conservation easement in place.  " sqref="D23 D38 D53 D68 D83 D98 D113 D128 D143 D158" xr:uid="{00000000-0002-0000-0600-000007000000}">
      <formula1>0</formula1>
      <formula2>100000000</formula2>
    </dataValidation>
    <dataValidation type="decimal" allowBlank="1" showInputMessage="1" showErrorMessage="1" error="Enter a value between 0 and 100,000,000." prompt="Estimate biomass that would be utilized for electricity generation via combustion without the conservation easement in place.  " sqref="D25 D40 D55 D70 D85 D100 D115 D130 D145 D160" xr:uid="{00000000-0002-0000-0600-000008000000}">
      <formula1>0</formula1>
      <formula2>100000000</formula2>
    </dataValidation>
    <dataValidation type="decimal" allowBlank="1" showInputMessage="1" showErrorMessage="1" error="Enter a value between 0 and 100,000,000." prompt="Estimate biomass that would be utilized for electricity generation via combustion with the conservation easement in place.  " sqref="D26 D41 D56 D71 D86 D101 D116 D131 D146 D161" xr:uid="{00000000-0002-0000-0600-000009000000}">
      <formula1>0</formula1>
      <formula2>100000000</formula2>
    </dataValidation>
    <dataValidation type="decimal" allowBlank="1" showInputMessage="1" showErrorMessage="1" error="Enter a value between 0 and 100,000,000." prompt="Estimate biomass that would be utilized for electricity generation via gasification without the conservation easement in place.  " sqref="D27 D42 D57 D72 D87 D102 D117 D132 D147 D162" xr:uid="{00000000-0002-0000-0600-00000A000000}">
      <formula1>0</formula1>
      <formula2>100000000</formula2>
    </dataValidation>
    <dataValidation type="textLength" allowBlank="1" showInputMessage="1" showErrorMessage="1" error="Exceeds 1000 characters." prompt="Enter text description." sqref="F142 F144 F127 F129 F22 F24 F37 F39 F52 F54 F67 F69 F82 F84 F97 F99 F112 F114 F157 F159" xr:uid="{00000000-0002-0000-0600-00000B000000}">
      <formula1>0</formula1>
      <formula2>1000</formula2>
    </dataValidation>
  </dataValidations>
  <pageMargins left="0.7" right="0.7" top="0.75" bottom="0.75" header="0.3" footer="0.3"/>
  <pageSetup scale="22" orientation="landscape" r:id="rId1"/>
  <headerFooter>
    <oddFooter>&amp;CPage 7 of 12
Easement--Forest Management Worksheet</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t from dropdown. If the treatment area includes different site classes, enter the lowest site class (e.g., if class I and II, enter class I). Used to determine project duration." xr:uid="{00000000-0002-0000-0600-00000C000000}">
          <x14:formula1>
            <xm:f>LISTS!$A$31:$A$33</xm:f>
          </x14:formula1>
          <xm:sqref>D19 D139 D34 D49 D64 D79 D94 D109 D124 D154</xm:sqref>
        </x14:dataValidation>
        <x14:dataValidation type="list" allowBlank="1" showInputMessage="1" showErrorMessage="1" prompt="Select from dropdown. Used to help track State-funded activities treating and restoring natural and working lands. Does not influence GHG or other calculations." xr:uid="{00000000-0002-0000-0600-00000D000000}">
          <x14:formula1>
            <xm:f>LISTS!$A$20:$A$28</xm:f>
          </x14:formula1>
          <xm:sqref>D18 D138 D33 D48 D63 D78 D93 D108 D123 D153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pageSetUpPr fitToPage="1"/>
  </sheetPr>
  <dimension ref="A1:Q44"/>
  <sheetViews>
    <sheetView showGridLines="0" showRuler="0" zoomScale="90" zoomScaleNormal="90" workbookViewId="0">
      <selection activeCell="A12" sqref="A12"/>
    </sheetView>
  </sheetViews>
  <sheetFormatPr baseColWidth="10" defaultColWidth="9.1640625" defaultRowHeight="15"/>
  <cols>
    <col min="1" max="1" width="25.6640625" style="1" customWidth="1"/>
    <col min="2" max="3" width="30.6640625" style="1" customWidth="1"/>
    <col min="4" max="9" width="14.6640625" style="1" customWidth="1"/>
    <col min="10" max="10" width="25.83203125" style="1" customWidth="1"/>
    <col min="11" max="11" width="11.6640625" style="1" customWidth="1"/>
    <col min="12" max="12" width="4.6640625" style="1" customWidth="1"/>
    <col min="13" max="13" width="29" style="1" customWidth="1"/>
    <col min="14" max="14" width="12.6640625" style="1" customWidth="1"/>
    <col min="15" max="15" width="18.6640625" style="1" customWidth="1"/>
    <col min="16" max="16" width="16.6640625" style="1" customWidth="1"/>
    <col min="17" max="17" width="18.6640625" style="1" customWidth="1"/>
    <col min="18" max="18" width="26.6640625" style="1" customWidth="1"/>
    <col min="19" max="21" width="9.1640625" style="1" customWidth="1"/>
    <col min="22" max="16384" width="9.1640625" style="1"/>
  </cols>
  <sheetData>
    <row r="1" spans="1:17" ht="19">
      <c r="C1" s="3" t="s">
        <v>278</v>
      </c>
      <c r="E1" s="3"/>
      <c r="F1" s="3"/>
      <c r="G1" s="3"/>
      <c r="H1" s="3"/>
      <c r="I1" s="2"/>
      <c r="L1" s="3"/>
      <c r="M1" s="3"/>
      <c r="N1" s="3"/>
      <c r="O1" s="3"/>
      <c r="P1" s="3"/>
      <c r="Q1" s="2"/>
    </row>
    <row r="2" spans="1:17" ht="19">
      <c r="C2" s="3" t="s">
        <v>585</v>
      </c>
      <c r="E2" s="3"/>
      <c r="F2" s="3"/>
      <c r="G2" s="3"/>
      <c r="H2" s="3"/>
      <c r="I2" s="2"/>
      <c r="L2" s="3"/>
      <c r="M2" s="3"/>
      <c r="N2" s="3"/>
      <c r="O2" s="3"/>
      <c r="P2" s="3"/>
      <c r="Q2" s="2"/>
    </row>
    <row r="3" spans="1:17" ht="19">
      <c r="C3" s="3" t="s">
        <v>586</v>
      </c>
      <c r="I3" s="2"/>
      <c r="Q3" s="2"/>
    </row>
    <row r="4" spans="1:17" ht="19">
      <c r="C4" s="118" t="s">
        <v>587</v>
      </c>
      <c r="E4" s="3"/>
      <c r="F4" s="3"/>
      <c r="G4" s="3"/>
      <c r="H4" s="3"/>
      <c r="I4" s="2"/>
      <c r="L4" s="3"/>
      <c r="M4" s="3"/>
      <c r="N4" s="3"/>
      <c r="O4" s="3"/>
      <c r="P4" s="3"/>
      <c r="Q4" s="2"/>
    </row>
    <row r="5" spans="1:17" ht="19">
      <c r="C5" s="217"/>
      <c r="E5" s="3"/>
      <c r="F5" s="3"/>
      <c r="G5" s="3"/>
      <c r="H5" s="3"/>
      <c r="I5" s="2"/>
      <c r="L5" s="3"/>
      <c r="M5" s="3"/>
      <c r="N5" s="3"/>
      <c r="O5" s="3"/>
      <c r="P5" s="3"/>
      <c r="Q5" s="2"/>
    </row>
    <row r="6" spans="1:17" ht="19">
      <c r="C6" s="365"/>
      <c r="E6" s="3"/>
      <c r="F6" s="3"/>
      <c r="G6" s="3"/>
      <c r="H6" s="3"/>
      <c r="L6" s="3"/>
      <c r="M6" s="3"/>
      <c r="N6" s="3"/>
      <c r="O6" s="3"/>
      <c r="P6" s="3"/>
    </row>
    <row r="7" spans="1:17" ht="19">
      <c r="A7" s="9"/>
      <c r="B7" s="9"/>
      <c r="C7" s="217"/>
      <c r="E7" s="35"/>
      <c r="F7" s="35"/>
      <c r="G7" s="35"/>
      <c r="H7" s="35"/>
      <c r="L7" s="3"/>
      <c r="M7" s="3"/>
      <c r="N7" s="3"/>
      <c r="O7" s="3"/>
      <c r="P7" s="3"/>
    </row>
    <row r="8" spans="1:17" ht="19">
      <c r="A8" s="9"/>
      <c r="B8" s="9"/>
      <c r="J8" s="3"/>
      <c r="K8" s="3"/>
      <c r="L8" s="3"/>
      <c r="M8" s="3"/>
      <c r="N8" s="3"/>
      <c r="O8" s="3"/>
      <c r="P8" s="3"/>
    </row>
    <row r="9" spans="1:17" ht="18" customHeight="1">
      <c r="A9" s="45" t="s">
        <v>0</v>
      </c>
      <c r="B9" s="260" t="str">
        <f>IF('Read Me'!B26="","",'Read Me'!B26)</f>
        <v/>
      </c>
      <c r="C9" s="261"/>
      <c r="D9" s="65"/>
      <c r="E9" s="65"/>
      <c r="F9" s="13"/>
      <c r="G9" s="24"/>
    </row>
    <row r="10" spans="1:17" ht="18" customHeight="1">
      <c r="A10" s="72" t="s">
        <v>10</v>
      </c>
      <c r="B10" s="258" t="str">
        <f>IF('Read Me'!B27="","",'Read Me'!B27)</f>
        <v/>
      </c>
      <c r="C10" s="259"/>
      <c r="D10" s="66"/>
      <c r="E10" s="66"/>
      <c r="F10" s="27"/>
      <c r="G10" s="24"/>
    </row>
    <row r="11" spans="1:17" ht="18" customHeight="1">
      <c r="D11" s="9"/>
      <c r="E11" s="29"/>
      <c r="F11" s="10"/>
      <c r="G11" s="10"/>
      <c r="I11" s="11"/>
    </row>
    <row r="12" spans="1:17" ht="19">
      <c r="A12" s="4" t="s">
        <v>25</v>
      </c>
      <c r="B12" s="9"/>
      <c r="C12" s="16"/>
      <c r="D12" s="16"/>
      <c r="E12" s="16"/>
      <c r="F12" s="16"/>
      <c r="G12" s="16"/>
      <c r="H12" s="16"/>
      <c r="I12" s="16"/>
      <c r="J12" s="29"/>
      <c r="K12" s="29"/>
      <c r="L12" s="29"/>
      <c r="M12" s="29"/>
      <c r="N12" s="29"/>
      <c r="O12" s="16"/>
      <c r="P12" s="16"/>
      <c r="Q12" s="16"/>
    </row>
    <row r="13" spans="1:17" ht="18" customHeight="1">
      <c r="B13" s="12"/>
      <c r="C13" s="12"/>
      <c r="D13" s="12"/>
      <c r="E13" s="12"/>
      <c r="F13" s="12"/>
      <c r="G13" s="12"/>
      <c r="H13" s="12"/>
      <c r="I13" s="12"/>
      <c r="J13" s="29"/>
      <c r="K13" s="29"/>
      <c r="L13" s="29"/>
      <c r="M13" s="29"/>
      <c r="N13" s="29"/>
      <c r="O13" s="12"/>
      <c r="P13" s="12"/>
      <c r="Q13" s="12"/>
    </row>
    <row r="14" spans="1:17" ht="18" customHeight="1">
      <c r="A14" s="511" t="s">
        <v>56</v>
      </c>
      <c r="B14" s="511"/>
      <c r="C14" s="511"/>
      <c r="D14" s="511"/>
      <c r="E14" s="511"/>
      <c r="F14" s="511"/>
      <c r="G14" s="26"/>
      <c r="H14" s="26"/>
      <c r="I14" s="26"/>
      <c r="J14" s="29"/>
      <c r="K14" s="29"/>
      <c r="L14" s="29"/>
      <c r="M14" s="29"/>
      <c r="N14" s="29"/>
      <c r="O14" s="69"/>
      <c r="P14" s="69"/>
      <c r="Q14" s="69"/>
    </row>
    <row r="15" spans="1:17" ht="33" customHeight="1">
      <c r="A15" s="475" t="s">
        <v>220</v>
      </c>
      <c r="B15" s="475"/>
      <c r="C15" s="475"/>
      <c r="D15" s="475"/>
      <c r="E15" s="475"/>
      <c r="F15" s="86"/>
      <c r="G15" s="26"/>
      <c r="H15" s="26"/>
      <c r="I15" s="26"/>
      <c r="J15" s="29"/>
      <c r="K15" s="29"/>
      <c r="L15" s="29"/>
      <c r="M15" s="29"/>
      <c r="N15" s="29"/>
      <c r="O15" s="69"/>
      <c r="P15" s="69"/>
      <c r="Q15" s="69"/>
    </row>
    <row r="16" spans="1:17" ht="33" customHeight="1">
      <c r="A16" s="475" t="s">
        <v>221</v>
      </c>
      <c r="B16" s="475"/>
      <c r="C16" s="475"/>
      <c r="D16" s="475"/>
      <c r="E16" s="475"/>
      <c r="F16" s="47">
        <f>SUM('Easement--Avoided Conversion'!D25+'Easement--Avoided Conversion'!D42+'Easement--Avoided Conversion'!D59+'Easement--Avoided Conversion'!D76+'Easement--Avoided Conversion'!D93+'Easement--Avoided Conversion'!D110+'Easement--Avoided Conversion'!D127+'Easement--Avoided Conversion'!D144+'Easement--Avoided Conversion'!D161+'Easement--Avoided Conversion'!D178+'Easement--Forest Management'!D23+'Easement--Forest Management'!D38+'Easement--Forest Management'!D53+'Easement--Forest Management'!D68+'Easement--Forest Management'!D83+'Easement--Forest Management'!D98+'Easement--Forest Management'!D113+'Easement--Forest Management'!D128+'Easement--Forest Management'!D143+'Easement--Forest Management'!D158)</f>
        <v>0</v>
      </c>
      <c r="G16" s="26"/>
      <c r="H16" s="26"/>
      <c r="I16" s="26"/>
      <c r="J16" s="29"/>
      <c r="K16" s="29"/>
      <c r="L16" s="29"/>
      <c r="M16" s="29"/>
      <c r="N16" s="29"/>
      <c r="O16" s="69"/>
      <c r="P16" s="69"/>
      <c r="Q16" s="69"/>
    </row>
    <row r="17" spans="1:17" ht="33" customHeight="1">
      <c r="A17" s="481" t="s">
        <v>222</v>
      </c>
      <c r="B17" s="482"/>
      <c r="C17" s="482"/>
      <c r="D17" s="482"/>
      <c r="E17" s="483"/>
      <c r="F17" s="47">
        <f>SUM('Easement--Avoided Conversion'!D26+'Easement--Avoided Conversion'!D43+'Easement--Avoided Conversion'!D60+'Easement--Avoided Conversion'!D77+'Easement--Avoided Conversion'!D94+'Easement--Avoided Conversion'!D111+'Easement--Avoided Conversion'!D128+'Easement--Avoided Conversion'!D145+'Easement--Avoided Conversion'!D162+'Easement--Avoided Conversion'!D179+'Easement--Forest Management'!D24+'Easement--Forest Management'!D39+'Easement--Forest Management'!D54+'Easement--Forest Management'!D69+'Easement--Forest Management'!D84+'Easement--Forest Management'!D99+'Easement--Forest Management'!D114+'Easement--Forest Management'!D129+'Easement--Forest Management'!D144+'Easement--Forest Management'!D159)</f>
        <v>0</v>
      </c>
      <c r="G17" s="26"/>
      <c r="H17" s="26"/>
      <c r="I17" s="26"/>
      <c r="J17" s="29"/>
      <c r="K17" s="29"/>
      <c r="L17" s="29"/>
      <c r="M17" s="29"/>
      <c r="N17" s="29"/>
      <c r="O17" s="69"/>
      <c r="P17" s="69"/>
      <c r="Q17" s="69"/>
    </row>
    <row r="18" spans="1:17" ht="18" customHeight="1">
      <c r="A18" s="510" t="s">
        <v>300</v>
      </c>
      <c r="B18" s="510"/>
      <c r="C18" s="510"/>
      <c r="D18" s="510"/>
      <c r="E18" s="510"/>
      <c r="F18" s="178"/>
      <c r="G18" s="26"/>
      <c r="H18" s="26"/>
      <c r="I18" s="26"/>
      <c r="J18" s="29"/>
      <c r="K18" s="29"/>
      <c r="L18" s="29"/>
      <c r="M18" s="29"/>
      <c r="N18" s="29"/>
      <c r="O18" s="69"/>
      <c r="P18" s="69"/>
      <c r="Q18" s="69"/>
    </row>
    <row r="19" spans="1:17" ht="18" customHeight="1">
      <c r="A19" s="510" t="s">
        <v>98</v>
      </c>
      <c r="B19" s="510"/>
      <c r="C19" s="510"/>
      <c r="D19" s="510"/>
      <c r="E19" s="510"/>
      <c r="F19" s="47">
        <f>(F15-F16+F17)*ERFs!B58*F18</f>
        <v>0</v>
      </c>
      <c r="G19" s="26"/>
      <c r="H19" s="26"/>
      <c r="I19" s="26"/>
      <c r="J19" s="29"/>
      <c r="K19" s="29"/>
      <c r="L19" s="29"/>
      <c r="M19" s="29"/>
      <c r="N19" s="29"/>
      <c r="O19" s="69"/>
      <c r="P19" s="69"/>
      <c r="Q19" s="69"/>
    </row>
    <row r="20" spans="1:17" ht="18" customHeight="1">
      <c r="A20" s="475" t="s">
        <v>34</v>
      </c>
      <c r="B20" s="475"/>
      <c r="C20" s="475"/>
      <c r="D20" s="475"/>
      <c r="E20" s="475"/>
      <c r="F20" s="178"/>
      <c r="G20" s="26"/>
      <c r="H20" s="26"/>
      <c r="I20" s="26"/>
      <c r="J20" s="29"/>
      <c r="K20" s="29"/>
      <c r="L20" s="29"/>
      <c r="M20" s="29"/>
      <c r="N20" s="29"/>
      <c r="O20" s="69"/>
      <c r="P20" s="69"/>
      <c r="Q20" s="69"/>
    </row>
    <row r="21" spans="1:17" ht="18" customHeight="1">
      <c r="A21" s="475" t="s">
        <v>35</v>
      </c>
      <c r="B21" s="475"/>
      <c r="C21" s="475"/>
      <c r="D21" s="475"/>
      <c r="E21" s="475"/>
      <c r="F21" s="178"/>
      <c r="G21" s="26"/>
      <c r="H21" s="26"/>
      <c r="I21" s="26"/>
      <c r="J21" s="69"/>
      <c r="K21" s="69"/>
      <c r="L21" s="69"/>
      <c r="M21" s="69"/>
      <c r="N21" s="69"/>
      <c r="O21" s="69"/>
      <c r="P21" s="69"/>
      <c r="Q21" s="69"/>
    </row>
    <row r="22" spans="1:17" ht="18" customHeight="1">
      <c r="A22" s="475" t="s">
        <v>36</v>
      </c>
      <c r="B22" s="475"/>
      <c r="C22" s="475"/>
      <c r="D22" s="475"/>
      <c r="E22" s="475"/>
      <c r="F22" s="178"/>
      <c r="G22" s="26"/>
      <c r="H22" s="26"/>
      <c r="I22" s="26"/>
      <c r="J22" s="69"/>
      <c r="K22" s="69"/>
      <c r="L22" s="69"/>
      <c r="M22" s="69"/>
      <c r="N22" s="69"/>
      <c r="O22" s="69"/>
      <c r="P22" s="69"/>
      <c r="Q22" s="69"/>
    </row>
    <row r="23" spans="1:17" ht="18" customHeight="1">
      <c r="A23" s="475" t="s">
        <v>280</v>
      </c>
      <c r="B23" s="475"/>
      <c r="C23" s="475"/>
      <c r="D23" s="475"/>
      <c r="E23" s="475"/>
      <c r="F23" s="178"/>
    </row>
    <row r="24" spans="1:17" ht="18" customHeight="1">
      <c r="A24" s="475" t="s">
        <v>37</v>
      </c>
      <c r="B24" s="475"/>
      <c r="C24" s="475"/>
      <c r="D24" s="475"/>
      <c r="E24" s="475"/>
      <c r="F24" s="178"/>
    </row>
    <row r="25" spans="1:17" ht="18" customHeight="1">
      <c r="A25" s="475" t="s">
        <v>38</v>
      </c>
      <c r="B25" s="475"/>
      <c r="C25" s="475"/>
      <c r="D25" s="475"/>
      <c r="E25" s="475"/>
      <c r="F25" s="178"/>
    </row>
    <row r="26" spans="1:17" ht="18" customHeight="1">
      <c r="A26" s="475" t="s">
        <v>192</v>
      </c>
      <c r="B26" s="475"/>
      <c r="C26" s="475"/>
      <c r="D26" s="475"/>
      <c r="E26" s="475"/>
      <c r="F26" s="355">
        <f>IF(SUM(F20:F25)&gt;1, "ERROR", 1-SUM(F20:F25))</f>
        <v>1</v>
      </c>
    </row>
    <row r="27" spans="1:17" ht="18" customHeight="1">
      <c r="A27" s="475" t="s">
        <v>53</v>
      </c>
      <c r="B27" s="475"/>
      <c r="C27" s="475"/>
      <c r="D27" s="475"/>
      <c r="E27" s="475"/>
      <c r="F27" s="47">
        <f>((F19*F20*ERFs!B41)+(F19*F21*ERFs!B42)+(F19*F22*ERFs!B43)+(F19*F23*ERFs!B44)+(F19*F24*ERFs!B45)+(F19*F25*ERFs!B46)+(F19*F26*ERFs!B47))*ERFs!B57</f>
        <v>0</v>
      </c>
    </row>
    <row r="28" spans="1:17" ht="18" customHeight="1">
      <c r="A28" s="32"/>
      <c r="B28" s="42"/>
      <c r="C28" s="42"/>
      <c r="D28" s="42"/>
      <c r="E28" s="42"/>
      <c r="F28" s="42"/>
      <c r="G28" s="12"/>
      <c r="H28" s="12"/>
      <c r="I28" s="12"/>
      <c r="J28" s="29"/>
      <c r="K28" s="29"/>
      <c r="L28" s="29"/>
      <c r="M28" s="29"/>
      <c r="N28" s="29"/>
      <c r="O28" s="12"/>
      <c r="P28" s="12"/>
      <c r="Q28" s="12"/>
    </row>
    <row r="29" spans="1:17" ht="18" customHeight="1">
      <c r="A29" s="511" t="s">
        <v>55</v>
      </c>
      <c r="B29" s="511"/>
      <c r="C29" s="511"/>
      <c r="D29" s="511"/>
      <c r="E29" s="511"/>
      <c r="F29" s="511"/>
      <c r="G29" s="26"/>
      <c r="H29" s="26"/>
      <c r="I29" s="26"/>
      <c r="J29" s="29"/>
      <c r="K29" s="29"/>
      <c r="L29" s="29"/>
      <c r="M29" s="29"/>
      <c r="N29" s="29"/>
      <c r="O29" s="69"/>
      <c r="P29" s="69"/>
      <c r="Q29" s="69"/>
    </row>
    <row r="30" spans="1:17" ht="45.75" customHeight="1">
      <c r="A30" s="481" t="s">
        <v>510</v>
      </c>
      <c r="B30" s="482"/>
      <c r="C30" s="482"/>
      <c r="D30" s="482"/>
      <c r="E30" s="483"/>
      <c r="F30" s="86"/>
      <c r="G30" s="26"/>
      <c r="H30" s="26"/>
      <c r="I30" s="26"/>
      <c r="J30" s="29"/>
      <c r="K30" s="29"/>
      <c r="L30" s="29"/>
      <c r="M30" s="29"/>
      <c r="N30" s="29"/>
      <c r="O30" s="69"/>
      <c r="P30" s="69"/>
      <c r="Q30" s="69"/>
    </row>
    <row r="31" spans="1:17" ht="33" customHeight="1">
      <c r="A31" s="481" t="s">
        <v>471</v>
      </c>
      <c r="B31" s="482"/>
      <c r="C31" s="482"/>
      <c r="D31" s="482"/>
      <c r="E31" s="483"/>
      <c r="F31" s="47">
        <f>SUM('Easement--Avoided Conversion'!D27+'Easement--Avoided Conversion'!D44+'Easement--Avoided Conversion'!D61+'Easement--Avoided Conversion'!D78+'Easement--Avoided Conversion'!D95+'Easement--Forest Management'!D25+'Easement--Forest Management'!D40+'Easement--Forest Management'!D55+'Easement--Forest Management'!D70+'Easement--Forest Management'!D85)</f>
        <v>0</v>
      </c>
      <c r="G31" s="26"/>
      <c r="H31" s="26"/>
      <c r="I31" s="26"/>
      <c r="J31" s="29"/>
      <c r="K31" s="29"/>
      <c r="L31" s="29"/>
      <c r="M31" s="29"/>
      <c r="N31" s="29"/>
      <c r="O31" s="69"/>
      <c r="P31" s="69"/>
      <c r="Q31" s="69"/>
    </row>
    <row r="32" spans="1:17" ht="33" customHeight="1">
      <c r="A32" s="481" t="s">
        <v>472</v>
      </c>
      <c r="B32" s="482"/>
      <c r="C32" s="482"/>
      <c r="D32" s="482"/>
      <c r="E32" s="483"/>
      <c r="F32" s="47">
        <f>SUM('Easement--Avoided Conversion'!D28+'Easement--Avoided Conversion'!D45+'Easement--Avoided Conversion'!D62+'Easement--Avoided Conversion'!D79+'Easement--Avoided Conversion'!D96+'Easement--Forest Management'!D26+'Easement--Forest Management'!D41+'Easement--Forest Management'!D56+'Easement--Forest Management'!D71+'Easement--Forest Management'!D86)</f>
        <v>0</v>
      </c>
      <c r="G32" s="26"/>
      <c r="H32" s="26"/>
      <c r="I32" s="26"/>
      <c r="J32" s="29"/>
      <c r="K32" s="29"/>
      <c r="L32" s="29"/>
      <c r="M32" s="29"/>
      <c r="N32" s="29"/>
      <c r="O32" s="69"/>
      <c r="P32" s="69"/>
      <c r="Q32" s="69"/>
    </row>
    <row r="33" spans="1:17" ht="33" customHeight="1">
      <c r="A33" s="481" t="s">
        <v>475</v>
      </c>
      <c r="B33" s="482"/>
      <c r="C33" s="482"/>
      <c r="D33" s="482"/>
      <c r="E33" s="483"/>
      <c r="F33" s="86"/>
      <c r="G33" s="26"/>
      <c r="H33" s="26"/>
      <c r="I33" s="26"/>
      <c r="J33" s="29"/>
      <c r="K33" s="29"/>
      <c r="L33" s="29"/>
      <c r="M33" s="29"/>
      <c r="N33" s="29"/>
      <c r="O33" s="69"/>
      <c r="P33" s="69"/>
      <c r="Q33" s="69"/>
    </row>
    <row r="34" spans="1:17" ht="33" customHeight="1">
      <c r="A34" s="481" t="s">
        <v>473</v>
      </c>
      <c r="B34" s="482"/>
      <c r="C34" s="482"/>
      <c r="D34" s="482"/>
      <c r="E34" s="483"/>
      <c r="F34" s="47">
        <f>SUM('Easement--Avoided Conversion'!D29+'Easement--Avoided Conversion'!D46+'Easement--Avoided Conversion'!D63+'Easement--Avoided Conversion'!D80+'Easement--Avoided Conversion'!D97+'Easement--Forest Management'!D27+'Easement--Forest Management'!D42+'Easement--Forest Management'!D57+'Easement--Forest Management'!D72+'Easement--Forest Management'!D87)</f>
        <v>0</v>
      </c>
      <c r="G34" s="26"/>
      <c r="H34" s="26"/>
      <c r="I34" s="26"/>
      <c r="J34" s="29"/>
      <c r="K34" s="29"/>
      <c r="L34" s="29"/>
      <c r="M34" s="29"/>
      <c r="N34" s="29"/>
      <c r="O34" s="69"/>
      <c r="P34" s="69"/>
      <c r="Q34" s="69"/>
    </row>
    <row r="35" spans="1:17" ht="33" customHeight="1">
      <c r="A35" s="481" t="s">
        <v>474</v>
      </c>
      <c r="B35" s="482"/>
      <c r="C35" s="482"/>
      <c r="D35" s="482"/>
      <c r="E35" s="483"/>
      <c r="F35" s="47">
        <f>SUM('Easement--Avoided Conversion'!D30+'Easement--Avoided Conversion'!D47+'Easement--Avoided Conversion'!D64+'Easement--Avoided Conversion'!D81+'Easement--Avoided Conversion'!D98+'Easement--Forest Management'!D28+'Easement--Forest Management'!D43+'Easement--Forest Management'!D58+'Easement--Forest Management'!D73+'Easement--Forest Management'!D88)</f>
        <v>0</v>
      </c>
      <c r="G35" s="26"/>
      <c r="H35" s="26"/>
      <c r="I35" s="26"/>
      <c r="J35" s="29"/>
      <c r="K35" s="29"/>
      <c r="L35" s="29"/>
      <c r="M35" s="29"/>
      <c r="N35" s="29"/>
      <c r="O35" s="69"/>
      <c r="P35" s="69"/>
      <c r="Q35" s="69"/>
    </row>
    <row r="36" spans="1:17" ht="18" customHeight="1">
      <c r="A36" s="475" t="s">
        <v>52</v>
      </c>
      <c r="B36" s="475"/>
      <c r="C36" s="475"/>
      <c r="D36" s="475"/>
      <c r="E36" s="475"/>
      <c r="F36" s="47">
        <f>(F30-F31+F32)*ERFs!B48+(F33-F34+F35)*ERFs!B49</f>
        <v>0</v>
      </c>
      <c r="G36" s="26"/>
      <c r="H36" s="26"/>
      <c r="I36" s="26"/>
      <c r="J36" s="29"/>
      <c r="K36" s="29"/>
      <c r="L36" s="29"/>
      <c r="M36" s="29"/>
      <c r="N36" s="29"/>
      <c r="O36" s="69"/>
      <c r="P36" s="69"/>
      <c r="Q36" s="69"/>
    </row>
    <row r="37" spans="1:17" ht="18" customHeight="1">
      <c r="A37" s="32"/>
      <c r="B37" s="32"/>
      <c r="C37" s="32"/>
      <c r="D37" s="76"/>
      <c r="E37" s="76"/>
      <c r="F37" s="76"/>
      <c r="G37" s="26"/>
      <c r="H37" s="26"/>
      <c r="I37" s="26"/>
      <c r="J37" s="29"/>
      <c r="K37" s="29"/>
      <c r="L37" s="29"/>
      <c r="M37" s="29"/>
      <c r="N37" s="29"/>
      <c r="O37" s="69"/>
      <c r="P37" s="69"/>
      <c r="Q37" s="69"/>
    </row>
    <row r="38" spans="1:17" s="32" customFormat="1" ht="33" customHeight="1">
      <c r="A38" s="511" t="s">
        <v>224</v>
      </c>
      <c r="B38" s="511"/>
      <c r="C38" s="511"/>
      <c r="D38" s="511"/>
      <c r="E38" s="511"/>
      <c r="F38" s="511"/>
      <c r="G38" s="42"/>
      <c r="H38" s="42"/>
      <c r="I38" s="42"/>
      <c r="J38" s="29"/>
      <c r="K38" s="29"/>
      <c r="L38" s="29"/>
      <c r="M38" s="29"/>
      <c r="N38" s="29"/>
      <c r="O38" s="42"/>
      <c r="P38" s="42"/>
      <c r="Q38" s="42"/>
    </row>
    <row r="39" spans="1:17" ht="18" customHeight="1">
      <c r="A39" s="475" t="s">
        <v>31</v>
      </c>
      <c r="B39" s="475"/>
      <c r="C39" s="475"/>
      <c r="D39" s="475"/>
      <c r="E39" s="475"/>
      <c r="F39" s="86"/>
      <c r="G39" s="26"/>
      <c r="H39" s="26"/>
      <c r="I39" s="26"/>
      <c r="J39" s="29"/>
      <c r="K39" s="29"/>
      <c r="L39" s="29"/>
      <c r="M39" s="29"/>
      <c r="N39" s="29"/>
      <c r="O39" s="69"/>
      <c r="P39" s="69"/>
      <c r="Q39" s="69"/>
    </row>
    <row r="40" spans="1:17" ht="18" customHeight="1">
      <c r="A40" s="475" t="s">
        <v>30</v>
      </c>
      <c r="B40" s="475"/>
      <c r="C40" s="475"/>
      <c r="D40" s="475"/>
      <c r="E40" s="475"/>
      <c r="F40" s="86"/>
      <c r="G40" s="15"/>
      <c r="H40" s="15"/>
      <c r="I40" s="15"/>
      <c r="J40" s="29"/>
      <c r="K40" s="29"/>
      <c r="L40" s="29"/>
      <c r="M40" s="29"/>
      <c r="N40" s="29"/>
      <c r="O40" s="14"/>
      <c r="P40" s="14"/>
      <c r="Q40" s="14"/>
    </row>
    <row r="41" spans="1:17" ht="18" customHeight="1">
      <c r="A41" s="475" t="s">
        <v>32</v>
      </c>
      <c r="B41" s="475"/>
      <c r="C41" s="475"/>
      <c r="D41" s="475"/>
      <c r="E41" s="475"/>
      <c r="F41" s="86"/>
      <c r="G41" s="26"/>
      <c r="H41" s="26"/>
      <c r="I41" s="26"/>
      <c r="J41" s="29"/>
      <c r="K41" s="29"/>
      <c r="L41" s="29"/>
      <c r="M41" s="29"/>
      <c r="N41" s="29"/>
      <c r="O41" s="69"/>
      <c r="P41" s="69"/>
      <c r="Q41" s="69"/>
    </row>
    <row r="42" spans="1:17" ht="18" customHeight="1">
      <c r="A42" s="475" t="s">
        <v>51</v>
      </c>
      <c r="B42" s="475"/>
      <c r="C42" s="475"/>
      <c r="D42" s="475"/>
      <c r="E42" s="475"/>
      <c r="F42" s="47">
        <f>((F39*ERFs!B50)*ERFs!B61+(F40*ERFs!B51)+(F41*ERFs!B52)*ERFs!B61)</f>
        <v>0</v>
      </c>
      <c r="G42" s="26"/>
      <c r="H42" s="26"/>
      <c r="I42" s="26"/>
      <c r="J42" s="29"/>
      <c r="K42" s="29"/>
      <c r="L42" s="29"/>
      <c r="M42" s="29"/>
      <c r="N42" s="29"/>
      <c r="O42" s="69"/>
      <c r="P42" s="69"/>
      <c r="Q42" s="69"/>
    </row>
    <row r="43" spans="1:17" ht="18" customHeight="1">
      <c r="A43" s="43"/>
      <c r="B43" s="43"/>
      <c r="C43" s="44"/>
      <c r="D43" s="26"/>
      <c r="E43" s="26"/>
      <c r="F43" s="26"/>
      <c r="G43" s="26"/>
      <c r="H43" s="26"/>
      <c r="I43" s="26"/>
      <c r="J43" s="29"/>
      <c r="K43" s="29"/>
      <c r="L43" s="29"/>
      <c r="M43" s="29"/>
      <c r="N43" s="29"/>
      <c r="O43" s="69"/>
      <c r="P43" s="69"/>
      <c r="Q43" s="69"/>
    </row>
    <row r="44" spans="1:17" ht="18">
      <c r="A44" s="510" t="s">
        <v>45</v>
      </c>
      <c r="B44" s="510"/>
      <c r="C44" s="510"/>
      <c r="D44" s="510"/>
      <c r="E44" s="510"/>
      <c r="F44" s="46">
        <f>F27+F36+F42</f>
        <v>0</v>
      </c>
    </row>
  </sheetData>
  <sheetProtection algorithmName="SHA-512" hashValue="ngzSGbLVMdpBlMw2Y3qmVlOzHA3xYmNtz6lg8FZXRJYa3tkOmT1F2X+QCekr9i9KIpImTqhZ/dxjZ78zI1vc0w==" saltValue="8hN9MBHmbHejwY0cpA1RZA==" spinCount="100000" sheet="1"/>
  <mergeCells count="28">
    <mergeCell ref="A35:E35"/>
    <mergeCell ref="A14:F14"/>
    <mergeCell ref="A44:E44"/>
    <mergeCell ref="A21:E21"/>
    <mergeCell ref="A22:E22"/>
    <mergeCell ref="A23:E23"/>
    <mergeCell ref="A24:E24"/>
    <mergeCell ref="A25:E25"/>
    <mergeCell ref="A38:F38"/>
    <mergeCell ref="A30:E30"/>
    <mergeCell ref="A33:E33"/>
    <mergeCell ref="A36:E36"/>
    <mergeCell ref="A40:E40"/>
    <mergeCell ref="A39:E39"/>
    <mergeCell ref="A41:E41"/>
    <mergeCell ref="A42:E42"/>
    <mergeCell ref="A34:E34"/>
    <mergeCell ref="A18:E18"/>
    <mergeCell ref="A19:E19"/>
    <mergeCell ref="A20:E20"/>
    <mergeCell ref="A15:E15"/>
    <mergeCell ref="A16:E16"/>
    <mergeCell ref="A17:E17"/>
    <mergeCell ref="A29:F29"/>
    <mergeCell ref="A31:E31"/>
    <mergeCell ref="A32:E32"/>
    <mergeCell ref="A26:E26"/>
    <mergeCell ref="A27:E27"/>
  </mergeCells>
  <dataValidations xWindow="869" yWindow="538" count="22">
    <dataValidation type="decimal" allowBlank="1" showInputMessage="1" showErrorMessage="1" error="Enter a number between 0 and 100,000,000." prompt="Biomass removed from the project area as a result of implementing forest health project activities (i.e., biomass removed as part of site prep, brush removal, thinning, etc.) and delivered to a mill. Do not include biomass from easement projects." sqref="F15" xr:uid="{00000000-0002-0000-0700-000000000000}">
      <formula1>0</formula1>
      <formula2>100000000</formula2>
    </dataValidation>
    <dataValidation type="decimal" allowBlank="1" showInputMessage="1" showErrorMessage="1" error="Enter a percentage between 0 and 100%." prompt="Enter the mill efficiency from the mill where trees will be delivered, supported with documentation, or the appropriate default mill efficiency based on the type of wood. Softwood Default: 67.5%; Hardwood Default: 56.8%." sqref="F18" xr:uid="{00000000-0002-0000-0700-000001000000}">
      <formula1>0</formula1>
      <formula2>1</formula2>
    </dataValidation>
    <dataValidation allowBlank="1" showInputMessage="1" showErrorMessage="1" error="No input required." prompt="Value calculated automatically from inputs on Easement--Avoided Conversion and Easement--Forest Management." sqref="F17" xr:uid="{00000000-0002-0000-0700-000002000000}"/>
    <dataValidation allowBlank="1" showInputMessage="1" showErrorMessage="1" prompt="Calculated automatically based on mill efficiency, carbon concentration in biomass (50%), and estimated biomass delivered to the mill as part of project activities. " sqref="F19" xr:uid="{00000000-0002-0000-0700-000003000000}"/>
    <dataValidation type="decimal" allowBlank="1" showInputMessage="1" showErrorMessage="1" error="Enter a percentage between 0 and 100%." prompt="Enter the percent of removed biomass that will go into softwood lumber." sqref="F20" xr:uid="{00000000-0002-0000-0700-000004000000}">
      <formula1>0</formula1>
      <formula2>1</formula2>
    </dataValidation>
    <dataValidation type="decimal" allowBlank="1" showInputMessage="1" showErrorMessage="1" error="Enter a percentage between 0 and 100%." prompt="Enter the percent of removed biomass that will go into hardwood lumber." sqref="F21" xr:uid="{00000000-0002-0000-0700-000005000000}">
      <formula1>0</formula1>
      <formula2>1</formula2>
    </dataValidation>
    <dataValidation type="decimal" allowBlank="1" showInputMessage="1" showErrorMessage="1" error="Enter a percentage between 0 and 100%." prompt="Enter the percent of removed biomass that will go into softwood plywood." sqref="F22" xr:uid="{00000000-0002-0000-0700-000006000000}">
      <formula1>0</formula1>
      <formula2>1</formula2>
    </dataValidation>
    <dataValidation type="decimal" allowBlank="1" showInputMessage="1" showErrorMessage="1" error="Enter a percentage between 0 and 100%." prompt="Enter the percent of removed biomass that will go into oriented strandoard." sqref="F23" xr:uid="{00000000-0002-0000-0700-000007000000}">
      <formula1>0</formula1>
      <formula2>1</formula2>
    </dataValidation>
    <dataValidation type="decimal" allowBlank="1" showInputMessage="1" showErrorMessage="1" error="Enter a percentage between 0 and 100%." prompt="Enter the percent of removed biomass that will go into nonstructural panels." sqref="F24" xr:uid="{00000000-0002-0000-0700-000008000000}">
      <formula1>0</formula1>
      <formula2>1</formula2>
    </dataValidation>
    <dataValidation type="decimal" allowBlank="1" showInputMessage="1" showErrorMessage="1" error="Enter a percentage between 0 and 100%." prompt="Enter the percent of removed biomass that will go into paper." sqref="F25" xr:uid="{00000000-0002-0000-0700-000009000000}">
      <formula1>0</formula1>
      <formula2>1</formula2>
    </dataValidation>
    <dataValidation type="decimal" allowBlank="1" showInputMessage="1" showErrorMessage="1" error="Combined allocation of biomass to softwood lumber, hardwood lumber, plywood, OSB, nonstructural panels, and paper cannot exceed 100%" prompt="Percentage calculated automatically based on biomass fractions going to other wood products." sqref="F26" xr:uid="{00000000-0002-0000-0700-00000A000000}">
      <formula1>0</formula1>
      <formula2>1</formula2>
    </dataValidation>
    <dataValidation allowBlank="1" showInputMessage="1" showErrorMessage="1" prompt="GHG benefit of carbon stored long-term in wood products. Calculated automatically based on allocation of mill biomass among wood products. " sqref="F27" xr:uid="{00000000-0002-0000-0700-00000B000000}"/>
    <dataValidation type="decimal" allowBlank="1" showInputMessage="1" showErrorMessage="1" error="Enter a number between 0 and 100,000,000." prompt="Biomass removed from the project area as a result of implementing project activities (i.e., site prep, brush removal, thinning, etc.) and delivered to a facility generating electricity via combustion. Do not include biomass from easement projects." sqref="F30" xr:uid="{00000000-0002-0000-0700-00000C000000}">
      <formula1>0</formula1>
      <formula2>100000000</formula2>
    </dataValidation>
    <dataValidation type="decimal" allowBlank="1" showInputMessage="1" showErrorMessage="1" error="Enter a number between 0 and 100,000,000." prompt="Biomass removed from the project area as a result of implementing project activities (i.e., site prep, brush removal, thinning, etc.) and delivered to a facility generating electricity via gasification. Do not include biomass from easement projects." sqref="F33" xr:uid="{00000000-0002-0000-0700-00000D000000}">
      <formula1>0</formula1>
      <formula2>100000000</formula2>
    </dataValidation>
    <dataValidation allowBlank="1" showInputMessage="1" showErrorMessage="1" prompt="Value calculated automatically from inputs on Easement--Avoided Conversion and Easement--Forest Management." sqref="F31:F32 F34:F35" xr:uid="{00000000-0002-0000-0700-00000E000000}"/>
    <dataValidation allowBlank="1" showInputMessage="1" showErrorMessage="1" prompt="Calculated automatically as the net quantities of biomass utilized for electricity generation via combustion and gasification, multiplied by a process specific emission reduction factor." sqref="F36" xr:uid="{00000000-0002-0000-0700-00000F000000}"/>
    <dataValidation allowBlank="1" showInputMessage="1" showErrorMessage="1" prompt="Biomass that would be open pile burned in the baseline scenario (separate estimates for each method of disposal). “Biomass” refers to both merchantable timber and woody waste material." sqref="F39" xr:uid="{00000000-0002-0000-0700-000010000000}"/>
    <dataValidation allowBlank="1" showInputMessage="1" showErrorMessage="1" prompt="Biomass that would be disposed of in a landfill in the baseline scenario (separate estimates for each method of disposal). “Biomass” refers to both merchantable timber and woody waste material." sqref="F40" xr:uid="{00000000-0002-0000-0700-000011000000}"/>
    <dataValidation allowBlank="1" showInputMessage="1" showErrorMessage="1" prompt="Biomass that would be left on site to decay in the baseline scenario (separate estimates for each method of disposal). “Biomass” refers to both merchantable timber and woody waste material." sqref="F41" xr:uid="{00000000-0002-0000-0700-000012000000}"/>
    <dataValidation allowBlank="1" showInputMessage="1" showErrorMessage="1" prompt="Calculated automatically based on biomass pile burning, landfill, and decay inputs." sqref="F42" xr:uid="{00000000-0002-0000-0700-000013000000}"/>
    <dataValidation allowBlank="1" showInputMessage="1" showErrorMessage="1" prompt="Calculated automatically as the sum of the benefits of activities that result in carbon being stored long-term in wood products, the displacement of fossil fuel-based energy with biomass energy, and avoidance of biomass disposal emission." sqref="F44" xr:uid="{00000000-0002-0000-0700-000014000000}"/>
    <dataValidation allowBlank="1" showInputMessage="1" showErrorMessage="1" error="No input needed." prompt="Value calculated automatically from inputs on Easement--Avoided Conversion and Easement--Forest Management." sqref="F16" xr:uid="{00000000-0002-0000-0700-000015000000}"/>
  </dataValidations>
  <pageMargins left="0" right="0.7" top="0" bottom="0.75" header="0.3" footer="0.3"/>
  <pageSetup scale="58" orientation="landscape" r:id="rId1"/>
  <headerFooter>
    <oddFooter>&amp;CPage 8 of 12
Biomass Utilization Worksheet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59999389629810485"/>
    <pageSetUpPr fitToPage="1"/>
  </sheetPr>
  <dimension ref="A1:K26"/>
  <sheetViews>
    <sheetView showGridLines="0" showRuler="0" zoomScale="90" zoomScaleNormal="90" workbookViewId="0">
      <selection activeCell="C5" sqref="C5"/>
    </sheetView>
  </sheetViews>
  <sheetFormatPr baseColWidth="10" defaultColWidth="9.1640625" defaultRowHeight="15"/>
  <cols>
    <col min="1" max="1" width="25.6640625" style="1" customWidth="1"/>
    <col min="2" max="3" width="30.6640625" style="1" customWidth="1"/>
    <col min="4" max="4" width="14.6640625" style="1" customWidth="1"/>
    <col min="5" max="6" width="9.1640625" style="1" customWidth="1"/>
    <col min="7" max="7" width="9.1640625" style="1"/>
    <col min="8" max="15" width="9.1640625" style="1" customWidth="1"/>
    <col min="16" max="17" width="9.1640625" style="1"/>
    <col min="18" max="18" width="11" style="1" customWidth="1"/>
    <col min="19" max="20" width="9.1640625" style="1"/>
    <col min="21" max="21" width="10" style="1" customWidth="1"/>
    <col min="22" max="22" width="10.83203125" style="1" customWidth="1"/>
    <col min="23" max="16384" width="9.1640625" style="1"/>
  </cols>
  <sheetData>
    <row r="1" spans="1:11" ht="19">
      <c r="C1" s="3" t="s">
        <v>278</v>
      </c>
    </row>
    <row r="2" spans="1:11" ht="19">
      <c r="C2" s="3" t="s">
        <v>585</v>
      </c>
    </row>
    <row r="3" spans="1:11" ht="19">
      <c r="C3" s="3" t="s">
        <v>586</v>
      </c>
    </row>
    <row r="4" spans="1:11" ht="19">
      <c r="C4" s="118" t="s">
        <v>587</v>
      </c>
    </row>
    <row r="5" spans="1:11" ht="19">
      <c r="C5" s="217"/>
    </row>
    <row r="6" spans="1:11" ht="16">
      <c r="C6" s="365"/>
    </row>
    <row r="7" spans="1:11" ht="19">
      <c r="A7" s="9"/>
      <c r="B7" s="9"/>
      <c r="C7" s="217"/>
    </row>
    <row r="8" spans="1:11" ht="19">
      <c r="A8" s="9"/>
      <c r="B8" s="9"/>
      <c r="D8" s="9"/>
      <c r="G8" s="3"/>
    </row>
    <row r="9" spans="1:11" ht="18" customHeight="1">
      <c r="A9" s="45" t="s">
        <v>0</v>
      </c>
      <c r="B9" s="260" t="str">
        <f>IF('Read Me'!B26="","",'Read Me'!B26)</f>
        <v/>
      </c>
      <c r="C9" s="261"/>
      <c r="D9" s="65"/>
      <c r="E9" s="65"/>
      <c r="F9" s="13"/>
      <c r="G9" s="24"/>
    </row>
    <row r="10" spans="1:11" ht="18" customHeight="1">
      <c r="A10" s="72" t="s">
        <v>10</v>
      </c>
      <c r="B10" s="258" t="str">
        <f>IF('Read Me'!B27="","",'Read Me'!B27)</f>
        <v/>
      </c>
      <c r="C10" s="259"/>
      <c r="D10" s="66"/>
      <c r="E10" s="66"/>
      <c r="F10" s="27"/>
      <c r="G10" s="24"/>
    </row>
    <row r="11" spans="1:11">
      <c r="A11" s="9"/>
      <c r="B11" s="17"/>
      <c r="C11" s="10"/>
      <c r="D11" s="22"/>
      <c r="E11" s="11"/>
      <c r="F11" s="11"/>
      <c r="G11" s="11"/>
      <c r="H11" s="11"/>
      <c r="I11" s="11"/>
      <c r="J11" s="11"/>
      <c r="K11" s="11"/>
    </row>
    <row r="12" spans="1:11" ht="19">
      <c r="A12" s="4" t="s">
        <v>2</v>
      </c>
    </row>
    <row r="13" spans="1:11" ht="18" customHeight="1">
      <c r="A13" s="4"/>
    </row>
    <row r="14" spans="1:11" ht="18" customHeight="1">
      <c r="A14" s="309" t="s">
        <v>42</v>
      </c>
      <c r="B14" s="310"/>
      <c r="C14" s="311"/>
      <c r="D14" s="46">
        <f>SUM(Reforestation!F17+Reforestation!F32+Reforestation!F47+Reforestation!F62+Reforestation!F77+Reforestation!F92+Reforestation!F107+Reforestation!F122+Reforestation!F137+Reforestation!F152)</f>
        <v>0</v>
      </c>
      <c r="E14" s="25"/>
      <c r="F14" s="31"/>
    </row>
    <row r="15" spans="1:11" ht="18" customHeight="1">
      <c r="A15" s="309" t="s">
        <v>43</v>
      </c>
      <c r="B15" s="310"/>
      <c r="C15" s="311"/>
      <c r="D15" s="46">
        <f>SUM('Pest Management'!G16+'Pest Management'!G29+'Pest Management'!G42+'Pest Management'!G55+'Pest Management'!G68+'Pest Management'!G81+'Pest Management'!G94+'Pest Management'!G107+'Pest Management'!G120+'Pest Management'!G133)</f>
        <v>0</v>
      </c>
      <c r="E15" s="25"/>
      <c r="F15" s="31"/>
    </row>
    <row r="16" spans="1:11" ht="18" customHeight="1">
      <c r="A16" s="309" t="s">
        <v>44</v>
      </c>
      <c r="B16" s="310"/>
      <c r="C16" s="311"/>
      <c r="D16" s="46">
        <f>SUM('Fuels Reduction'!H16+'Fuels Reduction'!H39+'Fuels Reduction'!H62+'Fuels Reduction'!H85+'Fuels Reduction'!H108+'Fuels Reduction'!H131+'Fuels Reduction'!H154+'Fuels Reduction'!H177+'Fuels Reduction'!H200+'Fuels Reduction'!H223)</f>
        <v>0</v>
      </c>
      <c r="E16" s="25"/>
    </row>
    <row r="17" spans="1:5" ht="18" customHeight="1">
      <c r="A17" s="309" t="s">
        <v>258</v>
      </c>
      <c r="B17" s="310"/>
      <c r="C17" s="311"/>
      <c r="D17" s="46">
        <f>SUM('Easement--Avoided Conversion'!G16+'Easement--Avoided Conversion'!G33+'Easement--Avoided Conversion'!G50+'Easement--Avoided Conversion'!G67+'Easement--Avoided Conversion'!G84+'Easement--Avoided Conversion'!G101+'Easement--Avoided Conversion'!G118+'Easement--Avoided Conversion'!G135+'Easement--Avoided Conversion'!G152+'Easement--Avoided Conversion'!G169)</f>
        <v>0</v>
      </c>
      <c r="E17" s="25"/>
    </row>
    <row r="18" spans="1:5" ht="18" customHeight="1">
      <c r="A18" s="309" t="s">
        <v>239</v>
      </c>
      <c r="B18" s="310"/>
      <c r="C18" s="311"/>
      <c r="D18" s="46">
        <f>'Easement--Forest Management'!G16+'Easement--Forest Management'!G31+'Easement--Forest Management'!G46+'Easement--Forest Management'!G61+'Easement--Forest Management'!G76+'Easement--Forest Management'!G91+'Easement--Forest Management'!G106+'Easement--Forest Management'!G121+'Easement--Forest Management'!G136+'Easement--Forest Management'!G151</f>
        <v>0</v>
      </c>
      <c r="E18" s="25"/>
    </row>
    <row r="19" spans="1:5" ht="18" customHeight="1">
      <c r="A19" s="309" t="s">
        <v>45</v>
      </c>
      <c r="B19" s="310"/>
      <c r="C19" s="311"/>
      <c r="D19" s="46">
        <f>'Biomass Utilization'!F44</f>
        <v>0</v>
      </c>
      <c r="E19" s="25"/>
    </row>
    <row r="20" spans="1:5" ht="18" customHeight="1">
      <c r="A20" s="109"/>
      <c r="B20" s="109"/>
      <c r="C20" s="109"/>
    </row>
    <row r="21" spans="1:5" ht="18" customHeight="1">
      <c r="A21" s="309" t="s">
        <v>599</v>
      </c>
      <c r="B21" s="310"/>
      <c r="C21" s="311"/>
      <c r="D21" s="47">
        <f>IF(0&lt;SUM(D14:D19)&lt;1,1, ROUND(SUM(D14:D19),0))</f>
        <v>0</v>
      </c>
      <c r="E21" s="25"/>
    </row>
    <row r="22" spans="1:5" ht="18" customHeight="1">
      <c r="A22" s="309" t="s">
        <v>600</v>
      </c>
      <c r="B22" s="310"/>
      <c r="C22" s="311"/>
      <c r="D22" s="67"/>
      <c r="E22" s="97"/>
    </row>
    <row r="23" spans="1:5" ht="18" customHeight="1">
      <c r="A23" s="309" t="s">
        <v>601</v>
      </c>
      <c r="B23" s="310"/>
      <c r="C23" s="311"/>
      <c r="D23" s="67"/>
      <c r="E23" s="107"/>
    </row>
    <row r="24" spans="1:5" ht="18" customHeight="1">
      <c r="A24" s="309" t="s">
        <v>602</v>
      </c>
      <c r="B24" s="310"/>
      <c r="C24" s="311"/>
      <c r="D24" s="87">
        <f>IF(ISBLANK(D22),0,(D22/D21))</f>
        <v>0</v>
      </c>
      <c r="E24" s="98"/>
    </row>
    <row r="25" spans="1:5" ht="18" customHeight="1">
      <c r="A25" s="309" t="s">
        <v>603</v>
      </c>
      <c r="B25" s="310"/>
      <c r="C25" s="311"/>
      <c r="D25" s="87">
        <f>IF(ISBLANK(D23),0,(D23/D21))</f>
        <v>0</v>
      </c>
      <c r="E25" s="108"/>
    </row>
    <row r="26" spans="1:5" ht="18" customHeight="1">
      <c r="A26" s="106"/>
      <c r="B26" s="106"/>
      <c r="C26" s="106"/>
      <c r="D26" s="141"/>
      <c r="E26" s="108"/>
    </row>
  </sheetData>
  <sheetProtection algorithmName="SHA-512" hashValue="QDk3lBF7Lv1c94iCNmgLk/8LyxIpNzZBQCI1Ez2GlAXmcOgJlHuTffud/QFOAc+nPmutBbPLi765sOtfiueFsw==" saltValue="RmPcB4/0LXrwFWVeZ9mzOg==" spinCount="100000" sheet="1"/>
  <dataValidations xWindow="675" yWindow="776" count="4">
    <dataValidation type="decimal" allowBlank="1" showInputMessage="1" showErrorMessage="1" error="Enter a dollar value between 0 and 100,000,000." prompt="Enter the GGRF funds requested from this solicitation for all project features." sqref="D22" xr:uid="{00000000-0002-0000-0800-000000000000}">
      <formula1>0</formula1>
      <formula2>100000000</formula2>
    </dataValidation>
    <dataValidation type="decimal" allowBlank="1" showInputMessage="1" showErrorMessage="1" error="Enter a dollar value between 0 and 100,000,000." prompt="Enter the total GGRF funds requested for all project features, including funds requested from this solicitation and funds requested or awarded from other GGRF-supported programs for the same project. " sqref="D23" xr:uid="{00000000-0002-0000-0800-000001000000}">
      <formula1>0</formula1>
      <formula2>100000000</formula2>
    </dataValidation>
    <dataValidation allowBlank="1" showInputMessage="1" showErrorMessage="1" prompt="Calculated automatically based on inputs to other tabs." sqref="D14:D19" xr:uid="{00000000-0002-0000-0800-000002000000}"/>
    <dataValidation allowBlank="1" showInputMessage="1" showErrorMessage="1" prompt="Calculated automatically based on inputs from previous tabs." sqref="D21" xr:uid="{00000000-0002-0000-0800-000003000000}"/>
  </dataValidations>
  <pageMargins left="0" right="0.7" top="0" bottom="0.75" header="0.3" footer="0.3"/>
  <pageSetup orientation="landscape" r:id="rId1"/>
  <headerFooter>
    <oddFooter>&amp;CPage 9 of 12
GHG Summary Worksheet</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Read Me</vt:lpstr>
      <vt:lpstr>Definitions</vt:lpstr>
      <vt:lpstr>Reforestation</vt:lpstr>
      <vt:lpstr>Pest Management</vt:lpstr>
      <vt:lpstr>Fuels Reduction</vt:lpstr>
      <vt:lpstr>Easement--Avoided Conversion</vt:lpstr>
      <vt:lpstr>Easement--Forest Management</vt:lpstr>
      <vt:lpstr>Biomass Utilization</vt:lpstr>
      <vt:lpstr>GHG Summary</vt:lpstr>
      <vt:lpstr>Co-Benefits Summary</vt:lpstr>
      <vt:lpstr>LISTS</vt:lpstr>
      <vt:lpstr>Reforestation Yield Projections</vt:lpstr>
      <vt:lpstr>ERFs</vt:lpstr>
      <vt:lpstr>Baseline Reforestation</vt:lpstr>
      <vt:lpstr>Conversions</vt:lpstr>
      <vt:lpstr>BrushCover</vt:lpstr>
      <vt:lpstr>CA</vt:lpstr>
      <vt:lpstr>CentralSouth</vt:lpstr>
      <vt:lpstr>GreatBasin</vt:lpstr>
      <vt:lpstr>LandCoverType</vt:lpstr>
      <vt:lpstr>Mojave</vt:lpstr>
      <vt:lpstr>NC</vt:lpstr>
      <vt:lpstr>NorthCoast</vt:lpstr>
      <vt:lpstr>Sierra</vt:lpstr>
      <vt:lpstr>SO</vt:lpstr>
      <vt:lpstr>WS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CARB-STCD-CIB</dc:creator>
  <cp:keywords/>
  <dc:description/>
  <cp:lastModifiedBy>Microsoft Office User</cp:lastModifiedBy>
  <cp:lastPrinted>2019-09-09T20:46:33Z</cp:lastPrinted>
  <dcterms:created xsi:type="dcterms:W3CDTF">2015-06-16T15:51:10Z</dcterms:created>
  <dcterms:modified xsi:type="dcterms:W3CDTF">2022-02-09T00:20:58Z</dcterms:modified>
  <cp:category/>
</cp:coreProperties>
</file>