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updateLinks="never" defaultThemeVersion="124226"/>
  <mc:AlternateContent xmlns:mc="http://schemas.openxmlformats.org/markup-compatibility/2006">
    <mc:Choice Requires="x15">
      <x15ac:absPath xmlns:x15ac="http://schemas.microsoft.com/office/spreadsheetml/2010/11/ac" url="Y:\Ryan\My Docs\ARB work\CIB Work Documents\CalRecycle\Food Waste\QM\"/>
    </mc:Choice>
  </mc:AlternateContent>
  <xr:revisionPtr revIDLastSave="0" documentId="13_ncr:1_{96829788-3ECD-464C-81C3-DE5B02FEC7C1}" xr6:coauthVersionLast="45" xr6:coauthVersionMax="45" xr10:uidLastSave="{00000000-0000-0000-0000-000000000000}"/>
  <bookViews>
    <workbookView xWindow="40920" yWindow="2520" windowWidth="38640" windowHeight="21240" tabRatio="808" xr2:uid="{00000000-000D-0000-FFFF-FFFF00000000}"/>
  </bookViews>
  <sheets>
    <sheet name="Read Me" sheetId="9" r:id="rId1"/>
    <sheet name="Definitions" sheetId="12" r:id="rId2"/>
    <sheet name="Inputs" sheetId="25" r:id="rId3"/>
    <sheet name="GHG Summary" sheetId="28" r:id="rId4"/>
    <sheet name="Co-benefits Summary" sheetId="29" r:id="rId5"/>
    <sheet name="GHG ERFs" sheetId="15" r:id="rId6"/>
    <sheet name="Co-Ben ERFs" sheetId="23" r:id="rId7"/>
    <sheet name="Food Calcs" sheetId="26" state="hidden" r:id="rId8"/>
    <sheet name="Sheet1" sheetId="17" state="hidden" r:id="rId9"/>
  </sheets>
  <definedNames>
    <definedName name="EquipmentType" localSheetId="6">'Co-Ben ERFs'!#REF!</definedName>
    <definedName name="EquipmentType">'GHG ERFs'!$A$25:$A$35</definedName>
    <definedName name="EquipmentType2" localSheetId="6">'Co-Ben ERFs'!#REF!,'Co-Ben ERFs'!#REF!,'Co-Ben ERFs'!#REF!,'Co-Ben ERFs'!#REF!,'Co-Ben ERFs'!#REF!</definedName>
    <definedName name="EquipmentType2">'GHG ERFs'!$A$25,'GHG ERFs'!$A$27,'GHG ERFs'!$A$29,'GHG ERFs'!$A$31,'GHG ERFs'!$A$33</definedName>
    <definedName name="EquipmentType3" localSheetId="6">Sheet1!#REF!</definedName>
    <definedName name="EquipmentType3" localSheetId="2">Sheet1!#REF!</definedName>
    <definedName name="EquipmentType3">Sheet1!#REF!</definedName>
    <definedName name="_xlnm.Print_Area" localSheetId="6">'Co-Ben ERFs'!$A$1:$D$36</definedName>
    <definedName name="_xlnm.Print_Area" localSheetId="4">'Co-benefits Summary'!$A$1:$F$19</definedName>
    <definedName name="_xlnm.Print_Area" localSheetId="1">Definitions!$A$1:$N$18</definedName>
    <definedName name="_xlnm.Print_Area" localSheetId="5">'GHG ERFs'!$A$1:$D$132</definedName>
    <definedName name="_xlnm.Print_Area" localSheetId="3">'GHG Summary'!$A$1:$F$21</definedName>
    <definedName name="_xlnm.Print_Area" localSheetId="2">Inputs!$A$1:$J$48</definedName>
    <definedName name="_xlnm.Print_Area" localSheetId="0">'Read Me'!$A$1:$O$36</definedName>
    <definedName name="RefrigerantTypes" localSheetId="6">'Co-Ben ERFs'!#REF!</definedName>
    <definedName name="RefrigerantTypes">'GHG ERFs'!$A$44:$A$104</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26" l="1"/>
  <c r="S27" i="26" s="1"/>
  <c r="B28" i="26"/>
  <c r="S28" i="26" s="1"/>
  <c r="B29" i="26"/>
  <c r="B26" i="26"/>
  <c r="A16" i="26"/>
  <c r="K16" i="26" s="1"/>
  <c r="B16" i="26"/>
  <c r="C16" i="26" s="1"/>
  <c r="C27" i="26"/>
  <c r="C28" i="26"/>
  <c r="C29" i="26"/>
  <c r="C26" i="26"/>
  <c r="A4" i="26"/>
  <c r="M4" i="26" s="1"/>
  <c r="B4" i="26"/>
  <c r="I43" i="17"/>
  <c r="A17" i="26"/>
  <c r="O17" i="26" s="1"/>
  <c r="A18" i="26"/>
  <c r="F18" i="26" s="1"/>
  <c r="A19" i="26"/>
  <c r="M19" i="26" s="1"/>
  <c r="A20" i="26"/>
  <c r="N20" i="26" s="1"/>
  <c r="A21" i="26"/>
  <c r="O21" i="26" s="1"/>
  <c r="B17" i="26"/>
  <c r="C17" i="26" s="1"/>
  <c r="B18" i="26"/>
  <c r="C18" i="26" s="1"/>
  <c r="B19" i="26"/>
  <c r="B20" i="26"/>
  <c r="C20" i="26" s="1"/>
  <c r="B21" i="26"/>
  <c r="C21" i="26" s="1"/>
  <c r="I54" i="17"/>
  <c r="I51" i="17"/>
  <c r="B83" i="23"/>
  <c r="I44" i="17"/>
  <c r="I42" i="17"/>
  <c r="I40" i="17"/>
  <c r="I39" i="17"/>
  <c r="I38" i="17"/>
  <c r="I35" i="17"/>
  <c r="B88" i="23"/>
  <c r="I53" i="17" s="1"/>
  <c r="B87" i="23"/>
  <c r="I52" i="17" s="1"/>
  <c r="B86" i="23"/>
  <c r="I50" i="17" s="1"/>
  <c r="B85" i="23"/>
  <c r="I48" i="17" s="1"/>
  <c r="B84" i="23"/>
  <c r="I46" i="17" s="1"/>
  <c r="B82" i="23"/>
  <c r="I41" i="17" s="1"/>
  <c r="B81" i="23"/>
  <c r="B80" i="23"/>
  <c r="I37" i="17" s="1"/>
  <c r="B79" i="23"/>
  <c r="I36" i="17" s="1"/>
  <c r="H35" i="9"/>
  <c r="F15" i="28" s="1"/>
  <c r="F24" i="28"/>
  <c r="D39" i="25"/>
  <c r="D40" i="25"/>
  <c r="D41" i="25"/>
  <c r="D42" i="25"/>
  <c r="D43" i="25"/>
  <c r="D44" i="25"/>
  <c r="D45" i="25"/>
  <c r="D46" i="25"/>
  <c r="D47" i="25"/>
  <c r="D38" i="25"/>
  <c r="C30" i="26"/>
  <c r="C31" i="26"/>
  <c r="C32" i="26"/>
  <c r="C33" i="26"/>
  <c r="C34" i="26"/>
  <c r="C35" i="26"/>
  <c r="B30" i="26"/>
  <c r="H30" i="26" s="1"/>
  <c r="B31" i="26"/>
  <c r="G31" i="26" s="1"/>
  <c r="B32" i="26"/>
  <c r="S32" i="26" s="1"/>
  <c r="B33" i="26"/>
  <c r="H33" i="26" s="1"/>
  <c r="B34" i="26"/>
  <c r="G34" i="26" s="1"/>
  <c r="B35" i="26"/>
  <c r="E35" i="26" s="1"/>
  <c r="C3" i="23"/>
  <c r="C4" i="23"/>
  <c r="C6" i="23"/>
  <c r="C7" i="23"/>
  <c r="C1" i="23"/>
  <c r="C3" i="15"/>
  <c r="C4" i="15"/>
  <c r="C6" i="15"/>
  <c r="C7" i="15"/>
  <c r="C1" i="15"/>
  <c r="A26" i="26"/>
  <c r="A27" i="26" s="1"/>
  <c r="A28" i="26" s="1"/>
  <c r="A29" i="26" s="1"/>
  <c r="A30" i="26" s="1"/>
  <c r="A31" i="26" s="1"/>
  <c r="A32" i="26" s="1"/>
  <c r="A33" i="26" s="1"/>
  <c r="A34" i="26" s="1"/>
  <c r="A35" i="26" s="1"/>
  <c r="D3" i="12"/>
  <c r="D4" i="12"/>
  <c r="D6" i="12"/>
  <c r="D7" i="12"/>
  <c r="D1" i="12"/>
  <c r="F9" i="29"/>
  <c r="A3" i="29"/>
  <c r="A4" i="29"/>
  <c r="A6" i="29"/>
  <c r="A7" i="29"/>
  <c r="A1" i="29"/>
  <c r="A3" i="28"/>
  <c r="A4" i="28"/>
  <c r="A6" i="28"/>
  <c r="A7" i="28"/>
  <c r="A1" i="28"/>
  <c r="F12" i="28"/>
  <c r="F13" i="28"/>
  <c r="F11" i="28"/>
  <c r="F10" i="28"/>
  <c r="D3" i="25"/>
  <c r="D4" i="25"/>
  <c r="D6" i="25"/>
  <c r="D7" i="25"/>
  <c r="D1" i="25"/>
  <c r="F54" i="17"/>
  <c r="F53" i="17"/>
  <c r="E54" i="17"/>
  <c r="E53" i="17"/>
  <c r="D54" i="17"/>
  <c r="D53" i="17"/>
  <c r="C54" i="17"/>
  <c r="C53" i="17"/>
  <c r="F50" i="17"/>
  <c r="F49" i="17"/>
  <c r="E50" i="17"/>
  <c r="E49" i="17"/>
  <c r="D50" i="17"/>
  <c r="D49" i="17"/>
  <c r="C50" i="17"/>
  <c r="C49" i="17"/>
  <c r="F48" i="17"/>
  <c r="F47" i="17"/>
  <c r="E48" i="17"/>
  <c r="E47" i="17"/>
  <c r="D48" i="17"/>
  <c r="D47" i="17"/>
  <c r="C48" i="17"/>
  <c r="C47" i="17"/>
  <c r="E44" i="17"/>
  <c r="E43" i="17"/>
  <c r="D44" i="17"/>
  <c r="D43" i="17"/>
  <c r="C44" i="17"/>
  <c r="C43" i="17"/>
  <c r="E42" i="17"/>
  <c r="E41" i="17"/>
  <c r="D42" i="17"/>
  <c r="D41" i="17"/>
  <c r="C42" i="17"/>
  <c r="C41" i="17"/>
  <c r="E40" i="17"/>
  <c r="E39" i="17"/>
  <c r="D40" i="17"/>
  <c r="D39" i="17"/>
  <c r="C40" i="17"/>
  <c r="C39" i="17"/>
  <c r="E38" i="17"/>
  <c r="E37" i="17"/>
  <c r="D38" i="17"/>
  <c r="D37" i="17"/>
  <c r="C38" i="17"/>
  <c r="C37" i="17"/>
  <c r="B54" i="17"/>
  <c r="B53" i="17"/>
  <c r="B50" i="17"/>
  <c r="B49" i="17"/>
  <c r="B48" i="17"/>
  <c r="B47" i="17"/>
  <c r="B44" i="17"/>
  <c r="B43" i="17"/>
  <c r="B42" i="17"/>
  <c r="B41" i="17"/>
  <c r="B40" i="17"/>
  <c r="B39" i="17"/>
  <c r="B38" i="17"/>
  <c r="B37" i="17"/>
  <c r="F52" i="17"/>
  <c r="S35" i="17" s="1"/>
  <c r="S36" i="17" s="1"/>
  <c r="S37" i="17" s="1"/>
  <c r="S38" i="17" s="1"/>
  <c r="F51" i="17"/>
  <c r="F46" i="17"/>
  <c r="F45" i="17"/>
  <c r="E52" i="17"/>
  <c r="R35" i="17" s="1"/>
  <c r="R36" i="17" s="1"/>
  <c r="R37" i="17" s="1"/>
  <c r="R38" i="17" s="1"/>
  <c r="E51" i="17"/>
  <c r="E46" i="17"/>
  <c r="E45" i="17"/>
  <c r="E36" i="17"/>
  <c r="E35" i="17"/>
  <c r="D52" i="17"/>
  <c r="Q35" i="17" s="1"/>
  <c r="Q36" i="17" s="1"/>
  <c r="Q37" i="17" s="1"/>
  <c r="Q38" i="17" s="1"/>
  <c r="D51" i="17"/>
  <c r="D46" i="17"/>
  <c r="D45" i="17"/>
  <c r="D36" i="17"/>
  <c r="D35" i="17"/>
  <c r="C52" i="17"/>
  <c r="C51" i="17"/>
  <c r="P35" i="17"/>
  <c r="P36" i="17" s="1"/>
  <c r="P37" i="17" s="1"/>
  <c r="P38" i="17" s="1"/>
  <c r="C46" i="17"/>
  <c r="C45" i="17"/>
  <c r="C36" i="17"/>
  <c r="C35" i="17"/>
  <c r="B52" i="17"/>
  <c r="B51" i="17"/>
  <c r="B46" i="17"/>
  <c r="B45" i="17"/>
  <c r="B36" i="17"/>
  <c r="B35" i="17"/>
  <c r="B38" i="15"/>
  <c r="H17" i="26"/>
  <c r="H18" i="26"/>
  <c r="H19" i="26"/>
  <c r="H20" i="26"/>
  <c r="H21" i="26"/>
  <c r="H16" i="26"/>
  <c r="H52" i="17"/>
  <c r="H46" i="17"/>
  <c r="H36" i="17"/>
  <c r="G52" i="17"/>
  <c r="G46" i="17"/>
  <c r="G36" i="17"/>
  <c r="J32" i="26"/>
  <c r="N32" i="26" s="1"/>
  <c r="D21" i="26"/>
  <c r="K21" i="26"/>
  <c r="F21" i="26"/>
  <c r="C19" i="26"/>
  <c r="D26" i="26"/>
  <c r="B5" i="26"/>
  <c r="B6" i="26"/>
  <c r="B7" i="26"/>
  <c r="B8" i="26"/>
  <c r="B9" i="26"/>
  <c r="B10" i="26"/>
  <c r="B11" i="26"/>
  <c r="B12" i="26"/>
  <c r="B13" i="26"/>
  <c r="I5" i="26"/>
  <c r="I6" i="26"/>
  <c r="I7" i="26"/>
  <c r="I8" i="26"/>
  <c r="I9" i="26"/>
  <c r="I10" i="26"/>
  <c r="I11" i="26"/>
  <c r="I12" i="26"/>
  <c r="I13" i="26"/>
  <c r="I4" i="26"/>
  <c r="G5" i="26"/>
  <c r="G6" i="26"/>
  <c r="G7" i="26"/>
  <c r="G8" i="26"/>
  <c r="G9" i="26"/>
  <c r="G10" i="26"/>
  <c r="G11" i="26"/>
  <c r="G12" i="26"/>
  <c r="G13" i="26"/>
  <c r="G4" i="26"/>
  <c r="E5" i="26"/>
  <c r="E6" i="26"/>
  <c r="E7" i="26"/>
  <c r="E8" i="26"/>
  <c r="E9" i="26"/>
  <c r="E10" i="26"/>
  <c r="E11" i="26"/>
  <c r="E12" i="26"/>
  <c r="E13" i="26"/>
  <c r="E4" i="26"/>
  <c r="A5" i="26"/>
  <c r="D5" i="26" s="1"/>
  <c r="A6" i="26"/>
  <c r="U6" i="26" s="1"/>
  <c r="A7" i="26"/>
  <c r="D7" i="26" s="1"/>
  <c r="A8" i="26"/>
  <c r="O8" i="26" s="1"/>
  <c r="A9" i="26"/>
  <c r="D9" i="26" s="1"/>
  <c r="A10" i="26"/>
  <c r="D10" i="26" s="1"/>
  <c r="A11" i="26"/>
  <c r="M11" i="26" s="1"/>
  <c r="A12" i="26"/>
  <c r="P12" i="26" s="1"/>
  <c r="A13" i="26"/>
  <c r="F13" i="26" s="1"/>
  <c r="C48" i="25"/>
  <c r="F17" i="29" s="1"/>
  <c r="B48" i="25"/>
  <c r="F16" i="29" s="1"/>
  <c r="J35" i="26"/>
  <c r="N35" i="26" s="1"/>
  <c r="K35" i="26"/>
  <c r="D35" i="26"/>
  <c r="D33" i="26"/>
  <c r="D34" i="26"/>
  <c r="F8" i="26"/>
  <c r="F7" i="26"/>
  <c r="K11" i="26"/>
  <c r="O11" i="26"/>
  <c r="T11" i="26"/>
  <c r="V11" i="26"/>
  <c r="W11" i="26"/>
  <c r="L12" i="26"/>
  <c r="N7" i="26"/>
  <c r="K10" i="26"/>
  <c r="K12" i="26"/>
  <c r="W10" i="26"/>
  <c r="U12" i="26"/>
  <c r="M12" i="26"/>
  <c r="V12" i="26"/>
  <c r="P5" i="26"/>
  <c r="J12" i="26"/>
  <c r="H12" i="26"/>
  <c r="P10" i="26"/>
  <c r="C5" i="26"/>
  <c r="F11" i="26"/>
  <c r="Q7" i="26"/>
  <c r="R7" i="26" s="1"/>
  <c r="S7" i="26" s="1"/>
  <c r="P7" i="26"/>
  <c r="M5" i="26"/>
  <c r="V5" i="26"/>
  <c r="U5" i="26"/>
  <c r="T5" i="26"/>
  <c r="K5" i="26"/>
  <c r="L7" i="26" l="1"/>
  <c r="AB7" i="26" s="1"/>
  <c r="J7" i="26"/>
  <c r="O7" i="26"/>
  <c r="V7" i="26"/>
  <c r="D6" i="26"/>
  <c r="T7" i="26"/>
  <c r="C7" i="26"/>
  <c r="M7" i="26"/>
  <c r="U7" i="26"/>
  <c r="K19" i="26"/>
  <c r="L34" i="26"/>
  <c r="L35" i="26"/>
  <c r="M6" i="26"/>
  <c r="K7" i="26"/>
  <c r="H7" i="26"/>
  <c r="W7" i="26"/>
  <c r="O9" i="26"/>
  <c r="V9" i="26"/>
  <c r="C9" i="26"/>
  <c r="J9" i="26"/>
  <c r="C13" i="26"/>
  <c r="M13" i="26"/>
  <c r="Q6" i="26"/>
  <c r="R6" i="26" s="1"/>
  <c r="S6" i="26" s="1"/>
  <c r="K33" i="26"/>
  <c r="O33" i="26" s="1"/>
  <c r="F32" i="26"/>
  <c r="M9" i="26"/>
  <c r="K9" i="26"/>
  <c r="L19" i="26"/>
  <c r="G18" i="26"/>
  <c r="K6" i="26"/>
  <c r="Y7" i="26"/>
  <c r="W6" i="26"/>
  <c r="F6" i="26"/>
  <c r="F19" i="26"/>
  <c r="M18" i="26"/>
  <c r="K32" i="26"/>
  <c r="O19" i="26"/>
  <c r="H10" i="26"/>
  <c r="T10" i="26"/>
  <c r="V8" i="26"/>
  <c r="M17" i="26"/>
  <c r="K18" i="26"/>
  <c r="G17" i="26"/>
  <c r="N17" i="26"/>
  <c r="L10" i="26"/>
  <c r="K8" i="26"/>
  <c r="J11" i="26"/>
  <c r="C11" i="26"/>
  <c r="L17" i="26"/>
  <c r="N10" i="26"/>
  <c r="O10" i="26"/>
  <c r="C8" i="26"/>
  <c r="M10" i="26"/>
  <c r="Q10" i="26"/>
  <c r="R10" i="26" s="1"/>
  <c r="S10" i="26" s="1"/>
  <c r="J31" i="26"/>
  <c r="J10" i="26"/>
  <c r="X10" i="26" s="1"/>
  <c r="F17" i="26"/>
  <c r="C36" i="26"/>
  <c r="C10" i="26"/>
  <c r="V10" i="26"/>
  <c r="U10" i="26"/>
  <c r="F10" i="26"/>
  <c r="N13" i="26"/>
  <c r="H13" i="26"/>
  <c r="Y13" i="26" s="1"/>
  <c r="J13" i="26"/>
  <c r="Q13" i="26"/>
  <c r="R13" i="26" s="1"/>
  <c r="S13" i="26" s="1"/>
  <c r="M20" i="26"/>
  <c r="J8" i="26"/>
  <c r="W5" i="26"/>
  <c r="O5" i="26"/>
  <c r="F12" i="26"/>
  <c r="Y12" i="26" s="1"/>
  <c r="W13" i="26"/>
  <c r="H9" i="26"/>
  <c r="U8" i="26"/>
  <c r="L8" i="26"/>
  <c r="P8" i="26"/>
  <c r="N6" i="26"/>
  <c r="L5" i="26"/>
  <c r="T12" i="26"/>
  <c r="L11" i="26"/>
  <c r="J33" i="26"/>
  <c r="N33" i="26" s="1"/>
  <c r="K17" i="26"/>
  <c r="E33" i="26"/>
  <c r="U13" i="26"/>
  <c r="P6" i="26"/>
  <c r="H8" i="26"/>
  <c r="Y8" i="26" s="1"/>
  <c r="P13" i="26"/>
  <c r="W8" i="26"/>
  <c r="T6" i="26"/>
  <c r="G33" i="26"/>
  <c r="L13" i="26"/>
  <c r="K34" i="26"/>
  <c r="O6" i="26"/>
  <c r="O13" i="26"/>
  <c r="W9" i="26"/>
  <c r="Q8" i="26"/>
  <c r="R8" i="26" s="1"/>
  <c r="S8" i="26" s="1"/>
  <c r="J34" i="26"/>
  <c r="N34" i="26" s="1"/>
  <c r="J6" i="26"/>
  <c r="C6" i="26"/>
  <c r="N5" i="26"/>
  <c r="H5" i="26"/>
  <c r="H11" i="26"/>
  <c r="Y11" i="26" s="1"/>
  <c r="K13" i="26"/>
  <c r="T9" i="26"/>
  <c r="V6" i="26"/>
  <c r="L6" i="26"/>
  <c r="U11" i="26"/>
  <c r="F5" i="26"/>
  <c r="D11" i="26"/>
  <c r="M33" i="26"/>
  <c r="Q33" i="26" s="1"/>
  <c r="M34" i="26"/>
  <c r="T13" i="26"/>
  <c r="J5" i="26"/>
  <c r="M8" i="26"/>
  <c r="N8" i="26"/>
  <c r="H6" i="26"/>
  <c r="W12" i="26"/>
  <c r="T8" i="26"/>
  <c r="V13" i="26"/>
  <c r="P9" i="26"/>
  <c r="Q5" i="26"/>
  <c r="R5" i="26" s="1"/>
  <c r="S5" i="26" s="1"/>
  <c r="P11" i="26"/>
  <c r="L33" i="26"/>
  <c r="P33" i="26" s="1"/>
  <c r="D8" i="26"/>
  <c r="D20" i="26"/>
  <c r="E20" i="26" s="1"/>
  <c r="G21" i="26"/>
  <c r="I21" i="26" s="1"/>
  <c r="U9" i="26"/>
  <c r="L9" i="26"/>
  <c r="N9" i="26"/>
  <c r="D13" i="26"/>
  <c r="N21" i="26"/>
  <c r="F31" i="26"/>
  <c r="H32" i="26"/>
  <c r="E21" i="26"/>
  <c r="J21" i="26" s="1"/>
  <c r="C35" i="25" s="1"/>
  <c r="R33" i="26"/>
  <c r="AB10" i="26"/>
  <c r="E34" i="26"/>
  <c r="G35" i="26"/>
  <c r="R32" i="26"/>
  <c r="M26" i="26"/>
  <c r="Q26" i="26" s="1"/>
  <c r="S33" i="26"/>
  <c r="C12" i="26"/>
  <c r="E32" i="26"/>
  <c r="G32" i="26"/>
  <c r="F9" i="26"/>
  <c r="L21" i="26"/>
  <c r="M35" i="26"/>
  <c r="Q35" i="26" s="1"/>
  <c r="I18" i="26"/>
  <c r="F35" i="26"/>
  <c r="H35" i="26"/>
  <c r="D17" i="26"/>
  <c r="E17" i="26" s="1"/>
  <c r="M21" i="26"/>
  <c r="N18" i="26"/>
  <c r="F33" i="26"/>
  <c r="H34" i="26"/>
  <c r="K27" i="26"/>
  <c r="N16" i="26"/>
  <c r="N4" i="26"/>
  <c r="F14" i="28"/>
  <c r="K28" i="26"/>
  <c r="H28" i="26"/>
  <c r="M28" i="26"/>
  <c r="Q28" i="26" s="1"/>
  <c r="J26" i="26"/>
  <c r="D31" i="26"/>
  <c r="N31" i="26"/>
  <c r="L31" i="26"/>
  <c r="P31" i="26" s="1"/>
  <c r="B36" i="26"/>
  <c r="M29" i="26"/>
  <c r="Q29" i="26" s="1"/>
  <c r="J29" i="26"/>
  <c r="K29" i="26"/>
  <c r="L28" i="26"/>
  <c r="D28" i="26"/>
  <c r="D48" i="25"/>
  <c r="F18" i="29" s="1"/>
  <c r="J27" i="26"/>
  <c r="K26" i="26"/>
  <c r="F16" i="26"/>
  <c r="M16" i="26"/>
  <c r="H4" i="26"/>
  <c r="U4" i="26"/>
  <c r="D29" i="26"/>
  <c r="G19" i="26"/>
  <c r="I19" i="26" s="1"/>
  <c r="L18" i="26"/>
  <c r="K20" i="26"/>
  <c r="L30" i="26"/>
  <c r="P30" i="26" s="1"/>
  <c r="M32" i="26"/>
  <c r="Q32" i="26" s="1"/>
  <c r="I45" i="17"/>
  <c r="N19" i="26"/>
  <c r="O20" i="26"/>
  <c r="D16" i="26"/>
  <c r="E16" i="26" s="1"/>
  <c r="G27" i="26" s="1"/>
  <c r="R34" i="26"/>
  <c r="O16" i="26"/>
  <c r="R28" i="26" s="1"/>
  <c r="L16" i="26"/>
  <c r="L27" i="26"/>
  <c r="Q34" i="26"/>
  <c r="S31" i="26"/>
  <c r="D12" i="26"/>
  <c r="K30" i="26"/>
  <c r="O30" i="26" s="1"/>
  <c r="K4" i="26"/>
  <c r="S30" i="26"/>
  <c r="I47" i="17"/>
  <c r="Q4" i="26"/>
  <c r="R4" i="26" s="1"/>
  <c r="S4" i="26" s="1"/>
  <c r="J4" i="26"/>
  <c r="S26" i="26"/>
  <c r="S29" i="26"/>
  <c r="N12" i="26"/>
  <c r="Q9" i="26"/>
  <c r="R9" i="26" s="1"/>
  <c r="S9" i="26" s="1"/>
  <c r="Q12" i="26"/>
  <c r="R12" i="26" s="1"/>
  <c r="S12" i="26" s="1"/>
  <c r="N11" i="26"/>
  <c r="Q11" i="26"/>
  <c r="R11" i="26" s="1"/>
  <c r="S11" i="26" s="1"/>
  <c r="F30" i="26"/>
  <c r="G30" i="26"/>
  <c r="R31" i="26"/>
  <c r="O12" i="26"/>
  <c r="D32" i="26"/>
  <c r="D18" i="26"/>
  <c r="E18" i="26" s="1"/>
  <c r="K31" i="26"/>
  <c r="L32" i="26"/>
  <c r="P32" i="26" s="1"/>
  <c r="I49" i="17"/>
  <c r="O18" i="26"/>
  <c r="D4" i="26"/>
  <c r="F4" i="26" s="1"/>
  <c r="G16" i="26"/>
  <c r="R30" i="26"/>
  <c r="J28" i="26"/>
  <c r="O35" i="26"/>
  <c r="L26" i="26"/>
  <c r="L29" i="26"/>
  <c r="W4" i="26"/>
  <c r="O4" i="26"/>
  <c r="M27" i="26"/>
  <c r="Q27" i="26" s="1"/>
  <c r="S35" i="26"/>
  <c r="D30" i="26"/>
  <c r="G20" i="26"/>
  <c r="M30" i="26"/>
  <c r="Q30" i="26" s="1"/>
  <c r="R29" i="26"/>
  <c r="O34" i="26"/>
  <c r="P35" i="26"/>
  <c r="V4" i="26"/>
  <c r="C4" i="26"/>
  <c r="L4" i="26" s="1"/>
  <c r="S34" i="26"/>
  <c r="D19" i="26"/>
  <c r="E19" i="26" s="1"/>
  <c r="L20" i="26"/>
  <c r="E31" i="26"/>
  <c r="H31" i="26"/>
  <c r="P34" i="26"/>
  <c r="D27" i="26"/>
  <c r="F20" i="26"/>
  <c r="J30" i="26"/>
  <c r="N30" i="26" s="1"/>
  <c r="M31" i="26"/>
  <c r="Q31" i="26" s="1"/>
  <c r="E30" i="26"/>
  <c r="F34" i="26"/>
  <c r="R35" i="26"/>
  <c r="O32" i="26"/>
  <c r="T4" i="26"/>
  <c r="AA7" i="26" l="1"/>
  <c r="AC7" i="26"/>
  <c r="X7" i="26"/>
  <c r="Z7" i="26" s="1"/>
  <c r="F20" i="25" s="1"/>
  <c r="Y6" i="26"/>
  <c r="I17" i="26"/>
  <c r="J17" i="26" s="1"/>
  <c r="C31" i="25" s="1"/>
  <c r="AC10" i="26"/>
  <c r="AA10" i="26"/>
  <c r="Y10" i="26"/>
  <c r="Z10" i="26" s="1"/>
  <c r="F23" i="25" s="1"/>
  <c r="I16" i="26"/>
  <c r="H26" i="26" s="1"/>
  <c r="X13" i="26"/>
  <c r="Z13" i="26" s="1"/>
  <c r="F26" i="25" s="1"/>
  <c r="I33" i="26"/>
  <c r="E45" i="25" s="1"/>
  <c r="X6" i="26"/>
  <c r="Z6" i="26" s="1"/>
  <c r="F19" i="25" s="1"/>
  <c r="AC8" i="26"/>
  <c r="AC13" i="26"/>
  <c r="AB13" i="26"/>
  <c r="AB11" i="26"/>
  <c r="X5" i="26"/>
  <c r="I32" i="26"/>
  <c r="E44" i="25" s="1"/>
  <c r="Y9" i="26"/>
  <c r="AB5" i="26"/>
  <c r="I35" i="26"/>
  <c r="E47" i="25" s="1"/>
  <c r="Y5" i="26"/>
  <c r="AA6" i="26"/>
  <c r="AC6" i="26"/>
  <c r="J18" i="26"/>
  <c r="C32" i="25" s="1"/>
  <c r="AC5" i="26"/>
  <c r="AB6" i="26"/>
  <c r="AA13" i="26"/>
  <c r="AA9" i="26"/>
  <c r="AA5" i="26"/>
  <c r="AB8" i="26"/>
  <c r="AB12" i="26"/>
  <c r="AC12" i="26"/>
  <c r="X8" i="26"/>
  <c r="Z8" i="26" s="1"/>
  <c r="F21" i="25" s="1"/>
  <c r="AA8" i="26"/>
  <c r="X11" i="26"/>
  <c r="Z11" i="26" s="1"/>
  <c r="F24" i="25" s="1"/>
  <c r="AA11" i="26"/>
  <c r="I34" i="26"/>
  <c r="E46" i="25" s="1"/>
  <c r="AB9" i="26"/>
  <c r="AC11" i="26"/>
  <c r="I20" i="26"/>
  <c r="J20" i="26" s="1"/>
  <c r="C34" i="25" s="1"/>
  <c r="G28" i="26"/>
  <c r="H27" i="26"/>
  <c r="R26" i="26"/>
  <c r="R27" i="26"/>
  <c r="G26" i="26"/>
  <c r="G29" i="26"/>
  <c r="H29" i="26"/>
  <c r="O29" i="26"/>
  <c r="O28" i="26"/>
  <c r="K36" i="26"/>
  <c r="O31" i="26"/>
  <c r="I31" i="26"/>
  <c r="E43" i="25" s="1"/>
  <c r="J16" i="26"/>
  <c r="C30" i="25" s="1"/>
  <c r="P4" i="26"/>
  <c r="X4" i="26" s="1"/>
  <c r="Z4" i="26" s="1"/>
  <c r="Y4" i="26"/>
  <c r="J19" i="26"/>
  <c r="C33" i="25" s="1"/>
  <c r="D36" i="26"/>
  <c r="I30" i="26"/>
  <c r="E42" i="25" s="1"/>
  <c r="Q36" i="26"/>
  <c r="F15" i="29" s="1"/>
  <c r="L36" i="26"/>
  <c r="P26" i="26"/>
  <c r="X9" i="26"/>
  <c r="AC9" i="26"/>
  <c r="S37" i="26"/>
  <c r="F19" i="29" s="1"/>
  <c r="M36" i="26"/>
  <c r="J36" i="26"/>
  <c r="AA12" i="26"/>
  <c r="X12" i="26"/>
  <c r="Z12" i="26" s="1"/>
  <c r="F25" i="25" s="1"/>
  <c r="AC4" i="26"/>
  <c r="AB4" i="26"/>
  <c r="Z5" i="26" l="1"/>
  <c r="F18" i="25" s="1"/>
  <c r="R36" i="26"/>
  <c r="F20" i="29" s="1"/>
  <c r="AA4" i="26"/>
  <c r="AB14" i="26"/>
  <c r="O27" i="26" s="1"/>
  <c r="Z9" i="26"/>
  <c r="F22" i="25" s="1"/>
  <c r="Y14" i="26"/>
  <c r="AC14" i="26"/>
  <c r="P29" i="26" s="1"/>
  <c r="H36" i="26"/>
  <c r="G36" i="26"/>
  <c r="P28" i="26"/>
  <c r="F27" i="26"/>
  <c r="F29" i="26"/>
  <c r="F26" i="26"/>
  <c r="F28" i="26"/>
  <c r="P27" i="26"/>
  <c r="O26" i="26"/>
  <c r="O36" i="26" s="1"/>
  <c r="F12" i="29" s="1"/>
  <c r="F17" i="25"/>
  <c r="X14" i="26"/>
  <c r="AA14" i="26"/>
  <c r="Z14" i="26" l="1"/>
  <c r="P36" i="26"/>
  <c r="F14" i="29" s="1"/>
  <c r="F36" i="26"/>
  <c r="N28" i="26"/>
  <c r="N27" i="26"/>
  <c r="N26" i="26"/>
  <c r="N29" i="26"/>
  <c r="E26" i="26"/>
  <c r="E28" i="26"/>
  <c r="I28" i="26" s="1"/>
  <c r="E40" i="25" s="1"/>
  <c r="E27" i="26"/>
  <c r="I27" i="26" s="1"/>
  <c r="E39" i="25" s="1"/>
  <c r="E29" i="26"/>
  <c r="I29" i="26" s="1"/>
  <c r="E41" i="25" s="1"/>
  <c r="I26" i="26" l="1"/>
  <c r="E36" i="26"/>
  <c r="N36" i="26"/>
  <c r="F13" i="29" s="1"/>
  <c r="E38" i="25" l="1"/>
  <c r="E48" i="25" s="1"/>
  <c r="F18" i="28" s="1"/>
  <c r="I36" i="26"/>
  <c r="F22" i="28" l="1"/>
  <c r="F20" i="28"/>
  <c r="F19" i="28"/>
  <c r="F21" i="28"/>
  <c r="F23" i="28"/>
</calcChain>
</file>

<file path=xl/sharedStrings.xml><?xml version="1.0" encoding="utf-8"?>
<sst xmlns="http://schemas.openxmlformats.org/spreadsheetml/2006/main" count="788" uniqueCount="425">
  <si>
    <t>Year</t>
  </si>
  <si>
    <t>SUBTOTAL</t>
  </si>
  <si>
    <t>Greenhouse Gas Reduction Fund</t>
  </si>
  <si>
    <t>Project Name:</t>
  </si>
  <si>
    <t>Read Me Worksheet</t>
  </si>
  <si>
    <t>Edible Food Rescued
 (Short Tons)</t>
  </si>
  <si>
    <t>Date Completed:</t>
  </si>
  <si>
    <t>GGRFProgram@arb.ca.gov</t>
  </si>
  <si>
    <t>GHGReductions@CalRecycle.ca.gov</t>
  </si>
  <si>
    <t>Contact Name:</t>
  </si>
  <si>
    <t>Contact Phone Number:</t>
  </si>
  <si>
    <t>Contact Email:</t>
  </si>
  <si>
    <t>Product</t>
  </si>
  <si>
    <t>Transportation</t>
  </si>
  <si>
    <t>Emission Factor</t>
  </si>
  <si>
    <t>Unit</t>
  </si>
  <si>
    <t>Emission Reduction Factor</t>
  </si>
  <si>
    <t>Source</t>
  </si>
  <si>
    <t>Compost Process &amp; Feedstock</t>
  </si>
  <si>
    <t>Definitions Worksheet</t>
  </si>
  <si>
    <t>Edible Food Rescued</t>
  </si>
  <si>
    <t>GHG Summary</t>
  </si>
  <si>
    <t>Electricity emission factor</t>
  </si>
  <si>
    <r>
      <t>MTCO</t>
    </r>
    <r>
      <rPr>
        <vertAlign val="subscript"/>
        <sz val="11"/>
        <color theme="1"/>
        <rFont val="Calibri"/>
        <family val="2"/>
        <scheme val="minor"/>
      </rPr>
      <t>2</t>
    </r>
    <r>
      <rPr>
        <sz val="11"/>
        <color theme="1"/>
        <rFont val="Calibri"/>
        <family val="2"/>
        <scheme val="minor"/>
      </rPr>
      <t>e/short ton feedstock</t>
    </r>
  </si>
  <si>
    <r>
      <t>MTCO</t>
    </r>
    <r>
      <rPr>
        <vertAlign val="subscript"/>
        <sz val="11"/>
        <color theme="1"/>
        <rFont val="Calibri"/>
        <family val="2"/>
        <scheme val="minor"/>
      </rPr>
      <t>2</t>
    </r>
    <r>
      <rPr>
        <sz val="11"/>
        <color theme="1"/>
        <rFont val="Calibri"/>
        <family val="2"/>
        <scheme val="minor"/>
      </rPr>
      <t>e/kWh</t>
    </r>
  </si>
  <si>
    <t>Food Waste Prevention</t>
  </si>
  <si>
    <t>Grant ID, if applicable:</t>
  </si>
  <si>
    <t>Emission Reduction Factors Worksheet</t>
  </si>
  <si>
    <t>Net Tons of Material Diverted
(Short Tons)</t>
  </si>
  <si>
    <t>Source Reduction of Food Waste
(Short Tons)</t>
  </si>
  <si>
    <t>Refrigeration &amp; Freezer Equipment</t>
  </si>
  <si>
    <t>Refrigerant Charge Size
(lbs)</t>
  </si>
  <si>
    <t>Volume of System</t>
  </si>
  <si>
    <r>
      <t>Volume of System 
(ft</t>
    </r>
    <r>
      <rPr>
        <vertAlign val="superscript"/>
        <sz val="11"/>
        <color theme="1"/>
        <rFont val="Calibri"/>
        <family val="2"/>
        <scheme val="minor"/>
      </rPr>
      <t>3</t>
    </r>
    <r>
      <rPr>
        <sz val="11"/>
        <color theme="1"/>
        <rFont val="Calibri"/>
        <family val="2"/>
        <scheme val="minor"/>
      </rPr>
      <t>)</t>
    </r>
  </si>
  <si>
    <t>Refrigerant Type</t>
  </si>
  <si>
    <t>Equipment Type 
(select from options)</t>
  </si>
  <si>
    <t>Refrigerant Type
(select from options)</t>
  </si>
  <si>
    <t>R-401A</t>
  </si>
  <si>
    <t>R-404A</t>
  </si>
  <si>
    <t>R-407C</t>
  </si>
  <si>
    <t>R-410A</t>
  </si>
  <si>
    <t>R-500</t>
  </si>
  <si>
    <t>R-502</t>
  </si>
  <si>
    <t>R-507</t>
  </si>
  <si>
    <t>MTCO2e/metric ton</t>
  </si>
  <si>
    <t>Emissions from Energy Consumption</t>
  </si>
  <si>
    <t>kWh/year</t>
  </si>
  <si>
    <r>
      <t>kWh/year by ft</t>
    </r>
    <r>
      <rPr>
        <vertAlign val="superscript"/>
        <sz val="11"/>
        <color theme="1"/>
        <rFont val="Calibri"/>
        <family val="2"/>
        <scheme val="minor"/>
      </rPr>
      <t>3</t>
    </r>
    <r>
      <rPr>
        <sz val="11"/>
        <color theme="1"/>
        <rFont val="Calibri"/>
        <family val="2"/>
        <scheme val="minor"/>
      </rPr>
      <t xml:space="preserve"> of volume</t>
    </r>
  </si>
  <si>
    <r>
      <t>kWh/year per ft</t>
    </r>
    <r>
      <rPr>
        <vertAlign val="superscript"/>
        <sz val="11"/>
        <color theme="1"/>
        <rFont val="Calibri"/>
        <family val="2"/>
        <scheme val="minor"/>
      </rPr>
      <t>3</t>
    </r>
    <r>
      <rPr>
        <sz val="11"/>
        <color theme="1"/>
        <rFont val="Calibri"/>
        <family val="2"/>
        <scheme val="minor"/>
      </rPr>
      <t xml:space="preserve"> of volume</t>
    </r>
  </si>
  <si>
    <t xml:space="preserve">kWh/year </t>
  </si>
  <si>
    <t>minimum value kWh/year</t>
  </si>
  <si>
    <t>Food waste prevention</t>
  </si>
  <si>
    <t>GWPs of Refrigerants</t>
  </si>
  <si>
    <t>ARB Refrigerant Management Program</t>
  </si>
  <si>
    <t>Refrigerant Leakage Assumptions</t>
  </si>
  <si>
    <t>10 CFR 431.66 - Energy conservation standards and their effective dates</t>
  </si>
  <si>
    <t>Refrigerant Charge Size</t>
  </si>
  <si>
    <r>
      <t>ARB California grid electricity emission factor for GGRF programs</t>
    </r>
    <r>
      <rPr>
        <vertAlign val="superscript"/>
        <sz val="11"/>
        <color theme="1"/>
        <rFont val="Calibri"/>
        <family val="2"/>
        <scheme val="minor"/>
      </rPr>
      <t>1</t>
    </r>
  </si>
  <si>
    <t>R-11</t>
  </si>
  <si>
    <t>R-12</t>
  </si>
  <si>
    <t>R-22</t>
  </si>
  <si>
    <t>R-123</t>
  </si>
  <si>
    <t>R-134a</t>
  </si>
  <si>
    <t>R-236fa</t>
  </si>
  <si>
    <t>http://www.arb.ca.gov/cc/capandtrade/auctionproceeds/quantification.htm</t>
  </si>
  <si>
    <t>Additional documentation on how the emission reduction factors used in the calculator were developed is available from:</t>
  </si>
  <si>
    <r>
      <t>Global Warming Potential of Refrigerant (CO</t>
    </r>
    <r>
      <rPr>
        <vertAlign val="subscript"/>
        <sz val="11"/>
        <color theme="1"/>
        <rFont val="Calibri"/>
        <family val="2"/>
        <scheme val="minor"/>
      </rPr>
      <t>2</t>
    </r>
    <r>
      <rPr>
        <sz val="11"/>
        <color theme="1"/>
        <rFont val="Calibri"/>
        <family val="2"/>
        <scheme val="minor"/>
      </rPr>
      <t>e)</t>
    </r>
  </si>
  <si>
    <t>R-407A</t>
  </si>
  <si>
    <t>R-14</t>
  </si>
  <si>
    <t>R-113</t>
  </si>
  <si>
    <t>R-225cb</t>
  </si>
  <si>
    <t>R-225ca</t>
  </si>
  <si>
    <t>R-23</t>
  </si>
  <si>
    <t>R-143a</t>
  </si>
  <si>
    <t>R-245fa</t>
  </si>
  <si>
    <t>R-407F</t>
  </si>
  <si>
    <t>R-408A</t>
  </si>
  <si>
    <t>R-409A</t>
  </si>
  <si>
    <t>R-414B</t>
  </si>
  <si>
    <t>R-416A</t>
  </si>
  <si>
    <t>R-417A</t>
  </si>
  <si>
    <t>R-422A</t>
  </si>
  <si>
    <t>R-422B</t>
  </si>
  <si>
    <t>R-422C</t>
  </si>
  <si>
    <t>R-422D</t>
  </si>
  <si>
    <t>R-427A</t>
  </si>
  <si>
    <t>R-401B</t>
  </si>
  <si>
    <t>R-402B</t>
  </si>
  <si>
    <t>R-402A</t>
  </si>
  <si>
    <t>R-406A</t>
  </si>
  <si>
    <t>R-434A</t>
  </si>
  <si>
    <t>R-438A</t>
  </si>
  <si>
    <t>R-448A</t>
  </si>
  <si>
    <t>R-508B</t>
  </si>
  <si>
    <t>R-717</t>
  </si>
  <si>
    <t>R-744</t>
  </si>
  <si>
    <t>Hot Shot 2</t>
  </si>
  <si>
    <t>Isceon MO89</t>
  </si>
  <si>
    <t>Average Annual Leak Rate</t>
  </si>
  <si>
    <t>%</t>
  </si>
  <si>
    <t>ARB's California’s High Global Warming Potential Gases Emission Inventory Emission Inventory Methodology and Technical Support Document (2016)</t>
  </si>
  <si>
    <t>Commercial Refrigeration systems with charge &lt; 50 lbs</t>
  </si>
  <si>
    <t>Commercial Refrigeration systems with charge 50 lbs to &lt; 200 lbs</t>
  </si>
  <si>
    <t>Commercial Refrigeration systems with charge 200 lbs to &lt; 2,000 lbs</t>
  </si>
  <si>
    <t>Commercial Refrigeration systems with charge ≥ 2,000 lbs</t>
  </si>
  <si>
    <t>Commercial Refrigerator with solid doors</t>
  </si>
  <si>
    <t>Commercial Refrigerator with transparent doors</t>
  </si>
  <si>
    <t>Commercial Freezer with solid doors</t>
  </si>
  <si>
    <t>Commercial Freezer with transparent doors</t>
  </si>
  <si>
    <t>Commercial Refrigerator/freezer with solid doors</t>
  </si>
  <si>
    <t>Residential Refrigerator/Freezer Combination</t>
  </si>
  <si>
    <t>Residential Freezer Only</t>
  </si>
  <si>
    <t>Residential Refrigerator Only</t>
  </si>
  <si>
    <t>The Climate Change and Economic Impacts of Food Waste in the United States</t>
  </si>
  <si>
    <t>Primary Source</t>
  </si>
  <si>
    <t>Small-Medium Facility - Landfill Digestate</t>
  </si>
  <si>
    <t>Medium-Large Facility - Landfill Digestate</t>
  </si>
  <si>
    <t>Small-Medium Facility - Compost Digestate</t>
  </si>
  <si>
    <t>Medium-Large Facility - Compost Digestate</t>
  </si>
  <si>
    <t>R-290</t>
  </si>
  <si>
    <t>R-600a</t>
  </si>
  <si>
    <t>R-170</t>
  </si>
  <si>
    <t>R-601</t>
  </si>
  <si>
    <t>R-161</t>
  </si>
  <si>
    <t>R-152a</t>
  </si>
  <si>
    <t>R-124</t>
  </si>
  <si>
    <t>R-32</t>
  </si>
  <si>
    <t>R-141b</t>
  </si>
  <si>
    <t>R-365mfc</t>
  </si>
  <si>
    <t>R-414A</t>
  </si>
  <si>
    <t>R-4310mee</t>
  </si>
  <si>
    <t>R-437A</t>
  </si>
  <si>
    <t>R-413A</t>
  </si>
  <si>
    <t>R-423A</t>
  </si>
  <si>
    <t>R-142b</t>
  </si>
  <si>
    <t>R-424A</t>
  </si>
  <si>
    <t>R-421A</t>
  </si>
  <si>
    <t>R-227ea</t>
  </si>
  <si>
    <t>R-125</t>
  </si>
  <si>
    <t>R-403B</t>
  </si>
  <si>
    <t>EP-88</t>
  </si>
  <si>
    <t>R-13b1</t>
  </si>
  <si>
    <t>R-115</t>
  </si>
  <si>
    <t>R-218</t>
  </si>
  <si>
    <t>R-114</t>
  </si>
  <si>
    <t>R-116</t>
  </si>
  <si>
    <t>R-13</t>
  </si>
  <si>
    <t>R-503</t>
  </si>
  <si>
    <t>R-449</t>
  </si>
  <si>
    <t>Loan Program (FY 2015-16)</t>
  </si>
  <si>
    <t>Grant Program (FY 2016-17)</t>
  </si>
  <si>
    <t>PM2.5</t>
  </si>
  <si>
    <t>Diesel PM</t>
  </si>
  <si>
    <t>ROG</t>
  </si>
  <si>
    <t>Large Walk In Refrigerator</t>
  </si>
  <si>
    <t>Small Walk In Refrigerator</t>
  </si>
  <si>
    <t>Small Walk In Freezer</t>
  </si>
  <si>
    <t>Large Walk In Freezer</t>
  </si>
  <si>
    <t>Applicant Entered Refrigerant Charge Size
(lbs)</t>
  </si>
  <si>
    <t>Refrigerant Charge Size Used for Calcs
(lbs)</t>
  </si>
  <si>
    <t>Default Value</t>
  </si>
  <si>
    <t>Leakage Rate</t>
  </si>
  <si>
    <t>Number of Identical Units</t>
  </si>
  <si>
    <t>Leakage GHG Emissions (MTCO2e)</t>
  </si>
  <si>
    <t>lbs/MT</t>
  </si>
  <si>
    <t>Total</t>
  </si>
  <si>
    <t>GHG Reductions</t>
  </si>
  <si>
    <t>New Vehicle Type 
(select from options)</t>
  </si>
  <si>
    <t>Number of Identical Vehicles</t>
  </si>
  <si>
    <t xml:space="preserve">Van </t>
  </si>
  <si>
    <t>Refrigerated Van</t>
  </si>
  <si>
    <t>Box Truck</t>
  </si>
  <si>
    <t>Refrigerated Box Truck</t>
  </si>
  <si>
    <t>Heavy Duty Truck</t>
  </si>
  <si>
    <t>Total GHG Emissions from Refrigeration Equipment (MTCO2e)</t>
  </si>
  <si>
    <t>Average Miles per Year for a Delivery Truck</t>
  </si>
  <si>
    <t>Miles/Year</t>
  </si>
  <si>
    <t>US Department of Transportation: Table VM-1 Annual Vehicle Distance Traveled in Miles and Related Data - 2014 by Highway Category and Vehicle Type</t>
  </si>
  <si>
    <t>Total VMT (Miles/Year)</t>
  </si>
  <si>
    <t>Total Energy GHG Emissions from Energy Consumption (MTCO2e)</t>
  </si>
  <si>
    <t>Energy Consumption Calcs</t>
  </si>
  <si>
    <t>New Refrigeration Equipment for Project (if necessary)</t>
  </si>
  <si>
    <t>New Vehicles for Project (if necessary)</t>
  </si>
  <si>
    <t>Default Refrigerant Charge Sizes</t>
  </si>
  <si>
    <t>lbs</t>
  </si>
  <si>
    <t>Residential refrigerators/freezers and chest freezers</t>
  </si>
  <si>
    <t>Commercial Refrigerator/Freezers</t>
  </si>
  <si>
    <t>Small Walk In Refrigerator/Freezer</t>
  </si>
  <si>
    <t>Large Walk In Refrigerator/Freezer</t>
  </si>
  <si>
    <t>GHG Emissions - Electricity Usage</t>
  </si>
  <si>
    <t>GHG Emissions - Refrigerant Leakage</t>
  </si>
  <si>
    <t>g/mile</t>
  </si>
  <si>
    <t>GHG</t>
  </si>
  <si>
    <t>NOx</t>
  </si>
  <si>
    <t>g to MT</t>
  </si>
  <si>
    <t>Transportation Vehicle</t>
  </si>
  <si>
    <t>Refrigerated Heavy  Duty Truck</t>
  </si>
  <si>
    <t>Refrigerant Leak Rate</t>
  </si>
  <si>
    <t>Refrigerant Leak rate</t>
  </si>
  <si>
    <t>Refrigerant GWP (R-134A)</t>
  </si>
  <si>
    <t>Transportation GHG Emissions (MTCO2e/Year)</t>
  </si>
  <si>
    <t>Total Vehicle GHG Emissions (MTCO2e/Year)</t>
  </si>
  <si>
    <t>Transportation Refrigerant GHG Emissions (MTCO2e/Year)</t>
  </si>
  <si>
    <t>Transportation Refrigerant GHG Emissions</t>
  </si>
  <si>
    <t>ARB Refrigerant Management Program (Weighted GWP of 2020 Cold Storage Inventory)</t>
  </si>
  <si>
    <t>ARB Refrigerant Management Program (Used as default refrigerant for TRUs)</t>
  </si>
  <si>
    <t>PM2.5 Emissions</t>
  </si>
  <si>
    <t>Diesel PM Emissions</t>
  </si>
  <si>
    <t>g to lbs</t>
  </si>
  <si>
    <t>ROG Emissions (lbs/year)</t>
  </si>
  <si>
    <t>-California Air Resources Board, Draft Method for Estimating Greenhouse Gas Emission Reductions from Diversion of Organic Waste from Landfills to Compost Facilities (March 2016) https://www.arb.ca.gov/cc/waste/waste.htm
-EPA AP-42, Compilation of Air Emission Factors, 2.4, Municipal Solid Waste Landfills, https://www3.epa.gov/ttnchie1/ap42/ch02/final/c02s04.pdf</t>
  </si>
  <si>
    <t>lbs/wet short ton of greenwaste</t>
  </si>
  <si>
    <t>ROG Flare Combustion Emission Factor - Greenwaste</t>
  </si>
  <si>
    <t>NOx Flare Combustion Emission Factor - Greenwaste</t>
  </si>
  <si>
    <t>PM2.5 Flare Combustion Emission Factor - Greenwaste</t>
  </si>
  <si>
    <t>ROG Flare Combustion Emission Factor - Foodwaste</t>
  </si>
  <si>
    <t>NOx Flare Combustion Emission Factor  - Foodwaste</t>
  </si>
  <si>
    <t>PM2.5 Flare Combustion Emission Factor  - Foodwaste</t>
  </si>
  <si>
    <t>lbs/wet short ton of foodwaste</t>
  </si>
  <si>
    <t>Avoided Landfill Flare Emissions</t>
  </si>
  <si>
    <t>Grid Electricity Emission Factors</t>
  </si>
  <si>
    <t>ROG Electricity Emission Factor</t>
  </si>
  <si>
    <t>NOx Electricity Emission Factor</t>
  </si>
  <si>
    <t>lbs/kWh</t>
  </si>
  <si>
    <t>PM2.5 Electricity Emission Factor</t>
  </si>
  <si>
    <t>NOx Emissions</t>
  </si>
  <si>
    <t>NOx Emissions (lbs/year)</t>
  </si>
  <si>
    <t>PM2.5 Emissions (lbs/year)</t>
  </si>
  <si>
    <t>Net Avoided ROG Emissions (lbs)</t>
  </si>
  <si>
    <t>Net Avoided NOx Emissions (lbs)</t>
  </si>
  <si>
    <t>Net Avoided PM2.5 Emissions (lbs)</t>
  </si>
  <si>
    <t>Avoided ROG Emissions (lbs)</t>
  </si>
  <si>
    <t>Avoided NOx Emissions (lbs)</t>
  </si>
  <si>
    <t>Avoided PM2.5 Emissions (lbs)</t>
  </si>
  <si>
    <t>Net Avoided Diesel PM Emissions (lbs)</t>
  </si>
  <si>
    <t xml:space="preserve">Transportation GHG Emissions </t>
  </si>
  <si>
    <t>Net GHG Reductions (MTCO2e)</t>
  </si>
  <si>
    <t>Emissions per ton of food</t>
  </si>
  <si>
    <t>miles per trip</t>
  </si>
  <si>
    <t>lb pollutant/lb of food</t>
  </si>
  <si>
    <t>lb pollutant/ton of food</t>
  </si>
  <si>
    <t>Avoided Diesel PM Emissions (lbs)</t>
  </si>
  <si>
    <t xml:space="preserve">ROG Avoided Transportation Emission Factor </t>
  </si>
  <si>
    <t>NOx Avoided Transportation Emission Factor</t>
  </si>
  <si>
    <t xml:space="preserve">PM2.5 Avoided Transportation Emission Factor </t>
  </si>
  <si>
    <t xml:space="preserve">Diesel PM Avoided Transportation Emission Factor </t>
  </si>
  <si>
    <t>lbs/short ton of foodwaste</t>
  </si>
  <si>
    <t>Avoided Flare and Food Transportation Emissions</t>
  </si>
  <si>
    <t>http://www.dot.ca.gov/trafficops/trucks/weight.html</t>
  </si>
  <si>
    <t>Food Waste Prevention - Avoided Food Transportation</t>
  </si>
  <si>
    <t>Million BTU to kWh</t>
  </si>
  <si>
    <t>Gasoline Van GHG Emissions</t>
  </si>
  <si>
    <t>Hybrid Van GHG Emissions</t>
  </si>
  <si>
    <t>Plug-in Hybrid Van GHG Emissions</t>
  </si>
  <si>
    <t>Fuel Cell Electric Van GHG Emissions</t>
  </si>
  <si>
    <t>Diesel Box Truck GHG Emissions</t>
  </si>
  <si>
    <t>Hybrid Box Truck GHG Emissions</t>
  </si>
  <si>
    <t>Diesel Heavy Duty Truck</t>
  </si>
  <si>
    <t>Battery Electric Heavy Duty Truck</t>
  </si>
  <si>
    <t>Battery Electric Van GHG Emissions</t>
  </si>
  <si>
    <t>Battery Electric Box Truck GHG Emissions</t>
  </si>
  <si>
    <t>Gasoline Van ROG Emissions</t>
  </si>
  <si>
    <t>Gasoline Van NOx Emissions</t>
  </si>
  <si>
    <t>Gasoline Van PM2.5 Emissions</t>
  </si>
  <si>
    <t>Hybrid Van ROG Emissions</t>
  </si>
  <si>
    <t>Hybrid Van NOx Emissions</t>
  </si>
  <si>
    <t>Hybrid Van PM2.5 Emissions</t>
  </si>
  <si>
    <t>Plug-in Hybrid Van ROG Emissions</t>
  </si>
  <si>
    <t>Plug-in Hybrid Van NOx Emissions</t>
  </si>
  <si>
    <t>Plug-in Hybrid Van PM2.5 Emissions</t>
  </si>
  <si>
    <t>Battery Electric Van ROG Emissions</t>
  </si>
  <si>
    <t>Battery Electric Van NOx Emissions</t>
  </si>
  <si>
    <t>Battery Electric Van PM2.5 Emissions</t>
  </si>
  <si>
    <t>Fuel Cell Electric Van ROG Emissions</t>
  </si>
  <si>
    <t>Fuel Cell Electric Van NOx Emissions</t>
  </si>
  <si>
    <t>Fuel Cell Electric Van PM2.5 Emissions</t>
  </si>
  <si>
    <t>Diesel Box Truck ROG Emissions</t>
  </si>
  <si>
    <t>Diesel Box Truck NOx Emissions</t>
  </si>
  <si>
    <t>Diesel Box Truck PM2.5 Emissions</t>
  </si>
  <si>
    <t>Hybrid Box Truck Diesel PM Emissions</t>
  </si>
  <si>
    <t>Hybrid Box Truck ROG Emissions</t>
  </si>
  <si>
    <t>Hybrid Box Truck NOx Emissions</t>
  </si>
  <si>
    <t>Hybrid Box Truck PM2.5 Emissions</t>
  </si>
  <si>
    <t>Battery Electric Box Truck Diesel PM Emissions</t>
  </si>
  <si>
    <t>Battery Electric Box Truck ROG Emissions</t>
  </si>
  <si>
    <t>Battery Electric Box Truck NOx Emissions</t>
  </si>
  <si>
    <t>Battery Electric Box Truck PM2.5 Emissions</t>
  </si>
  <si>
    <t>Diesel Heavy Duty Truck ROG Emissions</t>
  </si>
  <si>
    <t>Diesel Heavy Duty Truck NOx Emissions</t>
  </si>
  <si>
    <t>Diesel Heavy Duty Truck PM2.5 Emissions</t>
  </si>
  <si>
    <t>Diesel Heavy Duty Truck Diesel PM Emissions</t>
  </si>
  <si>
    <t>Battery Electric Heavy Duty Truck ROG Emissions</t>
  </si>
  <si>
    <t>Battery Electric Heavy Duty Truck NOx Emissions</t>
  </si>
  <si>
    <t>Battery Electric Heavy Duty Truck PM2.5 Emissions</t>
  </si>
  <si>
    <t>Battery Electric Heavy Duty Truck Diesel PM Emissions</t>
  </si>
  <si>
    <t>Hybrid Van</t>
  </si>
  <si>
    <t>Refrigerated Hybrid Van</t>
  </si>
  <si>
    <t>Plug-in Hybrid Van</t>
  </si>
  <si>
    <t>Refrigerated Plug-in Hybrid Van</t>
  </si>
  <si>
    <t>Battery Electric Van</t>
  </si>
  <si>
    <t>Refrigerated Battery Electric Van</t>
  </si>
  <si>
    <t>Fuel Cell Electric Van</t>
  </si>
  <si>
    <t>Refrigerated Fuel Cell Electric Van</t>
  </si>
  <si>
    <t>Hybrid Box Truck</t>
  </si>
  <si>
    <t>Refrigerated Hybrid Box Truck</t>
  </si>
  <si>
    <t>Battery Electric Box Truck</t>
  </si>
  <si>
    <t>Refrigerated Battery Electric Box Truck</t>
  </si>
  <si>
    <t>Refrigerated Heavy Duty Truck</t>
  </si>
  <si>
    <t>Refrigerated Battery Electric Heavy Duty Truck</t>
  </si>
  <si>
    <t>Diesel Box Truck PM Emissions</t>
  </si>
  <si>
    <t xml:space="preserve">available at: </t>
  </si>
  <si>
    <t>Questions on this Benefits Calculator Tool should be sent to:</t>
  </si>
  <si>
    <t xml:space="preserve">For more information on CARB’s efforts to support implementation of GGRF investments, see: </t>
  </si>
  <si>
    <t>Questions pertaining to the Food Waste Prevention and Rescue Grant should be sent to:</t>
  </si>
  <si>
    <t>Food Waste Prevention and Rescue Program</t>
  </si>
  <si>
    <t xml:space="preserve">California Air Resources Board </t>
  </si>
  <si>
    <t>California Climate Investments</t>
  </si>
  <si>
    <t>Other GGRF Leveraged Funds ($):</t>
  </si>
  <si>
    <t>Non-GGRF Leveraged Funds ($):</t>
  </si>
  <si>
    <t>Total Funds ($):</t>
  </si>
  <si>
    <t>Total Food Waste Prevention and Rescue GGRF Funds Requested ($):</t>
  </si>
  <si>
    <t>Food Waste Prevention and Rescue Projects</t>
  </si>
  <si>
    <t>Food Waste Prevention and Rescue applicants must enter the applicable information in the table below before proceeding with the project-specific data on the Inputs tab.</t>
  </si>
  <si>
    <t>Read Me Tab (This Page)</t>
  </si>
  <si>
    <t>Project Information</t>
  </si>
  <si>
    <t xml:space="preserve">Project Name </t>
  </si>
  <si>
    <t xml:space="preserve">Other GGRF Leveraged Funds ($) </t>
  </si>
  <si>
    <t xml:space="preserve">Non-GGRF Leveraged Funds ($) </t>
  </si>
  <si>
    <t xml:space="preserve">Total Funds ($) </t>
  </si>
  <si>
    <t xml:space="preserve">Total GHG Emission Reductions (MTCO2e) </t>
  </si>
  <si>
    <t>Co-benefits and Key Variables Summary</t>
  </si>
  <si>
    <t>Total NOx emission reductions (lbs)</t>
  </si>
  <si>
    <t>Total ROG emission reductions (lbs)</t>
  </si>
  <si>
    <t>Total PM2.5 emission reductions (lbs)</t>
  </si>
  <si>
    <t xml:space="preserve">Total Food Waste Prevention and Rescue GGRF Funds Requested ($) </t>
  </si>
  <si>
    <t xml:space="preserve">Total GHG Emission Reductions per Food Waste Prevention and Rescue GGRF Funds Requested  (MTCO2e/$)  </t>
  </si>
  <si>
    <t>Total Diesel PM emission reductions (lbs)</t>
  </si>
  <si>
    <t>If a project includes the purchase of refrigeration equipment and the refrigerant type is known, select the appropriate refrigerant type from the drop down menu.  If the refrigerant type is unknown, select "Default Value".  If cell is not applicable, leave blank.</t>
  </si>
  <si>
    <t>New Vehicle Type</t>
  </si>
  <si>
    <t>Food Waste Prevention and Rescue</t>
  </si>
  <si>
    <t>Refrigeration Equipment Type 
(select from options)</t>
  </si>
  <si>
    <t>Edible Food Rescued
 (lbs)</t>
  </si>
  <si>
    <t>Refrigeration Equipment Type</t>
  </si>
  <si>
    <t>EMFAC2014 (v1.0.7) Emission Rates</t>
  </si>
  <si>
    <t>Conversion Factors</t>
  </si>
  <si>
    <t>Value</t>
  </si>
  <si>
    <t>Units</t>
  </si>
  <si>
    <t>Criteria pollutant data is derived from CARB's criteria pollutant emissions inventory for statewide stationary sources of fuel combustion for electric utilities and cogeneration. The latest update is based on 2012 estimated annual average emissions. Criteria pollutant emissions data are available online at: https://www.arb.ca.gov/app/emsinv/2017/emssumcat_query.php?F_YR=2012&amp;F_DIV=-4&amp;F_SEASON=A&amp;SP=SIP105ADJ&amp;F_AREA=CA#0
-Consumption data for in-state generation were obtained from the CEC Energy Almanac, last updated July 27, 2016 available online at: http://www.energy.ca.gov/almanac/electricity_data/electricity_generation.html</t>
  </si>
  <si>
    <t>EMFAC2014 (v1.0.7) Emission Rates
https://www.arb.ca.gov/emfac/2014/</t>
  </si>
  <si>
    <t>If a project includes the purchase of refrigeration equipment, choose the type of equipment from the drop down menu.  A small walk in refrigerator/freezer has a refrigerant charge less than 50 pounds and are used primarily in convenience stores, small grocery stores, pharmacies, and restaurants.  A large walk in refrigerator/freezer has a refrigerant charge greater than 50 pounds and are found in supermarkets, large grocery stores, and other retail food establishments.  If cell is not applicable, leave blank.</t>
  </si>
  <si>
    <t>Inputs Worksheet</t>
  </si>
  <si>
    <r>
      <t>Food Waste Prevention and Rescue GGRF funds requested per Food Waste Prevention and Rescue Program GHG emission reductions ($/MTCO</t>
    </r>
    <r>
      <rPr>
        <vertAlign val="subscript"/>
        <sz val="12"/>
        <color theme="1"/>
        <rFont val="Arial"/>
        <family val="2"/>
      </rPr>
      <t>2</t>
    </r>
    <r>
      <rPr>
        <sz val="12"/>
        <color theme="1"/>
        <rFont val="Arial"/>
        <family val="2"/>
      </rPr>
      <t>e)</t>
    </r>
  </si>
  <si>
    <t>Portion of the Net GHG Benefit attributable to the GGRF funding from another CCI program</t>
  </si>
  <si>
    <t>Total GGRF Funds ($)</t>
  </si>
  <si>
    <t xml:space="preserve">Total GHG Emission Reductions per Total Funds Leveraged (MTCO2e/$) </t>
  </si>
  <si>
    <t xml:space="preserve">Total GHG Emission Reductions per Total GGRF Funds Leveraged (MTCO2e/$)  </t>
  </si>
  <si>
    <t>Other GGRF Funding Source (Program Name[s])</t>
  </si>
  <si>
    <t>Other GGRF Leveraged Funding Source</t>
  </si>
  <si>
    <t>Material Diverted from Landfill (short tons)</t>
  </si>
  <si>
    <t>Edible Food Rescued &amp; Donated (short tons)</t>
  </si>
  <si>
    <t>Vehicle Miles Traveled Reduction (miles)</t>
  </si>
  <si>
    <t>g per trip</t>
  </si>
  <si>
    <t>lb per trip</t>
  </si>
  <si>
    <t>lbs of food per trip</t>
  </si>
  <si>
    <t>Food Waste Prevention (short tons)</t>
  </si>
  <si>
    <t xml:space="preserve">Benefits Calculator Tool for the </t>
  </si>
  <si>
    <t>Enter the pounds of edible food that will be rescued and used to feed people each year of the project life (lbs).  Do not include the weight of any residual materials that will be landfilled or not used to feed people.  Do not include food waste residuals that will be composted or anaerobically digested.   If cell is not applicable, leave blank.</t>
  </si>
  <si>
    <t>Enter the pounds of food waste that will be prevented from being landfilled as a result of food waste prevention (lbs). Food waste prevention, also known as source reduction of food waste, is the elimination of food waste before it is created.  Food waste prevention activities include but are not limited to: use of  food waste prevention technology/software, conducting food waste assessments to identify where and why food waste is occurring and then purchasing less or preparing less food based on waste assessment results, implementing trayless dining, creating food waste prevention training programs, and food waste prevention education and outreach. All prevention activities must be quantifiable. If multiple food waste prevention strategies will be used, the applicant must provide clear calculations to quantify the impact of each strategy. Food waste prevention does not include food rescue, diverting food waste to compost or anaerobic digestion, or any activity that manages food waste once the waste has already been created.(e.g. including but not limited to conducting plate waste audits and purchasing less food, community outreach, prevention campaigns, trainings, etc.) If cell is not applicable, leave blank.</t>
  </si>
  <si>
    <t>If a project purchases a vehicle as part of the grant, select the type of vehicle from the drop down menu.  If a passenger vehicle or van is purchased, select the appropriate "Van" drop down with the correct vehicle fuel type and whether the vehicle will be refrigerated.  If a box truck delivery vehicle is purchased that has a gross vehicle weight rating (GVWR) greater than 14,000 lbs, select the appropriate "Box Truck" drop down with the correct vehicle fuel type and whether the vehicle will be refrigerated.  If a heavy duty tractor trailer delivery vehicle with a GWVR greater than 26,000 lbs is purchased, select the appropriate "Heavy Duty Truck" with the correct vehicle fuel type and whether the vehicle will be refrigerated.</t>
  </si>
  <si>
    <t>Diesel Fuel Specfic Factors</t>
  </si>
  <si>
    <t>Low Carbon Fuel Standard - https://www.arb.ca.gov/regact/2015/lcfs2015/lcfsfinalregorder.pdf</t>
  </si>
  <si>
    <t>Gasoline Fuel Specific Factors</t>
  </si>
  <si>
    <t>Electricity Fuel Specific Factors</t>
  </si>
  <si>
    <t>Transportation Costs</t>
  </si>
  <si>
    <t>Fuel Type</t>
  </si>
  <si>
    <t>Fuel Cost</t>
  </si>
  <si>
    <t>Gasoline</t>
  </si>
  <si>
    <t>$/gallon</t>
  </si>
  <si>
    <t>Diesel</t>
  </si>
  <si>
    <t>Hydrogen Fuel Specific Factors</t>
  </si>
  <si>
    <t>Electricity</t>
  </si>
  <si>
    <t>$/kWh</t>
  </si>
  <si>
    <t>Hybrid Van Fuel Costs</t>
  </si>
  <si>
    <t>Plug-in Hybrid Van Fuel Costs</t>
  </si>
  <si>
    <t>Fuel Cell Electric Van Fuel Costs</t>
  </si>
  <si>
    <t>Diesel Box Truck Fuel Costs</t>
  </si>
  <si>
    <t>Hybrid Box Truck Fuel Costs</t>
  </si>
  <si>
    <t>Battery Electric Box Truck Fuel Costs</t>
  </si>
  <si>
    <t>Diesel Heavy Duty Truck Fuel Costs</t>
  </si>
  <si>
    <t>Battery Electric Heavy Duty Truck Fuel Costs</t>
  </si>
  <si>
    <t>Hydrogen</t>
  </si>
  <si>
    <t>$/kg</t>
  </si>
  <si>
    <t>$/Year</t>
  </si>
  <si>
    <t>Battery Electric Van Fuel Costs</t>
  </si>
  <si>
    <t>Gasoline Van Fuel Costs</t>
  </si>
  <si>
    <t>Energy and Fuel Cost Savings ($)</t>
  </si>
  <si>
    <r>
      <t>gCO</t>
    </r>
    <r>
      <rPr>
        <vertAlign val="subscript"/>
        <sz val="11"/>
        <color theme="1"/>
        <rFont val="Calibri"/>
        <family val="2"/>
        <scheme val="minor"/>
      </rPr>
      <t>2</t>
    </r>
    <r>
      <rPr>
        <sz val="11"/>
        <color theme="1"/>
        <rFont val="Calibri"/>
        <family val="2"/>
        <scheme val="minor"/>
      </rPr>
      <t>e/gal</t>
    </r>
  </si>
  <si>
    <r>
      <t>gCO</t>
    </r>
    <r>
      <rPr>
        <vertAlign val="subscript"/>
        <sz val="11"/>
        <color theme="1"/>
        <rFont val="Calibri"/>
        <family val="2"/>
        <scheme val="minor"/>
      </rPr>
      <t>2</t>
    </r>
    <r>
      <rPr>
        <sz val="11"/>
        <color theme="1"/>
        <rFont val="Calibri"/>
        <family val="2"/>
        <scheme val="minor"/>
      </rPr>
      <t>e/kWh</t>
    </r>
  </si>
  <si>
    <r>
      <t>gCO</t>
    </r>
    <r>
      <rPr>
        <vertAlign val="subscript"/>
        <sz val="11"/>
        <color theme="1"/>
        <rFont val="Calibri"/>
        <family val="2"/>
        <scheme val="minor"/>
      </rPr>
      <t>2</t>
    </r>
    <r>
      <rPr>
        <sz val="11"/>
        <color theme="1"/>
        <rFont val="Calibri"/>
        <family val="2"/>
        <scheme val="minor"/>
      </rPr>
      <t>e/kg</t>
    </r>
  </si>
  <si>
    <t>CARB's Co-benefit Assessment Methodology for Energy and Fuel Cost Savings
https://www.arb.ca.gov/cc/capandtrade/auctionproceeds/final_energyfuelcost_am.pdf</t>
  </si>
  <si>
    <t>Food Waste Prevention
(lbs)</t>
  </si>
  <si>
    <t xml:space="preserve">The user must enter project specific-data for each Food Waste Prevention and Rescue Project.  Project data is entered into the yellow, green, or orange cells.  To estimate the total GHG emission reductions and select co-benefits over the entire quantification period of the project, the user must input all the relevant data into the spreadsheet.
</t>
  </si>
  <si>
    <t>VMT Count</t>
  </si>
  <si>
    <r>
      <t xml:space="preserve">The California Air Resources Board (CARB) is responsible for providing the quantification methodology to estimate greenhouse gas (GHG) emission reductions from California Climate Investment projects receiving monies from the Greenhouse Gas Reduction Fund (GGRF). 
This Food Waste Prevention and Rescue Benefits Calculator Tool accompanies the Food Waste Prevention and Rescue Quantification Methodology </t>
    </r>
    <r>
      <rPr>
        <sz val="12"/>
        <rFont val="Avenir LT Std 55 Roman"/>
        <family val="2"/>
      </rPr>
      <t xml:space="preserve">
</t>
    </r>
    <r>
      <rPr>
        <sz val="12"/>
        <color theme="1"/>
        <rFont val="Avenir LT Std 55 Roman"/>
        <family val="2"/>
      </rPr>
      <t xml:space="preserve">
</t>
    </r>
  </si>
  <si>
    <r>
      <t>If a project includes the purchase of refrigeration equipment, enter the compartment volume of the refrigeration equipment (ft</t>
    </r>
    <r>
      <rPr>
        <vertAlign val="superscript"/>
        <sz val="12"/>
        <color theme="1"/>
        <rFont val="Avenir LT Std 55 Roman"/>
        <family val="2"/>
      </rPr>
      <t>3</t>
    </r>
    <r>
      <rPr>
        <sz val="12"/>
        <color theme="1"/>
        <rFont val="Avenir LT Std 55 Roman"/>
        <family val="2"/>
      </rPr>
      <t>).  If cell is not applicable, leave blank.</t>
    </r>
  </si>
  <si>
    <r>
      <rPr>
        <sz val="12"/>
        <rFont val="Avenir LT Std 55 Roman"/>
        <family val="2"/>
      </rPr>
      <t xml:space="preserve">If a project includes the purchase of refrigeration equipment and the refrigerant charge size is known, enter the refrigerant charge size in pounds.  If charge size is unknown, leave the cell blank and defaults will be used.  If cell is not applicable, leave blank. </t>
    </r>
    <r>
      <rPr>
        <sz val="12"/>
        <color theme="1"/>
        <rFont val="Avenir LT Std 55 Roman"/>
        <family val="2"/>
      </rPr>
      <t xml:space="preserve"> </t>
    </r>
  </si>
  <si>
    <r>
      <t>Volume of System 
(ft</t>
    </r>
    <r>
      <rPr>
        <b/>
        <vertAlign val="superscript"/>
        <sz val="11"/>
        <color theme="1"/>
        <rFont val="Avenir LT Std 55 Roman"/>
        <family val="2"/>
      </rPr>
      <t>3</t>
    </r>
    <r>
      <rPr>
        <b/>
        <sz val="11"/>
        <color theme="1"/>
        <rFont val="Avenir LT Std 55 Roman"/>
        <family val="2"/>
      </rPr>
      <t>)</t>
    </r>
  </si>
  <si>
    <r>
      <t xml:space="preserve">Refrigerant Charge Size - </t>
    </r>
    <r>
      <rPr>
        <b/>
        <i/>
        <sz val="11"/>
        <color theme="1"/>
        <rFont val="Avenir LT Std 55 Roman"/>
        <family val="2"/>
      </rPr>
      <t>Optional Input</t>
    </r>
    <r>
      <rPr>
        <b/>
        <sz val="11"/>
        <color theme="1"/>
        <rFont val="Avenir LT Std 55 Roman"/>
        <family val="2"/>
      </rPr>
      <t xml:space="preserve">
(lbs)</t>
    </r>
  </si>
  <si>
    <r>
      <t>Annual GHG Emissions from Refrigeration Equipment 
(MTCO</t>
    </r>
    <r>
      <rPr>
        <b/>
        <vertAlign val="subscript"/>
        <sz val="11"/>
        <color theme="1"/>
        <rFont val="Avenir LT Std 55 Roman"/>
        <family val="2"/>
      </rPr>
      <t>2</t>
    </r>
    <r>
      <rPr>
        <b/>
        <sz val="11"/>
        <color theme="1"/>
        <rFont val="Avenir LT Std 55 Roman"/>
        <family val="2"/>
      </rPr>
      <t>e/Year)</t>
    </r>
  </si>
  <si>
    <r>
      <t>Annual GHG Emissions from New Vehicle 
(MTCO</t>
    </r>
    <r>
      <rPr>
        <b/>
        <vertAlign val="subscript"/>
        <sz val="11"/>
        <color theme="1"/>
        <rFont val="Avenir LT Std 55 Roman"/>
        <family val="2"/>
      </rPr>
      <t>2</t>
    </r>
    <r>
      <rPr>
        <b/>
        <sz val="11"/>
        <color theme="1"/>
        <rFont val="Avenir LT Std 55 Roman"/>
        <family val="2"/>
      </rPr>
      <t>e/Year)</t>
    </r>
  </si>
  <si>
    <r>
      <t>Net GHG Benefit
(MTCO</t>
    </r>
    <r>
      <rPr>
        <b/>
        <vertAlign val="subscript"/>
        <sz val="11"/>
        <color theme="1"/>
        <rFont val="Avenir LT Std 55 Roman"/>
        <family val="2"/>
      </rPr>
      <t>2</t>
    </r>
    <r>
      <rPr>
        <b/>
        <sz val="11"/>
        <color theme="1"/>
        <rFont val="Avenir LT Std 55 Roman"/>
        <family val="2"/>
      </rPr>
      <t>e)</t>
    </r>
  </si>
  <si>
    <t>Year 1</t>
  </si>
  <si>
    <t>Year 2</t>
  </si>
  <si>
    <t>Year 3</t>
  </si>
  <si>
    <t>Year 4</t>
  </si>
  <si>
    <t>Year 5</t>
  </si>
  <si>
    <t>Year 6</t>
  </si>
  <si>
    <t>Year 7</t>
  </si>
  <si>
    <t>Year 8</t>
  </si>
  <si>
    <t>Year 9</t>
  </si>
  <si>
    <t>Year 10</t>
  </si>
  <si>
    <t>www.arb.ca.gov/cci-resources</t>
  </si>
  <si>
    <t xml:space="preserve">Note to applicants: </t>
  </si>
  <si>
    <t xml:space="preserve">A step-by-step user guide, including project examples, for this Benefits Calculator Tool is available at: </t>
  </si>
  <si>
    <t>https://www.arb.ca.gov/cc/capandtrade/auctionproceeds/calrecycle_finalfoodwaste_userguide_19-20.pdf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</si>
</sst>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0"/>
    <numFmt numFmtId="165" formatCode="#,##0.000000"/>
    <numFmt numFmtId="166" formatCode="#,##0.0"/>
    <numFmt numFmtId="167" formatCode="0.0%"/>
    <numFmt numFmtId="168" formatCode="0.000"/>
    <numFmt numFmtId="169" formatCode="0.0000000"/>
    <numFmt numFmtId="170" formatCode="#,##0.00000"/>
    <numFmt numFmtId="171" formatCode="_(&quot;$&quot;* #,##0_);_(&quot;$&quot;* \(#,##0\);_(&quot;$&quot;* &quot;-&quot;??_);_(@_)"/>
    <numFmt numFmtId="172" formatCode="&quot;$&quot;#,##0.00"/>
    <numFmt numFmtId="173" formatCode="&quot;$&quot;#,##0.0000_);[Red]\(&quot;$&quot;#,##0.0000\)"/>
    <numFmt numFmtId="174" formatCode="&quot;$&quot;#,##0"/>
  </numFmts>
  <fonts count="36" x14ac:knownFonts="1">
    <font>
      <sz val="11"/>
      <color theme="1"/>
      <name val="Calibri"/>
      <family val="2"/>
      <scheme val="minor"/>
    </font>
    <font>
      <b/>
      <sz val="11"/>
      <color theme="1"/>
      <name val="Calibri"/>
      <family val="2"/>
      <scheme val="minor"/>
    </font>
    <font>
      <sz val="12"/>
      <color theme="1"/>
      <name val="Arial"/>
      <family val="2"/>
    </font>
    <font>
      <b/>
      <sz val="12"/>
      <color theme="1"/>
      <name val="Arial"/>
      <family val="2"/>
    </font>
    <font>
      <b/>
      <sz val="14"/>
      <color theme="1"/>
      <name val="Calibri"/>
      <family val="2"/>
      <scheme val="minor"/>
    </font>
    <font>
      <u/>
      <sz val="11"/>
      <color theme="10"/>
      <name val="Calibri"/>
      <family val="2"/>
      <scheme val="minor"/>
    </font>
    <font>
      <sz val="11"/>
      <name val="Calibri"/>
      <family val="2"/>
      <scheme val="minor"/>
    </font>
    <font>
      <vertAlign val="superscript"/>
      <sz val="11"/>
      <color theme="1"/>
      <name val="Calibri"/>
      <family val="2"/>
      <scheme val="minor"/>
    </font>
    <font>
      <vertAlign val="subscript"/>
      <sz val="11"/>
      <color theme="1"/>
      <name val="Calibri"/>
      <family val="2"/>
      <scheme val="minor"/>
    </font>
    <font>
      <sz val="11"/>
      <color theme="1"/>
      <name val="Calibri"/>
      <family val="2"/>
      <scheme val="minor"/>
    </font>
    <font>
      <sz val="10"/>
      <name val="Arial"/>
      <family val="2"/>
    </font>
    <font>
      <u/>
      <sz val="10"/>
      <color indexed="12"/>
      <name val="Arial"/>
      <family val="2"/>
    </font>
    <font>
      <b/>
      <sz val="16"/>
      <name val="Arial"/>
      <family val="2"/>
    </font>
    <font>
      <b/>
      <sz val="16"/>
      <color theme="1"/>
      <name val="Arial"/>
      <family val="2"/>
    </font>
    <font>
      <b/>
      <sz val="14"/>
      <color theme="1"/>
      <name val="Arial"/>
      <family val="2"/>
    </font>
    <font>
      <b/>
      <sz val="11"/>
      <name val="Calibri"/>
      <family val="2"/>
      <scheme val="minor"/>
    </font>
    <font>
      <sz val="11"/>
      <color theme="1"/>
      <name val="Arial"/>
      <family val="2"/>
    </font>
    <font>
      <vertAlign val="subscript"/>
      <sz val="12"/>
      <color theme="1"/>
      <name val="Arial"/>
      <family val="2"/>
    </font>
    <font>
      <b/>
      <sz val="14"/>
      <name val="Arial"/>
      <family val="2"/>
    </font>
    <font>
      <u/>
      <sz val="11"/>
      <color theme="10"/>
      <name val="Calibri"/>
      <family val="2"/>
    </font>
    <font>
      <sz val="11"/>
      <color theme="1"/>
      <name val="Calibri"/>
      <family val="2"/>
    </font>
    <font>
      <sz val="11"/>
      <color theme="1"/>
      <name val="Avenir LT Std 55 Roman"/>
      <family val="2"/>
    </font>
    <font>
      <b/>
      <sz val="11"/>
      <color theme="1"/>
      <name val="Avenir LT Std 55 Roman"/>
      <family val="2"/>
    </font>
    <font>
      <b/>
      <sz val="14"/>
      <color theme="1"/>
      <name val="Avenir LT Std 55 Roman"/>
      <family val="2"/>
    </font>
    <font>
      <sz val="12"/>
      <color theme="1"/>
      <name val="Avenir LT Std 55 Roman"/>
      <family val="2"/>
    </font>
    <font>
      <sz val="12"/>
      <name val="Avenir LT Std 55 Roman"/>
      <family val="2"/>
    </font>
    <font>
      <u/>
      <sz val="12"/>
      <color theme="10"/>
      <name val="Avenir LT Std 55 Roman"/>
      <family val="2"/>
    </font>
    <font>
      <b/>
      <sz val="12"/>
      <color theme="1"/>
      <name val="Avenir LT Std 55 Roman"/>
      <family val="2"/>
    </font>
    <font>
      <b/>
      <sz val="12"/>
      <name val="Avenir LT Std 55 Roman"/>
      <family val="2"/>
    </font>
    <font>
      <u/>
      <sz val="12"/>
      <color rgb="FF0000FF"/>
      <name val="Avenir LT Std 55 Roman"/>
      <family val="2"/>
    </font>
    <font>
      <vertAlign val="superscript"/>
      <sz val="12"/>
      <color theme="1"/>
      <name val="Avenir LT Std 55 Roman"/>
      <family val="2"/>
    </font>
    <font>
      <sz val="8.8000000000000007"/>
      <color theme="1"/>
      <name val="Avenir LT Std 55 Roman"/>
      <family val="2"/>
    </font>
    <font>
      <b/>
      <vertAlign val="superscript"/>
      <sz val="11"/>
      <color theme="1"/>
      <name val="Avenir LT Std 55 Roman"/>
      <family val="2"/>
    </font>
    <font>
      <b/>
      <i/>
      <sz val="11"/>
      <color theme="1"/>
      <name val="Avenir LT Std 55 Roman"/>
      <family val="2"/>
    </font>
    <font>
      <b/>
      <vertAlign val="subscript"/>
      <sz val="11"/>
      <color theme="1"/>
      <name val="Avenir LT Std 55 Roman"/>
      <family val="2"/>
    </font>
    <font>
      <sz val="8"/>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rgb="FFF6FE94"/>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4" tint="0.59996337778862885"/>
        <bgColor indexed="64"/>
      </patternFill>
    </fill>
    <fill>
      <patternFill patternType="solid">
        <fgColor theme="6"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top style="medium">
        <color auto="1"/>
      </top>
      <bottom style="thin">
        <color auto="1"/>
      </bottom>
      <diagonal/>
    </border>
  </borders>
  <cellStyleXfs count="17">
    <xf numFmtId="0" fontId="0" fillId="0" borderId="0"/>
    <xf numFmtId="0" fontId="5" fillId="0" borderId="0" applyNumberFormat="0" applyFill="0" applyBorder="0" applyAlignment="0" applyProtection="0"/>
    <xf numFmtId="0" fontId="5" fillId="0" borderId="0" applyNumberFormat="0" applyFill="0" applyBorder="0" applyAlignment="0" applyProtection="0"/>
    <xf numFmtId="44" fontId="9" fillId="0" borderId="0" applyFont="0" applyFill="0" applyBorder="0" applyAlignment="0" applyProtection="0"/>
    <xf numFmtId="0" fontId="9" fillId="0" borderId="0"/>
    <xf numFmtId="0" fontId="10" fillId="0" borderId="0"/>
    <xf numFmtId="0" fontId="11" fillId="0" borderId="0" applyNumberFormat="0" applyFill="0" applyBorder="0" applyAlignment="0" applyProtection="0">
      <alignment vertical="top"/>
      <protection locked="0"/>
    </xf>
    <xf numFmtId="0" fontId="10" fillId="0" borderId="0"/>
    <xf numFmtId="4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9" fillId="0" borderId="0"/>
    <xf numFmtId="0" fontId="9" fillId="0" borderId="0"/>
    <xf numFmtId="0" fontId="9" fillId="0" borderId="0"/>
    <xf numFmtId="0" fontId="9" fillId="0" borderId="0"/>
    <xf numFmtId="0" fontId="10" fillId="0" borderId="0"/>
    <xf numFmtId="0" fontId="19" fillId="0" borderId="0" applyNumberFormat="0" applyFill="0" applyBorder="0" applyAlignment="0" applyProtection="0">
      <alignment vertical="top"/>
      <protection locked="0"/>
    </xf>
  </cellStyleXfs>
  <cellXfs count="424">
    <xf numFmtId="0" fontId="0" fillId="0" borderId="0" xfId="0"/>
    <xf numFmtId="0" fontId="4" fillId="0" borderId="0" xfId="0" applyFont="1"/>
    <xf numFmtId="0" fontId="4" fillId="0" borderId="0" xfId="0" applyFont="1" applyAlignment="1">
      <alignment horizontal="center"/>
    </xf>
    <xf numFmtId="0" fontId="0" fillId="0" borderId="0" xfId="0" applyFont="1"/>
    <xf numFmtId="0" fontId="1" fillId="6" borderId="11" xfId="0" applyFont="1" applyFill="1" applyBorder="1" applyAlignment="1">
      <alignment horizontal="center" vertical="center"/>
    </xf>
    <xf numFmtId="0" fontId="1" fillId="7" borderId="11" xfId="0" applyFont="1" applyFill="1" applyBorder="1" applyAlignment="1">
      <alignment horizontal="center" vertical="center"/>
    </xf>
    <xf numFmtId="0" fontId="0" fillId="0" borderId="11" xfId="0" applyBorder="1" applyAlignment="1">
      <alignment vertical="center"/>
    </xf>
    <xf numFmtId="0" fontId="0" fillId="0" borderId="11" xfId="0" applyBorder="1" applyAlignment="1">
      <alignment vertical="center" wrapText="1"/>
    </xf>
    <xf numFmtId="0" fontId="0" fillId="0" borderId="11" xfId="0" applyBorder="1" applyAlignment="1">
      <alignment horizontal="left" vertical="center" wrapText="1"/>
    </xf>
    <xf numFmtId="0" fontId="0" fillId="0" borderId="0" xfId="0" applyProtection="1"/>
    <xf numFmtId="3" fontId="0" fillId="0" borderId="0" xfId="0" applyNumberFormat="1" applyFill="1" applyBorder="1" applyProtection="1"/>
    <xf numFmtId="3" fontId="0" fillId="3" borderId="1" xfId="0" applyNumberFormat="1" applyFill="1" applyBorder="1" applyProtection="1">
      <protection locked="0"/>
    </xf>
    <xf numFmtId="0" fontId="0" fillId="0" borderId="1" xfId="0" applyBorder="1" applyAlignment="1">
      <alignment horizontal="center" vertical="center"/>
    </xf>
    <xf numFmtId="0" fontId="0" fillId="0" borderId="12" xfId="0" applyBorder="1" applyAlignment="1">
      <alignment vertical="center"/>
    </xf>
    <xf numFmtId="3" fontId="0" fillId="2" borderId="1" xfId="0" applyNumberFormat="1" applyFill="1" applyBorder="1" applyProtection="1"/>
    <xf numFmtId="0" fontId="6" fillId="0" borderId="16" xfId="0" applyFont="1" applyFill="1" applyBorder="1" applyAlignment="1">
      <alignment horizontal="center" vertical="center"/>
    </xf>
    <xf numFmtId="2" fontId="6" fillId="0" borderId="1" xfId="0" applyNumberFormat="1" applyFont="1" applyFill="1" applyBorder="1" applyAlignment="1">
      <alignment horizontal="center" vertical="center"/>
    </xf>
    <xf numFmtId="0" fontId="0" fillId="0" borderId="13" xfId="0" applyBorder="1" applyAlignment="1">
      <alignment vertical="center" wrapText="1"/>
    </xf>
    <xf numFmtId="0" fontId="0" fillId="0" borderId="0" xfId="0" applyBorder="1" applyAlignment="1">
      <alignment vertical="center" wrapText="1"/>
    </xf>
    <xf numFmtId="0" fontId="0" fillId="0" borderId="0" xfId="0" applyAlignment="1">
      <alignment vertical="center"/>
    </xf>
    <xf numFmtId="0" fontId="0" fillId="0" borderId="12" xfId="0" applyBorder="1" applyAlignment="1">
      <alignmen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12" xfId="0" applyFont="1" applyFill="1" applyBorder="1" applyAlignment="1">
      <alignment horizontal="center" vertical="center"/>
    </xf>
    <xf numFmtId="0" fontId="0" fillId="0" borderId="0" xfId="0" applyBorder="1" applyAlignment="1">
      <alignment vertical="center"/>
    </xf>
    <xf numFmtId="0" fontId="1" fillId="7" borderId="1" xfId="0" applyFont="1" applyFill="1" applyBorder="1" applyAlignment="1">
      <alignment horizontal="center" vertical="center" wrapText="1"/>
    </xf>
    <xf numFmtId="0" fontId="1" fillId="7" borderId="1" xfId="0" applyFont="1" applyFill="1" applyBorder="1" applyAlignment="1">
      <alignment horizontal="center" vertical="center"/>
    </xf>
    <xf numFmtId="0" fontId="1" fillId="7" borderId="12" xfId="0" applyFont="1" applyFill="1" applyBorder="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xf>
    <xf numFmtId="166" fontId="0" fillId="0" borderId="1" xfId="0" applyNumberFormat="1" applyBorder="1" applyAlignment="1">
      <alignment horizontal="center" vertical="center"/>
    </xf>
    <xf numFmtId="0" fontId="6" fillId="0" borderId="11" xfId="0" applyFont="1" applyFill="1" applyBorder="1" applyAlignment="1">
      <alignment horizontal="left" vertical="center"/>
    </xf>
    <xf numFmtId="0" fontId="0" fillId="0" borderId="11" xfId="0" applyFont="1" applyFill="1" applyBorder="1" applyAlignment="1">
      <alignment horizontal="left" vertical="center" wrapText="1"/>
    </xf>
    <xf numFmtId="0" fontId="0" fillId="0" borderId="0" xfId="0" applyBorder="1"/>
    <xf numFmtId="0" fontId="5" fillId="0" borderId="0" xfId="1" applyBorder="1"/>
    <xf numFmtId="0" fontId="0" fillId="0" borderId="0" xfId="0" applyFont="1" applyBorder="1" applyAlignment="1">
      <alignment horizontal="left"/>
    </xf>
    <xf numFmtId="0" fontId="0" fillId="0" borderId="16" xfId="0" applyBorder="1" applyAlignment="1">
      <alignment horizontal="center" vertical="center"/>
    </xf>
    <xf numFmtId="3" fontId="6" fillId="0" borderId="5" xfId="0" applyNumberFormat="1" applyFont="1" applyBorder="1" applyAlignment="1">
      <alignment horizontal="center" vertical="center"/>
    </xf>
    <xf numFmtId="3" fontId="6" fillId="0" borderId="5" xfId="0" applyNumberFormat="1" applyFont="1" applyFill="1" applyBorder="1" applyAlignment="1">
      <alignment horizontal="center" vertical="center"/>
    </xf>
    <xf numFmtId="4" fontId="0" fillId="3" borderId="1" xfId="0" applyNumberFormat="1" applyFill="1" applyBorder="1" applyProtection="1">
      <protection locked="0"/>
    </xf>
    <xf numFmtId="0" fontId="0" fillId="0" borderId="5" xfId="0" applyFill="1" applyBorder="1" applyAlignment="1">
      <alignment horizontal="center" vertical="center"/>
    </xf>
    <xf numFmtId="0" fontId="0" fillId="0" borderId="12" xfId="0" applyFill="1" applyBorder="1" applyAlignment="1">
      <alignment vertical="center" wrapText="1"/>
    </xf>
    <xf numFmtId="3" fontId="0" fillId="0" borderId="5" xfId="0" applyNumberFormat="1" applyFill="1" applyBorder="1" applyAlignment="1">
      <alignment horizontal="center" vertical="center"/>
    </xf>
    <xf numFmtId="3" fontId="6" fillId="0" borderId="1" xfId="0" applyNumberFormat="1" applyFont="1" applyFill="1" applyBorder="1" applyAlignment="1">
      <alignment horizontal="center" vertical="center"/>
    </xf>
    <xf numFmtId="167" fontId="6" fillId="0" borderId="5" xfId="0" applyNumberFormat="1" applyFont="1" applyFill="1" applyBorder="1" applyAlignment="1">
      <alignment horizontal="center" vertical="center"/>
    </xf>
    <xf numFmtId="9" fontId="6" fillId="0" borderId="1" xfId="0" applyNumberFormat="1" applyFont="1" applyFill="1" applyBorder="1" applyAlignment="1">
      <alignment horizontal="center" vertical="center"/>
    </xf>
    <xf numFmtId="0" fontId="0" fillId="0" borderId="12" xfId="0" applyFont="1" applyFill="1" applyBorder="1" applyAlignment="1">
      <alignment horizontal="left" vertical="center" wrapText="1"/>
    </xf>
    <xf numFmtId="0" fontId="0" fillId="0" borderId="20" xfId="0" applyFont="1" applyFill="1" applyBorder="1" applyAlignment="1">
      <alignment horizontal="left" vertical="center"/>
    </xf>
    <xf numFmtId="9" fontId="0" fillId="0" borderId="5"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9" xfId="0" applyFont="1" applyFill="1" applyBorder="1" applyAlignment="1">
      <alignment horizontal="left" vertical="center" wrapText="1"/>
    </xf>
    <xf numFmtId="0" fontId="0" fillId="0" borderId="1" xfId="0" applyFont="1" applyFill="1" applyBorder="1" applyAlignment="1" applyProtection="1">
      <alignment horizontal="center" vertical="center"/>
    </xf>
    <xf numFmtId="0" fontId="0" fillId="0" borderId="1" xfId="0" applyFill="1" applyBorder="1" applyAlignment="1">
      <alignment horizontal="center" vertical="center"/>
    </xf>
    <xf numFmtId="0" fontId="0" fillId="0" borderId="0" xfId="0" applyFill="1" applyBorder="1" applyAlignment="1">
      <alignment horizontal="left" vertical="center" wrapText="1"/>
    </xf>
    <xf numFmtId="2" fontId="6"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14" xfId="0" applyBorder="1" applyAlignment="1">
      <alignment vertical="center" wrapText="1"/>
    </xf>
    <xf numFmtId="0" fontId="1" fillId="7" borderId="17" xfId="0" applyFont="1" applyFill="1" applyBorder="1" applyAlignment="1">
      <alignment horizontal="center" vertical="center"/>
    </xf>
    <xf numFmtId="0" fontId="1" fillId="7" borderId="5" xfId="0" applyFont="1" applyFill="1" applyBorder="1" applyAlignment="1">
      <alignment horizontal="center" vertical="center" wrapText="1"/>
    </xf>
    <xf numFmtId="0" fontId="1" fillId="7" borderId="5" xfId="0" applyFont="1" applyFill="1" applyBorder="1" applyAlignment="1">
      <alignment horizontal="center" vertical="center"/>
    </xf>
    <xf numFmtId="0" fontId="1" fillId="7" borderId="24" xfId="0" applyFont="1" applyFill="1" applyBorder="1" applyAlignment="1">
      <alignment horizontal="center" vertical="center"/>
    </xf>
    <xf numFmtId="49" fontId="0" fillId="0" borderId="17" xfId="0" applyNumberFormat="1" applyBorder="1" applyAlignment="1">
      <alignment vertical="center"/>
    </xf>
    <xf numFmtId="49" fontId="0" fillId="0" borderId="11" xfId="0" applyNumberFormat="1" applyFill="1" applyBorder="1" applyAlignment="1">
      <alignment vertical="center"/>
    </xf>
    <xf numFmtId="49" fontId="0" fillId="0" borderId="17" xfId="0" applyNumberFormat="1" applyFill="1" applyBorder="1" applyAlignment="1">
      <alignment horizontal="left" vertical="center"/>
    </xf>
    <xf numFmtId="49" fontId="0" fillId="0" borderId="17" xfId="0" applyNumberFormat="1" applyFill="1" applyBorder="1" applyAlignment="1">
      <alignment vertical="center"/>
    </xf>
    <xf numFmtId="0" fontId="1" fillId="7" borderId="20" xfId="0" applyFont="1" applyFill="1" applyBorder="1" applyAlignment="1">
      <alignment horizontal="center" vertical="center"/>
    </xf>
    <xf numFmtId="0" fontId="1" fillId="7" borderId="19" xfId="0" applyFont="1" applyFill="1" applyBorder="1" applyAlignment="1">
      <alignment horizontal="center" vertical="center"/>
    </xf>
    <xf numFmtId="0" fontId="0" fillId="0" borderId="12" xfId="0" applyFont="1" applyFill="1" applyBorder="1" applyAlignment="1" applyProtection="1">
      <alignment horizontal="left" vertical="center"/>
    </xf>
    <xf numFmtId="3" fontId="0" fillId="3" borderId="1" xfId="0" applyNumberFormat="1" applyFill="1" applyBorder="1" applyProtection="1"/>
    <xf numFmtId="0" fontId="0" fillId="0" borderId="15" xfId="0" applyFont="1" applyBorder="1" applyAlignment="1" applyProtection="1">
      <alignment horizontal="center" vertical="center" wrapText="1"/>
    </xf>
    <xf numFmtId="0" fontId="0" fillId="0" borderId="11" xfId="0" applyBorder="1" applyAlignment="1" applyProtection="1">
      <alignment horizontal="center"/>
    </xf>
    <xf numFmtId="0" fontId="0" fillId="0" borderId="13" xfId="0" applyBorder="1" applyAlignment="1" applyProtection="1">
      <alignment horizontal="center"/>
    </xf>
    <xf numFmtId="3" fontId="0" fillId="3" borderId="16" xfId="0" applyNumberFormat="1" applyFill="1" applyBorder="1" applyProtection="1"/>
    <xf numFmtId="0" fontId="0" fillId="0" borderId="0" xfId="0" applyFont="1" applyBorder="1" applyAlignment="1">
      <alignment horizontal="left"/>
    </xf>
    <xf numFmtId="0" fontId="0" fillId="0" borderId="1" xfId="0" applyFont="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1" xfId="0" applyBorder="1"/>
    <xf numFmtId="3" fontId="0" fillId="0" borderId="0" xfId="0" applyNumberFormat="1" applyFill="1" applyBorder="1" applyProtection="1">
      <protection locked="0"/>
    </xf>
    <xf numFmtId="4" fontId="0" fillId="0" borderId="0" xfId="0" applyNumberFormat="1" applyFill="1" applyBorder="1" applyProtection="1">
      <protection locked="0"/>
    </xf>
    <xf numFmtId="4" fontId="0" fillId="0" borderId="1" xfId="0" applyNumberFormat="1" applyBorder="1"/>
    <xf numFmtId="0" fontId="0" fillId="0" borderId="1" xfId="0" applyFont="1" applyFill="1" applyBorder="1" applyAlignment="1" applyProtection="1">
      <alignment horizontal="left" vertical="center" wrapText="1"/>
    </xf>
    <xf numFmtId="0" fontId="0" fillId="0" borderId="1" xfId="0" applyBorder="1" applyAlignment="1">
      <alignment horizontal="left" vertical="center" wrapText="1"/>
    </xf>
    <xf numFmtId="0" fontId="0" fillId="0" borderId="1" xfId="0" applyBorder="1" applyAlignment="1">
      <alignment wrapText="1"/>
    </xf>
    <xf numFmtId="0" fontId="0" fillId="0" borderId="2" xfId="0" applyBorder="1" applyAlignment="1">
      <alignment wrapText="1"/>
    </xf>
    <xf numFmtId="0" fontId="0" fillId="0" borderId="2" xfId="0" applyBorder="1"/>
    <xf numFmtId="0" fontId="0" fillId="0" borderId="1" xfId="0" applyFill="1" applyBorder="1" applyAlignment="1">
      <alignment wrapText="1"/>
    </xf>
    <xf numFmtId="0" fontId="0" fillId="0" borderId="15" xfId="0" applyBorder="1" applyAlignment="1">
      <alignment horizontal="center" vertical="center"/>
    </xf>
    <xf numFmtId="0" fontId="6" fillId="0" borderId="10" xfId="0" applyFont="1" applyBorder="1" applyAlignment="1">
      <alignment vertical="center" wrapText="1"/>
    </xf>
    <xf numFmtId="0" fontId="6" fillId="0" borderId="14" xfId="0" applyFont="1" applyBorder="1" applyAlignment="1">
      <alignment vertical="center" wrapText="1"/>
    </xf>
    <xf numFmtId="3" fontId="0" fillId="0" borderId="16" xfId="0" applyNumberFormat="1" applyBorder="1" applyAlignment="1">
      <alignment horizontal="center" vertical="center"/>
    </xf>
    <xf numFmtId="3" fontId="0" fillId="3" borderId="16" xfId="0" applyNumberFormat="1" applyFill="1" applyBorder="1" applyProtection="1">
      <protection locked="0"/>
    </xf>
    <xf numFmtId="3" fontId="0" fillId="2" borderId="16" xfId="0" applyNumberFormat="1" applyFill="1" applyBorder="1" applyAlignment="1" applyProtection="1">
      <alignment horizontal="right"/>
    </xf>
    <xf numFmtId="0" fontId="0" fillId="0" borderId="1" xfId="0" applyFont="1" applyFill="1" applyBorder="1" applyAlignment="1" applyProtection="1">
      <alignment horizontal="center" vertical="center" wrapText="1"/>
    </xf>
    <xf numFmtId="3" fontId="0" fillId="0" borderId="1" xfId="0" applyNumberFormat="1" applyBorder="1" applyAlignment="1">
      <alignment horizontal="center" vertical="center"/>
    </xf>
    <xf numFmtId="3" fontId="0" fillId="0" borderId="15" xfId="0" applyNumberFormat="1" applyBorder="1" applyAlignment="1">
      <alignment horizontal="center" vertical="center"/>
    </xf>
    <xf numFmtId="0" fontId="6" fillId="0" borderId="12" xfId="0" applyFont="1" applyBorder="1" applyAlignment="1">
      <alignment vertical="center" wrapText="1"/>
    </xf>
    <xf numFmtId="0" fontId="0" fillId="0" borderId="1" xfId="0" applyFont="1" applyFill="1" applyBorder="1" applyAlignment="1">
      <alignment horizontal="left" vertical="center" wrapText="1"/>
    </xf>
    <xf numFmtId="167" fontId="6" fillId="0" borderId="1" xfId="0" applyNumberFormat="1" applyFont="1" applyFill="1" applyBorder="1" applyAlignment="1">
      <alignment horizontal="center" vertical="center"/>
    </xf>
    <xf numFmtId="2" fontId="0" fillId="0" borderId="0" xfId="0" applyNumberFormat="1"/>
    <xf numFmtId="2" fontId="0" fillId="0" borderId="1" xfId="0" applyNumberFormat="1" applyBorder="1" applyProtection="1"/>
    <xf numFmtId="0" fontId="0" fillId="3" borderId="1" xfId="0" applyFill="1" applyBorder="1" applyProtection="1"/>
    <xf numFmtId="3" fontId="0" fillId="3" borderId="11" xfId="0" applyNumberFormat="1" applyFill="1" applyBorder="1" applyProtection="1">
      <protection locked="0"/>
    </xf>
    <xf numFmtId="3" fontId="0" fillId="3" borderId="13" xfId="0" applyNumberFormat="1" applyFill="1" applyBorder="1" applyProtection="1">
      <protection locked="0"/>
    </xf>
    <xf numFmtId="0" fontId="0" fillId="0" borderId="38" xfId="0" applyFont="1" applyFill="1" applyBorder="1" applyAlignment="1" applyProtection="1">
      <alignment horizontal="center" vertical="center" wrapText="1"/>
    </xf>
    <xf numFmtId="3" fontId="0" fillId="3" borderId="20" xfId="0" applyNumberFormat="1" applyFill="1" applyBorder="1" applyProtection="1">
      <protection locked="0"/>
    </xf>
    <xf numFmtId="3" fontId="0" fillId="3" borderId="39" xfId="0" applyNumberFormat="1" applyFill="1" applyBorder="1" applyProtection="1">
      <protection locked="0"/>
    </xf>
    <xf numFmtId="4" fontId="0" fillId="3" borderId="12" xfId="0" applyNumberFormat="1" applyFill="1" applyBorder="1" applyProtection="1">
      <protection locked="0"/>
    </xf>
    <xf numFmtId="4" fontId="0" fillId="3" borderId="14" xfId="0" applyNumberFormat="1" applyFill="1" applyBorder="1" applyProtection="1">
      <protection locked="0"/>
    </xf>
    <xf numFmtId="9" fontId="0" fillId="3" borderId="11" xfId="0" applyNumberFormat="1" applyFill="1" applyBorder="1" applyProtection="1"/>
    <xf numFmtId="2" fontId="0" fillId="3" borderId="12" xfId="0" applyNumberFormat="1" applyFill="1" applyBorder="1" applyProtection="1"/>
    <xf numFmtId="2" fontId="0" fillId="3" borderId="14" xfId="0" applyNumberFormat="1" applyFill="1" applyBorder="1" applyProtection="1"/>
    <xf numFmtId="0" fontId="0" fillId="0" borderId="40" xfId="0" applyFont="1" applyFill="1" applyBorder="1" applyAlignment="1" applyProtection="1">
      <alignment horizontal="center" vertical="center" wrapText="1"/>
    </xf>
    <xf numFmtId="4" fontId="0" fillId="3" borderId="3" xfId="0" applyNumberFormat="1" applyFill="1" applyBorder="1" applyProtection="1"/>
    <xf numFmtId="4" fontId="0" fillId="3" borderId="41" xfId="0" applyNumberFormat="1" applyFill="1" applyBorder="1" applyProtection="1"/>
    <xf numFmtId="2" fontId="0" fillId="0" borderId="11" xfId="0" applyNumberFormat="1" applyBorder="1" applyProtection="1"/>
    <xf numFmtId="168" fontId="6" fillId="0" borderId="1" xfId="0" applyNumberFormat="1" applyFont="1" applyBorder="1" applyAlignment="1">
      <alignment horizontal="center" vertical="center"/>
    </xf>
    <xf numFmtId="165" fontId="6" fillId="0" borderId="1" xfId="0" applyNumberFormat="1" applyFont="1" applyFill="1" applyBorder="1" applyAlignment="1">
      <alignment horizontal="center" vertical="center"/>
    </xf>
    <xf numFmtId="0" fontId="0" fillId="0" borderId="2" xfId="0" applyFill="1" applyBorder="1" applyAlignment="1">
      <alignment wrapText="1"/>
    </xf>
    <xf numFmtId="4" fontId="0" fillId="0" borderId="2" xfId="0" applyNumberFormat="1" applyBorder="1"/>
    <xf numFmtId="2" fontId="0" fillId="0" borderId="1" xfId="0" applyNumberFormat="1" applyBorder="1"/>
    <xf numFmtId="2" fontId="0" fillId="0" borderId="11" xfId="0" applyNumberFormat="1" applyBorder="1"/>
    <xf numFmtId="4" fontId="0" fillId="0" borderId="13" xfId="0" applyNumberFormat="1" applyBorder="1"/>
    <xf numFmtId="4" fontId="0" fillId="0" borderId="16" xfId="0" applyNumberFormat="1" applyBorder="1"/>
    <xf numFmtId="4" fontId="0" fillId="0" borderId="14" xfId="0" applyNumberFormat="1" applyBorder="1"/>
    <xf numFmtId="2" fontId="0" fillId="0" borderId="12" xfId="0" applyNumberFormat="1" applyBorder="1"/>
    <xf numFmtId="164" fontId="0" fillId="0" borderId="0" xfId="0" applyNumberFormat="1"/>
    <xf numFmtId="169" fontId="0" fillId="0" borderId="0" xfId="0" applyNumberFormat="1"/>
    <xf numFmtId="4" fontId="0" fillId="0" borderId="20" xfId="0" applyNumberFormat="1" applyBorder="1" applyAlignment="1">
      <alignment wrapText="1"/>
    </xf>
    <xf numFmtId="4" fontId="0" fillId="0" borderId="20" xfId="0" applyNumberFormat="1" applyBorder="1"/>
    <xf numFmtId="4" fontId="0" fillId="0" borderId="39" xfId="0" applyNumberFormat="1" applyBorder="1"/>
    <xf numFmtId="2" fontId="0" fillId="0" borderId="4" xfId="0" applyNumberFormat="1" applyBorder="1"/>
    <xf numFmtId="4" fontId="0" fillId="0" borderId="44" xfId="0" applyNumberFormat="1" applyBorder="1"/>
    <xf numFmtId="0" fontId="0" fillId="0" borderId="9" xfId="0" applyFont="1" applyFill="1" applyBorder="1" applyAlignment="1" applyProtection="1">
      <alignment horizontal="center" vertical="center" wrapText="1"/>
    </xf>
    <xf numFmtId="0" fontId="0" fillId="0" borderId="15" xfId="0"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3" fontId="0" fillId="0" borderId="0" xfId="0" applyNumberFormat="1"/>
    <xf numFmtId="164" fontId="0" fillId="0" borderId="15" xfId="0" applyNumberFormat="1" applyBorder="1" applyAlignment="1">
      <alignment horizontal="center" vertical="center"/>
    </xf>
    <xf numFmtId="164" fontId="0" fillId="0" borderId="1" xfId="0" applyNumberFormat="1" applyBorder="1" applyAlignment="1">
      <alignment horizontal="center" vertical="center"/>
    </xf>
    <xf numFmtId="164" fontId="0" fillId="0" borderId="16" xfId="0" applyNumberFormat="1" applyBorder="1" applyAlignment="1">
      <alignment horizontal="center" vertical="center"/>
    </xf>
    <xf numFmtId="164" fontId="0" fillId="0" borderId="1" xfId="0" applyNumberFormat="1" applyBorder="1" applyAlignment="1">
      <alignment horizontal="center"/>
    </xf>
    <xf numFmtId="164" fontId="0" fillId="0" borderId="16" xfId="0" applyNumberFormat="1" applyBorder="1" applyAlignment="1">
      <alignment horizontal="center"/>
    </xf>
    <xf numFmtId="0" fontId="0" fillId="0" borderId="17" xfId="0" applyBorder="1" applyAlignment="1">
      <alignment horizontal="left" vertical="center" wrapText="1"/>
    </xf>
    <xf numFmtId="0" fontId="0" fillId="0" borderId="23" xfId="0" applyBorder="1" applyAlignment="1">
      <alignment horizontal="left" vertical="center" wrapText="1"/>
    </xf>
    <xf numFmtId="168" fontId="6"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13" xfId="0" applyBorder="1" applyAlignment="1">
      <alignment vertical="center"/>
    </xf>
    <xf numFmtId="168" fontId="6" fillId="0" borderId="16" xfId="0" applyNumberFormat="1" applyFont="1" applyBorder="1" applyAlignment="1">
      <alignment horizontal="center" vertical="center"/>
    </xf>
    <xf numFmtId="0" fontId="1" fillId="5" borderId="17" xfId="0" applyFont="1" applyFill="1" applyBorder="1" applyAlignment="1">
      <alignment horizontal="center" vertical="center"/>
    </xf>
    <xf numFmtId="0" fontId="1" fillId="5" borderId="5" xfId="0" applyFont="1" applyFill="1" applyBorder="1" applyAlignment="1">
      <alignment horizontal="center" vertical="center" wrapText="1"/>
    </xf>
    <xf numFmtId="0" fontId="1" fillId="5" borderId="5" xfId="0" applyFont="1" applyFill="1" applyBorder="1" applyAlignment="1">
      <alignment horizontal="center" vertical="center"/>
    </xf>
    <xf numFmtId="0" fontId="1" fillId="5" borderId="24" xfId="0" applyFont="1" applyFill="1" applyBorder="1" applyAlignment="1">
      <alignment horizontal="center" vertical="center"/>
    </xf>
    <xf numFmtId="0" fontId="0" fillId="0" borderId="23" xfId="0" applyBorder="1" applyAlignment="1">
      <alignment vertical="center" wrapText="1"/>
    </xf>
    <xf numFmtId="0" fontId="6" fillId="0" borderId="6" xfId="0" applyFont="1" applyFill="1" applyBorder="1" applyAlignment="1">
      <alignment horizontal="center" vertical="center"/>
    </xf>
    <xf numFmtId="0" fontId="0" fillId="0" borderId="6" xfId="0" applyBorder="1" applyAlignment="1">
      <alignment horizontal="center" vertical="center"/>
    </xf>
    <xf numFmtId="0" fontId="0" fillId="0" borderId="28" xfId="0" applyBorder="1" applyAlignment="1">
      <alignment vertical="center" wrapText="1"/>
    </xf>
    <xf numFmtId="0" fontId="0" fillId="0" borderId="9" xfId="0" applyBorder="1" applyAlignment="1">
      <alignment vertical="center" wrapText="1"/>
    </xf>
    <xf numFmtId="0" fontId="6" fillId="0" borderId="15" xfId="0" applyFont="1" applyBorder="1" applyAlignment="1">
      <alignment horizontal="center" vertical="center"/>
    </xf>
    <xf numFmtId="0" fontId="0" fillId="0" borderId="15" xfId="0" applyBorder="1" applyAlignment="1">
      <alignment horizontal="center" vertical="center" wrapText="1"/>
    </xf>
    <xf numFmtId="0" fontId="0" fillId="0" borderId="10" xfId="0" applyBorder="1" applyAlignment="1">
      <alignment vertical="center" wrapText="1"/>
    </xf>
    <xf numFmtId="0" fontId="0" fillId="0" borderId="16" xfId="0" applyBorder="1" applyAlignment="1">
      <alignment horizontal="center" vertical="center" wrapText="1"/>
    </xf>
    <xf numFmtId="3" fontId="0" fillId="0" borderId="47" xfId="0" applyNumberFormat="1" applyBorder="1" applyAlignment="1">
      <alignment horizontal="center" vertical="center"/>
    </xf>
    <xf numFmtId="0" fontId="0" fillId="0" borderId="47" xfId="0" applyBorder="1" applyAlignment="1">
      <alignment horizontal="center" vertical="center"/>
    </xf>
    <xf numFmtId="0" fontId="6" fillId="0" borderId="48" xfId="0" applyFont="1" applyBorder="1" applyAlignment="1">
      <alignment vertical="center" wrapText="1"/>
    </xf>
    <xf numFmtId="164" fontId="0" fillId="0" borderId="5" xfId="0" applyNumberFormat="1" applyBorder="1" applyAlignment="1">
      <alignment horizontal="center" vertical="center"/>
    </xf>
    <xf numFmtId="4" fontId="0" fillId="3" borderId="16" xfId="0" applyNumberFormat="1" applyFill="1" applyBorder="1" applyProtection="1">
      <protection locked="0"/>
    </xf>
    <xf numFmtId="9" fontId="0" fillId="3" borderId="13" xfId="0" applyNumberFormat="1" applyFill="1" applyBorder="1" applyProtection="1"/>
    <xf numFmtId="0" fontId="0" fillId="3" borderId="16" xfId="0" applyFill="1" applyBorder="1" applyProtection="1"/>
    <xf numFmtId="2" fontId="0" fillId="0" borderId="13" xfId="0" applyNumberFormat="1" applyBorder="1" applyProtection="1"/>
    <xf numFmtId="2" fontId="0" fillId="0" borderId="16" xfId="0" applyNumberFormat="1" applyBorder="1" applyProtection="1"/>
    <xf numFmtId="4" fontId="0" fillId="0" borderId="12" xfId="0" applyNumberFormat="1" applyBorder="1"/>
    <xf numFmtId="164" fontId="0" fillId="0" borderId="6" xfId="0" applyNumberFormat="1" applyBorder="1" applyAlignment="1">
      <alignment horizontal="center" vertical="center"/>
    </xf>
    <xf numFmtId="0" fontId="0" fillId="0" borderId="0" xfId="0"/>
    <xf numFmtId="0" fontId="2" fillId="10" borderId="1" xfId="0" applyFont="1" applyFill="1" applyBorder="1" applyAlignment="1">
      <alignment horizontal="center" vertical="center"/>
    </xf>
    <xf numFmtId="170" fontId="2" fillId="13" borderId="1" xfId="3" applyNumberFormat="1" applyFont="1" applyFill="1" applyBorder="1" applyAlignment="1">
      <alignment horizontal="right" vertical="center"/>
    </xf>
    <xf numFmtId="170" fontId="2" fillId="13" borderId="1" xfId="0" applyNumberFormat="1" applyFont="1" applyFill="1" applyBorder="1" applyAlignment="1">
      <alignment horizontal="right" vertical="center"/>
    </xf>
    <xf numFmtId="0" fontId="12" fillId="8" borderId="0" xfId="4" applyFont="1" applyFill="1" applyAlignment="1">
      <alignment vertical="center"/>
    </xf>
    <xf numFmtId="0" fontId="0" fillId="0" borderId="0" xfId="0" applyAlignment="1">
      <alignment vertical="center"/>
    </xf>
    <xf numFmtId="0" fontId="12" fillId="8" borderId="0" xfId="0" applyFont="1" applyFill="1" applyBorder="1" applyAlignment="1">
      <alignment vertical="center"/>
    </xf>
    <xf numFmtId="0" fontId="13" fillId="8" borderId="0" xfId="4" applyFont="1" applyFill="1" applyAlignment="1">
      <alignment vertical="center"/>
    </xf>
    <xf numFmtId="3" fontId="2" fillId="13" borderId="1" xfId="0" applyNumberFormat="1" applyFont="1" applyFill="1" applyBorder="1" applyAlignment="1">
      <alignment horizontal="right" vertical="center"/>
    </xf>
    <xf numFmtId="3" fontId="2" fillId="13" borderId="1" xfId="3" applyNumberFormat="1" applyFont="1" applyFill="1" applyBorder="1" applyAlignment="1">
      <alignment horizontal="right" vertical="center"/>
    </xf>
    <xf numFmtId="0" fontId="3" fillId="0" borderId="0" xfId="0" applyFont="1" applyFill="1" applyBorder="1" applyAlignment="1">
      <alignment horizontal="right"/>
    </xf>
    <xf numFmtId="171" fontId="2" fillId="0" borderId="0" xfId="3" applyNumberFormat="1" applyFont="1" applyFill="1" applyBorder="1" applyAlignment="1">
      <alignment horizontal="right"/>
    </xf>
    <xf numFmtId="171" fontId="2" fillId="13" borderId="1" xfId="3" applyNumberFormat="1" applyFont="1" applyFill="1" applyBorder="1" applyAlignment="1">
      <alignment horizontal="left"/>
    </xf>
    <xf numFmtId="0" fontId="4" fillId="0" borderId="0" xfId="0" applyFont="1" applyAlignment="1">
      <alignment horizontal="center"/>
    </xf>
    <xf numFmtId="0" fontId="0" fillId="0" borderId="17" xfId="0" applyFill="1" applyBorder="1" applyAlignment="1">
      <alignment horizontal="left" vertical="center"/>
    </xf>
    <xf numFmtId="1" fontId="0" fillId="0" borderId="5" xfId="0" applyNumberFormat="1" applyFill="1" applyBorder="1" applyAlignment="1">
      <alignment horizontal="center" vertical="center"/>
    </xf>
    <xf numFmtId="0" fontId="0" fillId="0" borderId="9" xfId="0" applyFont="1" applyFill="1" applyBorder="1" applyAlignment="1">
      <alignment horizontal="left" vertical="center" wrapText="1"/>
    </xf>
    <xf numFmtId="2" fontId="6" fillId="0" borderId="15" xfId="0" applyNumberFormat="1" applyFont="1" applyFill="1" applyBorder="1" applyAlignment="1">
      <alignment horizontal="center" vertical="center"/>
    </xf>
    <xf numFmtId="9" fontId="6" fillId="0" borderId="15" xfId="0" applyNumberFormat="1" applyFont="1" applyFill="1" applyBorder="1" applyAlignment="1">
      <alignment horizontal="center" vertical="center"/>
    </xf>
    <xf numFmtId="0" fontId="0" fillId="0" borderId="10" xfId="0" applyFont="1" applyFill="1" applyBorder="1" applyAlignment="1">
      <alignment horizontal="left" vertical="center" wrapText="1"/>
    </xf>
    <xf numFmtId="0" fontId="0" fillId="0" borderId="13" xfId="0" applyFont="1" applyFill="1" applyBorder="1" applyAlignment="1">
      <alignment horizontal="left" vertical="center" wrapText="1"/>
    </xf>
    <xf numFmtId="2" fontId="6" fillId="0" borderId="16" xfId="0" applyNumberFormat="1" applyFont="1" applyFill="1" applyBorder="1" applyAlignment="1">
      <alignment horizontal="center" vertical="center"/>
    </xf>
    <xf numFmtId="9" fontId="6" fillId="0" borderId="16" xfId="0" applyNumberFormat="1" applyFont="1" applyFill="1" applyBorder="1" applyAlignment="1">
      <alignment horizontal="center" vertical="center"/>
    </xf>
    <xf numFmtId="0" fontId="0" fillId="0" borderId="14" xfId="0" applyFont="1" applyFill="1" applyBorder="1" applyAlignment="1">
      <alignment horizontal="left" vertical="center" wrapText="1"/>
    </xf>
    <xf numFmtId="0" fontId="0" fillId="0" borderId="5" xfId="0" applyFont="1" applyFill="1" applyBorder="1" applyAlignment="1">
      <alignment horizontal="left" vertical="center" wrapText="1"/>
    </xf>
    <xf numFmtId="9" fontId="6" fillId="0" borderId="5" xfId="0" applyNumberFormat="1" applyFont="1" applyFill="1" applyBorder="1" applyAlignment="1">
      <alignment horizontal="center" vertical="center"/>
    </xf>
    <xf numFmtId="0" fontId="0" fillId="0" borderId="46" xfId="0"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3" fontId="0" fillId="0" borderId="5" xfId="0" applyNumberFormat="1" applyBorder="1" applyAlignment="1">
      <alignment horizontal="center" vertical="center"/>
    </xf>
    <xf numFmtId="0" fontId="6" fillId="0" borderId="24" xfId="0" applyFont="1" applyBorder="1" applyAlignment="1">
      <alignment vertical="center" wrapText="1"/>
    </xf>
    <xf numFmtId="0" fontId="0" fillId="0" borderId="1" xfId="0" applyBorder="1" applyAlignment="1">
      <alignment horizontal="left"/>
    </xf>
    <xf numFmtId="4" fontId="0" fillId="0" borderId="1" xfId="0" applyNumberFormat="1" applyBorder="1" applyAlignment="1">
      <alignment horizontal="left"/>
    </xf>
    <xf numFmtId="3" fontId="0" fillId="0" borderId="1" xfId="0" applyNumberFormat="1" applyBorder="1" applyAlignment="1">
      <alignment horizontal="left"/>
    </xf>
    <xf numFmtId="0" fontId="15" fillId="0" borderId="1" xfId="1" applyFont="1" applyBorder="1"/>
    <xf numFmtId="0" fontId="1" fillId="0" borderId="1" xfId="0" applyFont="1" applyBorder="1"/>
    <xf numFmtId="0" fontId="16" fillId="0" borderId="0" xfId="0" applyFont="1" applyAlignment="1" applyProtection="1">
      <alignment vertical="top" wrapText="1"/>
    </xf>
    <xf numFmtId="172" fontId="2" fillId="10" borderId="1" xfId="0" applyNumberFormat="1" applyFont="1" applyFill="1" applyBorder="1"/>
    <xf numFmtId="1" fontId="2" fillId="10" borderId="1" xfId="0" applyNumberFormat="1" applyFont="1" applyFill="1" applyBorder="1"/>
    <xf numFmtId="1" fontId="2" fillId="10" borderId="1" xfId="0" applyNumberFormat="1" applyFont="1" applyFill="1" applyBorder="1" applyAlignment="1">
      <alignment horizontal="right" vertical="center"/>
    </xf>
    <xf numFmtId="3" fontId="2" fillId="10" borderId="1" xfId="0" applyNumberFormat="1" applyFont="1" applyFill="1" applyBorder="1"/>
    <xf numFmtId="168" fontId="6" fillId="0" borderId="1" xfId="0" applyNumberFormat="1" applyFont="1" applyFill="1" applyBorder="1" applyAlignment="1">
      <alignment horizontal="center" vertical="center"/>
    </xf>
    <xf numFmtId="0" fontId="0" fillId="0" borderId="23" xfId="0" applyBorder="1" applyAlignment="1">
      <alignment horizontal="left" vertical="center" wrapText="1"/>
    </xf>
    <xf numFmtId="0" fontId="0" fillId="0" borderId="0" xfId="0"/>
    <xf numFmtId="0" fontId="20" fillId="0" borderId="13" xfId="0" applyFont="1" applyBorder="1" applyProtection="1"/>
    <xf numFmtId="0" fontId="20" fillId="0" borderId="16" xfId="0" applyFont="1" applyBorder="1"/>
    <xf numFmtId="8" fontId="20" fillId="0" borderId="16" xfId="0" applyNumberFormat="1" applyFont="1" applyBorder="1" applyAlignment="1">
      <alignment horizontal="right"/>
    </xf>
    <xf numFmtId="8" fontId="20" fillId="0" borderId="1" xfId="0" applyNumberFormat="1" applyFont="1" applyBorder="1" applyAlignment="1">
      <alignment horizontal="right"/>
    </xf>
    <xf numFmtId="0" fontId="20" fillId="0" borderId="1" xfId="0" applyFont="1" applyBorder="1"/>
    <xf numFmtId="173" fontId="20" fillId="0" borderId="1" xfId="0" applyNumberFormat="1" applyFont="1" applyBorder="1" applyAlignment="1">
      <alignment horizontal="right"/>
    </xf>
    <xf numFmtId="0" fontId="0" fillId="0" borderId="6" xfId="0" applyBorder="1"/>
    <xf numFmtId="0" fontId="20" fillId="0" borderId="9" xfId="0" applyFont="1" applyBorder="1" applyAlignment="1" applyProtection="1">
      <alignment vertical="top" wrapText="1"/>
    </xf>
    <xf numFmtId="8" fontId="20" fillId="0" borderId="15" xfId="0" applyNumberFormat="1" applyFont="1" applyBorder="1" applyAlignment="1" applyProtection="1">
      <alignment horizontal="right" vertical="top" wrapText="1"/>
    </xf>
    <xf numFmtId="0" fontId="20" fillId="0" borderId="15" xfId="0" applyFont="1" applyBorder="1" applyAlignment="1" applyProtection="1">
      <alignment vertical="top" wrapText="1"/>
    </xf>
    <xf numFmtId="0" fontId="20" fillId="0" borderId="11" xfId="0" applyFont="1" applyBorder="1" applyProtection="1"/>
    <xf numFmtId="3" fontId="0" fillId="0" borderId="6" xfId="0" applyNumberFormat="1" applyBorder="1" applyAlignment="1">
      <alignment horizontal="center" vertical="center"/>
    </xf>
    <xf numFmtId="0" fontId="6" fillId="0" borderId="28" xfId="0" applyFont="1" applyBorder="1" applyAlignment="1">
      <alignment vertical="center" wrapText="1"/>
    </xf>
    <xf numFmtId="4" fontId="0" fillId="0" borderId="1" xfId="0" applyNumberFormat="1" applyBorder="1" applyAlignment="1">
      <alignment horizontal="center" vertical="center"/>
    </xf>
    <xf numFmtId="4" fontId="0" fillId="0" borderId="15" xfId="0" applyNumberFormat="1" applyBorder="1" applyAlignment="1">
      <alignment horizontal="center" vertical="center"/>
    </xf>
    <xf numFmtId="4" fontId="0" fillId="0" borderId="16" xfId="0" applyNumberFormat="1" applyBorder="1" applyAlignment="1">
      <alignment horizontal="center" vertical="center"/>
    </xf>
    <xf numFmtId="174" fontId="0" fillId="0" borderId="1" xfId="0" applyNumberFormat="1" applyBorder="1"/>
    <xf numFmtId="174" fontId="0" fillId="0" borderId="16" xfId="0" applyNumberFormat="1" applyBorder="1"/>
    <xf numFmtId="174" fontId="0" fillId="0" borderId="15" xfId="0" applyNumberFormat="1" applyBorder="1"/>
    <xf numFmtId="0" fontId="0" fillId="0" borderId="15" xfId="0" applyBorder="1"/>
    <xf numFmtId="0" fontId="0" fillId="0" borderId="33" xfId="0" applyBorder="1"/>
    <xf numFmtId="174" fontId="0" fillId="0" borderId="0" xfId="0" applyNumberFormat="1"/>
    <xf numFmtId="2" fontId="0" fillId="0" borderId="2" xfId="0" applyNumberFormat="1" applyBorder="1"/>
    <xf numFmtId="4" fontId="0" fillId="0" borderId="50" xfId="0" applyNumberFormat="1" applyBorder="1"/>
    <xf numFmtId="174" fontId="0" fillId="0" borderId="52" xfId="0" applyNumberFormat="1" applyBorder="1"/>
    <xf numFmtId="174" fontId="0" fillId="0" borderId="53" xfId="0" applyNumberFormat="1" applyBorder="1"/>
    <xf numFmtId="174" fontId="2" fillId="10" borderId="1" xfId="0" applyNumberFormat="1" applyFont="1" applyFill="1" applyBorder="1"/>
    <xf numFmtId="0" fontId="0" fillId="0" borderId="54" xfId="0" applyFont="1" applyFill="1" applyBorder="1" applyAlignment="1" applyProtection="1">
      <alignment horizontal="center" vertical="center" wrapText="1"/>
    </xf>
    <xf numFmtId="2" fontId="0" fillId="0" borderId="2" xfId="0" applyNumberFormat="1" applyBorder="1" applyProtection="1"/>
    <xf numFmtId="2" fontId="0" fillId="0" borderId="50" xfId="0" applyNumberFormat="1" applyBorder="1" applyProtection="1"/>
    <xf numFmtId="0" fontId="0" fillId="0" borderId="51" xfId="0" applyFont="1" applyFill="1" applyBorder="1" applyAlignment="1" applyProtection="1">
      <alignment horizontal="center" vertical="center" wrapText="1"/>
    </xf>
    <xf numFmtId="174" fontId="0" fillId="0" borderId="52" xfId="0" applyNumberFormat="1" applyBorder="1" applyProtection="1"/>
    <xf numFmtId="174" fontId="0" fillId="0" borderId="53" xfId="0" applyNumberFormat="1" applyBorder="1" applyProtection="1"/>
    <xf numFmtId="0" fontId="21" fillId="0" borderId="0" xfId="0" applyFont="1" applyProtection="1"/>
    <xf numFmtId="0" fontId="22" fillId="0" borderId="0" xfId="0" applyFont="1" applyProtection="1"/>
    <xf numFmtId="0" fontId="23" fillId="0" borderId="0" xfId="0" applyFont="1" applyAlignment="1" applyProtection="1">
      <alignment horizontal="center"/>
    </xf>
    <xf numFmtId="0" fontId="23" fillId="0" borderId="0" xfId="0" applyFont="1" applyProtection="1"/>
    <xf numFmtId="0" fontId="24" fillId="0" borderId="0" xfId="0" applyFont="1" applyAlignment="1" applyProtection="1">
      <alignment vertical="top" wrapText="1"/>
    </xf>
    <xf numFmtId="0" fontId="26" fillId="0" borderId="0" xfId="1" applyFont="1" applyAlignment="1" applyProtection="1">
      <alignment vertical="top"/>
    </xf>
    <xf numFmtId="0" fontId="26" fillId="0" borderId="0" xfId="1" applyFont="1" applyAlignment="1" applyProtection="1">
      <alignment horizontal="left" vertical="top"/>
    </xf>
    <xf numFmtId="0" fontId="27" fillId="0" borderId="0" xfId="0" applyFont="1" applyAlignment="1" applyProtection="1">
      <alignment vertical="top"/>
    </xf>
    <xf numFmtId="0" fontId="24" fillId="0" borderId="0" xfId="0" applyFont="1" applyAlignment="1" applyProtection="1">
      <alignment horizontal="left" vertical="top"/>
    </xf>
    <xf numFmtId="0" fontId="24" fillId="0" borderId="0" xfId="0" applyFont="1" applyAlignment="1" applyProtection="1">
      <alignment horizontal="left" vertical="top" wrapText="1"/>
    </xf>
    <xf numFmtId="0" fontId="21" fillId="0" borderId="0" xfId="0" applyFont="1" applyAlignment="1" applyProtection="1">
      <alignment wrapText="1"/>
    </xf>
    <xf numFmtId="0" fontId="25" fillId="0" borderId="0" xfId="0" applyFont="1" applyAlignment="1" applyProtection="1">
      <alignment wrapText="1"/>
    </xf>
    <xf numFmtId="0" fontId="25" fillId="8" borderId="0" xfId="5" applyFont="1" applyFill="1" applyAlignment="1"/>
    <xf numFmtId="0" fontId="29" fillId="8" borderId="0" xfId="6" applyFont="1" applyFill="1" applyAlignment="1" applyProtection="1">
      <alignment horizontal="left"/>
    </xf>
    <xf numFmtId="0" fontId="25" fillId="8" borderId="0" xfId="5" applyFont="1" applyFill="1" applyAlignment="1">
      <alignment horizontal="left"/>
    </xf>
    <xf numFmtId="0" fontId="21" fillId="0" borderId="0" xfId="0" applyFont="1"/>
    <xf numFmtId="0" fontId="23" fillId="0" borderId="0" xfId="0" applyFont="1" applyAlignment="1">
      <alignment horizontal="center"/>
    </xf>
    <xf numFmtId="0" fontId="23" fillId="0" borderId="0" xfId="0" applyFont="1"/>
    <xf numFmtId="0" fontId="24" fillId="7" borderId="1" xfId="0" applyFont="1" applyFill="1" applyBorder="1" applyAlignment="1">
      <alignment horizontal="left" vertical="center" wrapText="1"/>
    </xf>
    <xf numFmtId="0" fontId="24" fillId="0" borderId="0" xfId="0" applyFont="1"/>
    <xf numFmtId="0" fontId="24" fillId="7" borderId="1" xfId="0" applyFont="1" applyFill="1" applyBorder="1" applyAlignment="1">
      <alignment vertical="center"/>
    </xf>
    <xf numFmtId="0" fontId="21" fillId="0" borderId="0" xfId="0" applyFont="1" applyAlignment="1"/>
    <xf numFmtId="0" fontId="31" fillId="0" borderId="0" xfId="0" applyFont="1" applyProtection="1"/>
    <xf numFmtId="0" fontId="22" fillId="0" borderId="0" xfId="0" applyFont="1" applyFill="1" applyBorder="1" applyProtection="1"/>
    <xf numFmtId="0" fontId="21" fillId="0" borderId="0" xfId="0" applyFont="1" applyFill="1" applyBorder="1" applyAlignment="1" applyProtection="1">
      <alignment horizontal="left"/>
    </xf>
    <xf numFmtId="3" fontId="21" fillId="0" borderId="0" xfId="0" applyNumberFormat="1" applyFont="1" applyFill="1" applyProtection="1"/>
    <xf numFmtId="0" fontId="21" fillId="0" borderId="0" xfId="0" applyFont="1" applyBorder="1" applyAlignment="1" applyProtection="1">
      <alignment wrapText="1"/>
    </xf>
    <xf numFmtId="0" fontId="21" fillId="0" borderId="0" xfId="0" applyFont="1" applyBorder="1" applyAlignment="1" applyProtection="1"/>
    <xf numFmtId="0" fontId="22" fillId="0" borderId="32" xfId="0" applyFont="1" applyFill="1" applyBorder="1" applyAlignment="1" applyProtection="1">
      <alignment horizontal="center" vertical="center" wrapText="1"/>
    </xf>
    <xf numFmtId="0" fontId="22" fillId="0" borderId="33" xfId="0" applyFont="1" applyFill="1" applyBorder="1" applyAlignment="1" applyProtection="1">
      <alignment horizontal="center" vertical="center" wrapText="1"/>
    </xf>
    <xf numFmtId="0" fontId="22" fillId="0" borderId="33" xfId="0" applyFont="1" applyBorder="1" applyAlignment="1" applyProtection="1">
      <alignment horizontal="center" vertical="center" wrapText="1"/>
    </xf>
    <xf numFmtId="0" fontId="22" fillId="0" borderId="34" xfId="0" applyFont="1" applyBorder="1" applyAlignment="1" applyProtection="1">
      <alignment horizontal="center" vertical="center" wrapText="1"/>
    </xf>
    <xf numFmtId="3" fontId="21" fillId="2" borderId="28" xfId="0" applyNumberFormat="1" applyFont="1" applyFill="1" applyBorder="1" applyProtection="1"/>
    <xf numFmtId="3" fontId="21" fillId="2" borderId="12" xfId="0" applyNumberFormat="1" applyFont="1" applyFill="1" applyBorder="1" applyProtection="1"/>
    <xf numFmtId="3" fontId="21" fillId="2" borderId="14" xfId="0" applyNumberFormat="1" applyFont="1" applyFill="1" applyBorder="1" applyProtection="1"/>
    <xf numFmtId="3" fontId="21" fillId="2" borderId="34" xfId="0" applyNumberFormat="1" applyFont="1" applyFill="1" applyBorder="1" applyProtection="1"/>
    <xf numFmtId="0" fontId="22" fillId="0" borderId="25" xfId="0" applyFont="1" applyBorder="1" applyAlignment="1" applyProtection="1">
      <alignment horizontal="center" vertical="center"/>
    </xf>
    <xf numFmtId="0" fontId="22" fillId="0" borderId="26" xfId="0" applyFont="1" applyBorder="1" applyAlignment="1" applyProtection="1">
      <alignment horizontal="center" vertical="center" wrapText="1"/>
    </xf>
    <xf numFmtId="0" fontId="22" fillId="0" borderId="27" xfId="0" applyFont="1" applyFill="1" applyBorder="1" applyAlignment="1" applyProtection="1">
      <alignment horizontal="center" vertical="center" wrapText="1"/>
    </xf>
    <xf numFmtId="0" fontId="21" fillId="0" borderId="23" xfId="0" applyFont="1" applyBorder="1" applyAlignment="1" applyProtection="1">
      <alignment horizontal="center"/>
    </xf>
    <xf numFmtId="3" fontId="21" fillId="2" borderId="6" xfId="0" applyNumberFormat="1" applyFont="1" applyFill="1" applyBorder="1" applyProtection="1"/>
    <xf numFmtId="3" fontId="21" fillId="2" borderId="28" xfId="0" applyNumberFormat="1" applyFont="1" applyFill="1" applyBorder="1" applyAlignment="1" applyProtection="1">
      <alignment horizontal="right"/>
    </xf>
    <xf numFmtId="3" fontId="21" fillId="2" borderId="12" xfId="0" applyNumberFormat="1" applyFont="1" applyFill="1" applyBorder="1" applyAlignment="1" applyProtection="1">
      <alignment horizontal="right"/>
    </xf>
    <xf numFmtId="0" fontId="21" fillId="0" borderId="13" xfId="0" applyFont="1" applyBorder="1" applyAlignment="1" applyProtection="1">
      <alignment horizontal="center"/>
    </xf>
    <xf numFmtId="3" fontId="21" fillId="2" borderId="16" xfId="0" applyNumberFormat="1" applyFont="1" applyFill="1" applyBorder="1" applyAlignment="1" applyProtection="1">
      <alignment horizontal="right"/>
    </xf>
    <xf numFmtId="3" fontId="22" fillId="2" borderId="14" xfId="0" applyNumberFormat="1" applyFont="1" applyFill="1" applyBorder="1" applyAlignment="1" applyProtection="1">
      <alignment horizontal="right"/>
    </xf>
    <xf numFmtId="3" fontId="22" fillId="0" borderId="0" xfId="0" applyNumberFormat="1" applyFont="1" applyFill="1" applyProtection="1"/>
    <xf numFmtId="3" fontId="21" fillId="14" borderId="23" xfId="0" applyNumberFormat="1" applyFont="1" applyFill="1" applyBorder="1" applyProtection="1">
      <protection locked="0"/>
    </xf>
    <xf numFmtId="3" fontId="21" fillId="14" borderId="11" xfId="0" applyNumberFormat="1" applyFont="1" applyFill="1" applyBorder="1" applyProtection="1">
      <protection locked="0"/>
    </xf>
    <xf numFmtId="3" fontId="21" fillId="14" borderId="13" xfId="0" applyNumberFormat="1" applyFont="1" applyFill="1" applyBorder="1" applyProtection="1">
      <protection locked="0"/>
    </xf>
    <xf numFmtId="3" fontId="21" fillId="14" borderId="6" xfId="0" applyNumberFormat="1" applyFont="1" applyFill="1" applyBorder="1" applyProtection="1">
      <protection locked="0"/>
    </xf>
    <xf numFmtId="3" fontId="21" fillId="14" borderId="1" xfId="0" applyNumberFormat="1" applyFont="1" applyFill="1" applyBorder="1" applyProtection="1">
      <protection locked="0"/>
    </xf>
    <xf numFmtId="3" fontId="21" fillId="14" borderId="16" xfId="0" applyNumberFormat="1" applyFont="1" applyFill="1" applyBorder="1" applyProtection="1">
      <protection locked="0"/>
    </xf>
    <xf numFmtId="3" fontId="21" fillId="10" borderId="6" xfId="0" applyNumberFormat="1" applyFont="1" applyFill="1" applyBorder="1" applyProtection="1">
      <protection locked="0"/>
    </xf>
    <xf numFmtId="3" fontId="21" fillId="10" borderId="1" xfId="0" applyNumberFormat="1" applyFont="1" applyFill="1" applyBorder="1" applyProtection="1">
      <protection locked="0"/>
    </xf>
    <xf numFmtId="3" fontId="21" fillId="10" borderId="16" xfId="0" applyNumberFormat="1" applyFont="1" applyFill="1" applyBorder="1" applyProtection="1">
      <protection locked="0"/>
    </xf>
    <xf numFmtId="3" fontId="21" fillId="14" borderId="32" xfId="0" applyNumberFormat="1" applyFont="1" applyFill="1" applyBorder="1" applyProtection="1">
      <protection locked="0"/>
    </xf>
    <xf numFmtId="0" fontId="26" fillId="8" borderId="0" xfId="1" applyFont="1" applyFill="1" applyAlignment="1" applyProtection="1">
      <alignment horizontal="left"/>
    </xf>
    <xf numFmtId="0" fontId="28" fillId="2" borderId="1" xfId="0" applyFont="1" applyFill="1" applyBorder="1" applyAlignment="1" applyProtection="1">
      <alignment horizontal="left"/>
    </xf>
    <xf numFmtId="0" fontId="28" fillId="2" borderId="2" xfId="0" applyFont="1" applyFill="1" applyBorder="1" applyAlignment="1" applyProtection="1">
      <alignment horizontal="left"/>
    </xf>
    <xf numFmtId="0" fontId="28" fillId="2" borderId="3" xfId="0" applyFont="1" applyFill="1" applyBorder="1" applyAlignment="1" applyProtection="1">
      <alignment horizontal="left"/>
    </xf>
    <xf numFmtId="0" fontId="28" fillId="2" borderId="4" xfId="0" applyFont="1" applyFill="1" applyBorder="1" applyAlignment="1" applyProtection="1">
      <alignment horizontal="left"/>
    </xf>
    <xf numFmtId="0" fontId="26" fillId="0" borderId="0" xfId="1" applyFont="1" applyAlignment="1" applyProtection="1">
      <alignment horizontal="left" wrapText="1"/>
    </xf>
    <xf numFmtId="0" fontId="24" fillId="4" borderId="2" xfId="0" applyFont="1" applyFill="1" applyBorder="1" applyAlignment="1" applyProtection="1">
      <alignment horizontal="center"/>
      <protection locked="0"/>
    </xf>
    <xf numFmtId="0" fontId="24" fillId="4" borderId="3" xfId="0" applyFont="1" applyFill="1" applyBorder="1" applyAlignment="1" applyProtection="1">
      <alignment horizontal="center"/>
      <protection locked="0"/>
    </xf>
    <xf numFmtId="0" fontId="24" fillId="4" borderId="4" xfId="0" applyFont="1" applyFill="1" applyBorder="1" applyAlignment="1" applyProtection="1">
      <alignment horizontal="center"/>
      <protection locked="0"/>
    </xf>
    <xf numFmtId="42" fontId="24" fillId="4" borderId="2" xfId="0" applyNumberFormat="1" applyFont="1" applyFill="1" applyBorder="1" applyAlignment="1" applyProtection="1">
      <alignment horizontal="center"/>
      <protection locked="0"/>
    </xf>
    <xf numFmtId="42" fontId="24" fillId="4" borderId="3" xfId="0" applyNumberFormat="1" applyFont="1" applyFill="1" applyBorder="1" applyAlignment="1" applyProtection="1">
      <alignment horizontal="center"/>
      <protection locked="0"/>
    </xf>
    <xf numFmtId="42" fontId="24" fillId="4" borderId="4" xfId="0" applyNumberFormat="1" applyFont="1" applyFill="1" applyBorder="1" applyAlignment="1" applyProtection="1">
      <alignment horizontal="center"/>
      <protection locked="0"/>
    </xf>
    <xf numFmtId="42" fontId="24" fillId="2" borderId="2" xfId="0" applyNumberFormat="1" applyFont="1" applyFill="1" applyBorder="1" applyAlignment="1" applyProtection="1">
      <alignment horizontal="center"/>
    </xf>
    <xf numFmtId="42" fontId="24" fillId="2" borderId="3" xfId="0" applyNumberFormat="1" applyFont="1" applyFill="1" applyBorder="1" applyAlignment="1" applyProtection="1">
      <alignment horizontal="center"/>
    </xf>
    <xf numFmtId="42" fontId="24" fillId="2" borderId="4" xfId="0" applyNumberFormat="1" applyFont="1" applyFill="1" applyBorder="1" applyAlignment="1" applyProtection="1">
      <alignment horizontal="center"/>
    </xf>
    <xf numFmtId="0" fontId="24" fillId="0" borderId="0" xfId="0" applyFont="1" applyAlignment="1" applyProtection="1">
      <alignment horizontal="left" vertical="top" wrapText="1"/>
    </xf>
    <xf numFmtId="14" fontId="24" fillId="4" borderId="2" xfId="0" applyNumberFormat="1" applyFont="1" applyFill="1" applyBorder="1" applyAlignment="1" applyProtection="1">
      <alignment horizontal="center"/>
      <protection locked="0"/>
    </xf>
    <xf numFmtId="14" fontId="24" fillId="4" borderId="3" xfId="0" applyNumberFormat="1" applyFont="1" applyFill="1" applyBorder="1" applyAlignment="1" applyProtection="1">
      <alignment horizontal="center"/>
      <protection locked="0"/>
    </xf>
    <xf numFmtId="14" fontId="24" fillId="4" borderId="4" xfId="0" applyNumberFormat="1" applyFont="1" applyFill="1" applyBorder="1" applyAlignment="1" applyProtection="1">
      <alignment horizontal="center"/>
      <protection locked="0"/>
    </xf>
    <xf numFmtId="0" fontId="24" fillId="7" borderId="1" xfId="0" applyFont="1" applyFill="1" applyBorder="1" applyAlignment="1">
      <alignment horizontal="center" vertical="center" wrapText="1"/>
    </xf>
    <xf numFmtId="0" fontId="24" fillId="7" borderId="1" xfId="0" applyFont="1" applyFill="1" applyBorder="1" applyAlignment="1">
      <alignment horizontal="left" vertical="center" wrapText="1"/>
    </xf>
    <xf numFmtId="0" fontId="24" fillId="7" borderId="2" xfId="0" applyFont="1" applyFill="1" applyBorder="1" applyAlignment="1">
      <alignment horizontal="left" vertical="center" wrapText="1"/>
    </xf>
    <xf numFmtId="0" fontId="24" fillId="7" borderId="3" xfId="0" applyFont="1" applyFill="1" applyBorder="1" applyAlignment="1">
      <alignment horizontal="left" vertical="center" wrapText="1"/>
    </xf>
    <xf numFmtId="0" fontId="24" fillId="7" borderId="4" xfId="0" applyFont="1" applyFill="1" applyBorder="1" applyAlignment="1">
      <alignment horizontal="left" vertical="center" wrapText="1"/>
    </xf>
    <xf numFmtId="0" fontId="25" fillId="7" borderId="1" xfId="0" applyFont="1" applyFill="1" applyBorder="1" applyAlignment="1">
      <alignment horizontal="left" vertical="center" wrapText="1"/>
    </xf>
    <xf numFmtId="0" fontId="27" fillId="0" borderId="29" xfId="0" applyFont="1" applyFill="1" applyBorder="1" applyAlignment="1" applyProtection="1">
      <alignment horizontal="center"/>
    </xf>
    <xf numFmtId="0" fontId="27" fillId="0" borderId="30" xfId="0" applyFont="1" applyFill="1" applyBorder="1" applyAlignment="1" applyProtection="1">
      <alignment horizontal="center"/>
    </xf>
    <xf numFmtId="0" fontId="27" fillId="0" borderId="31" xfId="0" applyFont="1" applyFill="1" applyBorder="1" applyAlignment="1" applyProtection="1">
      <alignment horizontal="center"/>
    </xf>
    <xf numFmtId="0" fontId="27" fillId="0" borderId="29" xfId="0" applyFont="1" applyBorder="1" applyAlignment="1" applyProtection="1">
      <alignment horizontal="center"/>
    </xf>
    <xf numFmtId="0" fontId="27" fillId="0" borderId="30" xfId="0" applyFont="1" applyBorder="1" applyAlignment="1" applyProtection="1">
      <alignment horizontal="center"/>
    </xf>
    <xf numFmtId="0" fontId="27" fillId="0" borderId="31" xfId="0" applyFont="1" applyBorder="1" applyAlignment="1" applyProtection="1">
      <alignment horizontal="center"/>
    </xf>
    <xf numFmtId="0" fontId="2" fillId="11" borderId="1" xfId="0" applyFont="1" applyFill="1" applyBorder="1" applyAlignment="1">
      <alignment horizontal="right" wrapText="1"/>
    </xf>
    <xf numFmtId="0" fontId="2" fillId="11" borderId="1" xfId="0" applyFont="1" applyFill="1" applyBorder="1" applyAlignment="1">
      <alignment horizontal="right" vertical="center" wrapText="1"/>
    </xf>
    <xf numFmtId="0" fontId="2" fillId="11" borderId="2" xfId="0" applyFont="1" applyFill="1" applyBorder="1" applyAlignment="1">
      <alignment horizontal="right"/>
    </xf>
    <xf numFmtId="0" fontId="2" fillId="11" borderId="3" xfId="0" applyFont="1" applyFill="1" applyBorder="1" applyAlignment="1">
      <alignment horizontal="right"/>
    </xf>
    <xf numFmtId="0" fontId="2" fillId="11" borderId="4" xfId="0" applyFont="1" applyFill="1" applyBorder="1" applyAlignment="1">
      <alignment horizontal="right"/>
    </xf>
    <xf numFmtId="0" fontId="18" fillId="8" borderId="0" xfId="4" applyFont="1" applyFill="1" applyAlignment="1">
      <alignment horizontal="center"/>
    </xf>
    <xf numFmtId="0" fontId="14" fillId="12" borderId="1" xfId="0" applyFont="1" applyFill="1" applyBorder="1" applyAlignment="1">
      <alignment horizontal="center" vertical="center"/>
    </xf>
    <xf numFmtId="0" fontId="2" fillId="11" borderId="1" xfId="0" applyFont="1" applyFill="1" applyBorder="1" applyAlignment="1">
      <alignment horizontal="right"/>
    </xf>
    <xf numFmtId="0" fontId="2" fillId="11" borderId="2" xfId="0" applyFont="1" applyFill="1" applyBorder="1" applyAlignment="1">
      <alignment horizontal="right" vertical="center"/>
    </xf>
    <xf numFmtId="0" fontId="2" fillId="11" borderId="3" xfId="0" applyFont="1" applyFill="1" applyBorder="1" applyAlignment="1">
      <alignment horizontal="right" vertical="center"/>
    </xf>
    <xf numFmtId="0" fontId="2" fillId="11" borderId="4" xfId="0" applyFont="1" applyFill="1" applyBorder="1" applyAlignment="1">
      <alignment horizontal="right" vertical="center"/>
    </xf>
    <xf numFmtId="0" fontId="2" fillId="11" borderId="1" xfId="0" applyFont="1" applyFill="1" applyBorder="1" applyAlignment="1">
      <alignment horizontal="right" vertical="center"/>
    </xf>
    <xf numFmtId="0" fontId="18" fillId="8" borderId="0" xfId="4" applyFont="1" applyFill="1" applyAlignment="1">
      <alignment horizontal="center" vertical="center"/>
    </xf>
    <xf numFmtId="0" fontId="0" fillId="7" borderId="35" xfId="0" applyFont="1" applyFill="1" applyBorder="1" applyAlignment="1">
      <alignment horizontal="center" vertical="center" wrapText="1"/>
    </xf>
    <xf numFmtId="0" fontId="0" fillId="7" borderId="36" xfId="0" applyFont="1" applyFill="1" applyBorder="1" applyAlignment="1">
      <alignment horizontal="center" vertical="center" wrapText="1"/>
    </xf>
    <xf numFmtId="0" fontId="0" fillId="7" borderId="37" xfId="0" applyFont="1" applyFill="1" applyBorder="1" applyAlignment="1">
      <alignment horizontal="center" vertical="center" wrapText="1"/>
    </xf>
    <xf numFmtId="0" fontId="0" fillId="0" borderId="0" xfId="0" applyFont="1" applyBorder="1" applyAlignment="1">
      <alignment horizontal="left"/>
    </xf>
    <xf numFmtId="0" fontId="0" fillId="0" borderId="17" xfId="0" applyFont="1" applyFill="1" applyBorder="1" applyAlignment="1" applyProtection="1">
      <alignment horizontal="left" vertical="center" wrapText="1"/>
    </xf>
    <xf numFmtId="0" fontId="0" fillId="0" borderId="23" xfId="0" applyFont="1" applyFill="1" applyBorder="1" applyAlignment="1" applyProtection="1">
      <alignment horizontal="left" vertical="center" wrapText="1"/>
    </xf>
    <xf numFmtId="0" fontId="15" fillId="0" borderId="2" xfId="1" applyFont="1" applyBorder="1" applyAlignment="1">
      <alignment horizontal="center"/>
    </xf>
    <xf numFmtId="0" fontId="15" fillId="0" borderId="4" xfId="1" applyFont="1" applyBorder="1" applyAlignment="1">
      <alignment horizontal="center"/>
    </xf>
    <xf numFmtId="0" fontId="1" fillId="7" borderId="23"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28" xfId="0" applyFont="1" applyFill="1" applyBorder="1" applyAlignment="1">
      <alignment horizontal="center" vertical="center"/>
    </xf>
    <xf numFmtId="0" fontId="1" fillId="7" borderId="9" xfId="0" applyFont="1" applyFill="1" applyBorder="1" applyAlignment="1">
      <alignment horizontal="center" vertical="center"/>
    </xf>
    <xf numFmtId="0" fontId="1" fillId="7" borderId="15" xfId="0" applyFont="1" applyFill="1" applyBorder="1" applyAlignment="1">
      <alignment horizontal="center" vertical="center"/>
    </xf>
    <xf numFmtId="0" fontId="1" fillId="7" borderId="10" xfId="0" applyFont="1" applyFill="1" applyBorder="1" applyAlignment="1">
      <alignment horizontal="center" vertical="center"/>
    </xf>
    <xf numFmtId="0" fontId="1" fillId="7" borderId="20" xfId="0" applyFont="1" applyFill="1" applyBorder="1" applyAlignment="1" applyProtection="1">
      <alignment horizontal="center" vertical="center"/>
    </xf>
    <xf numFmtId="0" fontId="1" fillId="7" borderId="3" xfId="0" applyFont="1" applyFill="1" applyBorder="1" applyAlignment="1" applyProtection="1">
      <alignment horizontal="center" vertical="center"/>
    </xf>
    <xf numFmtId="0" fontId="1" fillId="7" borderId="19" xfId="0" applyFont="1" applyFill="1" applyBorder="1" applyAlignment="1" applyProtection="1">
      <alignment horizontal="center" vertical="center"/>
    </xf>
    <xf numFmtId="0" fontId="1" fillId="7" borderId="20"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19" xfId="0" applyFont="1" applyFill="1" applyBorder="1" applyAlignment="1">
      <alignment horizontal="center" vertical="center"/>
    </xf>
    <xf numFmtId="0" fontId="1" fillId="7" borderId="21" xfId="0" applyFont="1" applyFill="1" applyBorder="1" applyAlignment="1" applyProtection="1">
      <alignment horizontal="center" vertical="center"/>
    </xf>
    <xf numFmtId="0" fontId="1" fillId="7" borderId="8" xfId="0" applyFont="1" applyFill="1" applyBorder="1" applyAlignment="1" applyProtection="1">
      <alignment horizontal="center" vertical="center"/>
    </xf>
    <xf numFmtId="0" fontId="1" fillId="7" borderId="22" xfId="0" applyFont="1" applyFill="1" applyBorder="1" applyAlignment="1" applyProtection="1">
      <alignment horizontal="center" vertical="center"/>
    </xf>
    <xf numFmtId="0" fontId="0" fillId="7" borderId="11"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0" borderId="17" xfId="0" applyBorder="1" applyAlignment="1">
      <alignment horizontal="left" vertical="center" wrapText="1"/>
    </xf>
    <xf numFmtId="0" fontId="0" fillId="0" borderId="23" xfId="0" applyBorder="1" applyAlignment="1">
      <alignment horizontal="left" vertical="center" wrapText="1"/>
    </xf>
    <xf numFmtId="0" fontId="0" fillId="0" borderId="18" xfId="0" applyBorder="1" applyAlignment="1">
      <alignment horizontal="left" vertical="center" wrapText="1"/>
    </xf>
    <xf numFmtId="0" fontId="20" fillId="0" borderId="48" xfId="0" applyFont="1" applyBorder="1" applyAlignment="1" applyProtection="1">
      <alignment horizontal="center" vertical="center" wrapText="1"/>
    </xf>
    <xf numFmtId="0" fontId="20" fillId="0" borderId="49" xfId="0" applyFont="1" applyBorder="1" applyAlignment="1" applyProtection="1">
      <alignment horizontal="center" vertical="center" wrapText="1"/>
    </xf>
    <xf numFmtId="0" fontId="20" fillId="0" borderId="34" xfId="0" applyFont="1" applyBorder="1" applyAlignment="1" applyProtection="1">
      <alignment horizontal="center" vertical="center" wrapText="1"/>
    </xf>
    <xf numFmtId="0" fontId="16" fillId="0" borderId="1" xfId="0" applyFont="1" applyBorder="1" applyAlignment="1" applyProtection="1">
      <alignment horizontal="left" vertical="top"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34" xfId="0" applyFont="1" applyBorder="1" applyAlignment="1">
      <alignment horizontal="center" vertical="center" wrapText="1"/>
    </xf>
    <xf numFmtId="0" fontId="1" fillId="5" borderId="9" xfId="0" applyFont="1" applyFill="1" applyBorder="1" applyAlignment="1">
      <alignment horizontal="center" vertical="center"/>
    </xf>
    <xf numFmtId="0" fontId="1" fillId="5" borderId="15" xfId="0" applyFont="1" applyFill="1" applyBorder="1" applyAlignment="1">
      <alignment horizontal="center" vertical="center"/>
    </xf>
    <xf numFmtId="0" fontId="1" fillId="5" borderId="10" xfId="0" applyFont="1" applyFill="1" applyBorder="1" applyAlignment="1">
      <alignment horizontal="center" vertical="center"/>
    </xf>
    <xf numFmtId="0" fontId="1" fillId="6" borderId="9" xfId="0" applyFont="1" applyFill="1" applyBorder="1" applyAlignment="1">
      <alignment horizontal="center" vertical="center"/>
    </xf>
    <xf numFmtId="0" fontId="1" fillId="6" borderId="15" xfId="0" applyFont="1" applyFill="1" applyBorder="1" applyAlignment="1">
      <alignment horizontal="center" vertical="center"/>
    </xf>
    <xf numFmtId="0" fontId="1" fillId="6" borderId="10" xfId="0" applyFont="1" applyFill="1" applyBorder="1" applyAlignment="1">
      <alignment horizontal="center" vertical="center"/>
    </xf>
    <xf numFmtId="0" fontId="0" fillId="0" borderId="15" xfId="0" applyBorder="1" applyAlignment="1">
      <alignment horizontal="center" wrapText="1"/>
    </xf>
    <xf numFmtId="0" fontId="0" fillId="0" borderId="1" xfId="0" applyBorder="1" applyAlignment="1">
      <alignment horizontal="center" wrapText="1"/>
    </xf>
    <xf numFmtId="0" fontId="0" fillId="0" borderId="54" xfId="0" applyBorder="1" applyAlignment="1">
      <alignment horizontal="center" wrapText="1"/>
    </xf>
    <xf numFmtId="0" fontId="0" fillId="0" borderId="2" xfId="0" applyBorder="1" applyAlignment="1">
      <alignment horizontal="center" wrapText="1"/>
    </xf>
    <xf numFmtId="0" fontId="1" fillId="0" borderId="7" xfId="0" applyFont="1" applyBorder="1" applyAlignment="1">
      <alignment horizontal="center"/>
    </xf>
    <xf numFmtId="0" fontId="0" fillId="0" borderId="35" xfId="0" applyBorder="1" applyAlignment="1">
      <alignment horizontal="center"/>
    </xf>
    <xf numFmtId="0" fontId="0" fillId="0" borderId="42" xfId="0" applyBorder="1" applyAlignment="1">
      <alignment horizontal="center"/>
    </xf>
    <xf numFmtId="0" fontId="0" fillId="9" borderId="1" xfId="0" applyFill="1" applyBorder="1" applyAlignment="1">
      <alignment horizontal="center" vertical="center" wrapText="1"/>
    </xf>
    <xf numFmtId="0" fontId="0" fillId="0" borderId="15"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43" xfId="0" applyBorder="1" applyAlignment="1">
      <alignment horizontal="center" wrapText="1"/>
    </xf>
    <xf numFmtId="0" fontId="0" fillId="0" borderId="4" xfId="0" applyBorder="1" applyAlignment="1">
      <alignment horizontal="center" wrapText="1"/>
    </xf>
    <xf numFmtId="0" fontId="0" fillId="0" borderId="10"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0" fillId="0" borderId="45" xfId="0" applyBorder="1" applyAlignment="1">
      <alignment horizontal="center"/>
    </xf>
    <xf numFmtId="0" fontId="0" fillId="0" borderId="0" xfId="0" applyBorder="1" applyAlignment="1">
      <alignment horizontal="center"/>
    </xf>
    <xf numFmtId="0" fontId="0" fillId="0" borderId="51" xfId="0" applyBorder="1" applyAlignment="1">
      <alignment horizontal="center" wrapText="1"/>
    </xf>
    <xf numFmtId="0" fontId="0" fillId="0" borderId="52" xfId="0" applyBorder="1" applyAlignment="1">
      <alignment horizontal="center" wrapText="1"/>
    </xf>
    <xf numFmtId="0" fontId="0" fillId="0" borderId="46" xfId="0" applyBorder="1" applyAlignment="1" applyProtection="1">
      <alignment horizontal="center" vertical="center"/>
    </xf>
    <xf numFmtId="0" fontId="0" fillId="0" borderId="23" xfId="0" applyBorder="1" applyAlignment="1" applyProtection="1">
      <alignment horizontal="center" vertical="center"/>
    </xf>
    <xf numFmtId="0" fontId="0" fillId="0" borderId="47"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47" xfId="0" applyBorder="1" applyAlignment="1">
      <alignment horizontal="center"/>
    </xf>
    <xf numFmtId="0" fontId="0" fillId="0" borderId="6" xfId="0" applyBorder="1" applyAlignment="1">
      <alignment horizontal="center"/>
    </xf>
    <xf numFmtId="0" fontId="0" fillId="0" borderId="47" xfId="0" applyBorder="1" applyAlignment="1">
      <alignment horizontal="center" wrapText="1"/>
    </xf>
    <xf numFmtId="0" fontId="0" fillId="0" borderId="6" xfId="0" applyBorder="1" applyAlignment="1">
      <alignment horizontal="center" wrapText="1"/>
    </xf>
    <xf numFmtId="0" fontId="0" fillId="0" borderId="48" xfId="0" applyBorder="1" applyAlignment="1">
      <alignment horizontal="center" wrapText="1"/>
    </xf>
    <xf numFmtId="0" fontId="0" fillId="0" borderId="28" xfId="0" applyBorder="1" applyAlignment="1">
      <alignment horizontal="center" wrapText="1"/>
    </xf>
    <xf numFmtId="0" fontId="0" fillId="0" borderId="9" xfId="0" applyFont="1" applyFill="1" applyBorder="1" applyAlignment="1" applyProtection="1">
      <alignment horizontal="center" vertical="center" wrapText="1"/>
    </xf>
    <xf numFmtId="0" fontId="0" fillId="0" borderId="11" xfId="0" applyFont="1" applyFill="1" applyBorder="1" applyAlignment="1" applyProtection="1">
      <alignment horizontal="center" vertical="center" wrapText="1"/>
    </xf>
    <xf numFmtId="0" fontId="21" fillId="9" borderId="0" xfId="0" applyFont="1" applyFill="1" applyProtection="1"/>
    <xf numFmtId="0" fontId="27" fillId="0" borderId="0" xfId="0" applyFont="1"/>
    <xf numFmtId="0" fontId="26" fillId="9" borderId="0" xfId="1" applyFont="1" applyFill="1" applyProtection="1"/>
  </cellXfs>
  <cellStyles count="17">
    <cellStyle name="Comma 3" xfId="10" xr:uid="{00000000-0005-0000-0000-000000000000}"/>
    <cellStyle name="Currency" xfId="3" builtinId="4"/>
    <cellStyle name="Currency 2 2" xfId="8" xr:uid="{00000000-0005-0000-0000-000002000000}"/>
    <cellStyle name="Hyperlink" xfId="1" builtinId="8"/>
    <cellStyle name="Hyperlink 2" xfId="2" xr:uid="{00000000-0005-0000-0000-000004000000}"/>
    <cellStyle name="Hyperlink 2 2" xfId="16" xr:uid="{00000000-0005-0000-0000-000005000000}"/>
    <cellStyle name="Hyperlink 3" xfId="6" xr:uid="{00000000-0005-0000-0000-000006000000}"/>
    <cellStyle name="Normal" xfId="0" builtinId="0"/>
    <cellStyle name="Normal 10" xfId="15" xr:uid="{00000000-0005-0000-0000-000008000000}"/>
    <cellStyle name="Normal 11" xfId="5" xr:uid="{00000000-0005-0000-0000-000009000000}"/>
    <cellStyle name="Normal 13" xfId="12" xr:uid="{00000000-0005-0000-0000-00000A000000}"/>
    <cellStyle name="Normal 14" xfId="13" xr:uid="{00000000-0005-0000-0000-00000B000000}"/>
    <cellStyle name="Normal 16" xfId="14" xr:uid="{00000000-0005-0000-0000-00000C000000}"/>
    <cellStyle name="Normal 2" xfId="7" xr:uid="{00000000-0005-0000-0000-00000D000000}"/>
    <cellStyle name="Normal 3" xfId="4" xr:uid="{00000000-0005-0000-0000-00000E000000}"/>
    <cellStyle name="Normal 9" xfId="11" xr:uid="{00000000-0005-0000-0000-00000F000000}"/>
    <cellStyle name="Percent 2 2" xfId="9" xr:uid="{00000000-0005-0000-0000-000010000000}"/>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0000"/>
        </patternFill>
      </fill>
    </dxf>
  </dxfs>
  <tableStyles count="0" defaultTableStyle="TableStyleMedium2" defaultPivotStyle="PivotStyleLight16"/>
  <colors>
    <mruColors>
      <color rgb="FFF6FE94"/>
      <color rgb="FF0000FF"/>
      <color rgb="FFF8FC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635460</xdr:colOff>
      <xdr:row>7</xdr:row>
      <xdr:rowOff>170304</xdr:rowOff>
    </xdr:to>
    <xdr:pic>
      <xdr:nvPicPr>
        <xdr:cNvPr id="3" name="Picture 2" descr="CCI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1"/>
          <a:ext cx="2257425" cy="17759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325161</xdr:colOff>
      <xdr:row>8</xdr:row>
      <xdr:rowOff>76199</xdr:rowOff>
    </xdr:to>
    <xdr:pic>
      <xdr:nvPicPr>
        <xdr:cNvPr id="3" name="Picture 2" descr="CCI 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0"/>
          <a:ext cx="2373036" cy="1866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2336330</xdr:colOff>
      <xdr:row>8</xdr:row>
      <xdr:rowOff>276</xdr:rowOff>
    </xdr:to>
    <xdr:pic>
      <xdr:nvPicPr>
        <xdr:cNvPr id="4" name="Picture 3" descr="CCI Logo">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0" y="0"/>
          <a:ext cx="2333625" cy="18358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552833</xdr:colOff>
      <xdr:row>6</xdr:row>
      <xdr:rowOff>38100</xdr:rowOff>
    </xdr:to>
    <xdr:pic>
      <xdr:nvPicPr>
        <xdr:cNvPr id="2" name="Picture 1" descr="CCI Logo">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43458" cy="1371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552833</xdr:colOff>
      <xdr:row>5</xdr:row>
      <xdr:rowOff>200025</xdr:rowOff>
    </xdr:to>
    <xdr:pic>
      <xdr:nvPicPr>
        <xdr:cNvPr id="2" name="Picture 1" descr="CCI Logo">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43458" cy="1371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2373036</xdr:colOff>
      <xdr:row>8</xdr:row>
      <xdr:rowOff>9524</xdr:rowOff>
    </xdr:to>
    <xdr:pic>
      <xdr:nvPicPr>
        <xdr:cNvPr id="4" name="Picture 3" descr="CCI Logo">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0" y="0"/>
          <a:ext cx="2373036" cy="18668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2373036</xdr:colOff>
      <xdr:row>8</xdr:row>
      <xdr:rowOff>9524</xdr:rowOff>
    </xdr:to>
    <xdr:pic>
      <xdr:nvPicPr>
        <xdr:cNvPr id="4" name="Picture 3" descr="CCI Logo">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2373036" cy="1866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GRFProgram@arb.ca.gov" TargetMode="External"/><Relationship Id="rId2" Type="http://schemas.openxmlformats.org/officeDocument/2006/relationships/hyperlink" Target="mailto:GHGReductions@CalRecycle.ca.gov" TargetMode="External"/><Relationship Id="rId1" Type="http://schemas.openxmlformats.org/officeDocument/2006/relationships/hyperlink" Target="http://www.arb.ca.gov/cci-resource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rb.ca.gov/cci-resourc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arb.ca.gov/cc/capandtrade/auctionproceeds/calrecycle_finalfoodwaste_userguide_19-20.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rb.ca.gov/cc/capandtrade/auctionproceeds/quantification.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rb.ca.gov/cc/capandtrade/auctionproceeds/quantification.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Q40"/>
  <sheetViews>
    <sheetView showGridLines="0" tabSelected="1" showRuler="0" zoomScaleNormal="100" workbookViewId="0">
      <selection activeCell="H30" sqref="H30:N30"/>
    </sheetView>
  </sheetViews>
  <sheetFormatPr defaultColWidth="9.140625" defaultRowHeight="15" x14ac:dyDescent="0.25"/>
  <cols>
    <col min="1" max="1" width="13.5703125" style="248" customWidth="1"/>
    <col min="2" max="2" width="10.7109375" style="248" customWidth="1"/>
    <col min="3" max="3" width="27.85546875" style="248" customWidth="1"/>
    <col min="4" max="4" width="13.28515625" style="248" customWidth="1"/>
    <col min="5" max="5" width="4.140625" style="248" customWidth="1"/>
    <col min="6" max="6" width="5.5703125" style="248" customWidth="1"/>
    <col min="7" max="7" width="6.7109375" style="248" customWidth="1"/>
    <col min="8" max="8" width="11.28515625" style="248" customWidth="1"/>
    <col min="9" max="9" width="8" style="248" customWidth="1"/>
    <col min="10" max="12" width="9.140625" style="248"/>
    <col min="13" max="13" width="10.85546875" style="248" customWidth="1"/>
    <col min="14" max="14" width="7.5703125" style="248" customWidth="1"/>
    <col min="15" max="16384" width="9.140625" style="248"/>
  </cols>
  <sheetData>
    <row r="1" spans="1:15" ht="18.75" x14ac:dyDescent="0.3">
      <c r="E1" s="249"/>
      <c r="G1" s="250"/>
      <c r="I1" s="250" t="s">
        <v>315</v>
      </c>
    </row>
    <row r="2" spans="1:15" ht="18.75" x14ac:dyDescent="0.3">
      <c r="E2" s="249"/>
      <c r="G2" s="250"/>
      <c r="I2" s="250"/>
    </row>
    <row r="3" spans="1:15" ht="18.75" x14ac:dyDescent="0.3">
      <c r="E3" s="249"/>
      <c r="I3" s="250" t="s">
        <v>365</v>
      </c>
    </row>
    <row r="4" spans="1:15" ht="18.75" x14ac:dyDescent="0.3">
      <c r="E4" s="249"/>
      <c r="G4" s="250"/>
      <c r="I4" s="250" t="s">
        <v>314</v>
      </c>
    </row>
    <row r="5" spans="1:15" ht="18.75" x14ac:dyDescent="0.3">
      <c r="E5" s="249"/>
      <c r="G5" s="250"/>
      <c r="I5" s="250"/>
    </row>
    <row r="6" spans="1:15" ht="18.75" x14ac:dyDescent="0.3">
      <c r="G6" s="250"/>
      <c r="I6" s="250" t="s">
        <v>316</v>
      </c>
    </row>
    <row r="7" spans="1:15" ht="18.75" x14ac:dyDescent="0.3">
      <c r="G7" s="250"/>
      <c r="I7" s="250" t="s">
        <v>2</v>
      </c>
    </row>
    <row r="10" spans="1:15" ht="18.75" x14ac:dyDescent="0.3">
      <c r="A10" s="251" t="s">
        <v>4</v>
      </c>
    </row>
    <row r="11" spans="1:15" ht="15" customHeight="1" x14ac:dyDescent="0.25">
      <c r="A11" s="320" t="s">
        <v>403</v>
      </c>
      <c r="B11" s="320"/>
      <c r="C11" s="320"/>
      <c r="D11" s="320"/>
      <c r="E11" s="320"/>
      <c r="F11" s="320"/>
      <c r="G11" s="320"/>
      <c r="H11" s="320"/>
      <c r="I11" s="320"/>
      <c r="J11" s="320"/>
      <c r="K11" s="320"/>
      <c r="L11" s="320"/>
      <c r="M11" s="320"/>
      <c r="N11" s="320"/>
      <c r="O11" s="320"/>
    </row>
    <row r="12" spans="1:15" x14ac:dyDescent="0.25">
      <c r="A12" s="320"/>
      <c r="B12" s="320"/>
      <c r="C12" s="320"/>
      <c r="D12" s="320"/>
      <c r="E12" s="320"/>
      <c r="F12" s="320"/>
      <c r="G12" s="320"/>
      <c r="H12" s="320"/>
      <c r="I12" s="320"/>
      <c r="J12" s="320"/>
      <c r="K12" s="320"/>
      <c r="L12" s="320"/>
      <c r="M12" s="320"/>
      <c r="N12" s="320"/>
      <c r="O12" s="320"/>
    </row>
    <row r="13" spans="1:15" x14ac:dyDescent="0.25">
      <c r="A13" s="320"/>
      <c r="B13" s="320"/>
      <c r="C13" s="320"/>
      <c r="D13" s="320"/>
      <c r="E13" s="320"/>
      <c r="F13" s="320"/>
      <c r="G13" s="320"/>
      <c r="H13" s="320"/>
      <c r="I13" s="320"/>
      <c r="J13" s="320"/>
      <c r="K13" s="320"/>
      <c r="L13" s="320"/>
      <c r="M13" s="320"/>
      <c r="N13" s="320"/>
      <c r="O13" s="320"/>
    </row>
    <row r="14" spans="1:15" ht="21" customHeight="1" x14ac:dyDescent="0.25">
      <c r="A14" s="320"/>
      <c r="B14" s="320"/>
      <c r="C14" s="320"/>
      <c r="D14" s="320"/>
      <c r="E14" s="320"/>
      <c r="F14" s="320"/>
      <c r="G14" s="320"/>
      <c r="H14" s="320"/>
      <c r="I14" s="320"/>
      <c r="J14" s="320"/>
      <c r="K14" s="320"/>
      <c r="L14" s="320"/>
      <c r="M14" s="320"/>
      <c r="N14" s="320"/>
      <c r="O14" s="320"/>
    </row>
    <row r="15" spans="1:15" ht="15" customHeight="1" x14ac:dyDescent="0.25">
      <c r="A15" s="252" t="s">
        <v>310</v>
      </c>
      <c r="B15" s="253" t="s">
        <v>421</v>
      </c>
      <c r="C15" s="252"/>
      <c r="E15" s="253"/>
      <c r="F15" s="253"/>
      <c r="G15" s="253"/>
      <c r="H15" s="253"/>
      <c r="I15" s="253"/>
      <c r="J15" s="253"/>
      <c r="K15" s="253"/>
      <c r="L15" s="253"/>
      <c r="M15" s="253"/>
      <c r="N15" s="254"/>
    </row>
    <row r="16" spans="1:15" ht="15" customHeight="1" x14ac:dyDescent="0.25">
      <c r="A16" s="252"/>
      <c r="B16" s="253"/>
      <c r="C16" s="252"/>
      <c r="E16" s="253"/>
      <c r="F16" s="253"/>
      <c r="G16" s="253"/>
      <c r="H16" s="253"/>
      <c r="I16" s="253"/>
      <c r="J16" s="253"/>
      <c r="K16" s="253"/>
      <c r="L16" s="253"/>
      <c r="M16" s="253"/>
      <c r="N16" s="254"/>
    </row>
    <row r="17" spans="1:15" ht="15" customHeight="1" x14ac:dyDescent="0.25">
      <c r="A17" s="255" t="s">
        <v>321</v>
      </c>
      <c r="B17" s="253"/>
      <c r="C17" s="252"/>
      <c r="E17" s="253"/>
      <c r="F17" s="253"/>
      <c r="G17" s="253"/>
      <c r="H17" s="253"/>
      <c r="I17" s="253"/>
      <c r="J17" s="253"/>
      <c r="K17" s="253"/>
      <c r="L17" s="253"/>
      <c r="M17" s="253"/>
      <c r="N17" s="254"/>
    </row>
    <row r="18" spans="1:15" ht="15" customHeight="1" x14ac:dyDescent="0.25">
      <c r="A18" s="320" t="s">
        <v>401</v>
      </c>
      <c r="B18" s="320"/>
      <c r="C18" s="320"/>
      <c r="D18" s="320"/>
      <c r="E18" s="320"/>
      <c r="F18" s="320"/>
      <c r="G18" s="320"/>
      <c r="H18" s="320"/>
      <c r="I18" s="320"/>
      <c r="J18" s="320"/>
      <c r="K18" s="320"/>
      <c r="L18" s="320"/>
      <c r="M18" s="320"/>
      <c r="N18" s="320"/>
      <c r="O18" s="320"/>
    </row>
    <row r="19" spans="1:15" x14ac:dyDescent="0.25">
      <c r="A19" s="320"/>
      <c r="B19" s="320"/>
      <c r="C19" s="320"/>
      <c r="D19" s="320"/>
      <c r="E19" s="320"/>
      <c r="F19" s="320"/>
      <c r="G19" s="320"/>
      <c r="H19" s="320"/>
      <c r="I19" s="320"/>
      <c r="J19" s="320"/>
      <c r="K19" s="320"/>
      <c r="L19" s="320"/>
      <c r="M19" s="320"/>
      <c r="N19" s="320"/>
      <c r="O19" s="320"/>
    </row>
    <row r="20" spans="1:15" x14ac:dyDescent="0.25">
      <c r="A20" s="320"/>
      <c r="B20" s="320"/>
      <c r="C20" s="320"/>
      <c r="D20" s="320"/>
      <c r="E20" s="320"/>
      <c r="F20" s="320"/>
      <c r="G20" s="320"/>
      <c r="H20" s="320"/>
      <c r="I20" s="320"/>
      <c r="J20" s="320"/>
      <c r="K20" s="320"/>
      <c r="L20" s="320"/>
      <c r="M20" s="320"/>
      <c r="N20" s="320"/>
      <c r="O20" s="320"/>
    </row>
    <row r="21" spans="1:15" x14ac:dyDescent="0.25">
      <c r="A21" s="320"/>
      <c r="B21" s="320"/>
      <c r="C21" s="320"/>
      <c r="D21" s="320"/>
      <c r="E21" s="320"/>
      <c r="F21" s="320"/>
      <c r="G21" s="320"/>
      <c r="H21" s="320"/>
      <c r="I21" s="320"/>
      <c r="J21" s="320"/>
      <c r="K21" s="320"/>
      <c r="L21" s="320"/>
      <c r="M21" s="320"/>
      <c r="N21" s="320"/>
      <c r="O21" s="320"/>
    </row>
    <row r="22" spans="1:15" ht="15.75" x14ac:dyDescent="0.25">
      <c r="A22" s="256" t="s">
        <v>322</v>
      </c>
      <c r="B22" s="257"/>
      <c r="C22" s="257"/>
      <c r="D22" s="257"/>
      <c r="E22" s="257"/>
      <c r="F22" s="257"/>
      <c r="G22" s="257"/>
      <c r="H22" s="257"/>
      <c r="I22" s="257"/>
      <c r="J22" s="257"/>
      <c r="K22" s="257"/>
      <c r="L22" s="257"/>
      <c r="M22" s="257"/>
      <c r="N22" s="257"/>
      <c r="O22" s="257"/>
    </row>
    <row r="23" spans="1:15" ht="15.75" x14ac:dyDescent="0.25">
      <c r="A23" s="252"/>
      <c r="B23" s="252"/>
      <c r="C23" s="252"/>
      <c r="D23" s="252"/>
      <c r="E23" s="252"/>
      <c r="F23" s="252"/>
      <c r="G23" s="252"/>
      <c r="H23" s="252"/>
      <c r="I23" s="252"/>
      <c r="J23" s="252"/>
      <c r="K23" s="252"/>
      <c r="L23" s="252"/>
      <c r="M23" s="252"/>
      <c r="N23" s="252"/>
      <c r="O23" s="252"/>
    </row>
    <row r="24" spans="1:15" ht="18" customHeight="1" x14ac:dyDescent="0.25">
      <c r="A24" s="255" t="s">
        <v>323</v>
      </c>
      <c r="B24" s="252"/>
      <c r="C24" s="252"/>
      <c r="D24" s="252"/>
      <c r="E24" s="252"/>
      <c r="F24" s="252"/>
      <c r="G24" s="252"/>
      <c r="H24" s="252"/>
      <c r="I24" s="252"/>
      <c r="J24" s="252"/>
      <c r="K24" s="252"/>
      <c r="L24" s="252"/>
      <c r="M24" s="252"/>
      <c r="N24" s="252"/>
      <c r="O24" s="252"/>
    </row>
    <row r="25" spans="1:15" ht="15.75" x14ac:dyDescent="0.25">
      <c r="A25" s="306" t="s">
        <v>3</v>
      </c>
      <c r="B25" s="306"/>
      <c r="C25" s="306"/>
      <c r="D25" s="306"/>
      <c r="E25" s="306"/>
      <c r="F25" s="306"/>
      <c r="G25" s="306"/>
      <c r="H25" s="311"/>
      <c r="I25" s="312"/>
      <c r="J25" s="312"/>
      <c r="K25" s="312"/>
      <c r="L25" s="312"/>
      <c r="M25" s="312"/>
      <c r="N25" s="313"/>
    </row>
    <row r="26" spans="1:15" ht="15.75" x14ac:dyDescent="0.25">
      <c r="A26" s="306" t="s">
        <v>26</v>
      </c>
      <c r="B26" s="306"/>
      <c r="C26" s="306"/>
      <c r="D26" s="306"/>
      <c r="E26" s="306"/>
      <c r="F26" s="306"/>
      <c r="G26" s="306"/>
      <c r="H26" s="311"/>
      <c r="I26" s="312"/>
      <c r="J26" s="312"/>
      <c r="K26" s="312"/>
      <c r="L26" s="312"/>
      <c r="M26" s="312"/>
      <c r="N26" s="313"/>
    </row>
    <row r="27" spans="1:15" ht="15.75" x14ac:dyDescent="0.25">
      <c r="A27" s="306" t="s">
        <v>9</v>
      </c>
      <c r="B27" s="306"/>
      <c r="C27" s="306"/>
      <c r="D27" s="306"/>
      <c r="E27" s="306"/>
      <c r="F27" s="306"/>
      <c r="G27" s="306"/>
      <c r="H27" s="311"/>
      <c r="I27" s="312"/>
      <c r="J27" s="312"/>
      <c r="K27" s="312"/>
      <c r="L27" s="312"/>
      <c r="M27" s="312"/>
      <c r="N27" s="313"/>
    </row>
    <row r="28" spans="1:15" ht="15.75" x14ac:dyDescent="0.25">
      <c r="A28" s="306" t="s">
        <v>10</v>
      </c>
      <c r="B28" s="306"/>
      <c r="C28" s="306"/>
      <c r="D28" s="306"/>
      <c r="E28" s="306"/>
      <c r="F28" s="306"/>
      <c r="G28" s="306"/>
      <c r="H28" s="311"/>
      <c r="I28" s="312"/>
      <c r="J28" s="312"/>
      <c r="K28" s="312"/>
      <c r="L28" s="312"/>
      <c r="M28" s="312"/>
      <c r="N28" s="313"/>
      <c r="O28" s="258"/>
    </row>
    <row r="29" spans="1:15" ht="15.75" x14ac:dyDescent="0.25">
      <c r="A29" s="306" t="s">
        <v>11</v>
      </c>
      <c r="B29" s="306"/>
      <c r="C29" s="306"/>
      <c r="D29" s="306"/>
      <c r="E29" s="306"/>
      <c r="F29" s="306"/>
      <c r="G29" s="306"/>
      <c r="H29" s="321"/>
      <c r="I29" s="322"/>
      <c r="J29" s="322"/>
      <c r="K29" s="322"/>
      <c r="L29" s="322"/>
      <c r="M29" s="322"/>
      <c r="N29" s="323"/>
      <c r="O29" s="258"/>
    </row>
    <row r="30" spans="1:15" ht="15.75" x14ac:dyDescent="0.25">
      <c r="A30" s="306" t="s">
        <v>6</v>
      </c>
      <c r="B30" s="306"/>
      <c r="C30" s="306"/>
      <c r="D30" s="306"/>
      <c r="E30" s="306"/>
      <c r="F30" s="306"/>
      <c r="G30" s="306"/>
      <c r="H30" s="321"/>
      <c r="I30" s="322"/>
      <c r="J30" s="322"/>
      <c r="K30" s="322"/>
      <c r="L30" s="322"/>
      <c r="M30" s="322"/>
      <c r="N30" s="323"/>
      <c r="O30" s="258"/>
    </row>
    <row r="31" spans="1:15" ht="15.75" x14ac:dyDescent="0.25">
      <c r="A31" s="306" t="s">
        <v>320</v>
      </c>
      <c r="B31" s="306"/>
      <c r="C31" s="306"/>
      <c r="D31" s="306"/>
      <c r="E31" s="306"/>
      <c r="F31" s="306"/>
      <c r="G31" s="306"/>
      <c r="H31" s="314"/>
      <c r="I31" s="315"/>
      <c r="J31" s="315"/>
      <c r="K31" s="315"/>
      <c r="L31" s="315"/>
      <c r="M31" s="315"/>
      <c r="N31" s="316"/>
      <c r="O31" s="258"/>
    </row>
    <row r="32" spans="1:15" ht="15.75" x14ac:dyDescent="0.25">
      <c r="A32" s="306" t="s">
        <v>317</v>
      </c>
      <c r="B32" s="306"/>
      <c r="C32" s="306"/>
      <c r="D32" s="306"/>
      <c r="E32" s="306"/>
      <c r="F32" s="306"/>
      <c r="G32" s="306"/>
      <c r="H32" s="314"/>
      <c r="I32" s="315"/>
      <c r="J32" s="315"/>
      <c r="K32" s="315"/>
      <c r="L32" s="315"/>
      <c r="M32" s="315"/>
      <c r="N32" s="316"/>
      <c r="O32" s="258"/>
    </row>
    <row r="33" spans="1:17" ht="15.75" x14ac:dyDescent="0.25">
      <c r="A33" s="307" t="s">
        <v>356</v>
      </c>
      <c r="B33" s="308"/>
      <c r="C33" s="308"/>
      <c r="D33" s="308"/>
      <c r="E33" s="308"/>
      <c r="F33" s="308"/>
      <c r="G33" s="309"/>
      <c r="H33" s="314"/>
      <c r="I33" s="315"/>
      <c r="J33" s="315"/>
      <c r="K33" s="315"/>
      <c r="L33" s="315"/>
      <c r="M33" s="315"/>
      <c r="N33" s="316"/>
      <c r="O33" s="258"/>
    </row>
    <row r="34" spans="1:17" ht="15.75" x14ac:dyDescent="0.25">
      <c r="A34" s="306" t="s">
        <v>318</v>
      </c>
      <c r="B34" s="306"/>
      <c r="C34" s="306"/>
      <c r="D34" s="306"/>
      <c r="E34" s="306"/>
      <c r="F34" s="306"/>
      <c r="G34" s="306"/>
      <c r="H34" s="314"/>
      <c r="I34" s="315"/>
      <c r="J34" s="315"/>
      <c r="K34" s="315"/>
      <c r="L34" s="315"/>
      <c r="M34" s="315"/>
      <c r="N34" s="316"/>
      <c r="O34" s="258"/>
    </row>
    <row r="35" spans="1:17" ht="15.75" x14ac:dyDescent="0.25">
      <c r="A35" s="306" t="s">
        <v>319</v>
      </c>
      <c r="B35" s="306"/>
      <c r="C35" s="306"/>
      <c r="D35" s="306"/>
      <c r="E35" s="306"/>
      <c r="F35" s="306"/>
      <c r="G35" s="306"/>
      <c r="H35" s="317">
        <f>SUM(H31:N34)</f>
        <v>0</v>
      </c>
      <c r="I35" s="318"/>
      <c r="J35" s="318"/>
      <c r="K35" s="318"/>
      <c r="L35" s="318"/>
      <c r="M35" s="318"/>
      <c r="N35" s="319"/>
      <c r="O35" s="258"/>
    </row>
    <row r="36" spans="1:17" ht="15" customHeight="1" x14ac:dyDescent="0.25">
      <c r="A36" s="259"/>
      <c r="B36" s="259"/>
      <c r="C36" s="259"/>
      <c r="D36" s="259"/>
      <c r="E36" s="259"/>
      <c r="F36" s="259"/>
      <c r="G36" s="259"/>
      <c r="H36" s="259"/>
      <c r="I36" s="259"/>
      <c r="J36" s="259"/>
      <c r="K36" s="259"/>
      <c r="L36" s="259"/>
      <c r="M36" s="259"/>
      <c r="N36" s="259"/>
      <c r="O36" s="259"/>
      <c r="P36" s="258"/>
      <c r="Q36" s="258"/>
    </row>
    <row r="37" spans="1:17" ht="15.75" x14ac:dyDescent="0.25">
      <c r="A37" s="260" t="s">
        <v>311</v>
      </c>
      <c r="B37" s="260"/>
      <c r="I37" s="261" t="s">
        <v>7</v>
      </c>
    </row>
    <row r="38" spans="1:17" ht="15.75" x14ac:dyDescent="0.25">
      <c r="A38" s="262" t="s">
        <v>312</v>
      </c>
      <c r="B38" s="262"/>
      <c r="I38" s="305" t="s">
        <v>421</v>
      </c>
    </row>
    <row r="39" spans="1:17" ht="15" customHeight="1" x14ac:dyDescent="0.25">
      <c r="A39" s="260" t="s">
        <v>313</v>
      </c>
      <c r="B39" s="260"/>
      <c r="D39" s="259"/>
      <c r="E39" s="259"/>
      <c r="F39" s="259"/>
      <c r="G39" s="259"/>
      <c r="H39" s="259"/>
      <c r="I39" s="310" t="s">
        <v>8</v>
      </c>
      <c r="J39" s="310"/>
      <c r="K39" s="310"/>
      <c r="L39" s="310"/>
      <c r="M39" s="310"/>
      <c r="N39" s="310"/>
    </row>
    <row r="40" spans="1:17" ht="15" customHeight="1" x14ac:dyDescent="0.25">
      <c r="B40" s="259"/>
      <c r="C40" s="259"/>
      <c r="D40" s="259"/>
      <c r="E40" s="259"/>
      <c r="F40" s="259"/>
      <c r="G40" s="259"/>
      <c r="H40" s="259"/>
      <c r="I40" s="259"/>
      <c r="J40" s="259"/>
      <c r="K40" s="259"/>
      <c r="L40" s="259"/>
      <c r="M40" s="259"/>
      <c r="N40" s="259"/>
    </row>
  </sheetData>
  <sheetProtection algorithmName="SHA-512" hashValue="jQ4wE1Mbx/3Yhtg3+U8qwQuxkdm0QNR9Oc6cTFx/yyZ5cTQii6yQkF8kNqzK9jgH8uVKwlxPyAeqAcSI9g6vwQ==" saltValue="mZLZifN5tUZzb2sDs3N1oQ==" spinCount="100000" sheet="1"/>
  <mergeCells count="25">
    <mergeCell ref="A11:O14"/>
    <mergeCell ref="A18:O21"/>
    <mergeCell ref="A25:G25"/>
    <mergeCell ref="H29:N29"/>
    <mergeCell ref="H30:N30"/>
    <mergeCell ref="I39:N39"/>
    <mergeCell ref="H25:N25"/>
    <mergeCell ref="H26:N26"/>
    <mergeCell ref="H27:N27"/>
    <mergeCell ref="H28:N28"/>
    <mergeCell ref="H31:N31"/>
    <mergeCell ref="H32:N32"/>
    <mergeCell ref="H34:N34"/>
    <mergeCell ref="H35:N35"/>
    <mergeCell ref="H33:N33"/>
    <mergeCell ref="A35:G35"/>
    <mergeCell ref="A26:G26"/>
    <mergeCell ref="A27:G27"/>
    <mergeCell ref="A28:G28"/>
    <mergeCell ref="A29:G29"/>
    <mergeCell ref="A30:G30"/>
    <mergeCell ref="A31:G31"/>
    <mergeCell ref="A32:G32"/>
    <mergeCell ref="A34:G34"/>
    <mergeCell ref="A33:G33"/>
  </mergeCells>
  <hyperlinks>
    <hyperlink ref="B15" r:id="rId1" tooltip="Link to CCI Page" xr:uid="{00000000-0004-0000-0000-000000000000}"/>
    <hyperlink ref="I39" r:id="rId2" xr:uid="{00000000-0004-0000-0000-000001000000}"/>
    <hyperlink ref="I37" r:id="rId3" xr:uid="{00000000-0004-0000-0000-000002000000}"/>
    <hyperlink ref="I38" r:id="rId4" xr:uid="{00000000-0004-0000-0000-000003000000}"/>
  </hyperlinks>
  <pageMargins left="0.7" right="0.7" top="0.7" bottom="0.75" header="0.3" footer="0.3"/>
  <pageSetup scale="57" orientation="portrait" r:id="rId5"/>
  <headerFooter>
    <oddFooter>&amp;CPage 1 of 7&amp;RRead Me Worksheet</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1:N23"/>
  <sheetViews>
    <sheetView showGridLines="0" zoomScaleNormal="100" workbookViewId="0">
      <selection activeCell="C14" sqref="C14:N14"/>
    </sheetView>
  </sheetViews>
  <sheetFormatPr defaultColWidth="9.28515625" defaultRowHeight="15" x14ac:dyDescent="0.25"/>
  <cols>
    <col min="1" max="2" width="30.7109375" style="263" customWidth="1"/>
    <col min="3" max="12" width="9.28515625" style="263"/>
    <col min="13" max="14" width="9.140625" style="263" customWidth="1"/>
    <col min="15" max="16384" width="9.28515625" style="263"/>
  </cols>
  <sheetData>
    <row r="1" spans="1:14" ht="18.75" x14ac:dyDescent="0.3">
      <c r="D1" s="264" t="str">
        <f>'Read Me'!I1</f>
        <v xml:space="preserve">California Air Resources Board </v>
      </c>
    </row>
    <row r="2" spans="1:14" ht="18.75" x14ac:dyDescent="0.3">
      <c r="D2" s="264"/>
    </row>
    <row r="3" spans="1:14" ht="18.75" x14ac:dyDescent="0.3">
      <c r="D3" s="264" t="str">
        <f>'Read Me'!I3</f>
        <v xml:space="preserve">Benefits Calculator Tool for the </v>
      </c>
    </row>
    <row r="4" spans="1:14" ht="18.75" x14ac:dyDescent="0.3">
      <c r="D4" s="264" t="str">
        <f>'Read Me'!I4</f>
        <v>Food Waste Prevention and Rescue Program</v>
      </c>
    </row>
    <row r="5" spans="1:14" ht="18.75" x14ac:dyDescent="0.3">
      <c r="D5" s="264"/>
    </row>
    <row r="6" spans="1:14" ht="18.75" x14ac:dyDescent="0.3">
      <c r="D6" s="264" t="str">
        <f>'Read Me'!I6</f>
        <v>California Climate Investments</v>
      </c>
    </row>
    <row r="7" spans="1:14" ht="18.75" x14ac:dyDescent="0.3">
      <c r="D7" s="264" t="str">
        <f>'Read Me'!I7</f>
        <v>Greenhouse Gas Reduction Fund</v>
      </c>
    </row>
    <row r="10" spans="1:14" ht="18.75" x14ac:dyDescent="0.3">
      <c r="A10" s="265" t="s">
        <v>19</v>
      </c>
    </row>
    <row r="11" spans="1:14" s="267" customFormat="1" ht="86.25" customHeight="1" x14ac:dyDescent="0.25">
      <c r="A11" s="324" t="s">
        <v>339</v>
      </c>
      <c r="B11" s="266" t="s">
        <v>342</v>
      </c>
      <c r="C11" s="326" t="s">
        <v>349</v>
      </c>
      <c r="D11" s="327"/>
      <c r="E11" s="327"/>
      <c r="F11" s="327"/>
      <c r="G11" s="327"/>
      <c r="H11" s="327"/>
      <c r="I11" s="327"/>
      <c r="J11" s="327"/>
      <c r="K11" s="327"/>
      <c r="L11" s="327"/>
      <c r="M11" s="327"/>
      <c r="N11" s="328"/>
    </row>
    <row r="12" spans="1:14" s="267" customFormat="1" ht="45.75" customHeight="1" x14ac:dyDescent="0.25">
      <c r="A12" s="324"/>
      <c r="B12" s="266" t="s">
        <v>32</v>
      </c>
      <c r="C12" s="326" t="s">
        <v>404</v>
      </c>
      <c r="D12" s="327"/>
      <c r="E12" s="327"/>
      <c r="F12" s="327"/>
      <c r="G12" s="327"/>
      <c r="H12" s="327"/>
      <c r="I12" s="327"/>
      <c r="J12" s="327"/>
      <c r="K12" s="327"/>
      <c r="L12" s="327"/>
      <c r="M12" s="327"/>
      <c r="N12" s="328"/>
    </row>
    <row r="13" spans="1:14" s="267" customFormat="1" ht="48" customHeight="1" x14ac:dyDescent="0.25">
      <c r="A13" s="324"/>
      <c r="B13" s="266" t="s">
        <v>56</v>
      </c>
      <c r="C13" s="326" t="s">
        <v>405</v>
      </c>
      <c r="D13" s="327"/>
      <c r="E13" s="327"/>
      <c r="F13" s="327"/>
      <c r="G13" s="327"/>
      <c r="H13" s="327"/>
      <c r="I13" s="327"/>
      <c r="J13" s="327"/>
      <c r="K13" s="327"/>
      <c r="L13" s="327"/>
      <c r="M13" s="327"/>
      <c r="N13" s="328"/>
    </row>
    <row r="14" spans="1:14" s="267" customFormat="1" ht="48" customHeight="1" x14ac:dyDescent="0.25">
      <c r="A14" s="324"/>
      <c r="B14" s="266" t="s">
        <v>34</v>
      </c>
      <c r="C14" s="326" t="s">
        <v>337</v>
      </c>
      <c r="D14" s="327"/>
      <c r="E14" s="327"/>
      <c r="F14" s="327"/>
      <c r="G14" s="327"/>
      <c r="H14" s="327"/>
      <c r="I14" s="327"/>
      <c r="J14" s="327"/>
      <c r="K14" s="327"/>
      <c r="L14" s="327"/>
      <c r="M14" s="327"/>
      <c r="N14" s="328"/>
    </row>
    <row r="15" spans="1:14" s="267" customFormat="1" ht="110.25" customHeight="1" x14ac:dyDescent="0.25">
      <c r="A15" s="324"/>
      <c r="B15" s="266" t="s">
        <v>338</v>
      </c>
      <c r="C15" s="325" t="s">
        <v>368</v>
      </c>
      <c r="D15" s="325"/>
      <c r="E15" s="325"/>
      <c r="F15" s="325"/>
      <c r="G15" s="325"/>
      <c r="H15" s="325"/>
      <c r="I15" s="325"/>
      <c r="J15" s="325"/>
      <c r="K15" s="325"/>
      <c r="L15" s="325"/>
      <c r="M15" s="325"/>
      <c r="N15" s="325"/>
    </row>
    <row r="16" spans="1:14" s="267" customFormat="1" ht="62.25" customHeight="1" x14ac:dyDescent="0.25">
      <c r="A16" s="324"/>
      <c r="B16" s="268" t="s">
        <v>20</v>
      </c>
      <c r="C16" s="329" t="s">
        <v>366</v>
      </c>
      <c r="D16" s="329"/>
      <c r="E16" s="329"/>
      <c r="F16" s="329"/>
      <c r="G16" s="329"/>
      <c r="H16" s="329"/>
      <c r="I16" s="329"/>
      <c r="J16" s="329"/>
      <c r="K16" s="329"/>
      <c r="L16" s="329"/>
      <c r="M16" s="329"/>
      <c r="N16" s="329"/>
    </row>
    <row r="17" spans="1:14" s="267" customFormat="1" ht="195.75" customHeight="1" x14ac:dyDescent="0.25">
      <c r="A17" s="324"/>
      <c r="B17" s="266" t="s">
        <v>25</v>
      </c>
      <c r="C17" s="326" t="s">
        <v>367</v>
      </c>
      <c r="D17" s="327"/>
      <c r="E17" s="327"/>
      <c r="F17" s="327"/>
      <c r="G17" s="327"/>
      <c r="H17" s="327"/>
      <c r="I17" s="327"/>
      <c r="J17" s="327"/>
      <c r="K17" s="327"/>
      <c r="L17" s="327"/>
      <c r="M17" s="327"/>
      <c r="N17" s="328"/>
    </row>
    <row r="19" spans="1:14" x14ac:dyDescent="0.25">
      <c r="B19" s="269"/>
      <c r="C19" s="269"/>
      <c r="D19" s="269"/>
    </row>
    <row r="20" spans="1:14" x14ac:dyDescent="0.25">
      <c r="B20" s="269"/>
      <c r="C20" s="269"/>
      <c r="D20" s="269"/>
    </row>
    <row r="21" spans="1:14" x14ac:dyDescent="0.25">
      <c r="A21" s="269"/>
      <c r="B21" s="269"/>
      <c r="C21" s="269"/>
      <c r="D21" s="269"/>
    </row>
    <row r="22" spans="1:14" x14ac:dyDescent="0.25">
      <c r="A22" s="269"/>
    </row>
    <row r="23" spans="1:14" x14ac:dyDescent="0.25">
      <c r="A23" s="269"/>
    </row>
  </sheetData>
  <sheetProtection algorithmName="SHA-512" hashValue="3IQOu96nZcheAmSVH8MhDwzZT/KNWJdG3YCy2Bftnncw9Gmu7lBZWD+oSvq7+AI46D/rGeLvinV5RHIUUWNeKg==" saltValue="Un5H+UC574+Z49cGYrR4mA==" spinCount="100000" sheet="1"/>
  <mergeCells count="8">
    <mergeCell ref="A11:A17"/>
    <mergeCell ref="C15:N15"/>
    <mergeCell ref="C17:N17"/>
    <mergeCell ref="C16:N16"/>
    <mergeCell ref="C11:N11"/>
    <mergeCell ref="C12:N12"/>
    <mergeCell ref="C13:N13"/>
    <mergeCell ref="C14:N14"/>
  </mergeCells>
  <pageMargins left="0.7" right="0.7" top="0.75" bottom="0.75" header="0.3" footer="0.3"/>
  <pageSetup scale="52" orientation="portrait" r:id="rId1"/>
  <headerFooter>
    <oddFooter>&amp;CPage 2 of 7&amp;RDefinitions Worksheet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T48"/>
  <sheetViews>
    <sheetView showGridLines="0" showRuler="0" zoomScaleNormal="100" workbookViewId="0">
      <selection activeCell="I10" sqref="I10"/>
    </sheetView>
  </sheetViews>
  <sheetFormatPr defaultColWidth="9.140625" defaultRowHeight="15" x14ac:dyDescent="0.25"/>
  <cols>
    <col min="1" max="1" width="44.42578125" style="248" bestFit="1" customWidth="1"/>
    <col min="2" max="3" width="22.7109375" style="248" customWidth="1"/>
    <col min="4" max="4" width="26.85546875" style="248" customWidth="1"/>
    <col min="5" max="5" width="18.7109375" style="248" customWidth="1"/>
    <col min="6" max="6" width="22.7109375" style="248" customWidth="1"/>
    <col min="7" max="8" width="19.7109375" style="248" customWidth="1"/>
    <col min="9" max="9" width="21.7109375" style="248" customWidth="1"/>
    <col min="10" max="10" width="22.7109375" style="248" customWidth="1"/>
    <col min="11" max="15" width="13.28515625" style="248" customWidth="1"/>
    <col min="16" max="18" width="9.140625" style="248" customWidth="1"/>
    <col min="19" max="16384" width="9.140625" style="248"/>
  </cols>
  <sheetData>
    <row r="1" spans="1:20" ht="18.75" x14ac:dyDescent="0.3">
      <c r="B1" s="270"/>
      <c r="C1" s="270"/>
      <c r="D1" s="250" t="str">
        <f>'Read Me'!I1</f>
        <v xml:space="preserve">California Air Resources Board </v>
      </c>
      <c r="E1" s="270"/>
      <c r="F1" s="270"/>
      <c r="G1" s="270"/>
      <c r="H1" s="270"/>
      <c r="I1" s="270"/>
    </row>
    <row r="2" spans="1:20" ht="18.75" x14ac:dyDescent="0.3">
      <c r="D2" s="250"/>
    </row>
    <row r="3" spans="1:20" ht="18.75" x14ac:dyDescent="0.3">
      <c r="D3" s="250" t="str">
        <f>'Read Me'!I3</f>
        <v xml:space="preserve">Benefits Calculator Tool for the </v>
      </c>
    </row>
    <row r="4" spans="1:20" ht="18.75" x14ac:dyDescent="0.3">
      <c r="D4" s="250" t="str">
        <f>'Read Me'!I4</f>
        <v>Food Waste Prevention and Rescue Program</v>
      </c>
    </row>
    <row r="5" spans="1:20" ht="18.75" x14ac:dyDescent="0.3">
      <c r="D5" s="250"/>
    </row>
    <row r="6" spans="1:20" ht="18.75" x14ac:dyDescent="0.3">
      <c r="D6" s="250" t="str">
        <f>'Read Me'!I6</f>
        <v>California Climate Investments</v>
      </c>
    </row>
    <row r="7" spans="1:20" ht="18.75" x14ac:dyDescent="0.3">
      <c r="D7" s="250" t="str">
        <f>'Read Me'!I7</f>
        <v>Greenhouse Gas Reduction Fund</v>
      </c>
    </row>
    <row r="8" spans="1:20" ht="18.75" customHeight="1" x14ac:dyDescent="0.3">
      <c r="P8" s="250"/>
    </row>
    <row r="9" spans="1:20" ht="15.75" customHeight="1" x14ac:dyDescent="0.3">
      <c r="P9" s="250"/>
    </row>
    <row r="10" spans="1:20" ht="18.75" x14ac:dyDescent="0.3">
      <c r="A10" s="422" t="s">
        <v>422</v>
      </c>
      <c r="P10" s="250"/>
    </row>
    <row r="11" spans="1:20" ht="16.5" customHeight="1" x14ac:dyDescent="0.3">
      <c r="A11" s="421" t="s">
        <v>423</v>
      </c>
      <c r="B11" s="421"/>
      <c r="C11" s="421"/>
      <c r="D11" s="421"/>
      <c r="P11" s="250"/>
    </row>
    <row r="12" spans="1:20" ht="18.75" x14ac:dyDescent="0.3">
      <c r="A12" s="423" t="s">
        <v>424</v>
      </c>
      <c r="B12" s="421"/>
      <c r="C12" s="421"/>
      <c r="D12" s="421"/>
      <c r="P12" s="250"/>
    </row>
    <row r="13" spans="1:20" x14ac:dyDescent="0.25">
      <c r="K13" s="271"/>
      <c r="L13" s="272"/>
      <c r="M13" s="272"/>
      <c r="N13" s="272"/>
      <c r="O13" s="272"/>
      <c r="P13" s="272"/>
      <c r="Q13" s="272"/>
      <c r="R13" s="272"/>
      <c r="S13" s="272"/>
      <c r="T13" s="272"/>
    </row>
    <row r="14" spans="1:20" ht="19.5" thickBot="1" x14ac:dyDescent="0.35">
      <c r="A14" s="251" t="s">
        <v>350</v>
      </c>
    </row>
    <row r="15" spans="1:20" ht="16.5" thickBot="1" x14ac:dyDescent="0.3">
      <c r="A15" s="330" t="s">
        <v>181</v>
      </c>
      <c r="B15" s="331"/>
      <c r="C15" s="331"/>
      <c r="D15" s="331"/>
      <c r="E15" s="331"/>
      <c r="F15" s="332"/>
      <c r="G15" s="273"/>
      <c r="H15" s="273"/>
      <c r="I15" s="273"/>
      <c r="J15" s="273"/>
      <c r="K15" s="274"/>
      <c r="L15" s="275"/>
      <c r="M15" s="275"/>
      <c r="N15" s="275"/>
    </row>
    <row r="16" spans="1:20" ht="77.25" thickBot="1" x14ac:dyDescent="0.3">
      <c r="A16" s="276" t="s">
        <v>340</v>
      </c>
      <c r="B16" s="277" t="s">
        <v>162</v>
      </c>
      <c r="C16" s="278" t="s">
        <v>406</v>
      </c>
      <c r="D16" s="278" t="s">
        <v>407</v>
      </c>
      <c r="E16" s="277" t="s">
        <v>36</v>
      </c>
      <c r="F16" s="279" t="s">
        <v>408</v>
      </c>
    </row>
    <row r="17" spans="1:6" x14ac:dyDescent="0.25">
      <c r="A17" s="295"/>
      <c r="B17" s="298"/>
      <c r="C17" s="298"/>
      <c r="D17" s="301"/>
      <c r="E17" s="298" t="s">
        <v>160</v>
      </c>
      <c r="F17" s="280">
        <f>'Food Calcs'!Z4</f>
        <v>0</v>
      </c>
    </row>
    <row r="18" spans="1:6" x14ac:dyDescent="0.25">
      <c r="A18" s="296"/>
      <c r="B18" s="299"/>
      <c r="C18" s="299"/>
      <c r="D18" s="302"/>
      <c r="E18" s="299" t="s">
        <v>160</v>
      </c>
      <c r="F18" s="281">
        <f>'Food Calcs'!Z5</f>
        <v>0</v>
      </c>
    </row>
    <row r="19" spans="1:6" x14ac:dyDescent="0.25">
      <c r="A19" s="296"/>
      <c r="B19" s="299"/>
      <c r="C19" s="299"/>
      <c r="D19" s="302"/>
      <c r="E19" s="299" t="s">
        <v>160</v>
      </c>
      <c r="F19" s="281">
        <f>'Food Calcs'!Z6</f>
        <v>0</v>
      </c>
    </row>
    <row r="20" spans="1:6" x14ac:dyDescent="0.25">
      <c r="A20" s="296"/>
      <c r="B20" s="299"/>
      <c r="C20" s="299"/>
      <c r="D20" s="302"/>
      <c r="E20" s="299" t="s">
        <v>160</v>
      </c>
      <c r="F20" s="281">
        <f>'Food Calcs'!Z7</f>
        <v>0</v>
      </c>
    </row>
    <row r="21" spans="1:6" x14ac:dyDescent="0.25">
      <c r="A21" s="296"/>
      <c r="B21" s="299"/>
      <c r="C21" s="299"/>
      <c r="D21" s="302"/>
      <c r="E21" s="299" t="s">
        <v>160</v>
      </c>
      <c r="F21" s="281">
        <f>'Food Calcs'!Z8</f>
        <v>0</v>
      </c>
    </row>
    <row r="22" spans="1:6" x14ac:dyDescent="0.25">
      <c r="A22" s="296"/>
      <c r="B22" s="299"/>
      <c r="C22" s="299"/>
      <c r="D22" s="302"/>
      <c r="E22" s="299" t="s">
        <v>160</v>
      </c>
      <c r="F22" s="281">
        <f>'Food Calcs'!Z9</f>
        <v>0</v>
      </c>
    </row>
    <row r="23" spans="1:6" x14ac:dyDescent="0.25">
      <c r="A23" s="296"/>
      <c r="B23" s="299"/>
      <c r="C23" s="299"/>
      <c r="D23" s="302"/>
      <c r="E23" s="299" t="s">
        <v>160</v>
      </c>
      <c r="F23" s="281">
        <f>'Food Calcs'!Z10</f>
        <v>0</v>
      </c>
    </row>
    <row r="24" spans="1:6" x14ac:dyDescent="0.25">
      <c r="A24" s="296"/>
      <c r="B24" s="299"/>
      <c r="C24" s="299"/>
      <c r="D24" s="302"/>
      <c r="E24" s="299" t="s">
        <v>160</v>
      </c>
      <c r="F24" s="281">
        <f>'Food Calcs'!Z11</f>
        <v>0</v>
      </c>
    </row>
    <row r="25" spans="1:6" x14ac:dyDescent="0.25">
      <c r="A25" s="296"/>
      <c r="B25" s="299"/>
      <c r="C25" s="299"/>
      <c r="D25" s="302"/>
      <c r="E25" s="299" t="s">
        <v>160</v>
      </c>
      <c r="F25" s="281">
        <f>'Food Calcs'!Z12</f>
        <v>0</v>
      </c>
    </row>
    <row r="26" spans="1:6" ht="15.75" thickBot="1" x14ac:dyDescent="0.3">
      <c r="A26" s="297"/>
      <c r="B26" s="300"/>
      <c r="C26" s="300"/>
      <c r="D26" s="303"/>
      <c r="E26" s="300" t="s">
        <v>160</v>
      </c>
      <c r="F26" s="282">
        <f>'Food Calcs'!Z13</f>
        <v>0</v>
      </c>
    </row>
    <row r="27" spans="1:6" ht="15.75" thickBot="1" x14ac:dyDescent="0.3"/>
    <row r="28" spans="1:6" ht="16.5" thickBot="1" x14ac:dyDescent="0.3">
      <c r="A28" s="333" t="s">
        <v>182</v>
      </c>
      <c r="B28" s="334"/>
      <c r="C28" s="335"/>
    </row>
    <row r="29" spans="1:6" ht="62.25" thickBot="1" x14ac:dyDescent="0.3">
      <c r="A29" s="276" t="s">
        <v>167</v>
      </c>
      <c r="B29" s="277" t="s">
        <v>168</v>
      </c>
      <c r="C29" s="279" t="s">
        <v>409</v>
      </c>
    </row>
    <row r="30" spans="1:6" x14ac:dyDescent="0.25">
      <c r="A30" s="295"/>
      <c r="B30" s="298"/>
      <c r="C30" s="280">
        <f>'Food Calcs'!J16</f>
        <v>0</v>
      </c>
    </row>
    <row r="31" spans="1:6" x14ac:dyDescent="0.25">
      <c r="A31" s="295"/>
      <c r="B31" s="299"/>
      <c r="C31" s="280">
        <f>'Food Calcs'!J17</f>
        <v>0</v>
      </c>
    </row>
    <row r="32" spans="1:6" x14ac:dyDescent="0.25">
      <c r="A32" s="295"/>
      <c r="B32" s="299"/>
      <c r="C32" s="280">
        <f>'Food Calcs'!J18</f>
        <v>0</v>
      </c>
    </row>
    <row r="33" spans="1:6" x14ac:dyDescent="0.25">
      <c r="A33" s="295"/>
      <c r="B33" s="299"/>
      <c r="C33" s="280">
        <f>'Food Calcs'!J19</f>
        <v>0</v>
      </c>
    </row>
    <row r="34" spans="1:6" x14ac:dyDescent="0.25">
      <c r="A34" s="295"/>
      <c r="B34" s="299"/>
      <c r="C34" s="280">
        <f>'Food Calcs'!J20</f>
        <v>0</v>
      </c>
    </row>
    <row r="35" spans="1:6" ht="15.75" thickBot="1" x14ac:dyDescent="0.3">
      <c r="A35" s="304"/>
      <c r="B35" s="300"/>
      <c r="C35" s="283">
        <f>'Food Calcs'!J21</f>
        <v>0</v>
      </c>
    </row>
    <row r="36" spans="1:6" ht="15.75" thickBot="1" x14ac:dyDescent="0.3"/>
    <row r="37" spans="1:6" ht="45" customHeight="1" thickBot="1" x14ac:dyDescent="0.3">
      <c r="A37" s="284" t="s">
        <v>0</v>
      </c>
      <c r="B37" s="285" t="s">
        <v>341</v>
      </c>
      <c r="C37" s="285" t="s">
        <v>400</v>
      </c>
      <c r="D37" s="285" t="s">
        <v>28</v>
      </c>
      <c r="E37" s="286" t="s">
        <v>410</v>
      </c>
    </row>
    <row r="38" spans="1:6" x14ac:dyDescent="0.25">
      <c r="A38" s="287" t="s">
        <v>411</v>
      </c>
      <c r="B38" s="298"/>
      <c r="C38" s="298"/>
      <c r="D38" s="288">
        <f>SUM(B38+C38)/2000</f>
        <v>0</v>
      </c>
      <c r="E38" s="289">
        <f>'Food Calcs'!I26</f>
        <v>0</v>
      </c>
    </row>
    <row r="39" spans="1:6" x14ac:dyDescent="0.25">
      <c r="A39" s="287" t="s">
        <v>412</v>
      </c>
      <c r="B39" s="299"/>
      <c r="C39" s="299"/>
      <c r="D39" s="288">
        <f t="shared" ref="D39:D47" si="0">SUM(B39+C39)/2000</f>
        <v>0</v>
      </c>
      <c r="E39" s="290">
        <f>'Food Calcs'!I27</f>
        <v>0</v>
      </c>
    </row>
    <row r="40" spans="1:6" x14ac:dyDescent="0.25">
      <c r="A40" s="287" t="s">
        <v>413</v>
      </c>
      <c r="B40" s="299"/>
      <c r="C40" s="299"/>
      <c r="D40" s="288">
        <f t="shared" si="0"/>
        <v>0</v>
      </c>
      <c r="E40" s="290">
        <f>'Food Calcs'!I28</f>
        <v>0</v>
      </c>
    </row>
    <row r="41" spans="1:6" x14ac:dyDescent="0.25">
      <c r="A41" s="287" t="s">
        <v>414</v>
      </c>
      <c r="B41" s="299"/>
      <c r="C41" s="299"/>
      <c r="D41" s="288">
        <f t="shared" si="0"/>
        <v>0</v>
      </c>
      <c r="E41" s="290">
        <f>'Food Calcs'!I29</f>
        <v>0</v>
      </c>
    </row>
    <row r="42" spans="1:6" x14ac:dyDescent="0.25">
      <c r="A42" s="287" t="s">
        <v>415</v>
      </c>
      <c r="B42" s="299"/>
      <c r="C42" s="299"/>
      <c r="D42" s="288">
        <f t="shared" si="0"/>
        <v>0</v>
      </c>
      <c r="E42" s="290">
        <f>'Food Calcs'!I30</f>
        <v>0</v>
      </c>
    </row>
    <row r="43" spans="1:6" x14ac:dyDescent="0.25">
      <c r="A43" s="287" t="s">
        <v>416</v>
      </c>
      <c r="B43" s="299"/>
      <c r="C43" s="299"/>
      <c r="D43" s="288">
        <f t="shared" si="0"/>
        <v>0</v>
      </c>
      <c r="E43" s="290">
        <f>'Food Calcs'!I31</f>
        <v>0</v>
      </c>
    </row>
    <row r="44" spans="1:6" x14ac:dyDescent="0.25">
      <c r="A44" s="287" t="s">
        <v>417</v>
      </c>
      <c r="B44" s="299"/>
      <c r="C44" s="299"/>
      <c r="D44" s="288">
        <f t="shared" si="0"/>
        <v>0</v>
      </c>
      <c r="E44" s="290">
        <f>'Food Calcs'!I32</f>
        <v>0</v>
      </c>
    </row>
    <row r="45" spans="1:6" x14ac:dyDescent="0.25">
      <c r="A45" s="287" t="s">
        <v>418</v>
      </c>
      <c r="B45" s="299"/>
      <c r="C45" s="299"/>
      <c r="D45" s="288">
        <f t="shared" si="0"/>
        <v>0</v>
      </c>
      <c r="E45" s="290">
        <f>'Food Calcs'!I33</f>
        <v>0</v>
      </c>
    </row>
    <row r="46" spans="1:6" x14ac:dyDescent="0.25">
      <c r="A46" s="287" t="s">
        <v>419</v>
      </c>
      <c r="B46" s="299"/>
      <c r="C46" s="299"/>
      <c r="D46" s="288">
        <f t="shared" si="0"/>
        <v>0</v>
      </c>
      <c r="E46" s="290">
        <f>'Food Calcs'!I34</f>
        <v>0</v>
      </c>
    </row>
    <row r="47" spans="1:6" x14ac:dyDescent="0.25">
      <c r="A47" s="287" t="s">
        <v>420</v>
      </c>
      <c r="B47" s="299"/>
      <c r="C47" s="299"/>
      <c r="D47" s="288">
        <f t="shared" si="0"/>
        <v>0</v>
      </c>
      <c r="E47" s="290">
        <f>'Food Calcs'!I35</f>
        <v>0</v>
      </c>
    </row>
    <row r="48" spans="1:6" ht="15.75" thickBot="1" x14ac:dyDescent="0.3">
      <c r="A48" s="291" t="s">
        <v>1</v>
      </c>
      <c r="B48" s="292">
        <f>SUM(B38:B47)</f>
        <v>0</v>
      </c>
      <c r="C48" s="292">
        <f>SUM(C38:C47)</f>
        <v>0</v>
      </c>
      <c r="D48" s="292">
        <f>SUM(D38:D47)</f>
        <v>0</v>
      </c>
      <c r="E48" s="293">
        <f>SUM(E38:E47)</f>
        <v>0</v>
      </c>
      <c r="F48" s="294"/>
    </row>
  </sheetData>
  <sheetProtection algorithmName="SHA-512" hashValue="Kt8tBwKcOrA2aOXIrJNN2IjRm/ORha706a/unqNYKLeC5rLow599IIyle6c9Wv2b2n6E4XngNV4XHs9/RdY/FA==" saltValue="CiU/ig5eT1Jf7Snt87Le7g==" spinCount="100000" sheet="1"/>
  <dataConsolidate link="1"/>
  <mergeCells count="2">
    <mergeCell ref="A15:F15"/>
    <mergeCell ref="A28:C28"/>
  </mergeCells>
  <phoneticPr fontId="35" type="noConversion"/>
  <conditionalFormatting sqref="E48">
    <cfRule type="cellIs" dxfId="10" priority="1" operator="lessThanOrEqual">
      <formula>0</formula>
    </cfRule>
  </conditionalFormatting>
  <dataValidations count="7">
    <dataValidation type="whole" operator="greaterThan" allowBlank="1" showInputMessage="1" showErrorMessage="1" sqref="B18:B26 B31:B35" xr:uid="{00000000-0002-0000-0200-000000000000}">
      <formula1>0</formula1>
    </dataValidation>
    <dataValidation allowBlank="1" showInputMessage="1" showErrorMessage="1" prompt="Enter the volume of the refrigerator or freezer. This information should be available on the spec sheet or the manufacturer's website. This cell will turn black for a residential refrigerator/freezer and may be left blank." sqref="C17" xr:uid="{00000000-0002-0000-0200-000001000000}"/>
    <dataValidation allowBlank="1" showInputMessage="1" showErrorMessage="1" prompt="This is an optional input. If known, enter the refrigerant charge size from the spec sheet or manufacturer's website. If this value is not known, leave the cell blank and the calculator tool will use an average value based on your selected equipment type." sqref="D17" xr:uid="{00000000-0002-0000-0200-000002000000}"/>
    <dataValidation type="whole" operator="greaterThan" allowBlank="1" showInputMessage="1" showErrorMessage="1" prompt="Enter the amount of identical units to be purchased." sqref="B17" xr:uid="{00000000-0002-0000-0200-000003000000}">
      <formula1>0</formula1>
    </dataValidation>
    <dataValidation type="whole" operator="greaterThan" allowBlank="1" showInputMessage="1" showErrorMessage="1" prompt="Enter the number of identical vehicles that you plan to purchase." sqref="B30" xr:uid="{00000000-0002-0000-0200-000004000000}">
      <formula1>0</formula1>
    </dataValidation>
    <dataValidation allowBlank="1" showInputMessage="1" showErrorMessage="1" prompt="Enter the pounds of edible food that will be rescued and used to feed people each year of the project life in short tons.  Do not include the weight of any residual materials that will be landfilled or not used to feed people.  " sqref="B38" xr:uid="{00000000-0002-0000-0200-000005000000}"/>
    <dataValidation allowBlank="1" showInputMessage="1" showErrorMessage="1" prompt="Enter the pounds of food waste that will be prevented from being landfilled as a result of source reduction each year of the project life in short tons.  " sqref="C38" xr:uid="{00000000-0002-0000-0200-000006000000}"/>
  </dataValidations>
  <hyperlinks>
    <hyperlink ref="A12" r:id="rId1" xr:uid="{57A729B5-DF22-43DD-9AFE-8D34884D7FBC}"/>
  </hyperlinks>
  <pageMargins left="4.1666666666666699E-2" right="0.7" top="0" bottom="0.75" header="0.3" footer="0.3"/>
  <pageSetup scale="53" orientation="landscape" r:id="rId2"/>
  <headerFooter>
    <oddFooter>&amp;CPage 3 of 7&amp;RInputs Worksheet</oddFooter>
  </headerFooter>
  <drawing r:id="rId3"/>
  <extLst>
    <ext xmlns:x14="http://schemas.microsoft.com/office/spreadsheetml/2009/9/main" uri="{78C0D931-6437-407d-A8EE-F0AAD7539E65}">
      <x14:conditionalFormattings>
        <x14:conditionalFormatting xmlns:xm="http://schemas.microsoft.com/office/excel/2006/main">
          <x14:cfRule type="expression" priority="21" id="{079CEDAE-55E2-4016-873A-1A86DDD0B73A}">
            <xm:f>OR($A$17=Sheet1!$A$1,$A$17=Sheet1!$A$2,$A$17=Sheet1!$A$3)</xm:f>
            <x14:dxf>
              <fill>
                <patternFill>
                  <bgColor theme="1"/>
                </patternFill>
              </fill>
            </x14:dxf>
          </x14:cfRule>
          <xm:sqref>C17:E17</xm:sqref>
        </x14:conditionalFormatting>
        <x14:conditionalFormatting xmlns:xm="http://schemas.microsoft.com/office/excel/2006/main">
          <x14:cfRule type="expression" priority="20" id="{7E86AECD-3768-47A3-8BE7-9F5B114A98BC}">
            <xm:f>OR($A$18=Sheet1!$A$1,$A$18=Sheet1!$A$2,$A$18=Sheet1!$A$3)</xm:f>
            <x14:dxf>
              <fill>
                <patternFill>
                  <bgColor theme="1"/>
                </patternFill>
              </fill>
            </x14:dxf>
          </x14:cfRule>
          <xm:sqref>C18:E18</xm:sqref>
        </x14:conditionalFormatting>
        <x14:conditionalFormatting xmlns:xm="http://schemas.microsoft.com/office/excel/2006/main">
          <x14:cfRule type="expression" priority="19" id="{64200202-120D-4CBD-9BB7-15B2072136CF}">
            <xm:f>OR($A$19=Sheet1!$A$1,$A$19=Sheet1!$A$2,$A$19=Sheet1!$A$3)</xm:f>
            <x14:dxf>
              <fill>
                <patternFill>
                  <bgColor theme="1"/>
                </patternFill>
              </fill>
            </x14:dxf>
          </x14:cfRule>
          <xm:sqref>C19:E19</xm:sqref>
        </x14:conditionalFormatting>
        <x14:conditionalFormatting xmlns:xm="http://schemas.microsoft.com/office/excel/2006/main">
          <x14:cfRule type="expression" priority="18" id="{BB32EB9E-D703-4ADA-B6D7-C3EE952C1FFE}">
            <xm:f>OR($A$20=Sheet1!$A$1,$A$20=Sheet1!$A$2,$A$20=Sheet1!$A$3)</xm:f>
            <x14:dxf>
              <fill>
                <patternFill>
                  <bgColor theme="1"/>
                </patternFill>
              </fill>
            </x14:dxf>
          </x14:cfRule>
          <xm:sqref>C20:E20</xm:sqref>
        </x14:conditionalFormatting>
        <x14:conditionalFormatting xmlns:xm="http://schemas.microsoft.com/office/excel/2006/main">
          <x14:cfRule type="expression" priority="17" id="{3581E119-3C27-4AFF-B435-12C6889ED85A}">
            <xm:f>OR($A$21=Sheet1!$A$1,$A$21=Sheet1!$A$2,$A$21=Sheet1!$A$3)</xm:f>
            <x14:dxf>
              <fill>
                <patternFill>
                  <bgColor theme="1"/>
                </patternFill>
              </fill>
            </x14:dxf>
          </x14:cfRule>
          <xm:sqref>C21:E21</xm:sqref>
        </x14:conditionalFormatting>
        <x14:conditionalFormatting xmlns:xm="http://schemas.microsoft.com/office/excel/2006/main">
          <x14:cfRule type="expression" priority="12" id="{DC21041E-1247-4FAC-8679-A1BD0A3192D6}">
            <xm:f>OR($A$26=Sheet1!$A$1,$A$26=Sheet1!$A$2,$A$26=Sheet1!$A$3)</xm:f>
            <x14:dxf>
              <fill>
                <patternFill>
                  <bgColor theme="1"/>
                </patternFill>
              </fill>
            </x14:dxf>
          </x14:cfRule>
          <xm:sqref>C26:E26</xm:sqref>
        </x14:conditionalFormatting>
        <x14:conditionalFormatting xmlns:xm="http://schemas.microsoft.com/office/excel/2006/main">
          <x14:cfRule type="expression" priority="13" id="{1858A18B-B76E-476F-A751-640F3A0110E5}">
            <xm:f>OR($A$25=Sheet1!$A$1,$A$25=Sheet1!$A$2,$A$25=Sheet1!$A$3)</xm:f>
            <x14:dxf>
              <fill>
                <patternFill>
                  <bgColor theme="1"/>
                </patternFill>
              </fill>
            </x14:dxf>
          </x14:cfRule>
          <xm:sqref>C25:E25</xm:sqref>
        </x14:conditionalFormatting>
        <x14:conditionalFormatting xmlns:xm="http://schemas.microsoft.com/office/excel/2006/main">
          <x14:cfRule type="expression" priority="14" id="{2E911F67-A067-430F-887F-4C79D55A4175}">
            <xm:f>OR($A$24=Sheet1!$A$1,$A$24=Sheet1!$A$2,$A$24=Sheet1!$A$3)</xm:f>
            <x14:dxf>
              <fill>
                <patternFill>
                  <bgColor theme="1"/>
                </patternFill>
              </fill>
            </x14:dxf>
          </x14:cfRule>
          <xm:sqref>C24:E24</xm:sqref>
        </x14:conditionalFormatting>
        <x14:conditionalFormatting xmlns:xm="http://schemas.microsoft.com/office/excel/2006/main">
          <x14:cfRule type="expression" priority="15" id="{580C2BA7-3509-42E4-95F2-A5113C19FE26}">
            <xm:f>OR($A$23=Sheet1!$A$1,$A$23=Sheet1!$A$2,$A$23=Sheet1!$A$3)</xm:f>
            <x14:dxf>
              <fill>
                <patternFill>
                  <bgColor theme="1"/>
                </patternFill>
              </fill>
            </x14:dxf>
          </x14:cfRule>
          <xm:sqref>C23:E23</xm:sqref>
        </x14:conditionalFormatting>
        <x14:conditionalFormatting xmlns:xm="http://schemas.microsoft.com/office/excel/2006/main">
          <x14:cfRule type="expression" priority="16" id="{81648F68-A0CA-47C5-A996-331607E615D8}">
            <xm:f>OR($A$22=Sheet1!$A$1,$A$22=Sheet1!$A$2,$A$22=Sheet1!$A$3)</xm:f>
            <x14:dxf>
              <fill>
                <patternFill>
                  <bgColor theme="1"/>
                </patternFill>
              </fill>
            </x14:dxf>
          </x14:cfRule>
          <xm:sqref>C22:E22</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7000000}">
          <x14:formula1>
            <xm:f>Sheet1!$A$1:$A$12</xm:f>
          </x14:formula1>
          <xm:sqref>A18:A26</xm:sqref>
        </x14:dataValidation>
        <x14:dataValidation type="list" allowBlank="1" showInputMessage="1" showErrorMessage="1" xr:uid="{00000000-0002-0000-0200-000008000000}">
          <x14:formula1>
            <xm:f>'GHG ERFs'!$A$38:$A$112</xm:f>
          </x14:formula1>
          <xm:sqref>E18:E26</xm:sqref>
        </x14:dataValidation>
        <x14:dataValidation type="list" allowBlank="1" showInputMessage="1" showErrorMessage="1" xr:uid="{00000000-0002-0000-0200-000009000000}">
          <x14:formula1>
            <xm:f>Sheet1!$A$35:$A$54</xm:f>
          </x14:formula1>
          <xm:sqref>A31:A35</xm:sqref>
        </x14:dataValidation>
        <x14:dataValidation type="list" allowBlank="1" showInputMessage="1" showErrorMessage="1" prompt="If known, select the refrigerant type from the drop down menu. If the refrigerant type is unknown, leave the refrigerant type as &quot;Default Value&quot; and the calculator tool will use an average default assumption." xr:uid="{00000000-0002-0000-0200-00000A000000}">
          <x14:formula1>
            <xm:f>'GHG ERFs'!$A$38:$A$112</xm:f>
          </x14:formula1>
          <xm:sqref>E17</xm:sqref>
        </x14:dataValidation>
        <x14:dataValidation type="list" allowBlank="1" showInputMessage="1" showErrorMessage="1" prompt="If a refrigerator or freezer will be purchased as part of the grant, enter the equipment type here. If no equipment will be purchased, leave blank. See Definitions Tab for additional details." xr:uid="{00000000-0002-0000-0200-00000B000000}">
          <x14:formula1>
            <xm:f>Sheet1!$A$1:$A$12</xm:f>
          </x14:formula1>
          <xm:sqref>A17</xm:sqref>
        </x14:dataValidation>
        <x14:dataValidation type="list" allowBlank="1" showInputMessage="1" showErrorMessage="1" prompt="If you are purchasing a vehicle, select from the vehicle types. If no vehicle will be purchased, leave this cell blank. See Definitions Tab for additional details." xr:uid="{00000000-0002-0000-0200-00000C000000}">
          <x14:formula1>
            <xm:f>Sheet1!$A$35:$A$54</xm:f>
          </x14:formula1>
          <xm:sqref>A30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6" tint="0.59999389629810485"/>
  </sheetPr>
  <dimension ref="A1:F24"/>
  <sheetViews>
    <sheetView showGridLines="0" zoomScaleNormal="100" workbookViewId="0">
      <selection activeCell="E44" sqref="E44"/>
    </sheetView>
  </sheetViews>
  <sheetFormatPr defaultColWidth="9.140625" defaultRowHeight="15" x14ac:dyDescent="0.25"/>
  <cols>
    <col min="1" max="5" width="17.85546875" style="171" customWidth="1"/>
    <col min="6" max="6" width="54.28515625" style="171" customWidth="1"/>
    <col min="7" max="16384" width="9.140625" style="171"/>
  </cols>
  <sheetData>
    <row r="1" spans="1:6" ht="18.75" customHeight="1" x14ac:dyDescent="0.25">
      <c r="A1" s="341" t="str">
        <f>'Read Me'!I1</f>
        <v xml:space="preserve">California Air Resources Board </v>
      </c>
      <c r="B1" s="341"/>
      <c r="C1" s="341"/>
      <c r="D1" s="341"/>
      <c r="E1" s="341"/>
      <c r="F1" s="341"/>
    </row>
    <row r="2" spans="1:6" ht="15" customHeight="1" x14ac:dyDescent="0.25">
      <c r="A2" s="341"/>
      <c r="B2" s="341"/>
      <c r="C2" s="341"/>
      <c r="D2" s="341"/>
      <c r="E2" s="341"/>
      <c r="F2" s="341"/>
    </row>
    <row r="3" spans="1:6" ht="18.75" customHeight="1" x14ac:dyDescent="0.25">
      <c r="A3" s="341" t="str">
        <f>'Read Me'!I3</f>
        <v xml:space="preserve">Benefits Calculator Tool for the </v>
      </c>
      <c r="B3" s="341"/>
      <c r="C3" s="341"/>
      <c r="D3" s="341"/>
      <c r="E3" s="341"/>
      <c r="F3" s="341"/>
    </row>
    <row r="4" spans="1:6" ht="18.75" customHeight="1" x14ac:dyDescent="0.25">
      <c r="A4" s="341" t="str">
        <f>'Read Me'!I4</f>
        <v>Food Waste Prevention and Rescue Program</v>
      </c>
      <c r="B4" s="341"/>
      <c r="C4" s="341"/>
      <c r="D4" s="341"/>
      <c r="E4" s="341"/>
      <c r="F4" s="341"/>
    </row>
    <row r="5" spans="1:6" ht="15" customHeight="1" x14ac:dyDescent="0.25">
      <c r="A5" s="341"/>
      <c r="B5" s="341"/>
      <c r="C5" s="341"/>
      <c r="D5" s="341"/>
      <c r="E5" s="341"/>
      <c r="F5" s="341"/>
    </row>
    <row r="6" spans="1:6" ht="18.75" customHeight="1" x14ac:dyDescent="0.25">
      <c r="A6" s="341" t="str">
        <f>'Read Me'!I6</f>
        <v>California Climate Investments</v>
      </c>
      <c r="B6" s="341"/>
      <c r="C6" s="341"/>
      <c r="D6" s="341"/>
      <c r="E6" s="341"/>
      <c r="F6" s="341"/>
    </row>
    <row r="7" spans="1:6" ht="18.75" customHeight="1" x14ac:dyDescent="0.25">
      <c r="A7" s="341" t="str">
        <f>'Read Me'!I7</f>
        <v>Greenhouse Gas Reduction Fund</v>
      </c>
      <c r="B7" s="341"/>
      <c r="C7" s="341"/>
      <c r="D7" s="341"/>
      <c r="E7" s="341"/>
      <c r="F7" s="341"/>
    </row>
    <row r="9" spans="1:6" ht="18.75" customHeight="1" x14ac:dyDescent="0.25">
      <c r="A9" s="342" t="s">
        <v>324</v>
      </c>
      <c r="B9" s="342"/>
      <c r="C9" s="342"/>
      <c r="D9" s="342"/>
      <c r="E9" s="342"/>
      <c r="F9" s="342"/>
    </row>
    <row r="10" spans="1:6" ht="15" customHeight="1" x14ac:dyDescent="0.25">
      <c r="A10" s="343" t="s">
        <v>325</v>
      </c>
      <c r="B10" s="343"/>
      <c r="C10" s="343"/>
      <c r="D10" s="343"/>
      <c r="E10" s="343"/>
      <c r="F10" s="172">
        <f>'Read Me'!H25</f>
        <v>0</v>
      </c>
    </row>
    <row r="11" spans="1:6" ht="15" customHeight="1" x14ac:dyDescent="0.25">
      <c r="A11" s="343" t="s">
        <v>334</v>
      </c>
      <c r="B11" s="343"/>
      <c r="C11" s="343"/>
      <c r="D11" s="343"/>
      <c r="E11" s="343"/>
      <c r="F11" s="183">
        <f>'Read Me'!H31</f>
        <v>0</v>
      </c>
    </row>
    <row r="12" spans="1:6" ht="15" customHeight="1" x14ac:dyDescent="0.25">
      <c r="A12" s="343" t="s">
        <v>326</v>
      </c>
      <c r="B12" s="343"/>
      <c r="C12" s="343"/>
      <c r="D12" s="343"/>
      <c r="E12" s="343"/>
      <c r="F12" s="183">
        <f>'Read Me'!H32</f>
        <v>0</v>
      </c>
    </row>
    <row r="13" spans="1:6" ht="15" customHeight="1" x14ac:dyDescent="0.25">
      <c r="A13" s="343" t="s">
        <v>327</v>
      </c>
      <c r="B13" s="343"/>
      <c r="C13" s="343"/>
      <c r="D13" s="343"/>
      <c r="E13" s="343"/>
      <c r="F13" s="183">
        <f>'Read Me'!H34</f>
        <v>0</v>
      </c>
    </row>
    <row r="14" spans="1:6" ht="15" customHeight="1" x14ac:dyDescent="0.25">
      <c r="A14" s="338" t="s">
        <v>353</v>
      </c>
      <c r="B14" s="339"/>
      <c r="C14" s="339"/>
      <c r="D14" s="339"/>
      <c r="E14" s="340"/>
      <c r="F14" s="183">
        <f>F11+F12</f>
        <v>0</v>
      </c>
    </row>
    <row r="15" spans="1:6" ht="15" customHeight="1" x14ac:dyDescent="0.25">
      <c r="A15" s="343" t="s">
        <v>328</v>
      </c>
      <c r="B15" s="343"/>
      <c r="C15" s="343"/>
      <c r="D15" s="343"/>
      <c r="E15" s="343"/>
      <c r="F15" s="183">
        <f>'Read Me'!H35</f>
        <v>0</v>
      </c>
    </row>
    <row r="16" spans="1:6" ht="15" customHeight="1" x14ac:dyDescent="0.25">
      <c r="A16" s="181"/>
      <c r="B16" s="181"/>
      <c r="C16" s="181"/>
      <c r="D16" s="181"/>
      <c r="E16" s="181"/>
      <c r="F16" s="182"/>
    </row>
    <row r="17" spans="1:6" ht="18.75" customHeight="1" x14ac:dyDescent="0.25">
      <c r="A17" s="342" t="s">
        <v>21</v>
      </c>
      <c r="B17" s="342"/>
      <c r="C17" s="342"/>
      <c r="D17" s="342"/>
      <c r="E17" s="342"/>
      <c r="F17" s="342"/>
    </row>
    <row r="18" spans="1:6" ht="15" customHeight="1" x14ac:dyDescent="0.25">
      <c r="A18" s="343" t="s">
        <v>329</v>
      </c>
      <c r="B18" s="343"/>
      <c r="C18" s="343"/>
      <c r="D18" s="343"/>
      <c r="E18" s="343"/>
      <c r="F18" s="179">
        <f>Inputs!E48</f>
        <v>0</v>
      </c>
    </row>
    <row r="19" spans="1:6" ht="15" customHeight="1" x14ac:dyDescent="0.25">
      <c r="A19" s="343" t="s">
        <v>354</v>
      </c>
      <c r="B19" s="343"/>
      <c r="C19" s="343"/>
      <c r="D19" s="343"/>
      <c r="E19" s="343"/>
      <c r="F19" s="173" t="str">
        <f>IFERROR(F18/F15,"")</f>
        <v/>
      </c>
    </row>
    <row r="20" spans="1:6" ht="15" customHeight="1" x14ac:dyDescent="0.25">
      <c r="A20" s="336" t="s">
        <v>355</v>
      </c>
      <c r="B20" s="336"/>
      <c r="C20" s="336"/>
      <c r="D20" s="336"/>
      <c r="E20" s="336"/>
      <c r="F20" s="174" t="str">
        <f>IFERROR(F18/(F11+F12),"")</f>
        <v/>
      </c>
    </row>
    <row r="21" spans="1:6" ht="30" customHeight="1" x14ac:dyDescent="0.25">
      <c r="A21" s="336" t="s">
        <v>335</v>
      </c>
      <c r="B21" s="336"/>
      <c r="C21" s="336"/>
      <c r="D21" s="336"/>
      <c r="E21" s="336"/>
      <c r="F21" s="174" t="str">
        <f>IFERROR(F18/F11,"")</f>
        <v/>
      </c>
    </row>
    <row r="22" spans="1:6" ht="33.75" customHeight="1" x14ac:dyDescent="0.35">
      <c r="A22" s="336" t="s">
        <v>351</v>
      </c>
      <c r="B22" s="336"/>
      <c r="C22" s="336"/>
      <c r="D22" s="336"/>
      <c r="E22" s="336"/>
      <c r="F22" s="208">
        <f>IF(F11=0,0,F11/F18)</f>
        <v>0</v>
      </c>
    </row>
    <row r="23" spans="1:6" ht="38.25" customHeight="1" x14ac:dyDescent="0.25">
      <c r="A23" s="337" t="s">
        <v>352</v>
      </c>
      <c r="B23" s="337"/>
      <c r="C23" s="337"/>
      <c r="D23" s="337"/>
      <c r="E23" s="337"/>
      <c r="F23" s="209">
        <f>IF(F18=0,0,(F18*(F14-F11)/F14))</f>
        <v>0</v>
      </c>
    </row>
    <row r="24" spans="1:6" x14ac:dyDescent="0.25">
      <c r="A24" s="337" t="s">
        <v>357</v>
      </c>
      <c r="B24" s="337"/>
      <c r="C24" s="337"/>
      <c r="D24" s="337"/>
      <c r="E24" s="337"/>
      <c r="F24" s="210" t="str">
        <f>IF('Read Me'!H33="","",'Read Me'!H33)</f>
        <v/>
      </c>
    </row>
  </sheetData>
  <sheetProtection algorithmName="SHA-512" hashValue="GqA449BvuPscQga9gtTQW3TW7g3aEGVdUpPiCDwcBr4Kxa0VAtZLUIDWG7NIhjsssmtVc9UWR2OTBLaBijJKFw==" saltValue="UK1dXS9PL99tPrcaey82sw==" spinCount="100000" sheet="1"/>
  <mergeCells count="22">
    <mergeCell ref="A6:F6"/>
    <mergeCell ref="A1:F1"/>
    <mergeCell ref="A2:F2"/>
    <mergeCell ref="A3:F3"/>
    <mergeCell ref="A4:F4"/>
    <mergeCell ref="A5:F5"/>
    <mergeCell ref="A13:E13"/>
    <mergeCell ref="A15:E15"/>
    <mergeCell ref="A17:F17"/>
    <mergeCell ref="A18:E18"/>
    <mergeCell ref="A19:E19"/>
    <mergeCell ref="A7:F7"/>
    <mergeCell ref="A9:F9"/>
    <mergeCell ref="A10:E10"/>
    <mergeCell ref="A11:E11"/>
    <mergeCell ref="A12:E12"/>
    <mergeCell ref="A22:E22"/>
    <mergeCell ref="A23:E23"/>
    <mergeCell ref="A14:E14"/>
    <mergeCell ref="A24:E24"/>
    <mergeCell ref="A21:E21"/>
    <mergeCell ref="A20:E20"/>
  </mergeCells>
  <pageMargins left="0.7" right="0.7" top="0.75" bottom="0.75" header="0.3" footer="0.3"/>
  <pageSetup scale="72" orientation="landscape" r:id="rId1"/>
  <headerFooter>
    <oddFooter>&amp;C&amp;"Arial,Regular"&amp;10Page 4 of 7&amp;R&amp;"Arial,Regular"&amp;10GHG Summary Tab</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6" tint="0.59999389629810485"/>
  </sheetPr>
  <dimension ref="A1:J20"/>
  <sheetViews>
    <sheetView showGridLines="0" zoomScaleNormal="100" workbookViewId="0">
      <selection activeCell="G42" sqref="G42"/>
    </sheetView>
  </sheetViews>
  <sheetFormatPr defaultColWidth="9.140625" defaultRowHeight="15" x14ac:dyDescent="0.25"/>
  <cols>
    <col min="1" max="5" width="17.85546875" style="171" customWidth="1"/>
    <col min="6" max="6" width="54.28515625" style="171" customWidth="1"/>
    <col min="7" max="7" width="42.5703125" style="171" customWidth="1"/>
    <col min="8" max="16384" width="9.140625" style="171"/>
  </cols>
  <sheetData>
    <row r="1" spans="1:10" ht="18.75" customHeight="1" x14ac:dyDescent="0.25">
      <c r="A1" s="348" t="str">
        <f>'Read Me'!I1</f>
        <v xml:space="preserve">California Air Resources Board </v>
      </c>
      <c r="B1" s="348"/>
      <c r="C1" s="348"/>
      <c r="D1" s="348"/>
      <c r="E1" s="348"/>
      <c r="F1" s="348"/>
      <c r="G1" s="175"/>
      <c r="H1" s="175"/>
      <c r="I1" s="175"/>
      <c r="J1" s="175"/>
    </row>
    <row r="2" spans="1:10" ht="18" x14ac:dyDescent="0.25">
      <c r="A2" s="348"/>
      <c r="B2" s="348"/>
      <c r="C2" s="348"/>
      <c r="D2" s="348"/>
      <c r="E2" s="348"/>
      <c r="F2" s="348"/>
      <c r="G2" s="176"/>
      <c r="H2" s="176"/>
      <c r="I2" s="176"/>
      <c r="J2" s="176"/>
    </row>
    <row r="3" spans="1:10" ht="18.75" customHeight="1" x14ac:dyDescent="0.25">
      <c r="A3" s="348" t="str">
        <f>'Read Me'!I3</f>
        <v xml:space="preserve">Benefits Calculator Tool for the </v>
      </c>
      <c r="B3" s="348"/>
      <c r="C3" s="348"/>
      <c r="D3" s="348"/>
      <c r="E3" s="348"/>
      <c r="F3" s="348"/>
      <c r="G3" s="177"/>
      <c r="H3" s="177"/>
      <c r="I3" s="177"/>
      <c r="J3" s="177"/>
    </row>
    <row r="4" spans="1:10" ht="18.75" customHeight="1" x14ac:dyDescent="0.25">
      <c r="A4" s="348" t="str">
        <f>'Read Me'!I4</f>
        <v>Food Waste Prevention and Rescue Program</v>
      </c>
      <c r="B4" s="348"/>
      <c r="C4" s="348"/>
      <c r="D4" s="348"/>
      <c r="E4" s="348"/>
      <c r="F4" s="348"/>
      <c r="G4" s="177"/>
      <c r="H4" s="177"/>
      <c r="I4" s="177"/>
      <c r="J4" s="177"/>
    </row>
    <row r="5" spans="1:10" ht="18" x14ac:dyDescent="0.25">
      <c r="A5" s="348"/>
      <c r="B5" s="348"/>
      <c r="C5" s="348"/>
      <c r="D5" s="348"/>
      <c r="E5" s="348"/>
      <c r="F5" s="348"/>
      <c r="G5" s="176"/>
      <c r="H5" s="176"/>
      <c r="I5" s="176"/>
      <c r="J5" s="176"/>
    </row>
    <row r="6" spans="1:10" ht="18.75" customHeight="1" x14ac:dyDescent="0.25">
      <c r="A6" s="348" t="str">
        <f>'Read Me'!I6</f>
        <v>California Climate Investments</v>
      </c>
      <c r="B6" s="348"/>
      <c r="C6" s="348"/>
      <c r="D6" s="348"/>
      <c r="E6" s="348"/>
      <c r="F6" s="348"/>
      <c r="G6" s="177"/>
      <c r="H6" s="177"/>
      <c r="I6" s="177"/>
      <c r="J6" s="177"/>
    </row>
    <row r="7" spans="1:10" ht="18.75" customHeight="1" x14ac:dyDescent="0.25">
      <c r="A7" s="348" t="str">
        <f>'Read Me'!I7</f>
        <v>Greenhouse Gas Reduction Fund</v>
      </c>
      <c r="B7" s="348"/>
      <c r="C7" s="348"/>
      <c r="D7" s="348"/>
      <c r="E7" s="348"/>
      <c r="F7" s="348"/>
      <c r="G7" s="178"/>
      <c r="H7" s="178"/>
      <c r="I7" s="178"/>
      <c r="J7" s="178"/>
    </row>
    <row r="8" spans="1:10" ht="15" customHeight="1" x14ac:dyDescent="0.25"/>
    <row r="9" spans="1:10" ht="15" customHeight="1" x14ac:dyDescent="0.25">
      <c r="A9" s="343" t="s">
        <v>325</v>
      </c>
      <c r="B9" s="343"/>
      <c r="C9" s="343"/>
      <c r="D9" s="343"/>
      <c r="E9" s="343"/>
      <c r="F9" s="172">
        <f>'Read Me'!H25</f>
        <v>0</v>
      </c>
    </row>
    <row r="10" spans="1:10" ht="15" customHeight="1" x14ac:dyDescent="0.25"/>
    <row r="11" spans="1:10" ht="18.75" customHeight="1" x14ac:dyDescent="0.25">
      <c r="A11" s="342" t="s">
        <v>330</v>
      </c>
      <c r="B11" s="342"/>
      <c r="C11" s="342"/>
      <c r="D11" s="342"/>
      <c r="E11" s="342"/>
      <c r="F11" s="342"/>
    </row>
    <row r="12" spans="1:10" ht="15" customHeight="1" x14ac:dyDescent="0.25">
      <c r="A12" s="347" t="s">
        <v>331</v>
      </c>
      <c r="B12" s="347"/>
      <c r="C12" s="347"/>
      <c r="D12" s="347"/>
      <c r="E12" s="347"/>
      <c r="F12" s="180">
        <f>'Food Calcs'!O36</f>
        <v>0</v>
      </c>
    </row>
    <row r="13" spans="1:10" ht="15" customHeight="1" x14ac:dyDescent="0.25">
      <c r="A13" s="347" t="s">
        <v>332</v>
      </c>
      <c r="B13" s="347"/>
      <c r="C13" s="347"/>
      <c r="D13" s="347"/>
      <c r="E13" s="347"/>
      <c r="F13" s="180">
        <f>'Food Calcs'!N36</f>
        <v>0</v>
      </c>
    </row>
    <row r="14" spans="1:10" ht="15" customHeight="1" x14ac:dyDescent="0.25">
      <c r="A14" s="347" t="s">
        <v>333</v>
      </c>
      <c r="B14" s="347"/>
      <c r="C14" s="347"/>
      <c r="D14" s="347"/>
      <c r="E14" s="347"/>
      <c r="F14" s="179">
        <f>'Food Calcs'!P36</f>
        <v>0</v>
      </c>
    </row>
    <row r="15" spans="1:10" ht="15" customHeight="1" x14ac:dyDescent="0.25">
      <c r="A15" s="347" t="s">
        <v>336</v>
      </c>
      <c r="B15" s="347"/>
      <c r="C15" s="347"/>
      <c r="D15" s="347"/>
      <c r="E15" s="347"/>
      <c r="F15" s="179">
        <f>'Food Calcs'!Q36</f>
        <v>0</v>
      </c>
    </row>
    <row r="16" spans="1:10" ht="15" customHeight="1" x14ac:dyDescent="0.25">
      <c r="A16" s="347" t="s">
        <v>359</v>
      </c>
      <c r="B16" s="347"/>
      <c r="C16" s="347"/>
      <c r="D16" s="347"/>
      <c r="E16" s="347"/>
      <c r="F16" s="179">
        <f>Inputs!B48/2000</f>
        <v>0</v>
      </c>
    </row>
    <row r="17" spans="1:6" ht="15" customHeight="1" x14ac:dyDescent="0.25">
      <c r="A17" s="344" t="s">
        <v>364</v>
      </c>
      <c r="B17" s="345"/>
      <c r="C17" s="345"/>
      <c r="D17" s="345"/>
      <c r="E17" s="346"/>
      <c r="F17" s="179">
        <f>Inputs!C48/2000</f>
        <v>0</v>
      </c>
    </row>
    <row r="18" spans="1:6" ht="15" customHeight="1" x14ac:dyDescent="0.25">
      <c r="A18" s="337" t="s">
        <v>358</v>
      </c>
      <c r="B18" s="347"/>
      <c r="C18" s="347"/>
      <c r="D18" s="347"/>
      <c r="E18" s="347"/>
      <c r="F18" s="179">
        <f>Inputs!D48</f>
        <v>0</v>
      </c>
    </row>
    <row r="19" spans="1:6" ht="15.75" x14ac:dyDescent="0.25">
      <c r="A19" s="343" t="s">
        <v>360</v>
      </c>
      <c r="B19" s="343"/>
      <c r="C19" s="343"/>
      <c r="D19" s="343"/>
      <c r="E19" s="343"/>
      <c r="F19" s="211">
        <f>-SUM('Food Calcs'!C16:C21)*'Food Calcs'!S37</f>
        <v>0</v>
      </c>
    </row>
    <row r="20" spans="1:6" ht="15.75" x14ac:dyDescent="0.25">
      <c r="A20" s="343" t="s">
        <v>395</v>
      </c>
      <c r="B20" s="343"/>
      <c r="C20" s="343"/>
      <c r="D20" s="343"/>
      <c r="E20" s="343"/>
      <c r="F20" s="241">
        <f>'Food Calcs'!R36</f>
        <v>0</v>
      </c>
    </row>
  </sheetData>
  <sheetProtection algorithmName="SHA-512" hashValue="osGlFJNVEMNHKg6Apb5Ff9/Ee5LCFs3e4o0S0jvWZ/XVOulLu8EaHgYi2sWOkRFdHqeh3vpJE1SD58ecRCWb4Q==" saltValue="6aC2bZG3K3VkBx4dhakDfg==" spinCount="100000" sheet="1"/>
  <mergeCells count="18">
    <mergeCell ref="A14:E14"/>
    <mergeCell ref="A6:F6"/>
    <mergeCell ref="A1:F1"/>
    <mergeCell ref="A2:F2"/>
    <mergeCell ref="A3:F3"/>
    <mergeCell ref="A4:F4"/>
    <mergeCell ref="A5:F5"/>
    <mergeCell ref="A7:F7"/>
    <mergeCell ref="A9:E9"/>
    <mergeCell ref="A11:F11"/>
    <mergeCell ref="A12:E12"/>
    <mergeCell ref="A13:E13"/>
    <mergeCell ref="A20:E20"/>
    <mergeCell ref="A19:E19"/>
    <mergeCell ref="A17:E17"/>
    <mergeCell ref="A15:E15"/>
    <mergeCell ref="A16:E16"/>
    <mergeCell ref="A18:E18"/>
  </mergeCells>
  <pageMargins left="0.7" right="0.7" top="0.75" bottom="0.75" header="0.3" footer="0.3"/>
  <pageSetup scale="66" orientation="landscape" r:id="rId1"/>
  <headerFooter>
    <oddFooter>&amp;C&amp;"Arial,Regular"&amp;10Page 5 of 7&amp;R&amp;"Arial,Regular"&amp;10Co-benefits Summary Tab</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154"/>
  <sheetViews>
    <sheetView showGridLines="0" zoomScaleNormal="100" workbookViewId="0">
      <selection activeCell="D151" sqref="D151"/>
    </sheetView>
  </sheetViews>
  <sheetFormatPr defaultRowHeight="15" x14ac:dyDescent="0.25"/>
  <cols>
    <col min="1" max="1" width="42.7109375" customWidth="1"/>
    <col min="2" max="2" width="25.7109375" customWidth="1"/>
    <col min="3" max="3" width="29.28515625" customWidth="1"/>
    <col min="4" max="4" width="75.85546875" customWidth="1"/>
  </cols>
  <sheetData>
    <row r="1" spans="1:4" ht="18.75" x14ac:dyDescent="0.3">
      <c r="C1" s="2" t="str">
        <f>'Read Me'!I1</f>
        <v xml:space="preserve">California Air Resources Board </v>
      </c>
    </row>
    <row r="2" spans="1:4" ht="18.75" x14ac:dyDescent="0.3">
      <c r="C2" s="184"/>
    </row>
    <row r="3" spans="1:4" ht="18.75" x14ac:dyDescent="0.3">
      <c r="C3" s="184" t="str">
        <f>'Read Me'!I3</f>
        <v xml:space="preserve">Benefits Calculator Tool for the </v>
      </c>
    </row>
    <row r="4" spans="1:4" ht="18.75" x14ac:dyDescent="0.3">
      <c r="C4" s="184" t="str">
        <f>'Read Me'!I4</f>
        <v>Food Waste Prevention and Rescue Program</v>
      </c>
    </row>
    <row r="5" spans="1:4" ht="18.75" x14ac:dyDescent="0.3">
      <c r="C5" s="184"/>
    </row>
    <row r="6" spans="1:4" ht="18.75" x14ac:dyDescent="0.3">
      <c r="C6" s="184" t="str">
        <f>'Read Me'!I6</f>
        <v>California Climate Investments</v>
      </c>
    </row>
    <row r="7" spans="1:4" ht="18.75" x14ac:dyDescent="0.3">
      <c r="C7" s="184" t="str">
        <f>'Read Me'!I7</f>
        <v>Greenhouse Gas Reduction Fund</v>
      </c>
    </row>
    <row r="10" spans="1:4" ht="18.75" x14ac:dyDescent="0.3">
      <c r="A10" s="1" t="s">
        <v>27</v>
      </c>
    </row>
    <row r="11" spans="1:4" s="3" customFormat="1" x14ac:dyDescent="0.25">
      <c r="A11" s="352" t="s">
        <v>65</v>
      </c>
      <c r="B11" s="352"/>
      <c r="C11" s="352"/>
      <c r="D11" s="352"/>
    </row>
    <row r="12" spans="1:4" s="3" customFormat="1" x14ac:dyDescent="0.25">
      <c r="A12" s="34" t="s">
        <v>64</v>
      </c>
      <c r="B12" s="35"/>
      <c r="C12" s="35"/>
      <c r="D12" s="35"/>
    </row>
    <row r="13" spans="1:4" ht="15.75" thickBot="1" x14ac:dyDescent="0.3">
      <c r="A13" s="24"/>
      <c r="B13" s="24"/>
      <c r="C13" s="24"/>
      <c r="D13" s="19"/>
    </row>
    <row r="14" spans="1:4" ht="18" customHeight="1" x14ac:dyDescent="0.25">
      <c r="A14" s="360" t="s">
        <v>25</v>
      </c>
      <c r="B14" s="361"/>
      <c r="C14" s="361"/>
      <c r="D14" s="362"/>
    </row>
    <row r="15" spans="1:4" ht="18" customHeight="1" x14ac:dyDescent="0.25">
      <c r="A15" s="5"/>
      <c r="B15" s="25" t="s">
        <v>16</v>
      </c>
      <c r="C15" s="26" t="s">
        <v>15</v>
      </c>
      <c r="D15" s="27" t="s">
        <v>114</v>
      </c>
    </row>
    <row r="16" spans="1:4" ht="18" customHeight="1" x14ac:dyDescent="0.25">
      <c r="A16" s="6" t="s">
        <v>51</v>
      </c>
      <c r="B16" s="16">
        <v>1.78</v>
      </c>
      <c r="C16" s="12" t="s">
        <v>23</v>
      </c>
      <c r="D16" s="20" t="s">
        <v>113</v>
      </c>
    </row>
    <row r="17" spans="1:4" ht="18" customHeight="1" x14ac:dyDescent="0.25">
      <c r="A17" s="363" t="s">
        <v>30</v>
      </c>
      <c r="B17" s="364"/>
      <c r="C17" s="364"/>
      <c r="D17" s="365"/>
    </row>
    <row r="18" spans="1:4" ht="18" customHeight="1" x14ac:dyDescent="0.25">
      <c r="A18" s="369" t="s">
        <v>45</v>
      </c>
      <c r="B18" s="370"/>
      <c r="C18" s="370"/>
      <c r="D18" s="371"/>
    </row>
    <row r="19" spans="1:4" ht="18" customHeight="1" x14ac:dyDescent="0.25">
      <c r="A19" s="353" t="s">
        <v>110</v>
      </c>
      <c r="B19" s="51">
        <v>8.4600000000000009</v>
      </c>
      <c r="C19" s="52" t="s">
        <v>48</v>
      </c>
      <c r="D19" s="67" t="s">
        <v>55</v>
      </c>
    </row>
    <row r="20" spans="1:4" ht="18" customHeight="1" x14ac:dyDescent="0.25">
      <c r="A20" s="354"/>
      <c r="B20" s="51">
        <v>335.7</v>
      </c>
      <c r="C20" s="52" t="s">
        <v>49</v>
      </c>
      <c r="D20" s="67" t="s">
        <v>55</v>
      </c>
    </row>
    <row r="21" spans="1:4" ht="18" customHeight="1" x14ac:dyDescent="0.25">
      <c r="A21" s="353" t="s">
        <v>111</v>
      </c>
      <c r="B21" s="51">
        <v>7.85</v>
      </c>
      <c r="C21" s="52" t="s">
        <v>47</v>
      </c>
      <c r="D21" s="67" t="s">
        <v>55</v>
      </c>
    </row>
    <row r="22" spans="1:4" ht="18" customHeight="1" x14ac:dyDescent="0.25">
      <c r="A22" s="354"/>
      <c r="B22" s="51">
        <v>172.3</v>
      </c>
      <c r="C22" s="52" t="s">
        <v>46</v>
      </c>
      <c r="D22" s="67" t="s">
        <v>55</v>
      </c>
    </row>
    <row r="23" spans="1:4" ht="18" customHeight="1" x14ac:dyDescent="0.25">
      <c r="A23" s="353" t="s">
        <v>112</v>
      </c>
      <c r="B23" s="51">
        <v>7.28</v>
      </c>
      <c r="C23" s="52" t="s">
        <v>47</v>
      </c>
      <c r="D23" s="67" t="s">
        <v>55</v>
      </c>
    </row>
    <row r="24" spans="1:4" ht="18" customHeight="1" x14ac:dyDescent="0.25">
      <c r="A24" s="354"/>
      <c r="B24" s="51">
        <v>206.7</v>
      </c>
      <c r="C24" s="52" t="s">
        <v>46</v>
      </c>
      <c r="D24" s="67" t="s">
        <v>55</v>
      </c>
    </row>
    <row r="25" spans="1:4" ht="18" customHeight="1" x14ac:dyDescent="0.25">
      <c r="A25" s="375" t="s">
        <v>105</v>
      </c>
      <c r="B25" s="30">
        <v>36.5</v>
      </c>
      <c r="C25" s="12" t="s">
        <v>48</v>
      </c>
      <c r="D25" s="13" t="s">
        <v>55</v>
      </c>
    </row>
    <row r="26" spans="1:4" ht="18" customHeight="1" x14ac:dyDescent="0.25">
      <c r="A26" s="376"/>
      <c r="B26" s="30">
        <v>744.6</v>
      </c>
      <c r="C26" s="12" t="s">
        <v>49</v>
      </c>
      <c r="D26" s="13" t="s">
        <v>55</v>
      </c>
    </row>
    <row r="27" spans="1:4" ht="18" customHeight="1" x14ac:dyDescent="0.25">
      <c r="A27" s="375" t="s">
        <v>106</v>
      </c>
      <c r="B27" s="30">
        <v>43.8</v>
      </c>
      <c r="C27" s="12" t="s">
        <v>47</v>
      </c>
      <c r="D27" s="13" t="s">
        <v>55</v>
      </c>
    </row>
    <row r="28" spans="1:4" ht="18" customHeight="1" x14ac:dyDescent="0.25">
      <c r="A28" s="376"/>
      <c r="B28" s="30">
        <v>1219.0999999999999</v>
      </c>
      <c r="C28" s="12" t="s">
        <v>46</v>
      </c>
      <c r="D28" s="13" t="s">
        <v>55</v>
      </c>
    </row>
    <row r="29" spans="1:4" ht="18" customHeight="1" x14ac:dyDescent="0.25">
      <c r="A29" s="375" t="s">
        <v>107</v>
      </c>
      <c r="B29" s="30">
        <v>146</v>
      </c>
      <c r="C29" s="12" t="s">
        <v>47</v>
      </c>
      <c r="D29" s="13" t="s">
        <v>55</v>
      </c>
    </row>
    <row r="30" spans="1:4" ht="18" customHeight="1" x14ac:dyDescent="0.25">
      <c r="A30" s="376"/>
      <c r="B30" s="30">
        <v>503.7</v>
      </c>
      <c r="C30" s="12" t="s">
        <v>46</v>
      </c>
      <c r="D30" s="13" t="s">
        <v>55</v>
      </c>
    </row>
    <row r="31" spans="1:4" ht="18" customHeight="1" x14ac:dyDescent="0.25">
      <c r="A31" s="375" t="s">
        <v>108</v>
      </c>
      <c r="B31" s="30">
        <v>273.75</v>
      </c>
      <c r="C31" s="12" t="s">
        <v>47</v>
      </c>
      <c r="D31" s="13" t="s">
        <v>55</v>
      </c>
    </row>
    <row r="32" spans="1:4" ht="18" customHeight="1" x14ac:dyDescent="0.25">
      <c r="A32" s="376"/>
      <c r="B32" s="30">
        <v>1496.5</v>
      </c>
      <c r="C32" s="12" t="s">
        <v>46</v>
      </c>
      <c r="D32" s="13" t="s">
        <v>55</v>
      </c>
    </row>
    <row r="33" spans="1:4" ht="18" customHeight="1" x14ac:dyDescent="0.25">
      <c r="A33" s="375" t="s">
        <v>109</v>
      </c>
      <c r="B33" s="30">
        <v>98.55</v>
      </c>
      <c r="C33" s="12" t="s">
        <v>47</v>
      </c>
      <c r="D33" s="13" t="s">
        <v>55</v>
      </c>
    </row>
    <row r="34" spans="1:4" ht="18" customHeight="1" x14ac:dyDescent="0.25">
      <c r="A34" s="377"/>
      <c r="B34" s="30">
        <v>-259.14999999999998</v>
      </c>
      <c r="C34" s="12" t="s">
        <v>46</v>
      </c>
      <c r="D34" s="13" t="s">
        <v>55</v>
      </c>
    </row>
    <row r="35" spans="1:4" ht="18" customHeight="1" x14ac:dyDescent="0.25">
      <c r="A35" s="376"/>
      <c r="B35" s="30">
        <v>255.5</v>
      </c>
      <c r="C35" s="12" t="s">
        <v>50</v>
      </c>
      <c r="D35" s="13" t="s">
        <v>55</v>
      </c>
    </row>
    <row r="36" spans="1:4" ht="18" customHeight="1" x14ac:dyDescent="0.25">
      <c r="A36" s="31" t="s">
        <v>22</v>
      </c>
      <c r="B36" s="116">
        <v>2.8499999999999999E-4</v>
      </c>
      <c r="C36" s="28" t="s">
        <v>24</v>
      </c>
      <c r="D36" s="13" t="s">
        <v>57</v>
      </c>
    </row>
    <row r="37" spans="1:4" ht="18" customHeight="1" x14ac:dyDescent="0.25">
      <c r="A37" s="372" t="s">
        <v>52</v>
      </c>
      <c r="B37" s="373"/>
      <c r="C37" s="373"/>
      <c r="D37" s="374"/>
    </row>
    <row r="38" spans="1:4" ht="30" x14ac:dyDescent="0.25">
      <c r="A38" s="185" t="s">
        <v>160</v>
      </c>
      <c r="B38" s="186">
        <f>0.281*B39+0.542*B41+0.177*B43</f>
        <v>3327.7550000000001</v>
      </c>
      <c r="C38" s="40" t="s">
        <v>44</v>
      </c>
      <c r="D38" s="41" t="s">
        <v>204</v>
      </c>
    </row>
    <row r="39" spans="1:4" ht="18" customHeight="1" x14ac:dyDescent="0.25">
      <c r="A39" s="61" t="s">
        <v>60</v>
      </c>
      <c r="B39" s="37">
        <v>1810</v>
      </c>
      <c r="C39" s="29" t="s">
        <v>44</v>
      </c>
      <c r="D39" s="20" t="s">
        <v>53</v>
      </c>
    </row>
    <row r="40" spans="1:4" ht="18" customHeight="1" x14ac:dyDescent="0.25">
      <c r="A40" s="62" t="s">
        <v>62</v>
      </c>
      <c r="B40" s="37">
        <v>1430</v>
      </c>
      <c r="C40" s="29" t="s">
        <v>44</v>
      </c>
      <c r="D40" s="41" t="s">
        <v>205</v>
      </c>
    </row>
    <row r="41" spans="1:4" ht="18" customHeight="1" x14ac:dyDescent="0.25">
      <c r="A41" s="62" t="s">
        <v>38</v>
      </c>
      <c r="B41" s="38">
        <v>3900</v>
      </c>
      <c r="C41" s="40" t="s">
        <v>44</v>
      </c>
      <c r="D41" s="41" t="s">
        <v>53</v>
      </c>
    </row>
    <row r="42" spans="1:4" ht="18" customHeight="1" x14ac:dyDescent="0.25">
      <c r="A42" s="63" t="s">
        <v>67</v>
      </c>
      <c r="B42" s="42">
        <v>2107</v>
      </c>
      <c r="C42" s="40" t="s">
        <v>44</v>
      </c>
      <c r="D42" s="41" t="s">
        <v>53</v>
      </c>
    </row>
    <row r="43" spans="1:4" ht="18" customHeight="1" x14ac:dyDescent="0.25">
      <c r="A43" s="62" t="s">
        <v>43</v>
      </c>
      <c r="B43" s="38">
        <v>3985</v>
      </c>
      <c r="C43" s="40" t="s">
        <v>44</v>
      </c>
      <c r="D43" s="41" t="s">
        <v>53</v>
      </c>
    </row>
    <row r="44" spans="1:4" ht="18" customHeight="1" x14ac:dyDescent="0.25">
      <c r="A44" s="64" t="s">
        <v>58</v>
      </c>
      <c r="B44" s="38">
        <v>4750</v>
      </c>
      <c r="C44" s="40" t="s">
        <v>44</v>
      </c>
      <c r="D44" s="41" t="s">
        <v>53</v>
      </c>
    </row>
    <row r="45" spans="1:4" ht="18" customHeight="1" x14ac:dyDescent="0.25">
      <c r="A45" s="64" t="s">
        <v>59</v>
      </c>
      <c r="B45" s="38">
        <v>10900</v>
      </c>
      <c r="C45" s="40" t="s">
        <v>44</v>
      </c>
      <c r="D45" s="41" t="s">
        <v>53</v>
      </c>
    </row>
    <row r="46" spans="1:4" ht="18" customHeight="1" x14ac:dyDescent="0.25">
      <c r="A46" s="64" t="s">
        <v>146</v>
      </c>
      <c r="B46" s="38">
        <v>14400</v>
      </c>
      <c r="C46" s="40" t="s">
        <v>44</v>
      </c>
      <c r="D46" s="41" t="s">
        <v>53</v>
      </c>
    </row>
    <row r="47" spans="1:4" ht="18" customHeight="1" x14ac:dyDescent="0.25">
      <c r="A47" s="64" t="s">
        <v>141</v>
      </c>
      <c r="B47" s="38">
        <v>7140</v>
      </c>
      <c r="C47" s="40" t="s">
        <v>44</v>
      </c>
      <c r="D47" s="41" t="s">
        <v>53</v>
      </c>
    </row>
    <row r="48" spans="1:4" ht="18" customHeight="1" x14ac:dyDescent="0.25">
      <c r="A48" s="64" t="s">
        <v>68</v>
      </c>
      <c r="B48" s="38">
        <v>7390</v>
      </c>
      <c r="C48" s="40" t="s">
        <v>44</v>
      </c>
      <c r="D48" s="41" t="s">
        <v>53</v>
      </c>
    </row>
    <row r="49" spans="1:4" ht="18" customHeight="1" x14ac:dyDescent="0.25">
      <c r="A49" s="64" t="s">
        <v>72</v>
      </c>
      <c r="B49" s="38">
        <v>14800</v>
      </c>
      <c r="C49" s="40" t="s">
        <v>44</v>
      </c>
      <c r="D49" s="41" t="s">
        <v>53</v>
      </c>
    </row>
    <row r="50" spans="1:4" ht="18" customHeight="1" x14ac:dyDescent="0.25">
      <c r="A50" s="64" t="s">
        <v>126</v>
      </c>
      <c r="B50" s="38">
        <v>675</v>
      </c>
      <c r="C50" s="40" t="s">
        <v>44</v>
      </c>
      <c r="D50" s="41" t="s">
        <v>53</v>
      </c>
    </row>
    <row r="51" spans="1:4" ht="18" customHeight="1" x14ac:dyDescent="0.25">
      <c r="A51" s="64" t="s">
        <v>69</v>
      </c>
      <c r="B51" s="38">
        <v>6130</v>
      </c>
      <c r="C51" s="40" t="s">
        <v>44</v>
      </c>
      <c r="D51" s="41" t="s">
        <v>53</v>
      </c>
    </row>
    <row r="52" spans="1:4" ht="18" customHeight="1" x14ac:dyDescent="0.25">
      <c r="A52" s="64" t="s">
        <v>144</v>
      </c>
      <c r="B52" s="38">
        <v>10000</v>
      </c>
      <c r="C52" s="40" t="s">
        <v>44</v>
      </c>
      <c r="D52" s="41" t="s">
        <v>53</v>
      </c>
    </row>
    <row r="53" spans="1:4" ht="18" customHeight="1" x14ac:dyDescent="0.25">
      <c r="A53" s="64" t="s">
        <v>142</v>
      </c>
      <c r="B53" s="38">
        <v>7370</v>
      </c>
      <c r="C53" s="40" t="s">
        <v>44</v>
      </c>
      <c r="D53" s="41" t="s">
        <v>53</v>
      </c>
    </row>
    <row r="54" spans="1:4" ht="18" customHeight="1" x14ac:dyDescent="0.25">
      <c r="A54" s="64" t="s">
        <v>145</v>
      </c>
      <c r="B54" s="38">
        <v>12200</v>
      </c>
      <c r="C54" s="40" t="s">
        <v>44</v>
      </c>
      <c r="D54" s="41" t="s">
        <v>53</v>
      </c>
    </row>
    <row r="55" spans="1:4" ht="18" customHeight="1" x14ac:dyDescent="0.25">
      <c r="A55" s="62" t="s">
        <v>61</v>
      </c>
      <c r="B55" s="38">
        <v>77</v>
      </c>
      <c r="C55" s="40" t="s">
        <v>44</v>
      </c>
      <c r="D55" s="41" t="s">
        <v>53</v>
      </c>
    </row>
    <row r="56" spans="1:4" ht="18" customHeight="1" x14ac:dyDescent="0.25">
      <c r="A56" s="62" t="s">
        <v>125</v>
      </c>
      <c r="B56" s="38">
        <v>609</v>
      </c>
      <c r="C56" s="40" t="s">
        <v>44</v>
      </c>
      <c r="D56" s="41" t="s">
        <v>53</v>
      </c>
    </row>
    <row r="57" spans="1:4" ht="18" customHeight="1" x14ac:dyDescent="0.25">
      <c r="A57" s="62" t="s">
        <v>138</v>
      </c>
      <c r="B57" s="38">
        <v>3500</v>
      </c>
      <c r="C57" s="40" t="s">
        <v>44</v>
      </c>
      <c r="D57" s="41" t="s">
        <v>53</v>
      </c>
    </row>
    <row r="58" spans="1:4" ht="18" customHeight="1" x14ac:dyDescent="0.25">
      <c r="A58" s="62" t="s">
        <v>127</v>
      </c>
      <c r="B58" s="38">
        <v>725</v>
      </c>
      <c r="C58" s="40" t="s">
        <v>44</v>
      </c>
      <c r="D58" s="41" t="s">
        <v>53</v>
      </c>
    </row>
    <row r="59" spans="1:4" ht="18" customHeight="1" x14ac:dyDescent="0.25">
      <c r="A59" s="62" t="s">
        <v>134</v>
      </c>
      <c r="B59" s="38">
        <v>2310</v>
      </c>
      <c r="C59" s="40" t="s">
        <v>44</v>
      </c>
      <c r="D59" s="41" t="s">
        <v>53</v>
      </c>
    </row>
    <row r="60" spans="1:4" ht="18" customHeight="1" x14ac:dyDescent="0.25">
      <c r="A60" s="62" t="s">
        <v>73</v>
      </c>
      <c r="B60" s="38">
        <v>4470</v>
      </c>
      <c r="C60" s="40" t="s">
        <v>44</v>
      </c>
      <c r="D60" s="41" t="s">
        <v>53</v>
      </c>
    </row>
    <row r="61" spans="1:4" ht="18" customHeight="1" x14ac:dyDescent="0.25">
      <c r="A61" s="62" t="s">
        <v>124</v>
      </c>
      <c r="B61" s="38">
        <v>124</v>
      </c>
      <c r="C61" s="40" t="s">
        <v>44</v>
      </c>
      <c r="D61" s="41" t="s">
        <v>53</v>
      </c>
    </row>
    <row r="62" spans="1:4" ht="18" customHeight="1" x14ac:dyDescent="0.25">
      <c r="A62" s="62" t="s">
        <v>123</v>
      </c>
      <c r="B62" s="38">
        <v>12</v>
      </c>
      <c r="C62" s="40" t="s">
        <v>44</v>
      </c>
      <c r="D62" s="41" t="s">
        <v>53</v>
      </c>
    </row>
    <row r="63" spans="1:4" ht="18" customHeight="1" x14ac:dyDescent="0.25">
      <c r="A63" s="62" t="s">
        <v>121</v>
      </c>
      <c r="B63" s="38">
        <v>6</v>
      </c>
      <c r="C63" s="40" t="s">
        <v>44</v>
      </c>
      <c r="D63" s="41" t="s">
        <v>53</v>
      </c>
    </row>
    <row r="64" spans="1:4" ht="18" customHeight="1" x14ac:dyDescent="0.25">
      <c r="A64" s="62" t="s">
        <v>143</v>
      </c>
      <c r="B64" s="38">
        <v>8830</v>
      </c>
      <c r="C64" s="40" t="s">
        <v>44</v>
      </c>
      <c r="D64" s="41" t="s">
        <v>53</v>
      </c>
    </row>
    <row r="65" spans="1:4" ht="18" customHeight="1" x14ac:dyDescent="0.25">
      <c r="A65" s="62" t="s">
        <v>71</v>
      </c>
      <c r="B65" s="38">
        <v>122</v>
      </c>
      <c r="C65" s="40" t="s">
        <v>44</v>
      </c>
      <c r="D65" s="41" t="s">
        <v>53</v>
      </c>
    </row>
    <row r="66" spans="1:4" ht="18" customHeight="1" x14ac:dyDescent="0.25">
      <c r="A66" s="62" t="s">
        <v>70</v>
      </c>
      <c r="B66" s="38">
        <v>595</v>
      </c>
      <c r="C66" s="40" t="s">
        <v>44</v>
      </c>
      <c r="D66" s="41" t="s">
        <v>53</v>
      </c>
    </row>
    <row r="67" spans="1:4" ht="18" customHeight="1" x14ac:dyDescent="0.25">
      <c r="A67" s="62" t="s">
        <v>137</v>
      </c>
      <c r="B67" s="38">
        <v>3220</v>
      </c>
      <c r="C67" s="40" t="s">
        <v>44</v>
      </c>
      <c r="D67" s="41" t="s">
        <v>53</v>
      </c>
    </row>
    <row r="68" spans="1:4" ht="18" customHeight="1" x14ac:dyDescent="0.25">
      <c r="A68" s="62" t="s">
        <v>63</v>
      </c>
      <c r="B68" s="38">
        <v>9810</v>
      </c>
      <c r="C68" s="40" t="s">
        <v>44</v>
      </c>
      <c r="D68" s="41" t="s">
        <v>53</v>
      </c>
    </row>
    <row r="69" spans="1:4" ht="18" customHeight="1" x14ac:dyDescent="0.25">
      <c r="A69" s="62" t="s">
        <v>74</v>
      </c>
      <c r="B69" s="38">
        <v>1030</v>
      </c>
      <c r="C69" s="40" t="s">
        <v>44</v>
      </c>
      <c r="D69" s="41" t="s">
        <v>53</v>
      </c>
    </row>
    <row r="70" spans="1:4" ht="18" customHeight="1" x14ac:dyDescent="0.25">
      <c r="A70" s="62" t="s">
        <v>119</v>
      </c>
      <c r="B70" s="38">
        <v>4</v>
      </c>
      <c r="C70" s="40" t="s">
        <v>44</v>
      </c>
      <c r="D70" s="41" t="s">
        <v>53</v>
      </c>
    </row>
    <row r="71" spans="1:4" ht="18" customHeight="1" x14ac:dyDescent="0.25">
      <c r="A71" s="62" t="s">
        <v>128</v>
      </c>
      <c r="B71" s="38">
        <v>794</v>
      </c>
      <c r="C71" s="40" t="s">
        <v>44</v>
      </c>
      <c r="D71" s="41" t="s">
        <v>53</v>
      </c>
    </row>
    <row r="72" spans="1:4" ht="18" customHeight="1" x14ac:dyDescent="0.25">
      <c r="A72" s="62" t="s">
        <v>37</v>
      </c>
      <c r="B72" s="38">
        <v>1182</v>
      </c>
      <c r="C72" s="40" t="s">
        <v>44</v>
      </c>
      <c r="D72" s="41" t="s">
        <v>53</v>
      </c>
    </row>
    <row r="73" spans="1:4" ht="18" customHeight="1" x14ac:dyDescent="0.25">
      <c r="A73" s="62" t="s">
        <v>86</v>
      </c>
      <c r="B73" s="38">
        <v>1288</v>
      </c>
      <c r="C73" s="40" t="s">
        <v>44</v>
      </c>
      <c r="D73" s="41" t="s">
        <v>53</v>
      </c>
    </row>
    <row r="74" spans="1:4" ht="18" customHeight="1" x14ac:dyDescent="0.25">
      <c r="A74" s="62" t="s">
        <v>88</v>
      </c>
      <c r="B74" s="38">
        <v>2788</v>
      </c>
      <c r="C74" s="40" t="s">
        <v>44</v>
      </c>
      <c r="D74" s="41" t="s">
        <v>53</v>
      </c>
    </row>
    <row r="75" spans="1:4" ht="18" customHeight="1" x14ac:dyDescent="0.25">
      <c r="A75" s="62" t="s">
        <v>87</v>
      </c>
      <c r="B75" s="38">
        <v>2416</v>
      </c>
      <c r="C75" s="40" t="s">
        <v>44</v>
      </c>
      <c r="D75" s="41" t="s">
        <v>53</v>
      </c>
    </row>
    <row r="76" spans="1:4" ht="18" customHeight="1" x14ac:dyDescent="0.25">
      <c r="A76" s="62" t="s">
        <v>139</v>
      </c>
      <c r="B76" s="38">
        <v>4458</v>
      </c>
      <c r="C76" s="40" t="s">
        <v>44</v>
      </c>
      <c r="D76" s="41" t="s">
        <v>53</v>
      </c>
    </row>
    <row r="77" spans="1:4" ht="18" customHeight="1" x14ac:dyDescent="0.25">
      <c r="A77" s="62" t="s">
        <v>89</v>
      </c>
      <c r="B77" s="38">
        <v>1943</v>
      </c>
      <c r="C77" s="40" t="s">
        <v>44</v>
      </c>
      <c r="D77" s="41" t="s">
        <v>53</v>
      </c>
    </row>
    <row r="78" spans="1:4" ht="18" customHeight="1" x14ac:dyDescent="0.25">
      <c r="A78" s="62" t="s">
        <v>39</v>
      </c>
      <c r="B78" s="38">
        <v>1774</v>
      </c>
      <c r="C78" s="40" t="s">
        <v>44</v>
      </c>
      <c r="D78" s="41" t="s">
        <v>53</v>
      </c>
    </row>
    <row r="79" spans="1:4" ht="18" customHeight="1" x14ac:dyDescent="0.25">
      <c r="A79" s="62" t="s">
        <v>75</v>
      </c>
      <c r="B79" s="38">
        <v>1825</v>
      </c>
      <c r="C79" s="40" t="s">
        <v>44</v>
      </c>
      <c r="D79" s="41" t="s">
        <v>53</v>
      </c>
    </row>
    <row r="80" spans="1:4" ht="18" customHeight="1" x14ac:dyDescent="0.25">
      <c r="A80" s="62" t="s">
        <v>76</v>
      </c>
      <c r="B80" s="38">
        <v>3432</v>
      </c>
      <c r="C80" s="40" t="s">
        <v>44</v>
      </c>
      <c r="D80" s="41" t="s">
        <v>53</v>
      </c>
    </row>
    <row r="81" spans="1:4" ht="18" customHeight="1" x14ac:dyDescent="0.25">
      <c r="A81" s="62" t="s">
        <v>77</v>
      </c>
      <c r="B81" s="38">
        <v>1585</v>
      </c>
      <c r="C81" s="40" t="s">
        <v>44</v>
      </c>
      <c r="D81" s="41" t="s">
        <v>53</v>
      </c>
    </row>
    <row r="82" spans="1:4" ht="18" customHeight="1" x14ac:dyDescent="0.25">
      <c r="A82" s="62" t="s">
        <v>40</v>
      </c>
      <c r="B82" s="38">
        <v>2088</v>
      </c>
      <c r="C82" s="40" t="s">
        <v>44</v>
      </c>
      <c r="D82" s="41" t="s">
        <v>53</v>
      </c>
    </row>
    <row r="83" spans="1:4" ht="18" customHeight="1" x14ac:dyDescent="0.25">
      <c r="A83" s="62" t="s">
        <v>132</v>
      </c>
      <c r="B83" s="38">
        <v>2053</v>
      </c>
      <c r="C83" s="40" t="s">
        <v>44</v>
      </c>
      <c r="D83" s="41" t="s">
        <v>53</v>
      </c>
    </row>
    <row r="84" spans="1:4" ht="18" customHeight="1" x14ac:dyDescent="0.25">
      <c r="A84" s="62" t="s">
        <v>129</v>
      </c>
      <c r="B84" s="38">
        <v>1478</v>
      </c>
      <c r="C84" s="40" t="s">
        <v>44</v>
      </c>
      <c r="D84" s="41" t="s">
        <v>53</v>
      </c>
    </row>
    <row r="85" spans="1:4" ht="18" customHeight="1" x14ac:dyDescent="0.25">
      <c r="A85" s="62" t="s">
        <v>78</v>
      </c>
      <c r="B85" s="38">
        <v>1362</v>
      </c>
      <c r="C85" s="40" t="s">
        <v>44</v>
      </c>
      <c r="D85" s="41" t="s">
        <v>53</v>
      </c>
    </row>
    <row r="86" spans="1:4" ht="18" customHeight="1" x14ac:dyDescent="0.25">
      <c r="A86" s="62" t="s">
        <v>79</v>
      </c>
      <c r="B86" s="38">
        <v>1084</v>
      </c>
      <c r="C86" s="40" t="s">
        <v>44</v>
      </c>
      <c r="D86" s="41" t="s">
        <v>53</v>
      </c>
    </row>
    <row r="87" spans="1:4" ht="18" customHeight="1" x14ac:dyDescent="0.25">
      <c r="A87" s="62" t="s">
        <v>80</v>
      </c>
      <c r="B87" s="38">
        <v>2346</v>
      </c>
      <c r="C87" s="40" t="s">
        <v>44</v>
      </c>
      <c r="D87" s="41" t="s">
        <v>53</v>
      </c>
    </row>
    <row r="88" spans="1:4" ht="18" customHeight="1" x14ac:dyDescent="0.25">
      <c r="A88" s="62" t="s">
        <v>136</v>
      </c>
      <c r="B88" s="38">
        <v>2631</v>
      </c>
      <c r="C88" s="40" t="s">
        <v>44</v>
      </c>
      <c r="D88" s="41" t="s">
        <v>53</v>
      </c>
    </row>
    <row r="89" spans="1:4" ht="18" customHeight="1" x14ac:dyDescent="0.25">
      <c r="A89" s="62" t="s">
        <v>81</v>
      </c>
      <c r="B89" s="38">
        <v>3143</v>
      </c>
      <c r="C89" s="40" t="s">
        <v>44</v>
      </c>
      <c r="D89" s="41" t="s">
        <v>53</v>
      </c>
    </row>
    <row r="90" spans="1:4" ht="18" customHeight="1" x14ac:dyDescent="0.25">
      <c r="A90" s="62" t="s">
        <v>82</v>
      </c>
      <c r="B90" s="38">
        <v>2526</v>
      </c>
      <c r="C90" s="40" t="s">
        <v>44</v>
      </c>
      <c r="D90" s="41" t="s">
        <v>53</v>
      </c>
    </row>
    <row r="91" spans="1:4" ht="18" customHeight="1" x14ac:dyDescent="0.25">
      <c r="A91" s="62" t="s">
        <v>83</v>
      </c>
      <c r="B91" s="38">
        <v>3085</v>
      </c>
      <c r="C91" s="40" t="s">
        <v>44</v>
      </c>
      <c r="D91" s="41" t="s">
        <v>53</v>
      </c>
    </row>
    <row r="92" spans="1:4" ht="18" customHeight="1" x14ac:dyDescent="0.25">
      <c r="A92" s="62" t="s">
        <v>84</v>
      </c>
      <c r="B92" s="38">
        <v>2729</v>
      </c>
      <c r="C92" s="40" t="s">
        <v>44</v>
      </c>
      <c r="D92" s="41" t="s">
        <v>53</v>
      </c>
    </row>
    <row r="93" spans="1:4" ht="18" customHeight="1" x14ac:dyDescent="0.25">
      <c r="A93" s="62" t="s">
        <v>133</v>
      </c>
      <c r="B93" s="38">
        <v>2280</v>
      </c>
      <c r="C93" s="40" t="s">
        <v>44</v>
      </c>
      <c r="D93" s="41" t="s">
        <v>53</v>
      </c>
    </row>
    <row r="94" spans="1:4" ht="18" customHeight="1" x14ac:dyDescent="0.25">
      <c r="A94" s="62" t="s">
        <v>135</v>
      </c>
      <c r="B94" s="38">
        <v>2440</v>
      </c>
      <c r="C94" s="40" t="s">
        <v>44</v>
      </c>
      <c r="D94" s="41" t="s">
        <v>53</v>
      </c>
    </row>
    <row r="95" spans="1:4" ht="18" customHeight="1" x14ac:dyDescent="0.25">
      <c r="A95" s="62" t="s">
        <v>85</v>
      </c>
      <c r="B95" s="38">
        <v>2138</v>
      </c>
      <c r="C95" s="40" t="s">
        <v>44</v>
      </c>
      <c r="D95" s="41" t="s">
        <v>53</v>
      </c>
    </row>
    <row r="96" spans="1:4" ht="18" customHeight="1" x14ac:dyDescent="0.25">
      <c r="A96" s="62" t="s">
        <v>90</v>
      </c>
      <c r="B96" s="38">
        <v>2070</v>
      </c>
      <c r="C96" s="40" t="s">
        <v>44</v>
      </c>
      <c r="D96" s="41" t="s">
        <v>53</v>
      </c>
    </row>
    <row r="97" spans="1:4" ht="18" customHeight="1" x14ac:dyDescent="0.25">
      <c r="A97" s="62" t="s">
        <v>131</v>
      </c>
      <c r="B97" s="38">
        <v>1805</v>
      </c>
      <c r="C97" s="40" t="s">
        <v>44</v>
      </c>
      <c r="D97" s="41" t="s">
        <v>53</v>
      </c>
    </row>
    <row r="98" spans="1:4" ht="18" customHeight="1" x14ac:dyDescent="0.25">
      <c r="A98" s="62" t="s">
        <v>91</v>
      </c>
      <c r="B98" s="38">
        <v>2265</v>
      </c>
      <c r="C98" s="40" t="s">
        <v>44</v>
      </c>
      <c r="D98" s="41" t="s">
        <v>53</v>
      </c>
    </row>
    <row r="99" spans="1:4" ht="18" customHeight="1" x14ac:dyDescent="0.25">
      <c r="A99" s="62" t="s">
        <v>92</v>
      </c>
      <c r="B99" s="38">
        <v>1386</v>
      </c>
      <c r="C99" s="40" t="s">
        <v>44</v>
      </c>
      <c r="D99" s="41" t="s">
        <v>53</v>
      </c>
    </row>
    <row r="100" spans="1:4" ht="18" customHeight="1" x14ac:dyDescent="0.25">
      <c r="A100" s="62" t="s">
        <v>148</v>
      </c>
      <c r="B100" s="38">
        <v>1397</v>
      </c>
      <c r="C100" s="40" t="s">
        <v>44</v>
      </c>
      <c r="D100" s="41" t="s">
        <v>53</v>
      </c>
    </row>
    <row r="101" spans="1:4" ht="18" customHeight="1" x14ac:dyDescent="0.25">
      <c r="A101" s="62" t="s">
        <v>41</v>
      </c>
      <c r="B101" s="38">
        <v>8077</v>
      </c>
      <c r="C101" s="40" t="s">
        <v>44</v>
      </c>
      <c r="D101" s="41" t="s">
        <v>53</v>
      </c>
    </row>
    <row r="102" spans="1:4" ht="18" customHeight="1" x14ac:dyDescent="0.25">
      <c r="A102" s="62" t="s">
        <v>42</v>
      </c>
      <c r="B102" s="38">
        <v>4656.72</v>
      </c>
      <c r="C102" s="40" t="s">
        <v>44</v>
      </c>
      <c r="D102" s="41" t="s">
        <v>53</v>
      </c>
    </row>
    <row r="103" spans="1:4" ht="18" customHeight="1" x14ac:dyDescent="0.25">
      <c r="A103" s="62" t="s">
        <v>147</v>
      </c>
      <c r="B103" s="38">
        <v>14560</v>
      </c>
      <c r="C103" s="40" t="s">
        <v>44</v>
      </c>
      <c r="D103" s="41" t="s">
        <v>53</v>
      </c>
    </row>
    <row r="104" spans="1:4" ht="18" customHeight="1" x14ac:dyDescent="0.25">
      <c r="A104" s="62" t="s">
        <v>93</v>
      </c>
      <c r="B104" s="38">
        <v>13396</v>
      </c>
      <c r="C104" s="40" t="s">
        <v>44</v>
      </c>
      <c r="D104" s="41" t="s">
        <v>53</v>
      </c>
    </row>
    <row r="105" spans="1:4" ht="18" customHeight="1" x14ac:dyDescent="0.25">
      <c r="A105" s="62" t="s">
        <v>120</v>
      </c>
      <c r="B105" s="38">
        <v>5</v>
      </c>
      <c r="C105" s="40" t="s">
        <v>44</v>
      </c>
      <c r="D105" s="41" t="s">
        <v>53</v>
      </c>
    </row>
    <row r="106" spans="1:4" ht="18" customHeight="1" x14ac:dyDescent="0.25">
      <c r="A106" s="62" t="s">
        <v>122</v>
      </c>
      <c r="B106" s="38">
        <v>11</v>
      </c>
      <c r="C106" s="40" t="s">
        <v>44</v>
      </c>
      <c r="D106" s="41" t="s">
        <v>53</v>
      </c>
    </row>
    <row r="107" spans="1:4" ht="18" customHeight="1" x14ac:dyDescent="0.25">
      <c r="A107" s="62" t="s">
        <v>94</v>
      </c>
      <c r="B107" s="43">
        <v>0</v>
      </c>
      <c r="C107" s="40" t="s">
        <v>44</v>
      </c>
      <c r="D107" s="41" t="s">
        <v>53</v>
      </c>
    </row>
    <row r="108" spans="1:4" ht="18" customHeight="1" x14ac:dyDescent="0.25">
      <c r="A108" s="62" t="s">
        <v>95</v>
      </c>
      <c r="B108" s="43">
        <v>1</v>
      </c>
      <c r="C108" s="40" t="s">
        <v>44</v>
      </c>
      <c r="D108" s="41" t="s">
        <v>53</v>
      </c>
    </row>
    <row r="109" spans="1:4" ht="18" customHeight="1" x14ac:dyDescent="0.25">
      <c r="A109" s="62" t="s">
        <v>130</v>
      </c>
      <c r="B109" s="43">
        <v>1640</v>
      </c>
      <c r="C109" s="40" t="s">
        <v>44</v>
      </c>
      <c r="D109" s="41" t="s">
        <v>53</v>
      </c>
    </row>
    <row r="110" spans="1:4" ht="18" customHeight="1" x14ac:dyDescent="0.25">
      <c r="A110" s="62" t="s">
        <v>140</v>
      </c>
      <c r="B110" s="43">
        <v>6427</v>
      </c>
      <c r="C110" s="40" t="s">
        <v>44</v>
      </c>
      <c r="D110" s="41" t="s">
        <v>53</v>
      </c>
    </row>
    <row r="111" spans="1:4" ht="18" customHeight="1" x14ac:dyDescent="0.25">
      <c r="A111" s="62" t="s">
        <v>96</v>
      </c>
      <c r="B111" s="43">
        <v>1809</v>
      </c>
      <c r="C111" s="40" t="s">
        <v>44</v>
      </c>
      <c r="D111" s="41" t="s">
        <v>53</v>
      </c>
    </row>
    <row r="112" spans="1:4" ht="18" customHeight="1" x14ac:dyDescent="0.25">
      <c r="A112" s="62" t="s">
        <v>97</v>
      </c>
      <c r="B112" s="43">
        <v>3805</v>
      </c>
      <c r="C112" s="40" t="s">
        <v>44</v>
      </c>
      <c r="D112" s="41" t="s">
        <v>53</v>
      </c>
    </row>
    <row r="113" spans="1:4" ht="18" customHeight="1" x14ac:dyDescent="0.25">
      <c r="A113" s="366" t="s">
        <v>54</v>
      </c>
      <c r="B113" s="367"/>
      <c r="C113" s="367"/>
      <c r="D113" s="368"/>
    </row>
    <row r="114" spans="1:4" ht="18" customHeight="1" x14ac:dyDescent="0.25">
      <c r="A114" s="65"/>
      <c r="B114" s="26" t="s">
        <v>98</v>
      </c>
      <c r="C114" s="26" t="s">
        <v>15</v>
      </c>
      <c r="D114" s="66" t="s">
        <v>114</v>
      </c>
    </row>
    <row r="115" spans="1:4" ht="33" customHeight="1" x14ac:dyDescent="0.25">
      <c r="A115" s="47" t="s">
        <v>110</v>
      </c>
      <c r="B115" s="48">
        <v>0.01</v>
      </c>
      <c r="C115" s="49" t="s">
        <v>99</v>
      </c>
      <c r="D115" s="50" t="s">
        <v>100</v>
      </c>
    </row>
    <row r="116" spans="1:4" ht="33" customHeight="1" x14ac:dyDescent="0.25">
      <c r="A116" s="47" t="s">
        <v>111</v>
      </c>
      <c r="B116" s="48">
        <v>0.01</v>
      </c>
      <c r="C116" s="49" t="s">
        <v>99</v>
      </c>
      <c r="D116" s="50" t="s">
        <v>100</v>
      </c>
    </row>
    <row r="117" spans="1:4" ht="33" customHeight="1" x14ac:dyDescent="0.25">
      <c r="A117" s="47" t="s">
        <v>112</v>
      </c>
      <c r="B117" s="48">
        <v>0.01</v>
      </c>
      <c r="C117" s="49" t="s">
        <v>99</v>
      </c>
      <c r="D117" s="50" t="s">
        <v>100</v>
      </c>
    </row>
    <row r="118" spans="1:4" ht="33" customHeight="1" x14ac:dyDescent="0.25">
      <c r="A118" s="32" t="s">
        <v>101</v>
      </c>
      <c r="B118" s="44">
        <v>0.15</v>
      </c>
      <c r="C118" s="45" t="s">
        <v>99</v>
      </c>
      <c r="D118" s="46" t="s">
        <v>100</v>
      </c>
    </row>
    <row r="119" spans="1:4" ht="33" customHeight="1" x14ac:dyDescent="0.25">
      <c r="A119" s="32" t="s">
        <v>102</v>
      </c>
      <c r="B119" s="44">
        <v>0.15</v>
      </c>
      <c r="C119" s="45" t="s">
        <v>99</v>
      </c>
      <c r="D119" s="46" t="s">
        <v>100</v>
      </c>
    </row>
    <row r="120" spans="1:4" ht="33" customHeight="1" x14ac:dyDescent="0.25">
      <c r="A120" s="32" t="s">
        <v>103</v>
      </c>
      <c r="B120" s="44">
        <v>0.17599999999999999</v>
      </c>
      <c r="C120" s="45" t="s">
        <v>99</v>
      </c>
      <c r="D120" s="46" t="s">
        <v>100</v>
      </c>
    </row>
    <row r="121" spans="1:4" ht="33" customHeight="1" x14ac:dyDescent="0.25">
      <c r="A121" s="96" t="s">
        <v>104</v>
      </c>
      <c r="B121" s="97">
        <v>0.16600000000000001</v>
      </c>
      <c r="C121" s="45" t="s">
        <v>99</v>
      </c>
      <c r="D121" s="96" t="s">
        <v>100</v>
      </c>
    </row>
    <row r="122" spans="1:4" ht="33" customHeight="1" thickBot="1" x14ac:dyDescent="0.3">
      <c r="A122" s="195" t="s">
        <v>195</v>
      </c>
      <c r="B122" s="44">
        <v>0.24</v>
      </c>
      <c r="C122" s="196" t="s">
        <v>99</v>
      </c>
      <c r="D122" s="195" t="s">
        <v>100</v>
      </c>
    </row>
    <row r="123" spans="1:4" ht="15.75" thickBot="1" x14ac:dyDescent="0.3">
      <c r="A123" s="349" t="s">
        <v>183</v>
      </c>
      <c r="B123" s="350"/>
      <c r="C123" s="350"/>
      <c r="D123" s="351"/>
    </row>
    <row r="124" spans="1:4" ht="33" customHeight="1" x14ac:dyDescent="0.25">
      <c r="A124" s="187" t="s">
        <v>185</v>
      </c>
      <c r="B124" s="188">
        <v>0.34</v>
      </c>
      <c r="C124" s="189" t="s">
        <v>184</v>
      </c>
      <c r="D124" s="190" t="s">
        <v>100</v>
      </c>
    </row>
    <row r="125" spans="1:4" ht="33" customHeight="1" x14ac:dyDescent="0.25">
      <c r="A125" s="32" t="s">
        <v>186</v>
      </c>
      <c r="B125" s="16">
        <v>7.1</v>
      </c>
      <c r="C125" s="45" t="s">
        <v>184</v>
      </c>
      <c r="D125" s="46" t="s">
        <v>100</v>
      </c>
    </row>
    <row r="126" spans="1:4" ht="33" customHeight="1" x14ac:dyDescent="0.25">
      <c r="A126" s="32" t="s">
        <v>187</v>
      </c>
      <c r="B126" s="16">
        <v>31.4</v>
      </c>
      <c r="C126" s="45" t="s">
        <v>184</v>
      </c>
      <c r="D126" s="46" t="s">
        <v>100</v>
      </c>
    </row>
    <row r="127" spans="1:4" ht="33" customHeight="1" x14ac:dyDescent="0.25">
      <c r="A127" s="32" t="s">
        <v>188</v>
      </c>
      <c r="B127" s="16">
        <v>122</v>
      </c>
      <c r="C127" s="45" t="s">
        <v>184</v>
      </c>
      <c r="D127" s="46" t="s">
        <v>100</v>
      </c>
    </row>
    <row r="128" spans="1:4" ht="33" customHeight="1" x14ac:dyDescent="0.25">
      <c r="A128" s="32" t="s">
        <v>170</v>
      </c>
      <c r="B128" s="16">
        <v>4</v>
      </c>
      <c r="C128" s="45" t="s">
        <v>184</v>
      </c>
      <c r="D128" s="46" t="s">
        <v>100</v>
      </c>
    </row>
    <row r="129" spans="1:4" ht="33" customHeight="1" x14ac:dyDescent="0.25">
      <c r="A129" s="32" t="s">
        <v>172</v>
      </c>
      <c r="B129" s="16">
        <v>12</v>
      </c>
      <c r="C129" s="45" t="s">
        <v>184</v>
      </c>
      <c r="D129" s="46" t="s">
        <v>100</v>
      </c>
    </row>
    <row r="130" spans="1:4" ht="33" customHeight="1" thickBot="1" x14ac:dyDescent="0.3">
      <c r="A130" s="191" t="s">
        <v>196</v>
      </c>
      <c r="B130" s="192">
        <v>22</v>
      </c>
      <c r="C130" s="193" t="s">
        <v>184</v>
      </c>
      <c r="D130" s="194" t="s">
        <v>100</v>
      </c>
    </row>
    <row r="131" spans="1:4" x14ac:dyDescent="0.25">
      <c r="A131" s="357" t="s">
        <v>13</v>
      </c>
      <c r="B131" s="358"/>
      <c r="C131" s="358"/>
      <c r="D131" s="359"/>
    </row>
    <row r="132" spans="1:4" ht="15.75" thickBot="1" x14ac:dyDescent="0.3">
      <c r="A132" s="57"/>
      <c r="B132" s="58" t="s">
        <v>14</v>
      </c>
      <c r="C132" s="59" t="s">
        <v>15</v>
      </c>
      <c r="D132" s="60" t="s">
        <v>17</v>
      </c>
    </row>
    <row r="133" spans="1:4" ht="30.75" thickBot="1" x14ac:dyDescent="0.3">
      <c r="A133" s="197" t="s">
        <v>175</v>
      </c>
      <c r="B133" s="160">
        <v>13123</v>
      </c>
      <c r="C133" s="161" t="s">
        <v>176</v>
      </c>
      <c r="D133" s="162" t="s">
        <v>177</v>
      </c>
    </row>
    <row r="134" spans="1:4" s="214" customFormat="1" ht="30" x14ac:dyDescent="0.25">
      <c r="A134" s="198" t="s">
        <v>369</v>
      </c>
      <c r="B134" s="229">
        <v>13718.04</v>
      </c>
      <c r="C134" s="86" t="s">
        <v>396</v>
      </c>
      <c r="D134" s="87" t="s">
        <v>370</v>
      </c>
    </row>
    <row r="135" spans="1:4" s="214" customFormat="1" ht="30" x14ac:dyDescent="0.25">
      <c r="A135" s="8" t="s">
        <v>371</v>
      </c>
      <c r="B135" s="228">
        <v>11405.84</v>
      </c>
      <c r="C135" s="12" t="s">
        <v>396</v>
      </c>
      <c r="D135" s="95" t="s">
        <v>370</v>
      </c>
    </row>
    <row r="136" spans="1:4" s="214" customFormat="1" ht="30" x14ac:dyDescent="0.25">
      <c r="A136" s="8" t="s">
        <v>372</v>
      </c>
      <c r="B136" s="228">
        <v>378.54</v>
      </c>
      <c r="C136" s="12" t="s">
        <v>397</v>
      </c>
      <c r="D136" s="95" t="s">
        <v>370</v>
      </c>
    </row>
    <row r="137" spans="1:4" s="214" customFormat="1" ht="30.75" thickBot="1" x14ac:dyDescent="0.3">
      <c r="A137" s="199" t="s">
        <v>379</v>
      </c>
      <c r="B137" s="230">
        <v>10598.43</v>
      </c>
      <c r="C137" s="36" t="s">
        <v>398</v>
      </c>
      <c r="D137" s="88" t="s">
        <v>370</v>
      </c>
    </row>
    <row r="138" spans="1:4" x14ac:dyDescent="0.25">
      <c r="A138" s="213" t="s">
        <v>251</v>
      </c>
      <c r="B138" s="226">
        <v>1038</v>
      </c>
      <c r="C138" s="153" t="s">
        <v>191</v>
      </c>
      <c r="D138" s="227" t="s">
        <v>343</v>
      </c>
    </row>
    <row r="139" spans="1:4" x14ac:dyDescent="0.25">
      <c r="A139" s="8" t="s">
        <v>252</v>
      </c>
      <c r="B139" s="93">
        <v>830</v>
      </c>
      <c r="C139" s="12" t="s">
        <v>191</v>
      </c>
      <c r="D139" s="95" t="s">
        <v>343</v>
      </c>
    </row>
    <row r="140" spans="1:4" x14ac:dyDescent="0.25">
      <c r="A140" s="8" t="s">
        <v>253</v>
      </c>
      <c r="B140" s="93">
        <v>629</v>
      </c>
      <c r="C140" s="12" t="s">
        <v>191</v>
      </c>
      <c r="D140" s="95" t="s">
        <v>343</v>
      </c>
    </row>
    <row r="141" spans="1:4" x14ac:dyDescent="0.25">
      <c r="A141" s="8" t="s">
        <v>259</v>
      </c>
      <c r="B141" s="93">
        <v>326</v>
      </c>
      <c r="C141" s="12" t="s">
        <v>191</v>
      </c>
      <c r="D141" s="95" t="s">
        <v>343</v>
      </c>
    </row>
    <row r="142" spans="1:4" ht="15.75" thickBot="1" x14ac:dyDescent="0.3">
      <c r="A142" s="141" t="s">
        <v>254</v>
      </c>
      <c r="B142" s="200">
        <v>372</v>
      </c>
      <c r="C142" s="29" t="s">
        <v>191</v>
      </c>
      <c r="D142" s="201" t="s">
        <v>343</v>
      </c>
    </row>
    <row r="143" spans="1:4" x14ac:dyDescent="0.25">
      <c r="A143" s="198" t="s">
        <v>255</v>
      </c>
      <c r="B143" s="94">
        <v>1540</v>
      </c>
      <c r="C143" s="86" t="s">
        <v>191</v>
      </c>
      <c r="D143" s="87" t="s">
        <v>343</v>
      </c>
    </row>
    <row r="144" spans="1:4" x14ac:dyDescent="0.25">
      <c r="A144" s="8" t="s">
        <v>256</v>
      </c>
      <c r="B144" s="93">
        <v>1232</v>
      </c>
      <c r="C144" s="12" t="s">
        <v>191</v>
      </c>
      <c r="D144" s="95" t="s">
        <v>343</v>
      </c>
    </row>
    <row r="145" spans="1:4" ht="15.75" thickBot="1" x14ac:dyDescent="0.3">
      <c r="A145" s="199" t="s">
        <v>260</v>
      </c>
      <c r="B145" s="89">
        <v>289</v>
      </c>
      <c r="C145" s="36" t="s">
        <v>191</v>
      </c>
      <c r="D145" s="88" t="s">
        <v>343</v>
      </c>
    </row>
    <row r="146" spans="1:4" x14ac:dyDescent="0.25">
      <c r="A146" s="198" t="s">
        <v>257</v>
      </c>
      <c r="B146" s="94">
        <v>2223</v>
      </c>
      <c r="C146" s="86" t="s">
        <v>191</v>
      </c>
      <c r="D146" s="87" t="s">
        <v>343</v>
      </c>
    </row>
    <row r="147" spans="1:4" ht="15.75" thickBot="1" x14ac:dyDescent="0.3">
      <c r="A147" s="199" t="s">
        <v>258</v>
      </c>
      <c r="B147" s="89">
        <v>417</v>
      </c>
      <c r="C147" s="36" t="s">
        <v>191</v>
      </c>
      <c r="D147" s="88" t="s">
        <v>343</v>
      </c>
    </row>
    <row r="148" spans="1:4" x14ac:dyDescent="0.25">
      <c r="A148" s="34"/>
      <c r="B148" s="33"/>
      <c r="C148" s="33"/>
      <c r="D148" s="33"/>
    </row>
    <row r="149" spans="1:4" s="171" customFormat="1" x14ac:dyDescent="0.25">
      <c r="A149" s="355" t="s">
        <v>344</v>
      </c>
      <c r="B149" s="356"/>
      <c r="C149" s="33"/>
      <c r="D149" s="33"/>
    </row>
    <row r="150" spans="1:4" s="171" customFormat="1" x14ac:dyDescent="0.25">
      <c r="A150" s="205" t="s">
        <v>345</v>
      </c>
      <c r="B150" s="206" t="s">
        <v>346</v>
      </c>
      <c r="C150" s="33"/>
      <c r="D150" s="33"/>
    </row>
    <row r="151" spans="1:4" x14ac:dyDescent="0.25">
      <c r="A151" s="203">
        <v>2204.62</v>
      </c>
      <c r="B151" s="76" t="s">
        <v>164</v>
      </c>
    </row>
    <row r="152" spans="1:4" x14ac:dyDescent="0.25">
      <c r="A152" s="204">
        <v>1000000</v>
      </c>
      <c r="B152" s="76" t="s">
        <v>194</v>
      </c>
    </row>
    <row r="153" spans="1:4" x14ac:dyDescent="0.25">
      <c r="A153" s="202">
        <v>454</v>
      </c>
      <c r="B153" s="76" t="s">
        <v>208</v>
      </c>
    </row>
    <row r="154" spans="1:4" x14ac:dyDescent="0.25">
      <c r="A154" s="202">
        <v>293.07</v>
      </c>
      <c r="B154" s="76" t="s">
        <v>250</v>
      </c>
    </row>
  </sheetData>
  <sheetProtection algorithmName="SHA-512" hashValue="nerPcyUeYa50TirQAx0MoKSAbqOgueLurQzNUD4YFUyg+7Z9uy/Bu8GNJTUsW6g3meC8Dl/a9ZFgvjpW34v/6w==" saltValue="+LxjyBzK217Cf7i323PkWg==" spinCount="100000" sheet="1"/>
  <mergeCells count="17">
    <mergeCell ref="A149:B149"/>
    <mergeCell ref="A131:D131"/>
    <mergeCell ref="A14:D14"/>
    <mergeCell ref="A17:D17"/>
    <mergeCell ref="A113:D113"/>
    <mergeCell ref="A18:D18"/>
    <mergeCell ref="A37:D37"/>
    <mergeCell ref="A25:A26"/>
    <mergeCell ref="A27:A28"/>
    <mergeCell ref="A29:A30"/>
    <mergeCell ref="A31:A32"/>
    <mergeCell ref="A33:A35"/>
    <mergeCell ref="A123:D123"/>
    <mergeCell ref="A11:D11"/>
    <mergeCell ref="A19:A20"/>
    <mergeCell ref="A21:A22"/>
    <mergeCell ref="A23:A24"/>
  </mergeCells>
  <hyperlinks>
    <hyperlink ref="A12" r:id="rId1" xr:uid="{00000000-0004-0000-0500-000000000000}"/>
  </hyperlinks>
  <pageMargins left="0.7" right="0.7" top="0.75" bottom="0.75" header="0.3" footer="0.3"/>
  <pageSetup scale="27" orientation="portrait" r:id="rId2"/>
  <headerFooter>
    <oddFooter>&amp;CPage 6 of 7&amp;RGHG Emission Reduction Factors Worksheet</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88"/>
  <sheetViews>
    <sheetView showGridLines="0" zoomScaleNormal="100" workbookViewId="0">
      <selection activeCell="M12" sqref="M12"/>
    </sheetView>
  </sheetViews>
  <sheetFormatPr defaultRowHeight="15" x14ac:dyDescent="0.25"/>
  <cols>
    <col min="1" max="1" width="46" customWidth="1"/>
    <col min="2" max="2" width="25.7109375" customWidth="1"/>
    <col min="3" max="3" width="31" customWidth="1"/>
    <col min="4" max="4" width="75.85546875" customWidth="1"/>
  </cols>
  <sheetData>
    <row r="1" spans="1:4" ht="18.75" x14ac:dyDescent="0.3">
      <c r="C1" s="2" t="str">
        <f>'Read Me'!I1</f>
        <v xml:space="preserve">California Air Resources Board </v>
      </c>
    </row>
    <row r="2" spans="1:4" ht="18.75" x14ac:dyDescent="0.3">
      <c r="C2" s="184"/>
    </row>
    <row r="3" spans="1:4" ht="18.75" x14ac:dyDescent="0.3">
      <c r="C3" s="184" t="str">
        <f>'Read Me'!I3</f>
        <v xml:space="preserve">Benefits Calculator Tool for the </v>
      </c>
    </row>
    <row r="4" spans="1:4" ht="18.75" x14ac:dyDescent="0.3">
      <c r="C4" s="184" t="str">
        <f>'Read Me'!I4</f>
        <v>Food Waste Prevention and Rescue Program</v>
      </c>
    </row>
    <row r="5" spans="1:4" ht="18.75" x14ac:dyDescent="0.3">
      <c r="C5" s="184"/>
    </row>
    <row r="6" spans="1:4" ht="18.75" x14ac:dyDescent="0.3">
      <c r="C6" s="184" t="str">
        <f>'Read Me'!I6</f>
        <v>California Climate Investments</v>
      </c>
    </row>
    <row r="7" spans="1:4" ht="18.75" x14ac:dyDescent="0.3">
      <c r="C7" s="184" t="str">
        <f>'Read Me'!I7</f>
        <v>Greenhouse Gas Reduction Fund</v>
      </c>
    </row>
    <row r="10" spans="1:4" ht="18.75" x14ac:dyDescent="0.3">
      <c r="A10" s="1" t="s">
        <v>27</v>
      </c>
    </row>
    <row r="11" spans="1:4" s="3" customFormat="1" x14ac:dyDescent="0.25">
      <c r="A11" s="352" t="s">
        <v>65</v>
      </c>
      <c r="B11" s="352"/>
      <c r="C11" s="352"/>
      <c r="D11" s="352"/>
    </row>
    <row r="12" spans="1:4" s="3" customFormat="1" ht="15.75" thickBot="1" x14ac:dyDescent="0.3">
      <c r="A12" s="34" t="s">
        <v>64</v>
      </c>
      <c r="B12" s="73"/>
      <c r="C12" s="73"/>
      <c r="D12" s="73"/>
    </row>
    <row r="13" spans="1:4" ht="18" customHeight="1" x14ac:dyDescent="0.25">
      <c r="A13" s="385" t="s">
        <v>219</v>
      </c>
      <c r="B13" s="386"/>
      <c r="C13" s="386"/>
      <c r="D13" s="387"/>
    </row>
    <row r="14" spans="1:4" ht="18" customHeight="1" thickBot="1" x14ac:dyDescent="0.3">
      <c r="A14" s="147" t="s">
        <v>18</v>
      </c>
      <c r="B14" s="148" t="s">
        <v>16</v>
      </c>
      <c r="C14" s="149" t="s">
        <v>15</v>
      </c>
      <c r="D14" s="150" t="s">
        <v>114</v>
      </c>
    </row>
    <row r="15" spans="1:4" ht="75" x14ac:dyDescent="0.25">
      <c r="A15" s="155" t="s">
        <v>212</v>
      </c>
      <c r="B15" s="156">
        <v>4.9000000000000002E-2</v>
      </c>
      <c r="C15" s="157" t="s">
        <v>211</v>
      </c>
      <c r="D15" s="158" t="s">
        <v>210</v>
      </c>
    </row>
    <row r="16" spans="1:4" ht="75" x14ac:dyDescent="0.25">
      <c r="A16" s="7" t="s">
        <v>213</v>
      </c>
      <c r="B16" s="115">
        <v>1.7999999999999999E-2</v>
      </c>
      <c r="C16" s="28" t="s">
        <v>211</v>
      </c>
      <c r="D16" s="20" t="s">
        <v>210</v>
      </c>
    </row>
    <row r="17" spans="1:4" ht="75.75" thickBot="1" x14ac:dyDescent="0.3">
      <c r="A17" s="17" t="s">
        <v>214</v>
      </c>
      <c r="B17" s="15">
        <v>7.0000000000000001E-3</v>
      </c>
      <c r="C17" s="159" t="s">
        <v>211</v>
      </c>
      <c r="D17" s="56" t="s">
        <v>210</v>
      </c>
    </row>
    <row r="18" spans="1:4" ht="75" x14ac:dyDescent="0.25">
      <c r="A18" s="151" t="s">
        <v>215</v>
      </c>
      <c r="B18" s="152">
        <v>9.1999999999999998E-2</v>
      </c>
      <c r="C18" s="153" t="s">
        <v>218</v>
      </c>
      <c r="D18" s="154" t="s">
        <v>210</v>
      </c>
    </row>
    <row r="19" spans="1:4" ht="75" x14ac:dyDescent="0.25">
      <c r="A19" s="7" t="s">
        <v>216</v>
      </c>
      <c r="B19" s="212">
        <v>3.3000000000000002E-2</v>
      </c>
      <c r="C19" s="12" t="s">
        <v>218</v>
      </c>
      <c r="D19" s="20" t="s">
        <v>210</v>
      </c>
    </row>
    <row r="20" spans="1:4" ht="75.75" thickBot="1" x14ac:dyDescent="0.3">
      <c r="A20" s="17" t="s">
        <v>217</v>
      </c>
      <c r="B20" s="15">
        <v>1.4E-2</v>
      </c>
      <c r="C20" s="36" t="s">
        <v>218</v>
      </c>
      <c r="D20" s="56" t="s">
        <v>210</v>
      </c>
    </row>
    <row r="21" spans="1:4" ht="15.75" thickBot="1" x14ac:dyDescent="0.3">
      <c r="A21" s="19"/>
      <c r="B21" s="19"/>
      <c r="C21" s="19"/>
      <c r="D21" s="19"/>
    </row>
    <row r="22" spans="1:4" ht="18" customHeight="1" x14ac:dyDescent="0.25">
      <c r="A22" s="388" t="s">
        <v>220</v>
      </c>
      <c r="B22" s="389"/>
      <c r="C22" s="389"/>
      <c r="D22" s="390"/>
    </row>
    <row r="23" spans="1:4" ht="18" customHeight="1" x14ac:dyDescent="0.25">
      <c r="A23" s="4" t="s">
        <v>12</v>
      </c>
      <c r="B23" s="21" t="s">
        <v>16</v>
      </c>
      <c r="C23" s="22" t="s">
        <v>15</v>
      </c>
      <c r="D23" s="23" t="s">
        <v>114</v>
      </c>
    </row>
    <row r="24" spans="1:4" ht="59.25" customHeight="1" x14ac:dyDescent="0.25">
      <c r="A24" s="8" t="s">
        <v>221</v>
      </c>
      <c r="B24" s="116">
        <v>2.0895913504246083E-5</v>
      </c>
      <c r="C24" s="12" t="s">
        <v>223</v>
      </c>
      <c r="D24" s="381" t="s">
        <v>347</v>
      </c>
    </row>
    <row r="25" spans="1:4" ht="33" customHeight="1" x14ac:dyDescent="0.25">
      <c r="A25" s="8" t="s">
        <v>222</v>
      </c>
      <c r="B25" s="116">
        <v>1.3126506282397054E-4</v>
      </c>
      <c r="C25" s="12" t="s">
        <v>223</v>
      </c>
      <c r="D25" s="381"/>
    </row>
    <row r="26" spans="1:4" ht="43.5" customHeight="1" x14ac:dyDescent="0.25">
      <c r="A26" s="8" t="s">
        <v>224</v>
      </c>
      <c r="B26" s="116">
        <v>3.2876775108031959E-5</v>
      </c>
      <c r="C26" s="12" t="s">
        <v>223</v>
      </c>
      <c r="D26" s="381"/>
    </row>
    <row r="27" spans="1:4" ht="15.75" thickBot="1" x14ac:dyDescent="0.3">
      <c r="A27" s="53"/>
      <c r="B27" s="54"/>
      <c r="C27" s="55"/>
      <c r="D27" s="18"/>
    </row>
    <row r="28" spans="1:4" ht="18" customHeight="1" x14ac:dyDescent="0.25">
      <c r="A28" s="360" t="s">
        <v>249</v>
      </c>
      <c r="B28" s="361"/>
      <c r="C28" s="361"/>
      <c r="D28" s="362"/>
    </row>
    <row r="29" spans="1:4" ht="18" customHeight="1" x14ac:dyDescent="0.25">
      <c r="A29" s="5"/>
      <c r="B29" s="25" t="s">
        <v>16</v>
      </c>
      <c r="C29" s="26" t="s">
        <v>15</v>
      </c>
      <c r="D29" s="27" t="s">
        <v>114</v>
      </c>
    </row>
    <row r="30" spans="1:4" ht="18" customHeight="1" x14ac:dyDescent="0.25">
      <c r="A30" s="6" t="s">
        <v>242</v>
      </c>
      <c r="B30" s="115">
        <v>1.647994835181528E-2</v>
      </c>
      <c r="C30" s="12" t="s">
        <v>246</v>
      </c>
      <c r="D30" s="20" t="s">
        <v>113</v>
      </c>
    </row>
    <row r="31" spans="1:4" ht="18" customHeight="1" x14ac:dyDescent="0.25">
      <c r="A31" s="6" t="s">
        <v>243</v>
      </c>
      <c r="B31" s="115">
        <v>0.29889488075345588</v>
      </c>
      <c r="C31" s="12" t="s">
        <v>246</v>
      </c>
      <c r="D31" s="20" t="s">
        <v>113</v>
      </c>
    </row>
    <row r="32" spans="1:4" ht="18" customHeight="1" x14ac:dyDescent="0.25">
      <c r="A32" s="6" t="s">
        <v>244</v>
      </c>
      <c r="B32" s="115">
        <v>8.521950478505241E-3</v>
      </c>
      <c r="C32" s="12" t="s">
        <v>246</v>
      </c>
      <c r="D32" s="20" t="s">
        <v>113</v>
      </c>
    </row>
    <row r="33" spans="1:4" ht="18" customHeight="1" thickBot="1" x14ac:dyDescent="0.3">
      <c r="A33" s="145" t="s">
        <v>245</v>
      </c>
      <c r="B33" s="146">
        <v>1.1487923439161476E-3</v>
      </c>
      <c r="C33" s="36" t="s">
        <v>246</v>
      </c>
      <c r="D33" s="56" t="s">
        <v>113</v>
      </c>
    </row>
    <row r="34" spans="1:4" ht="18" customHeight="1" thickBot="1" x14ac:dyDescent="0.3">
      <c r="A34" s="24"/>
      <c r="B34" s="143"/>
      <c r="C34" s="144"/>
      <c r="D34" s="18"/>
    </row>
    <row r="35" spans="1:4" x14ac:dyDescent="0.25">
      <c r="A35" s="360" t="s">
        <v>13</v>
      </c>
      <c r="B35" s="361"/>
      <c r="C35" s="361"/>
      <c r="D35" s="362"/>
    </row>
    <row r="36" spans="1:4" ht="15.75" thickBot="1" x14ac:dyDescent="0.3">
      <c r="A36" s="57"/>
      <c r="B36" s="58" t="s">
        <v>14</v>
      </c>
      <c r="C36" s="59" t="s">
        <v>15</v>
      </c>
      <c r="D36" s="60" t="s">
        <v>17</v>
      </c>
    </row>
    <row r="37" spans="1:4" x14ac:dyDescent="0.25">
      <c r="A37" s="198" t="s">
        <v>261</v>
      </c>
      <c r="B37" s="136">
        <v>7.1000000000000004E-3</v>
      </c>
      <c r="C37" s="86" t="s">
        <v>191</v>
      </c>
      <c r="D37" s="382" t="s">
        <v>348</v>
      </c>
    </row>
    <row r="38" spans="1:4" x14ac:dyDescent="0.25">
      <c r="A38" s="8" t="s">
        <v>262</v>
      </c>
      <c r="B38" s="137">
        <v>4.5699999999999998E-2</v>
      </c>
      <c r="C38" s="12" t="s">
        <v>191</v>
      </c>
      <c r="D38" s="383"/>
    </row>
    <row r="39" spans="1:4" ht="15.75" thickBot="1" x14ac:dyDescent="0.3">
      <c r="A39" s="199" t="s">
        <v>263</v>
      </c>
      <c r="B39" s="138">
        <v>3.6200000000000003E-2</v>
      </c>
      <c r="C39" s="36" t="s">
        <v>191</v>
      </c>
      <c r="D39" s="383"/>
    </row>
    <row r="40" spans="1:4" x14ac:dyDescent="0.25">
      <c r="A40" s="198" t="s">
        <v>264</v>
      </c>
      <c r="B40" s="136">
        <v>5.7000000000000002E-3</v>
      </c>
      <c r="C40" s="86" t="s">
        <v>191</v>
      </c>
      <c r="D40" s="383"/>
    </row>
    <row r="41" spans="1:4" x14ac:dyDescent="0.25">
      <c r="A41" s="8" t="s">
        <v>265</v>
      </c>
      <c r="B41" s="137">
        <v>3.6600000000000001E-2</v>
      </c>
      <c r="C41" s="12" t="s">
        <v>191</v>
      </c>
      <c r="D41" s="383"/>
    </row>
    <row r="42" spans="1:4" ht="15.75" thickBot="1" x14ac:dyDescent="0.3">
      <c r="A42" s="199" t="s">
        <v>266</v>
      </c>
      <c r="B42" s="138">
        <v>1.95E-2</v>
      </c>
      <c r="C42" s="36" t="s">
        <v>191</v>
      </c>
      <c r="D42" s="383"/>
    </row>
    <row r="43" spans="1:4" x14ac:dyDescent="0.25">
      <c r="A43" s="198" t="s">
        <v>267</v>
      </c>
      <c r="B43" s="136">
        <v>3.3999999999999998E-3</v>
      </c>
      <c r="C43" s="86" t="s">
        <v>191</v>
      </c>
      <c r="D43" s="383"/>
    </row>
    <row r="44" spans="1:4" x14ac:dyDescent="0.25">
      <c r="A44" s="8" t="s">
        <v>268</v>
      </c>
      <c r="B44" s="137">
        <v>2.1999999999999999E-2</v>
      </c>
      <c r="C44" s="12" t="s">
        <v>191</v>
      </c>
      <c r="D44" s="383"/>
    </row>
    <row r="45" spans="1:4" ht="15.75" thickBot="1" x14ac:dyDescent="0.3">
      <c r="A45" s="199" t="s">
        <v>269</v>
      </c>
      <c r="B45" s="138">
        <v>1.9099999999999999E-2</v>
      </c>
      <c r="C45" s="36" t="s">
        <v>191</v>
      </c>
      <c r="D45" s="383"/>
    </row>
    <row r="46" spans="1:4" x14ac:dyDescent="0.25">
      <c r="A46" s="198" t="s">
        <v>270</v>
      </c>
      <c r="B46" s="136">
        <v>0</v>
      </c>
      <c r="C46" s="86" t="s">
        <v>191</v>
      </c>
      <c r="D46" s="383"/>
    </row>
    <row r="47" spans="1:4" x14ac:dyDescent="0.25">
      <c r="A47" s="8" t="s">
        <v>271</v>
      </c>
      <c r="B47" s="137">
        <v>0</v>
      </c>
      <c r="C47" s="12" t="s">
        <v>191</v>
      </c>
      <c r="D47" s="383"/>
    </row>
    <row r="48" spans="1:4" ht="15.75" thickBot="1" x14ac:dyDescent="0.3">
      <c r="A48" s="199" t="s">
        <v>272</v>
      </c>
      <c r="B48" s="138">
        <v>1.84E-2</v>
      </c>
      <c r="C48" s="36" t="s">
        <v>191</v>
      </c>
      <c r="D48" s="383"/>
    </row>
    <row r="49" spans="1:4" x14ac:dyDescent="0.25">
      <c r="A49" s="198" t="s">
        <v>273</v>
      </c>
      <c r="B49" s="136">
        <v>0</v>
      </c>
      <c r="C49" s="86" t="s">
        <v>191</v>
      </c>
      <c r="D49" s="383"/>
    </row>
    <row r="50" spans="1:4" x14ac:dyDescent="0.25">
      <c r="A50" s="8" t="s">
        <v>274</v>
      </c>
      <c r="B50" s="137">
        <v>0</v>
      </c>
      <c r="C50" s="12" t="s">
        <v>191</v>
      </c>
      <c r="D50" s="383"/>
    </row>
    <row r="51" spans="1:4" ht="15.75" thickBot="1" x14ac:dyDescent="0.3">
      <c r="A51" s="199" t="s">
        <v>275</v>
      </c>
      <c r="B51" s="138">
        <v>1.84E-2</v>
      </c>
      <c r="C51" s="36" t="s">
        <v>191</v>
      </c>
      <c r="D51" s="383"/>
    </row>
    <row r="52" spans="1:4" x14ac:dyDescent="0.25">
      <c r="A52" s="198" t="s">
        <v>276</v>
      </c>
      <c r="B52" s="136">
        <v>3.7100000000000001E-2</v>
      </c>
      <c r="C52" s="86" t="s">
        <v>191</v>
      </c>
      <c r="D52" s="383"/>
    </row>
    <row r="53" spans="1:4" x14ac:dyDescent="0.25">
      <c r="A53" s="8" t="s">
        <v>277</v>
      </c>
      <c r="B53" s="137">
        <v>0.8579</v>
      </c>
      <c r="C53" s="12" t="s">
        <v>191</v>
      </c>
      <c r="D53" s="383"/>
    </row>
    <row r="54" spans="1:4" x14ac:dyDescent="0.25">
      <c r="A54" s="8" t="s">
        <v>278</v>
      </c>
      <c r="B54" s="137">
        <v>6.1600000000000002E-2</v>
      </c>
      <c r="C54" s="12" t="s">
        <v>191</v>
      </c>
      <c r="D54" s="383"/>
    </row>
    <row r="55" spans="1:4" ht="15.75" thickBot="1" x14ac:dyDescent="0.3">
      <c r="A55" s="199" t="s">
        <v>309</v>
      </c>
      <c r="B55" s="138">
        <v>2.8999999999999998E-3</v>
      </c>
      <c r="C55" s="36" t="s">
        <v>191</v>
      </c>
      <c r="D55" s="383"/>
    </row>
    <row r="56" spans="1:4" x14ac:dyDescent="0.25">
      <c r="A56" s="198" t="s">
        <v>280</v>
      </c>
      <c r="B56" s="136">
        <v>2.9700000000000001E-2</v>
      </c>
      <c r="C56" s="86" t="s">
        <v>191</v>
      </c>
      <c r="D56" s="383"/>
    </row>
    <row r="57" spans="1:4" x14ac:dyDescent="0.25">
      <c r="A57" s="8" t="s">
        <v>281</v>
      </c>
      <c r="B57" s="137">
        <v>0.68630000000000002</v>
      </c>
      <c r="C57" s="12" t="s">
        <v>191</v>
      </c>
      <c r="D57" s="383"/>
    </row>
    <row r="58" spans="1:4" x14ac:dyDescent="0.25">
      <c r="A58" s="8" t="s">
        <v>282</v>
      </c>
      <c r="B58" s="137">
        <v>3.3099999999999997E-2</v>
      </c>
      <c r="C58" s="12" t="s">
        <v>191</v>
      </c>
      <c r="D58" s="383"/>
    </row>
    <row r="59" spans="1:4" ht="15.75" thickBot="1" x14ac:dyDescent="0.3">
      <c r="A59" s="199" t="s">
        <v>279</v>
      </c>
      <c r="B59" s="138">
        <v>2.3E-3</v>
      </c>
      <c r="C59" s="36" t="s">
        <v>191</v>
      </c>
      <c r="D59" s="383"/>
    </row>
    <row r="60" spans="1:4" x14ac:dyDescent="0.25">
      <c r="A60" s="142" t="s">
        <v>284</v>
      </c>
      <c r="B60" s="170">
        <v>0</v>
      </c>
      <c r="C60" s="86" t="s">
        <v>191</v>
      </c>
      <c r="D60" s="383"/>
    </row>
    <row r="61" spans="1:4" x14ac:dyDescent="0.25">
      <c r="A61" s="8" t="s">
        <v>285</v>
      </c>
      <c r="B61" s="137">
        <v>0</v>
      </c>
      <c r="C61" s="12" t="s">
        <v>191</v>
      </c>
      <c r="D61" s="383"/>
    </row>
    <row r="62" spans="1:4" x14ac:dyDescent="0.25">
      <c r="A62" s="8" t="s">
        <v>286</v>
      </c>
      <c r="B62" s="137">
        <v>3.09E-2</v>
      </c>
      <c r="C62" s="12" t="s">
        <v>191</v>
      </c>
      <c r="D62" s="383"/>
    </row>
    <row r="63" spans="1:4" ht="15.75" thickBot="1" x14ac:dyDescent="0.3">
      <c r="A63" s="141" t="s">
        <v>283</v>
      </c>
      <c r="B63" s="163">
        <v>0</v>
      </c>
      <c r="C63" s="36" t="s">
        <v>191</v>
      </c>
      <c r="D63" s="383"/>
    </row>
    <row r="64" spans="1:4" x14ac:dyDescent="0.25">
      <c r="A64" s="198" t="s">
        <v>287</v>
      </c>
      <c r="B64" s="136">
        <v>7.8899999999999998E-2</v>
      </c>
      <c r="C64" s="86" t="s">
        <v>191</v>
      </c>
      <c r="D64" s="383"/>
    </row>
    <row r="65" spans="1:10" x14ac:dyDescent="0.25">
      <c r="A65" s="8" t="s">
        <v>288</v>
      </c>
      <c r="B65" s="139">
        <v>1.431</v>
      </c>
      <c r="C65" s="12" t="s">
        <v>191</v>
      </c>
      <c r="D65" s="383"/>
    </row>
    <row r="66" spans="1:10" x14ac:dyDescent="0.25">
      <c r="A66" s="8" t="s">
        <v>289</v>
      </c>
      <c r="B66" s="139">
        <v>4.0800000000000003E-2</v>
      </c>
      <c r="C66" s="12" t="s">
        <v>191</v>
      </c>
      <c r="D66" s="383"/>
    </row>
    <row r="67" spans="1:10" ht="15.75" thickBot="1" x14ac:dyDescent="0.3">
      <c r="A67" s="199" t="s">
        <v>290</v>
      </c>
      <c r="B67" s="140">
        <v>5.4999999999999997E-3</v>
      </c>
      <c r="C67" s="36" t="s">
        <v>191</v>
      </c>
      <c r="D67" s="383"/>
    </row>
    <row r="68" spans="1:10" x14ac:dyDescent="0.25">
      <c r="A68" s="198" t="s">
        <v>291</v>
      </c>
      <c r="B68" s="136">
        <v>0</v>
      </c>
      <c r="C68" s="86" t="s">
        <v>191</v>
      </c>
      <c r="D68" s="383"/>
    </row>
    <row r="69" spans="1:10" x14ac:dyDescent="0.25">
      <c r="A69" s="8" t="s">
        <v>292</v>
      </c>
      <c r="B69" s="139">
        <v>0</v>
      </c>
      <c r="C69" s="12" t="s">
        <v>191</v>
      </c>
      <c r="D69" s="383"/>
    </row>
    <row r="70" spans="1:10" x14ac:dyDescent="0.25">
      <c r="A70" s="8" t="s">
        <v>293</v>
      </c>
      <c r="B70" s="139">
        <v>2.2200000000000001E-2</v>
      </c>
      <c r="C70" s="12" t="s">
        <v>191</v>
      </c>
      <c r="D70" s="383"/>
    </row>
    <row r="71" spans="1:10" ht="30.75" thickBot="1" x14ac:dyDescent="0.3">
      <c r="A71" s="199" t="s">
        <v>294</v>
      </c>
      <c r="B71" s="140">
        <v>0</v>
      </c>
      <c r="C71" s="36" t="s">
        <v>191</v>
      </c>
      <c r="D71" s="384"/>
    </row>
    <row r="72" spans="1:10" ht="15.75" thickBot="1" x14ac:dyDescent="0.3"/>
    <row r="73" spans="1:10" x14ac:dyDescent="0.25">
      <c r="A73" s="360" t="s">
        <v>373</v>
      </c>
      <c r="B73" s="361"/>
      <c r="C73" s="361"/>
      <c r="D73" s="362"/>
    </row>
    <row r="74" spans="1:10" ht="15.75" thickBot="1" x14ac:dyDescent="0.3">
      <c r="A74" s="57" t="s">
        <v>374</v>
      </c>
      <c r="B74" s="58" t="s">
        <v>375</v>
      </c>
      <c r="C74" s="59" t="s">
        <v>15</v>
      </c>
      <c r="D74" s="60" t="s">
        <v>17</v>
      </c>
    </row>
    <row r="75" spans="1:10" ht="15" customHeight="1" x14ac:dyDescent="0.25">
      <c r="A75" s="222" t="s">
        <v>376</v>
      </c>
      <c r="B75" s="223">
        <v>3.01</v>
      </c>
      <c r="C75" s="224" t="s">
        <v>377</v>
      </c>
      <c r="D75" s="378" t="s">
        <v>399</v>
      </c>
      <c r="E75" s="207"/>
      <c r="F75" s="207"/>
      <c r="G75" s="207"/>
      <c r="H75" s="207"/>
      <c r="I75" s="207"/>
      <c r="J75" s="207"/>
    </row>
    <row r="76" spans="1:10" x14ac:dyDescent="0.25">
      <c r="A76" s="225" t="s">
        <v>378</v>
      </c>
      <c r="B76" s="218">
        <v>3.13</v>
      </c>
      <c r="C76" s="219" t="s">
        <v>377</v>
      </c>
      <c r="D76" s="379"/>
    </row>
    <row r="77" spans="1:10" s="214" customFormat="1" ht="15.75" thickBot="1" x14ac:dyDescent="0.3">
      <c r="A77" s="225" t="s">
        <v>380</v>
      </c>
      <c r="B77" s="220">
        <v>0.19389999999999999</v>
      </c>
      <c r="C77" s="219" t="s">
        <v>381</v>
      </c>
      <c r="D77" s="379"/>
    </row>
    <row r="78" spans="1:10" s="214" customFormat="1" ht="15.75" hidden="1" customHeight="1" thickBot="1" x14ac:dyDescent="0.3">
      <c r="A78" s="215" t="s">
        <v>390</v>
      </c>
      <c r="B78" s="217">
        <v>0</v>
      </c>
      <c r="C78" s="216" t="s">
        <v>391</v>
      </c>
      <c r="D78" s="379"/>
    </row>
    <row r="79" spans="1:10" x14ac:dyDescent="0.25">
      <c r="A79" s="198" t="s">
        <v>394</v>
      </c>
      <c r="B79" s="233">
        <f>('GHG ERFs'!B138/'GHG ERFs'!B135)*'GHG ERFs'!B133*'Co-Ben ERFs'!B75</f>
        <v>3594.7583641362667</v>
      </c>
      <c r="C79" s="234" t="s">
        <v>392</v>
      </c>
      <c r="D79" s="379"/>
    </row>
    <row r="80" spans="1:10" x14ac:dyDescent="0.25">
      <c r="A80" s="8" t="s">
        <v>382</v>
      </c>
      <c r="B80" s="231">
        <f>('GHG ERFs'!B139/'GHG ERFs'!B135)*'GHG ERFs'!B133*'Co-Ben ERFs'!B75</f>
        <v>2874.4214279702323</v>
      </c>
      <c r="C80" s="221" t="s">
        <v>392</v>
      </c>
      <c r="D80" s="379"/>
    </row>
    <row r="81" spans="1:4" x14ac:dyDescent="0.25">
      <c r="A81" s="8" t="s">
        <v>383</v>
      </c>
      <c r="B81" s="231">
        <f>('GHG ERFs'!B140/'GHG ERFs'!B135)*'GHG ERFs'!B133*'Co-Ben ERFs'!B75</f>
        <v>2178.3266002328628</v>
      </c>
      <c r="C81" s="221" t="s">
        <v>392</v>
      </c>
      <c r="D81" s="379"/>
    </row>
    <row r="82" spans="1:4" x14ac:dyDescent="0.25">
      <c r="A82" s="8" t="s">
        <v>393</v>
      </c>
      <c r="B82" s="231">
        <f>('GHG ERFs'!B141/'GHG ERFs'!B136)*'GHG ERFs'!B133*'Co-Ben ERFs'!B77</f>
        <v>2191.3752897976433</v>
      </c>
      <c r="C82" s="221" t="s">
        <v>392</v>
      </c>
      <c r="D82" s="379"/>
    </row>
    <row r="83" spans="1:4" hidden="1" x14ac:dyDescent="0.25">
      <c r="A83" s="8" t="s">
        <v>384</v>
      </c>
      <c r="B83" s="231">
        <f>('GHG ERFs'!B142/'GHG ERFs'!B137)*'GHG ERFs'!B133*'Co-Ben ERFs'!B78</f>
        <v>0</v>
      </c>
      <c r="C83" s="221" t="s">
        <v>392</v>
      </c>
      <c r="D83" s="379"/>
    </row>
    <row r="84" spans="1:4" x14ac:dyDescent="0.25">
      <c r="A84" s="8" t="s">
        <v>385</v>
      </c>
      <c r="B84" s="231">
        <f>('GHG ERFs'!B143/'GHG ERFs'!B134)*'GHG ERFs'!B133*'Co-Ben ERFs'!B76</f>
        <v>4611.1167921948027</v>
      </c>
      <c r="C84" s="221" t="s">
        <v>392</v>
      </c>
      <c r="D84" s="379"/>
    </row>
    <row r="85" spans="1:4" x14ac:dyDescent="0.25">
      <c r="A85" s="8" t="s">
        <v>386</v>
      </c>
      <c r="B85" s="231">
        <f>('GHG ERFs'!B144/'GHG ERFs'!B134)*'GHG ERFs'!B133*'Co-Ben ERFs'!B76</f>
        <v>3688.8934337558426</v>
      </c>
      <c r="C85" s="221" t="s">
        <v>392</v>
      </c>
      <c r="D85" s="379"/>
    </row>
    <row r="86" spans="1:4" x14ac:dyDescent="0.25">
      <c r="A86" s="8" t="s">
        <v>387</v>
      </c>
      <c r="B86" s="231">
        <f>('GHG ERFs'!B145/'GHG ERFs'!B136)*'GHG ERFs'!B133*'Co-Ben ERFs'!B77</f>
        <v>1942.6609164157019</v>
      </c>
      <c r="C86" s="221" t="s">
        <v>392</v>
      </c>
      <c r="D86" s="379"/>
    </row>
    <row r="87" spans="1:4" x14ac:dyDescent="0.25">
      <c r="A87" s="8" t="s">
        <v>388</v>
      </c>
      <c r="B87" s="231">
        <f>('GHG ERFs'!B146/'GHG ERFs'!B134)*'GHG ERFs'!B133*'Co-Ben ERFs'!B76</f>
        <v>6656.1770318500303</v>
      </c>
      <c r="C87" s="221" t="s">
        <v>392</v>
      </c>
      <c r="D87" s="379"/>
    </row>
    <row r="88" spans="1:4" ht="15.75" thickBot="1" x14ac:dyDescent="0.3">
      <c r="A88" s="199" t="s">
        <v>389</v>
      </c>
      <c r="B88" s="232">
        <f>('GHG ERFs'!B147/'GHG ERFs'!B136)*'GHG ERFs'!B133*'Co-Ben ERFs'!B77</f>
        <v>2803.0782081153902</v>
      </c>
      <c r="C88" s="235" t="s">
        <v>392</v>
      </c>
      <c r="D88" s="380"/>
    </row>
  </sheetData>
  <sheetProtection algorithmName="SHA-512" hashValue="Elu7xoO9rzqL1iCQypyqtYMcDd57x18tiAA4Irb/gK6Kl15f4JkIV4hQ8dBkwCL3c7z8Y/Nnr4aRMdlv+3sqkA==" saltValue="4M+io08KrJx8teOLltyMLw==" spinCount="100000" sheet="1"/>
  <mergeCells count="9">
    <mergeCell ref="D75:D88"/>
    <mergeCell ref="D24:D26"/>
    <mergeCell ref="D37:D71"/>
    <mergeCell ref="A28:D28"/>
    <mergeCell ref="A11:D11"/>
    <mergeCell ref="A13:D13"/>
    <mergeCell ref="A22:D22"/>
    <mergeCell ref="A35:D35"/>
    <mergeCell ref="A73:D73"/>
  </mergeCells>
  <hyperlinks>
    <hyperlink ref="A12" r:id="rId1" xr:uid="{00000000-0004-0000-0600-000000000000}"/>
  </hyperlinks>
  <pageMargins left="0.7" right="0.7" top="0.75" bottom="0.75" header="0.3" footer="0.3"/>
  <pageSetup scale="50" orientation="portrait" r:id="rId2"/>
  <headerFooter>
    <oddFooter>&amp;CPage 7 of 7&amp;RCo-benefits Emission Reduction Factors Worksheet</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C37"/>
  <sheetViews>
    <sheetView topLeftCell="J1" workbookViewId="0">
      <selection activeCell="S26" sqref="S26"/>
    </sheetView>
  </sheetViews>
  <sheetFormatPr defaultRowHeight="15" x14ac:dyDescent="0.25"/>
  <cols>
    <col min="1" max="1" width="45.7109375" bestFit="1" customWidth="1"/>
    <col min="2" max="2" width="16.42578125" customWidth="1"/>
    <col min="3" max="3" width="15.7109375" customWidth="1"/>
    <col min="4" max="4" width="18.140625" customWidth="1"/>
    <col min="5" max="6" width="25.42578125" customWidth="1"/>
    <col min="7" max="7" width="24.28515625" customWidth="1"/>
    <col min="8" max="8" width="26.28515625" customWidth="1"/>
    <col min="9" max="9" width="27.42578125" customWidth="1"/>
    <col min="10" max="10" width="21.28515625" customWidth="1"/>
    <col min="11" max="11" width="14.28515625" customWidth="1"/>
    <col min="12" max="12" width="16.85546875" customWidth="1"/>
    <col min="13" max="13" width="19.7109375" customWidth="1"/>
    <col min="14" max="14" width="19.85546875" customWidth="1"/>
    <col min="15" max="15" width="17.85546875" customWidth="1"/>
    <col min="16" max="16" width="18.42578125" customWidth="1"/>
    <col min="17" max="18" width="17.28515625" customWidth="1"/>
    <col min="19" max="19" width="24.28515625" customWidth="1"/>
    <col min="20" max="20" width="18.85546875" customWidth="1"/>
    <col min="21" max="21" width="16" customWidth="1"/>
    <col min="22" max="22" width="16.5703125" customWidth="1"/>
    <col min="23" max="23" width="11.85546875" customWidth="1"/>
    <col min="24" max="24" width="23.5703125" customWidth="1"/>
    <col min="25" max="26" width="20.28515625" customWidth="1"/>
    <col min="27" max="27" width="11.42578125" customWidth="1"/>
    <col min="28" max="29" width="13.140625" customWidth="1"/>
  </cols>
  <sheetData>
    <row r="2" spans="1:29" x14ac:dyDescent="0.25">
      <c r="J2" s="395" t="s">
        <v>180</v>
      </c>
      <c r="K2" s="395"/>
      <c r="L2" s="395"/>
      <c r="M2" s="395"/>
      <c r="N2" s="395"/>
      <c r="O2" s="395"/>
      <c r="P2" s="395"/>
      <c r="Q2" s="395"/>
      <c r="R2" s="395"/>
      <c r="S2" s="395"/>
      <c r="T2" s="395"/>
      <c r="U2" s="395"/>
      <c r="V2" s="395"/>
      <c r="W2" s="395"/>
      <c r="X2" s="395"/>
    </row>
    <row r="3" spans="1:29" ht="47.25" customHeight="1" x14ac:dyDescent="0.25">
      <c r="A3" s="75" t="s">
        <v>35</v>
      </c>
      <c r="B3" s="75" t="s">
        <v>162</v>
      </c>
      <c r="C3" s="74" t="s">
        <v>33</v>
      </c>
      <c r="D3" s="74" t="s">
        <v>31</v>
      </c>
      <c r="E3" s="74" t="s">
        <v>158</v>
      </c>
      <c r="F3" s="74" t="s">
        <v>159</v>
      </c>
      <c r="G3" s="75" t="s">
        <v>36</v>
      </c>
      <c r="H3" s="75" t="s">
        <v>161</v>
      </c>
      <c r="I3" s="75" t="s">
        <v>66</v>
      </c>
      <c r="J3" s="80" t="s">
        <v>110</v>
      </c>
      <c r="K3" s="80" t="s">
        <v>111</v>
      </c>
      <c r="L3" s="80" t="s">
        <v>112</v>
      </c>
      <c r="M3" s="81" t="s">
        <v>105</v>
      </c>
      <c r="N3" s="81" t="s">
        <v>106</v>
      </c>
      <c r="O3" s="81" t="s">
        <v>107</v>
      </c>
      <c r="P3" s="81" t="s">
        <v>108</v>
      </c>
      <c r="Q3" s="398" t="s">
        <v>109</v>
      </c>
      <c r="R3" s="398"/>
      <c r="S3" s="398"/>
      <c r="T3" s="82" t="s">
        <v>155</v>
      </c>
      <c r="U3" s="82" t="s">
        <v>154</v>
      </c>
      <c r="V3" s="83" t="s">
        <v>156</v>
      </c>
      <c r="W3" s="82" t="s">
        <v>157</v>
      </c>
      <c r="X3" s="85" t="s">
        <v>179</v>
      </c>
      <c r="Y3" s="85" t="s">
        <v>163</v>
      </c>
      <c r="Z3" s="117" t="s">
        <v>174</v>
      </c>
      <c r="AA3" s="92" t="s">
        <v>209</v>
      </c>
      <c r="AB3" s="92" t="s">
        <v>226</v>
      </c>
      <c r="AC3" s="92" t="s">
        <v>227</v>
      </c>
    </row>
    <row r="4" spans="1:29" x14ac:dyDescent="0.25">
      <c r="A4" s="11">
        <f>Inputs!A17</f>
        <v>0</v>
      </c>
      <c r="B4" s="11">
        <f>IF(Inputs!B17="",1,Inputs!B17)</f>
        <v>1</v>
      </c>
      <c r="C4" s="11">
        <f>IF(OR(A4="Residential Refrigerator/Freezer Combination",A4="Residential Freezer Only",A4="Residential Refrigerator Only"),30,Inputs!C17)</f>
        <v>0</v>
      </c>
      <c r="D4" s="39">
        <f>IF(OR(A4="Residential Refrigerator/Freezer Combination",A4="Residential Freezer Only",A4="Residential Refrigerator Only"),'GHG ERFs'!$B$124,IF(OR(A4="Small Walk In Refrigerator",A4="Small Walk In Freezer"),'GHG ERFs'!$B$126,IF(OR(A4="Large Walk In Refrigerator",A4="Large Walk In Freezer"),'GHG ERFs'!$B$127,'GHG ERFs'!$B$125)))</f>
        <v>7.1</v>
      </c>
      <c r="E4" s="39">
        <f>Inputs!D17</f>
        <v>0</v>
      </c>
      <c r="F4" s="39">
        <f>IF(A4=0,0,IF(D4=0.31,D4,IF(E4&gt;0,E4,D4)))</f>
        <v>0</v>
      </c>
      <c r="G4" s="11" t="str">
        <f>Inputs!E17</f>
        <v>Default Value</v>
      </c>
      <c r="H4" s="39">
        <f>IF(OR(A4="Residential Refrigerator/Freezer Combination",A4="Residential Freezer Only",A4="Residential Refrigerator Only"),0.01,0.15)</f>
        <v>0.15</v>
      </c>
      <c r="I4" s="14">
        <f>IF(Inputs!E17="",'GHG ERFs'!$B$38,VLOOKUP(Inputs!E17,'GHG ERFs'!$A$38:$B$112,2,0))</f>
        <v>3327.7550000000001</v>
      </c>
      <c r="J4" s="76">
        <f>IF(A4=Sheet1!$A$1,('Food Calcs'!C4*'GHG ERFs'!$B$19+'GHG ERFs'!$B$20)*'GHG ERFs'!$B$36,0)</f>
        <v>0</v>
      </c>
      <c r="K4" s="76">
        <f>IF(A4=Sheet1!$A$2,('Food Calcs'!C4*'GHG ERFs'!$B$21+'GHG ERFs'!$B$22)*'GHG ERFs'!$B$36,0)</f>
        <v>0</v>
      </c>
      <c r="L4" s="76">
        <f>IF(A4=Sheet1!$A$3,('Food Calcs'!C4*'GHG ERFs'!$B$23+'GHG ERFs'!$B$24)*'GHG ERFs'!$B$36,0)</f>
        <v>0</v>
      </c>
      <c r="M4" s="76">
        <f>IF(A4=Sheet1!$A$4,('Food Calcs'!C4*'GHG ERFs'!$B$25+'GHG ERFs'!$B$26)*'GHG ERFs'!$B$36,0)</f>
        <v>0</v>
      </c>
      <c r="N4" s="76">
        <f>IF(A4=Sheet1!$A$5,('Food Calcs'!C4*'GHG ERFs'!$B$27+'GHG ERFs'!$B$28)*'GHG ERFs'!$B$36,0)</f>
        <v>0</v>
      </c>
      <c r="O4" s="76">
        <f>IF(A4=Sheet1!$A$6,('Food Calcs'!C4*'GHG ERFs'!$B$29+'GHG ERFs'!$B$30)*'GHG ERFs'!$B$36,0)</f>
        <v>0</v>
      </c>
      <c r="P4" s="76">
        <f>IF(A4=Sheet1!$A$7,('Food Calcs'!C4*'GHG ERFs'!$B$31+'GHG ERFs'!$B$32)*'GHG ERFs'!$B$36,0)</f>
        <v>0</v>
      </c>
      <c r="Q4" s="76">
        <f>IF(A4=Sheet1!$A$8,('Food Calcs'!C4*'GHG ERFs'!$B$33+'GHG ERFs'!$B$34),0)</f>
        <v>0</v>
      </c>
      <c r="R4" s="76">
        <f>IF(Q4=0,0,IF(Q4&lt;'GHG ERFs'!$B$35,'GHG ERFs'!$B$35,'Food Calcs'!Q4))</f>
        <v>0</v>
      </c>
      <c r="S4" s="76">
        <f>R4*'GHG ERFs'!$B$36</f>
        <v>0</v>
      </c>
      <c r="T4" s="76">
        <f>IF(A4=Sheet1!$A$9,('Food Calcs'!C4*'GHG ERFs'!$B$25+'GHG ERFs'!$B$26)*'GHG ERFs'!$B$36,0)</f>
        <v>0</v>
      </c>
      <c r="U4" s="76">
        <f>IF(A4=Sheet1!$A$10,('Food Calcs'!C4*'GHG ERFs'!$B$25+'GHG ERFs'!$B$26)*'GHG ERFs'!$B$36,0)</f>
        <v>0</v>
      </c>
      <c r="V4" s="84">
        <f>IF(A4=Sheet1!$A$11,('Food Calcs'!C4*'GHG ERFs'!$B$29+'GHG ERFs'!$B$30)*'GHG ERFs'!$B$36,0)</f>
        <v>0</v>
      </c>
      <c r="W4" s="76">
        <f>IF(A4=Sheet1!$A$12,('Food Calcs'!C4*'GHG ERFs'!$B$29+'GHG ERFs'!$B$30)*'GHG ERFs'!$B$36,0)</f>
        <v>0</v>
      </c>
      <c r="X4" s="76">
        <f>MAX(J4:P4,S4:W4)*B4</f>
        <v>0</v>
      </c>
      <c r="Y4" s="76">
        <f>(B4*F4*H4*I4)/'GHG ERFs'!$A$151</f>
        <v>0</v>
      </c>
      <c r="Z4" s="84">
        <f>SUM(X4:Y4)</f>
        <v>0</v>
      </c>
      <c r="AA4" s="99">
        <f>MAX(J4:P4,S4:W4)*'Co-Ben ERFs'!$B$24</f>
        <v>0</v>
      </c>
      <c r="AB4" s="99">
        <f>MAX(J4:P4,S4:W4)*'Co-Ben ERFs'!$B$25</f>
        <v>0</v>
      </c>
      <c r="AC4" s="99">
        <f>MAX(J4:P4,S4:W4)*'Co-Ben ERFs'!$B$26</f>
        <v>0</v>
      </c>
    </row>
    <row r="5" spans="1:29" x14ac:dyDescent="0.25">
      <c r="A5" s="11">
        <f>Inputs!A18</f>
        <v>0</v>
      </c>
      <c r="B5" s="11">
        <f>IF(Inputs!B18="",1,Inputs!B18)</f>
        <v>1</v>
      </c>
      <c r="C5" s="11">
        <f>IF(OR(A5="Residential Refrigerator/Freezer Combination",A5="Residential Freezer Only",A5="Residential Refrigerator Only"),30,Inputs!C18)</f>
        <v>0</v>
      </c>
      <c r="D5" s="39">
        <f>IF(OR(A5="Residential Refrigerator/Freezer Combination",A5="Residential Freezer Only",A5="Residential Refrigerator Only"),'GHG ERFs'!$B$124,IF(OR(A5="Small Walk In Refrigerator",A5="Small Walk In Freezer"),'GHG ERFs'!$B$126,IF(OR(A5="Large Walk In Refrigerator",A5="Large Walk In Freezer"),'GHG ERFs'!$B$127,'GHG ERFs'!$B$125)))</f>
        <v>7.1</v>
      </c>
      <c r="E5" s="39">
        <f>Inputs!D18</f>
        <v>0</v>
      </c>
      <c r="F5" s="39">
        <f t="shared" ref="F5:F13" si="0">IF(A5=0,0,IF(E5&gt;0,E5,D5))</f>
        <v>0</v>
      </c>
      <c r="G5" s="11" t="str">
        <f>Inputs!E18</f>
        <v>Default Value</v>
      </c>
      <c r="H5" s="39">
        <f t="shared" ref="H5:H13" si="1">IF(OR(A5="Residential Refrigerator/Freezer Combination",A5="Residential Freezer Only",A5="Residential Refrigerator Only"),0.01,0.15)</f>
        <v>0.15</v>
      </c>
      <c r="I5" s="14">
        <f>IF(Inputs!E18="",'GHG ERFs'!$B$38,VLOOKUP(Inputs!E18,'GHG ERFs'!$A$38:$B$112,2,0))</f>
        <v>3327.7550000000001</v>
      </c>
      <c r="J5" s="76">
        <f>IF(A5=Sheet1!$A$1,('Food Calcs'!C5*'GHG ERFs'!$B$19+'GHG ERFs'!$B$20)*'GHG ERFs'!$B$36,0)</f>
        <v>0</v>
      </c>
      <c r="K5" s="76">
        <f>IF(A5=Sheet1!$A$2,('Food Calcs'!C5*'GHG ERFs'!$B$21+'GHG ERFs'!$B$22)*'GHG ERFs'!$B$36,0)</f>
        <v>0</v>
      </c>
      <c r="L5" s="76">
        <f>IF(A5=Sheet1!$A$3,('Food Calcs'!C5*'GHG ERFs'!$B$23+'GHG ERFs'!$B$24)*'GHG ERFs'!$B$36,0)</f>
        <v>0</v>
      </c>
      <c r="M5" s="76">
        <f>IF(A5=Sheet1!$A$4,('Food Calcs'!C5*'GHG ERFs'!$B$25+'GHG ERFs'!$B$26)*'GHG ERFs'!$B$36,0)</f>
        <v>0</v>
      </c>
      <c r="N5" s="76">
        <f>IF(A5=Sheet1!$A$5,('Food Calcs'!C5*'GHG ERFs'!$B$27+'GHG ERFs'!$B$28)*'GHG ERFs'!$B$36,0)</f>
        <v>0</v>
      </c>
      <c r="O5" s="76">
        <f>IF(A5=Sheet1!$A$6,('Food Calcs'!C5*'GHG ERFs'!$B$29+'GHG ERFs'!$B$30)*'GHG ERFs'!$B$36,0)</f>
        <v>0</v>
      </c>
      <c r="P5" s="76">
        <f>IF(A5=Sheet1!$A$7,('Food Calcs'!C5*'GHG ERFs'!$B$31+'GHG ERFs'!$B$32)*'GHG ERFs'!$B$36,0)</f>
        <v>0</v>
      </c>
      <c r="Q5" s="76">
        <f>IF(A5=Sheet1!$A$8,('Food Calcs'!C5*'GHG ERFs'!$B$33+'GHG ERFs'!$B$34),0)</f>
        <v>0</v>
      </c>
      <c r="R5" s="76">
        <f>IF(Q5=0,0,IF(Q5&lt;'GHG ERFs'!$B$35,'GHG ERFs'!$B$35,'Food Calcs'!Q5))</f>
        <v>0</v>
      </c>
      <c r="S5" s="76">
        <f>R5*'GHG ERFs'!$B$36</f>
        <v>0</v>
      </c>
      <c r="T5" s="76">
        <f>IF(A5=Sheet1!$A$9,('Food Calcs'!C5*'GHG ERFs'!$B$25+'GHG ERFs'!$B$26)*'GHG ERFs'!$B$36,0)</f>
        <v>0</v>
      </c>
      <c r="U5" s="76">
        <f>IF(A5=Sheet1!$A$10,('Food Calcs'!C5*'GHG ERFs'!$B$25+'GHG ERFs'!$B$26)*'GHG ERFs'!$B$36,0)</f>
        <v>0</v>
      </c>
      <c r="V5" s="84">
        <f>IF(A5=Sheet1!$A$11,('Food Calcs'!C5*'GHG ERFs'!$B$29+'GHG ERFs'!$B$30)*'GHG ERFs'!$B$36,0)</f>
        <v>0</v>
      </c>
      <c r="W5" s="76">
        <f>IF(A5=Sheet1!$A$12,('Food Calcs'!C5*'GHG ERFs'!$B$29+'GHG ERFs'!$B$30)*'GHG ERFs'!$B$36,0)</f>
        <v>0</v>
      </c>
      <c r="X5" s="76">
        <f t="shared" ref="X5:X13" si="2">MAX(J5:P5,S5:W5)*B5</f>
        <v>0</v>
      </c>
      <c r="Y5" s="76">
        <f>(B5*F5*H5*I5)/'GHG ERFs'!$A$151</f>
        <v>0</v>
      </c>
      <c r="Z5" s="84">
        <f t="shared" ref="Z5:Z13" si="3">SUM(X5:Y5)</f>
        <v>0</v>
      </c>
      <c r="AA5" s="99">
        <f>MAX(J5:P5,S5:W5)*'Co-Ben ERFs'!$B$24</f>
        <v>0</v>
      </c>
      <c r="AB5" s="99">
        <f>MAX(J5:P5,S5:W5)*'Co-Ben ERFs'!$B$25</f>
        <v>0</v>
      </c>
      <c r="AC5" s="99">
        <f>MAX(J5:P5,S5:W5)*'Co-Ben ERFs'!$B$26</f>
        <v>0</v>
      </c>
    </row>
    <row r="6" spans="1:29" x14ac:dyDescent="0.25">
      <c r="A6" s="11">
        <f>Inputs!A19</f>
        <v>0</v>
      </c>
      <c r="B6" s="11">
        <f>IF(Inputs!B19="",1,Inputs!B19)</f>
        <v>1</v>
      </c>
      <c r="C6" s="11">
        <f>IF(OR(A6="Residential Refrigerator/Freezer Combination",A6="Residential Freezer Only",A6="Residential Refrigerator Only"),30,Inputs!C19)</f>
        <v>0</v>
      </c>
      <c r="D6" s="39">
        <f>IF(OR(A6="Residential Refrigerator/Freezer Combination",A6="Residential Freezer Only",A6="Residential Refrigerator Only"),'GHG ERFs'!$B$124,IF(OR(A6="Small Walk In Refrigerator",A6="Small Walk In Freezer"),'GHG ERFs'!$B$126,IF(OR(A6="Large Walk In Refrigerator",A6="Large Walk In Freezer"),'GHG ERFs'!$B$127,'GHG ERFs'!$B$125)))</f>
        <v>7.1</v>
      </c>
      <c r="E6" s="39">
        <f>Inputs!D19</f>
        <v>0</v>
      </c>
      <c r="F6" s="39">
        <f t="shared" si="0"/>
        <v>0</v>
      </c>
      <c r="G6" s="11" t="str">
        <f>Inputs!E19</f>
        <v>Default Value</v>
      </c>
      <c r="H6" s="39">
        <f t="shared" si="1"/>
        <v>0.15</v>
      </c>
      <c r="I6" s="14">
        <f>IF(Inputs!E19="",'GHG ERFs'!$B$38,VLOOKUP(Inputs!E19,'GHG ERFs'!$A$38:$B$112,2,0))</f>
        <v>3327.7550000000001</v>
      </c>
      <c r="J6" s="76">
        <f>IF(A6=Sheet1!$A$1,('Food Calcs'!C6*'GHG ERFs'!$B$19+'GHG ERFs'!$B$20)*'GHG ERFs'!$B$36,0)</f>
        <v>0</v>
      </c>
      <c r="K6" s="76">
        <f>IF(A6=Sheet1!$A$2,('Food Calcs'!C6*'GHG ERFs'!$B$21+'GHG ERFs'!$B$22)*'GHG ERFs'!$B$36,0)</f>
        <v>0</v>
      </c>
      <c r="L6" s="76">
        <f>IF(A6=Sheet1!$A$3,('Food Calcs'!C6*'GHG ERFs'!$B$23+'GHG ERFs'!$B$24)*'GHG ERFs'!$B$36,0)</f>
        <v>0</v>
      </c>
      <c r="M6" s="76">
        <f>IF(A6=Sheet1!$A$4,('Food Calcs'!C6*'GHG ERFs'!$B$25+'GHG ERFs'!$B$26)*'GHG ERFs'!$B$36,0)</f>
        <v>0</v>
      </c>
      <c r="N6" s="76">
        <f>IF(A6=Sheet1!$A$5,('Food Calcs'!C6*'GHG ERFs'!$B$27+'GHG ERFs'!$B$28)*'GHG ERFs'!$B$36,0)</f>
        <v>0</v>
      </c>
      <c r="O6" s="76">
        <f>IF(A6=Sheet1!$A$6,('Food Calcs'!C6*'GHG ERFs'!$B$29+'GHG ERFs'!$B$30)*'GHG ERFs'!$B$36,0)</f>
        <v>0</v>
      </c>
      <c r="P6" s="76">
        <f>IF(A6=Sheet1!$A$7,('Food Calcs'!C6*'GHG ERFs'!$B$31+'GHG ERFs'!$B$32)*'GHG ERFs'!$B$36,0)</f>
        <v>0</v>
      </c>
      <c r="Q6" s="76">
        <f>IF(A6=Sheet1!$A$8,('Food Calcs'!C6*'GHG ERFs'!$B$33+'GHG ERFs'!$B$34),0)</f>
        <v>0</v>
      </c>
      <c r="R6" s="76">
        <f>IF(Q6=0,0,IF(Q6&lt;'GHG ERFs'!$B$35,'GHG ERFs'!$B$35,'Food Calcs'!Q6))</f>
        <v>0</v>
      </c>
      <c r="S6" s="76">
        <f>R6*'GHG ERFs'!$B$36</f>
        <v>0</v>
      </c>
      <c r="T6" s="76">
        <f>IF(A6=Sheet1!$A$9,('Food Calcs'!C6*'GHG ERFs'!$B$25+'GHG ERFs'!$B$26)*'GHG ERFs'!$B$36,0)</f>
        <v>0</v>
      </c>
      <c r="U6" s="76">
        <f>IF(A6=Sheet1!$A$10,('Food Calcs'!C6*'GHG ERFs'!$B$25+'GHG ERFs'!$B$26)*'GHG ERFs'!$B$36,0)</f>
        <v>0</v>
      </c>
      <c r="V6" s="84">
        <f>IF(A6=Sheet1!$A$11,('Food Calcs'!C6*'GHG ERFs'!$B$29+'GHG ERFs'!$B$30)*'GHG ERFs'!$B$36,0)</f>
        <v>0</v>
      </c>
      <c r="W6" s="76">
        <f>IF(A6=Sheet1!$A$12,('Food Calcs'!C6*'GHG ERFs'!$B$29+'GHG ERFs'!$B$30)*'GHG ERFs'!$B$36,0)</f>
        <v>0</v>
      </c>
      <c r="X6" s="76">
        <f t="shared" si="2"/>
        <v>0</v>
      </c>
      <c r="Y6" s="76">
        <f>(B6*F6*H6*I6)/'GHG ERFs'!$A$151</f>
        <v>0</v>
      </c>
      <c r="Z6" s="84">
        <f t="shared" si="3"/>
        <v>0</v>
      </c>
      <c r="AA6" s="99">
        <f>MAX(J6:P6,S6:W6)*'Co-Ben ERFs'!$B$24</f>
        <v>0</v>
      </c>
      <c r="AB6" s="99">
        <f>MAX(J6:P6,S6:W6)*'Co-Ben ERFs'!$B$25</f>
        <v>0</v>
      </c>
      <c r="AC6" s="99">
        <f>MAX(J6:P6,S6:W6)*'Co-Ben ERFs'!$B$26</f>
        <v>0</v>
      </c>
    </row>
    <row r="7" spans="1:29" x14ac:dyDescent="0.25">
      <c r="A7" s="11">
        <f>Inputs!A20</f>
        <v>0</v>
      </c>
      <c r="B7" s="11">
        <f>IF(Inputs!B20="",1,Inputs!B20)</f>
        <v>1</v>
      </c>
      <c r="C7" s="11">
        <f>IF(OR(A7="Residential Refrigerator/Freezer Combination",A7="Residential Freezer Only",A7="Residential Refrigerator Only"),30,Inputs!C20)</f>
        <v>0</v>
      </c>
      <c r="D7" s="39">
        <f>IF(OR(A7="Residential Refrigerator/Freezer Combination",A7="Residential Freezer Only",A7="Residential Refrigerator Only"),'GHG ERFs'!$B$124,IF(OR(A7="Small Walk In Refrigerator",A7="Small Walk In Freezer"),'GHG ERFs'!$B$126,IF(OR(A7="Large Walk In Refrigerator",A7="Large Walk In Freezer"),'GHG ERFs'!$B$127,'GHG ERFs'!$B$125)))</f>
        <v>7.1</v>
      </c>
      <c r="E7" s="39">
        <f>Inputs!D20</f>
        <v>0</v>
      </c>
      <c r="F7" s="39">
        <f t="shared" si="0"/>
        <v>0</v>
      </c>
      <c r="G7" s="11" t="str">
        <f>Inputs!E20</f>
        <v>Default Value</v>
      </c>
      <c r="H7" s="39">
        <f t="shared" si="1"/>
        <v>0.15</v>
      </c>
      <c r="I7" s="14">
        <f>IF(Inputs!E20="",'GHG ERFs'!$B$38,VLOOKUP(Inputs!E20,'GHG ERFs'!$A$38:$B$112,2,0))</f>
        <v>3327.7550000000001</v>
      </c>
      <c r="J7" s="76">
        <f>IF(A7=Sheet1!$A$1,('Food Calcs'!C7*'GHG ERFs'!$B$19+'GHG ERFs'!$B$20)*'GHG ERFs'!$B$36,0)</f>
        <v>0</v>
      </c>
      <c r="K7" s="76">
        <f>IF(A7=Sheet1!$A$2,('Food Calcs'!C7*'GHG ERFs'!$B$21+'GHG ERFs'!$B$22)*'GHG ERFs'!$B$36,0)</f>
        <v>0</v>
      </c>
      <c r="L7" s="76">
        <f>IF(A7=Sheet1!$A$3,('Food Calcs'!C7*'GHG ERFs'!$B$23+'GHG ERFs'!$B$24)*'GHG ERFs'!$B$36,0)</f>
        <v>0</v>
      </c>
      <c r="M7" s="76">
        <f>IF(A7=Sheet1!$A$4,('Food Calcs'!C7*'GHG ERFs'!$B$25+'GHG ERFs'!$B$26)*'GHG ERFs'!$B$36,0)</f>
        <v>0</v>
      </c>
      <c r="N7" s="76">
        <f>IF(A7=Sheet1!$A$5,('Food Calcs'!C7*'GHG ERFs'!$B$27+'GHG ERFs'!$B$28)*'GHG ERFs'!$B$36,0)</f>
        <v>0</v>
      </c>
      <c r="O7" s="76">
        <f>IF(A7=Sheet1!$A$6,('Food Calcs'!C7*'GHG ERFs'!$B$29+'GHG ERFs'!$B$30)*'GHG ERFs'!$B$36,0)</f>
        <v>0</v>
      </c>
      <c r="P7" s="76">
        <f>IF(A7=Sheet1!$A$7,('Food Calcs'!C7*'GHG ERFs'!$B$31+'GHG ERFs'!$B$32)*'GHG ERFs'!$B$36,0)</f>
        <v>0</v>
      </c>
      <c r="Q7" s="76">
        <f>IF(A7=Sheet1!$A$8,('Food Calcs'!C7*'GHG ERFs'!$B$33+'GHG ERFs'!$B$34),0)</f>
        <v>0</v>
      </c>
      <c r="R7" s="76">
        <f>IF(Q7=0,0,IF(Q7&lt;'GHG ERFs'!$B$35,'GHG ERFs'!$B$35,'Food Calcs'!Q7))</f>
        <v>0</v>
      </c>
      <c r="S7" s="76">
        <f>R7*'GHG ERFs'!$B$36</f>
        <v>0</v>
      </c>
      <c r="T7" s="76">
        <f>IF(A7=Sheet1!$A$9,('Food Calcs'!C7*'GHG ERFs'!$B$25+'GHG ERFs'!$B$26)*'GHG ERFs'!$B$36,0)</f>
        <v>0</v>
      </c>
      <c r="U7" s="76">
        <f>IF(A7=Sheet1!$A$10,('Food Calcs'!C7*'GHG ERFs'!$B$25+'GHG ERFs'!$B$26)*'GHG ERFs'!$B$36,0)</f>
        <v>0</v>
      </c>
      <c r="V7" s="84">
        <f>IF(A7=Sheet1!$A$11,('Food Calcs'!C7*'GHG ERFs'!$B$29+'GHG ERFs'!$B$30)*'GHG ERFs'!$B$36,0)</f>
        <v>0</v>
      </c>
      <c r="W7" s="76">
        <f>IF(A7=Sheet1!$A$12,('Food Calcs'!C7*'GHG ERFs'!$B$29+'GHG ERFs'!$B$30)*'GHG ERFs'!$B$36,0)</f>
        <v>0</v>
      </c>
      <c r="X7" s="76">
        <f t="shared" si="2"/>
        <v>0</v>
      </c>
      <c r="Y7" s="76">
        <f>(B7*F7*H7*I7)/'GHG ERFs'!$A$151</f>
        <v>0</v>
      </c>
      <c r="Z7" s="84">
        <f t="shared" si="3"/>
        <v>0</v>
      </c>
      <c r="AA7" s="99">
        <f>MAX(J7:P7,S7:W7)*'Co-Ben ERFs'!$B$24</f>
        <v>0</v>
      </c>
      <c r="AB7" s="99">
        <f>MAX(J7:P7,S7:W7)*'Co-Ben ERFs'!$B$25</f>
        <v>0</v>
      </c>
      <c r="AC7" s="99">
        <f>MAX(J7:P7,S7:W7)*'Co-Ben ERFs'!$B$26</f>
        <v>0</v>
      </c>
    </row>
    <row r="8" spans="1:29" x14ac:dyDescent="0.25">
      <c r="A8" s="11">
        <f>Inputs!A21</f>
        <v>0</v>
      </c>
      <c r="B8" s="11">
        <f>IF(Inputs!B21="",1,Inputs!B21)</f>
        <v>1</v>
      </c>
      <c r="C8" s="11">
        <f>IF(OR(A8="Residential Refrigerator/Freezer Combination",A8="Residential Freezer Only",A8="Residential Refrigerator Only"),30,Inputs!C21)</f>
        <v>0</v>
      </c>
      <c r="D8" s="39">
        <f>IF(OR(A8="Residential Refrigerator/Freezer Combination",A8="Residential Freezer Only",A8="Residential Refrigerator Only"),'GHG ERFs'!$B$124,IF(OR(A8="Small Walk In Refrigerator",A8="Small Walk In Freezer"),'GHG ERFs'!$B$126,IF(OR(A8="Large Walk In Refrigerator",A8="Large Walk In Freezer"),'GHG ERFs'!$B$127,'GHG ERFs'!$B$125)))</f>
        <v>7.1</v>
      </c>
      <c r="E8" s="39">
        <f>Inputs!D21</f>
        <v>0</v>
      </c>
      <c r="F8" s="39">
        <f t="shared" si="0"/>
        <v>0</v>
      </c>
      <c r="G8" s="11" t="str">
        <f>Inputs!E21</f>
        <v>Default Value</v>
      </c>
      <c r="H8" s="39">
        <f t="shared" si="1"/>
        <v>0.15</v>
      </c>
      <c r="I8" s="14">
        <f>IF(Inputs!E21="",'GHG ERFs'!$B$38,VLOOKUP(Inputs!E21,'GHG ERFs'!$A$38:$B$112,2,0))</f>
        <v>3327.7550000000001</v>
      </c>
      <c r="J8" s="76">
        <f>IF(A8=Sheet1!$A$1,('Food Calcs'!C8*'GHG ERFs'!$B$19+'GHG ERFs'!$B$20)*'GHG ERFs'!$B$36,0)</f>
        <v>0</v>
      </c>
      <c r="K8" s="76">
        <f>IF(A8=Sheet1!$A$2,('Food Calcs'!C8*'GHG ERFs'!$B$21+'GHG ERFs'!$B$22)*'GHG ERFs'!$B$36,0)</f>
        <v>0</v>
      </c>
      <c r="L8" s="76">
        <f>IF(A8=Sheet1!$A$3,('Food Calcs'!C8*'GHG ERFs'!$B$23+'GHG ERFs'!$B$24)*'GHG ERFs'!$B$36,0)</f>
        <v>0</v>
      </c>
      <c r="M8" s="76">
        <f>IF(A8=Sheet1!$A$4,('Food Calcs'!C8*'GHG ERFs'!$B$25+'GHG ERFs'!$B$26)*'GHG ERFs'!$B$36,0)</f>
        <v>0</v>
      </c>
      <c r="N8" s="76">
        <f>IF(A8=Sheet1!$A$5,('Food Calcs'!C8*'GHG ERFs'!$B$27+'GHG ERFs'!$B$28)*'GHG ERFs'!$B$36,0)</f>
        <v>0</v>
      </c>
      <c r="O8" s="76">
        <f>IF(A8=Sheet1!$A$6,('Food Calcs'!C8*'GHG ERFs'!$B$29+'GHG ERFs'!$B$30)*'GHG ERFs'!$B$36,0)</f>
        <v>0</v>
      </c>
      <c r="P8" s="76">
        <f>IF(A8=Sheet1!$A$7,('Food Calcs'!C8*'GHG ERFs'!$B$31+'GHG ERFs'!$B$32)*'GHG ERFs'!$B$36,0)</f>
        <v>0</v>
      </c>
      <c r="Q8" s="76">
        <f>IF(A8=Sheet1!$A$8,('Food Calcs'!C8*'GHG ERFs'!$B$33+'GHG ERFs'!$B$34),0)</f>
        <v>0</v>
      </c>
      <c r="R8" s="76">
        <f>IF(Q8=0,0,IF(Q8&lt;'GHG ERFs'!$B$35,'GHG ERFs'!$B$35,'Food Calcs'!Q8))</f>
        <v>0</v>
      </c>
      <c r="S8" s="76">
        <f>R8*'GHG ERFs'!$B$36</f>
        <v>0</v>
      </c>
      <c r="T8" s="76">
        <f>IF(A8=Sheet1!$A$9,('Food Calcs'!C8*'GHG ERFs'!$B$25+'GHG ERFs'!$B$26)*'GHG ERFs'!$B$36,0)</f>
        <v>0</v>
      </c>
      <c r="U8" s="76">
        <f>IF(A8=Sheet1!$A$10,('Food Calcs'!C8*'GHG ERFs'!$B$25+'GHG ERFs'!$B$26)*'GHG ERFs'!$B$36,0)</f>
        <v>0</v>
      </c>
      <c r="V8" s="84">
        <f>IF(A8=Sheet1!$A$11,('Food Calcs'!C8*'GHG ERFs'!$B$29+'GHG ERFs'!$B$30)*'GHG ERFs'!$B$36,0)</f>
        <v>0</v>
      </c>
      <c r="W8" s="76">
        <f>IF(A8=Sheet1!$A$12,('Food Calcs'!C8*'GHG ERFs'!$B$29+'GHG ERFs'!$B$30)*'GHG ERFs'!$B$36,0)</f>
        <v>0</v>
      </c>
      <c r="X8" s="76">
        <f t="shared" si="2"/>
        <v>0</v>
      </c>
      <c r="Y8" s="76">
        <f>(B8*F8*H8*I8)/'GHG ERFs'!$A$151</f>
        <v>0</v>
      </c>
      <c r="Z8" s="84">
        <f t="shared" si="3"/>
        <v>0</v>
      </c>
      <c r="AA8" s="99">
        <f>MAX(J8:P8,S8:W8)*'Co-Ben ERFs'!$B$24</f>
        <v>0</v>
      </c>
      <c r="AB8" s="99">
        <f>MAX(J8:P8,S8:W8)*'Co-Ben ERFs'!$B$25</f>
        <v>0</v>
      </c>
      <c r="AC8" s="99">
        <f>MAX(J8:P8,S8:W8)*'Co-Ben ERFs'!$B$26</f>
        <v>0</v>
      </c>
    </row>
    <row r="9" spans="1:29" x14ac:dyDescent="0.25">
      <c r="A9" s="11">
        <f>Inputs!A22</f>
        <v>0</v>
      </c>
      <c r="B9" s="11">
        <f>IF(Inputs!B22="",1,Inputs!B22)</f>
        <v>1</v>
      </c>
      <c r="C9" s="11">
        <f>IF(OR(A9="Residential Refrigerator/Freezer Combination",A9="Residential Freezer Only",A9="Residential Refrigerator Only"),30,Inputs!C22)</f>
        <v>0</v>
      </c>
      <c r="D9" s="39">
        <f>IF(OR(A9="Residential Refrigerator/Freezer Combination",A9="Residential Freezer Only",A9="Residential Refrigerator Only"),'GHG ERFs'!$B$124,IF(OR(A9="Small Walk In Refrigerator",A9="Small Walk In Freezer"),'GHG ERFs'!$B$126,IF(OR(A9="Large Walk In Refrigerator",A9="Large Walk In Freezer"),'GHG ERFs'!$B$127,'GHG ERFs'!$B$125)))</f>
        <v>7.1</v>
      </c>
      <c r="E9" s="39">
        <f>Inputs!D22</f>
        <v>0</v>
      </c>
      <c r="F9" s="39">
        <f t="shared" si="0"/>
        <v>0</v>
      </c>
      <c r="G9" s="11" t="str">
        <f>Inputs!E22</f>
        <v>Default Value</v>
      </c>
      <c r="H9" s="39">
        <f t="shared" si="1"/>
        <v>0.15</v>
      </c>
      <c r="I9" s="14">
        <f>IF(Inputs!E22="",'GHG ERFs'!$B$38,VLOOKUP(Inputs!E22,'GHG ERFs'!$A$38:$B$112,2,0))</f>
        <v>3327.7550000000001</v>
      </c>
      <c r="J9" s="76">
        <f>IF(A9=Sheet1!$A$1,('Food Calcs'!C9*'GHG ERFs'!$B$19+'GHG ERFs'!$B$20)*'GHG ERFs'!$B$36,0)</f>
        <v>0</v>
      </c>
      <c r="K9" s="76">
        <f>IF(A9=Sheet1!$A$2,('Food Calcs'!C9*'GHG ERFs'!$B$21+'GHG ERFs'!$B$22)*'GHG ERFs'!$B$36,0)</f>
        <v>0</v>
      </c>
      <c r="L9" s="76">
        <f>IF(A9=Sheet1!$A$3,('Food Calcs'!C9*'GHG ERFs'!$B$23+'GHG ERFs'!$B$24)*'GHG ERFs'!$B$36,0)</f>
        <v>0</v>
      </c>
      <c r="M9" s="76">
        <f>IF(A9=Sheet1!$A$4,('Food Calcs'!C9*'GHG ERFs'!$B$25+'GHG ERFs'!$B$26)*'GHG ERFs'!$B$36,0)</f>
        <v>0</v>
      </c>
      <c r="N9" s="76">
        <f>IF(A9=Sheet1!$A$5,('Food Calcs'!C9*'GHG ERFs'!$B$27+'GHG ERFs'!$B$28)*'GHG ERFs'!$B$36,0)</f>
        <v>0</v>
      </c>
      <c r="O9" s="76">
        <f>IF(A9=Sheet1!$A$6,('Food Calcs'!C9*'GHG ERFs'!$B$29+'GHG ERFs'!$B$30)*'GHG ERFs'!$B$36,0)</f>
        <v>0</v>
      </c>
      <c r="P9" s="76">
        <f>IF(A9=Sheet1!$A$7,('Food Calcs'!C9*'GHG ERFs'!$B$31+'GHG ERFs'!$B$32)*'GHG ERFs'!$B$36,0)</f>
        <v>0</v>
      </c>
      <c r="Q9" s="76">
        <f>IF(A9=Sheet1!$A$8,('Food Calcs'!C9*'GHG ERFs'!$B$33+'GHG ERFs'!$B$34),0)</f>
        <v>0</v>
      </c>
      <c r="R9" s="76">
        <f>IF(Q9=0,0,IF(Q9&lt;'GHG ERFs'!$B$35,'GHG ERFs'!$B$35,'Food Calcs'!Q9))</f>
        <v>0</v>
      </c>
      <c r="S9" s="76">
        <f>R9*'GHG ERFs'!$B$36</f>
        <v>0</v>
      </c>
      <c r="T9" s="76">
        <f>IF(A9=Sheet1!$A$9,('Food Calcs'!C9*'GHG ERFs'!$B$25+'GHG ERFs'!$B$26)*'GHG ERFs'!$B$36,0)</f>
        <v>0</v>
      </c>
      <c r="U9" s="76">
        <f>IF(A9=Sheet1!$A$10,('Food Calcs'!C9*'GHG ERFs'!$B$25+'GHG ERFs'!$B$26)*'GHG ERFs'!$B$36,0)</f>
        <v>0</v>
      </c>
      <c r="V9" s="84">
        <f>IF(A9=Sheet1!$A$11,('Food Calcs'!C9*'GHG ERFs'!$B$29+'GHG ERFs'!$B$30)*'GHG ERFs'!$B$36,0)</f>
        <v>0</v>
      </c>
      <c r="W9" s="76">
        <f>IF(A9=Sheet1!$A$12,('Food Calcs'!C9*'GHG ERFs'!$B$29+'GHG ERFs'!$B$30)*'GHG ERFs'!$B$36,0)</f>
        <v>0</v>
      </c>
      <c r="X9" s="76">
        <f t="shared" si="2"/>
        <v>0</v>
      </c>
      <c r="Y9" s="76">
        <f>(B9*F9*H9*I9)/'GHG ERFs'!$A$151</f>
        <v>0</v>
      </c>
      <c r="Z9" s="84">
        <f t="shared" si="3"/>
        <v>0</v>
      </c>
      <c r="AA9" s="99">
        <f>MAX(J9:P9,S9:W9)*'Co-Ben ERFs'!$B$24</f>
        <v>0</v>
      </c>
      <c r="AB9" s="99">
        <f>MAX(J9:P9,S9:W9)*'Co-Ben ERFs'!$B$25</f>
        <v>0</v>
      </c>
      <c r="AC9" s="99">
        <f>MAX(J9:P9,S9:W9)*'Co-Ben ERFs'!$B$26</f>
        <v>0</v>
      </c>
    </row>
    <row r="10" spans="1:29" x14ac:dyDescent="0.25">
      <c r="A10" s="11">
        <f>Inputs!A23</f>
        <v>0</v>
      </c>
      <c r="B10" s="11">
        <f>IF(Inputs!B23="",1,Inputs!B23)</f>
        <v>1</v>
      </c>
      <c r="C10" s="11">
        <f>IF(OR(A10="Residential Refrigerator/Freezer Combination",A10="Residential Freezer Only",A10="Residential Refrigerator Only"),30,Inputs!C23)</f>
        <v>0</v>
      </c>
      <c r="D10" s="39">
        <f>IF(OR(A10="Residential Refrigerator/Freezer Combination",A10="Residential Freezer Only",A10="Residential Refrigerator Only"),'GHG ERFs'!$B$124,IF(OR(A10="Small Walk In Refrigerator",A10="Small Walk In Freezer"),'GHG ERFs'!$B$126,IF(OR(A10="Large Walk In Refrigerator",A10="Large Walk In Freezer"),'GHG ERFs'!$B$127,'GHG ERFs'!$B$125)))</f>
        <v>7.1</v>
      </c>
      <c r="E10" s="39">
        <f>Inputs!D23</f>
        <v>0</v>
      </c>
      <c r="F10" s="39">
        <f t="shared" si="0"/>
        <v>0</v>
      </c>
      <c r="G10" s="11" t="str">
        <f>Inputs!E23</f>
        <v>Default Value</v>
      </c>
      <c r="H10" s="39">
        <f t="shared" si="1"/>
        <v>0.15</v>
      </c>
      <c r="I10" s="14">
        <f>IF(Inputs!E23="",'GHG ERFs'!$B$38,VLOOKUP(Inputs!E23,'GHG ERFs'!$A$38:$B$112,2,0))</f>
        <v>3327.7550000000001</v>
      </c>
      <c r="J10" s="76">
        <f>IF(A10=Sheet1!$A$1,('Food Calcs'!C10*'GHG ERFs'!$B$19+'GHG ERFs'!$B$20)*'GHG ERFs'!$B$36,0)</f>
        <v>0</v>
      </c>
      <c r="K10" s="76">
        <f>IF(A10=Sheet1!$A$2,('Food Calcs'!C10*'GHG ERFs'!$B$21+'GHG ERFs'!$B$22)*'GHG ERFs'!$B$36,0)</f>
        <v>0</v>
      </c>
      <c r="L10" s="76">
        <f>IF(A10=Sheet1!$A$3,('Food Calcs'!C10*'GHG ERFs'!$B$23+'GHG ERFs'!$B$24)*'GHG ERFs'!$B$36,0)</f>
        <v>0</v>
      </c>
      <c r="M10" s="76">
        <f>IF(A10=Sheet1!$A$4,('Food Calcs'!C10*'GHG ERFs'!$B$25+'GHG ERFs'!$B$26)*'GHG ERFs'!$B$36,0)</f>
        <v>0</v>
      </c>
      <c r="N10" s="76">
        <f>IF(A10=Sheet1!$A$5,('Food Calcs'!C10*'GHG ERFs'!$B$27+'GHG ERFs'!$B$28)*'GHG ERFs'!$B$36,0)</f>
        <v>0</v>
      </c>
      <c r="O10" s="76">
        <f>IF(A10=Sheet1!$A$6,('Food Calcs'!C10*'GHG ERFs'!$B$29+'GHG ERFs'!$B$30)*'GHG ERFs'!$B$36,0)</f>
        <v>0</v>
      </c>
      <c r="P10" s="76">
        <f>IF(A10=Sheet1!$A$7,('Food Calcs'!C10*'GHG ERFs'!$B$31+'GHG ERFs'!$B$32)*'GHG ERFs'!$B$36,0)</f>
        <v>0</v>
      </c>
      <c r="Q10" s="76">
        <f>IF(A10=Sheet1!$A$8,('Food Calcs'!C10*'GHG ERFs'!$B$33+'GHG ERFs'!$B$34),0)</f>
        <v>0</v>
      </c>
      <c r="R10" s="76">
        <f>IF(Q10=0,0,IF(Q10&lt;'GHG ERFs'!$B$35,'GHG ERFs'!$B$35,'Food Calcs'!Q10))</f>
        <v>0</v>
      </c>
      <c r="S10" s="76">
        <f>R10*'GHG ERFs'!$B$36</f>
        <v>0</v>
      </c>
      <c r="T10" s="76">
        <f>IF(A10=Sheet1!$A$9,('Food Calcs'!C10*'GHG ERFs'!$B$25+'GHG ERFs'!$B$26)*'GHG ERFs'!$B$36,0)</f>
        <v>0</v>
      </c>
      <c r="U10" s="76">
        <f>IF(A10=Sheet1!$A$10,('Food Calcs'!C10*'GHG ERFs'!$B$25+'GHG ERFs'!$B$26)*'GHG ERFs'!$B$36,0)</f>
        <v>0</v>
      </c>
      <c r="V10" s="84">
        <f>IF(A10=Sheet1!$A$11,('Food Calcs'!C10*'GHG ERFs'!$B$29+'GHG ERFs'!$B$30)*'GHG ERFs'!$B$36,0)</f>
        <v>0</v>
      </c>
      <c r="W10" s="76">
        <f>IF(A10=Sheet1!$A$12,('Food Calcs'!C10*'GHG ERFs'!$B$29+'GHG ERFs'!$B$30)*'GHG ERFs'!$B$36,0)</f>
        <v>0</v>
      </c>
      <c r="X10" s="76">
        <f t="shared" si="2"/>
        <v>0</v>
      </c>
      <c r="Y10" s="76">
        <f>(B10*F10*H10*I10)/'GHG ERFs'!$A$151</f>
        <v>0</v>
      </c>
      <c r="Z10" s="84">
        <f t="shared" si="3"/>
        <v>0</v>
      </c>
      <c r="AA10" s="99">
        <f>MAX(J10:P10,S10:W10)*'Co-Ben ERFs'!$B$24</f>
        <v>0</v>
      </c>
      <c r="AB10" s="99">
        <f>MAX(J10:P10,S10:W10)*'Co-Ben ERFs'!$B$25</f>
        <v>0</v>
      </c>
      <c r="AC10" s="99">
        <f>MAX(J10:P10,S10:W10)*'Co-Ben ERFs'!$B$26</f>
        <v>0</v>
      </c>
    </row>
    <row r="11" spans="1:29" x14ac:dyDescent="0.25">
      <c r="A11" s="11">
        <f>Inputs!A24</f>
        <v>0</v>
      </c>
      <c r="B11" s="11">
        <f>IF(Inputs!B24="",1,Inputs!B24)</f>
        <v>1</v>
      </c>
      <c r="C11" s="11">
        <f>IF(OR(A11="Residential Refrigerator/Freezer Combination",A11="Residential Freezer Only",A11="Residential Refrigerator Only"),30,Inputs!C24)</f>
        <v>0</v>
      </c>
      <c r="D11" s="39">
        <f>IF(OR(A11="Residential Refrigerator/Freezer Combination",A11="Residential Freezer Only",A11="Residential Refrigerator Only"),'GHG ERFs'!$B$124,IF(OR(A11="Small Walk In Refrigerator",A11="Small Walk In Freezer"),'GHG ERFs'!$B$126,IF(OR(A11="Large Walk In Refrigerator",A11="Large Walk In Freezer"),'GHG ERFs'!$B$127,'GHG ERFs'!$B$125)))</f>
        <v>7.1</v>
      </c>
      <c r="E11" s="39">
        <f>Inputs!D24</f>
        <v>0</v>
      </c>
      <c r="F11" s="39">
        <f t="shared" si="0"/>
        <v>0</v>
      </c>
      <c r="G11" s="11" t="str">
        <f>Inputs!E24</f>
        <v>Default Value</v>
      </c>
      <c r="H11" s="39">
        <f t="shared" si="1"/>
        <v>0.15</v>
      </c>
      <c r="I11" s="14">
        <f>IF(Inputs!E24="",'GHG ERFs'!$B$38,VLOOKUP(Inputs!E24,'GHG ERFs'!$A$38:$B$112,2,0))</f>
        <v>3327.7550000000001</v>
      </c>
      <c r="J11" s="76">
        <f>IF(A11=Sheet1!$A$1,('Food Calcs'!C11*'GHG ERFs'!$B$19+'GHG ERFs'!$B$20)*'GHG ERFs'!$B$36,0)</f>
        <v>0</v>
      </c>
      <c r="K11" s="76">
        <f>IF(A11=Sheet1!$A$2,('Food Calcs'!C11*'GHG ERFs'!$B$21+'GHG ERFs'!$B$22)*'GHG ERFs'!$B$36,0)</f>
        <v>0</v>
      </c>
      <c r="L11" s="76">
        <f>IF(A11=Sheet1!$A$3,('Food Calcs'!C11*'GHG ERFs'!$B$23+'GHG ERFs'!$B$24)*'GHG ERFs'!$B$36,0)</f>
        <v>0</v>
      </c>
      <c r="M11" s="76">
        <f>IF(A11=Sheet1!$A$4,('Food Calcs'!C11*'GHG ERFs'!$B$25+'GHG ERFs'!$B$26)*'GHG ERFs'!$B$36,0)</f>
        <v>0</v>
      </c>
      <c r="N11" s="76">
        <f>IF(A11=Sheet1!$A$5,('Food Calcs'!C11*'GHG ERFs'!$B$27+'GHG ERFs'!$B$28)*'GHG ERFs'!$B$36,0)</f>
        <v>0</v>
      </c>
      <c r="O11" s="76">
        <f>IF(A11=Sheet1!$A$6,('Food Calcs'!C11*'GHG ERFs'!$B$29+'GHG ERFs'!$B$30)*'GHG ERFs'!$B$36,0)</f>
        <v>0</v>
      </c>
      <c r="P11" s="76">
        <f>IF(A11=Sheet1!$A$7,('Food Calcs'!C11*'GHG ERFs'!$B$31+'GHG ERFs'!$B$32)*'GHG ERFs'!$B$36,0)</f>
        <v>0</v>
      </c>
      <c r="Q11" s="76">
        <f>IF(A11=Sheet1!$A$8,('Food Calcs'!C11*'GHG ERFs'!$B$33+'GHG ERFs'!$B$34),0)</f>
        <v>0</v>
      </c>
      <c r="R11" s="76">
        <f>IF(Q11=0,0,IF(Q11&lt;'GHG ERFs'!$B$35,'GHG ERFs'!$B$35,'Food Calcs'!Q11))</f>
        <v>0</v>
      </c>
      <c r="S11" s="76">
        <f>R11*'GHG ERFs'!$B$36</f>
        <v>0</v>
      </c>
      <c r="T11" s="76">
        <f>IF(A11=Sheet1!$A$9,('Food Calcs'!C11*'GHG ERFs'!$B$25+'GHG ERFs'!$B$26)*'GHG ERFs'!$B$36,0)</f>
        <v>0</v>
      </c>
      <c r="U11" s="76">
        <f>IF(A11=Sheet1!$A$10,('Food Calcs'!C11*'GHG ERFs'!$B$25+'GHG ERFs'!$B$26)*'GHG ERFs'!$B$36,0)</f>
        <v>0</v>
      </c>
      <c r="V11" s="84">
        <f>IF(A11=Sheet1!$A$11,('Food Calcs'!C11*'GHG ERFs'!$B$29+'GHG ERFs'!$B$30)*'GHG ERFs'!$B$36,0)</f>
        <v>0</v>
      </c>
      <c r="W11" s="76">
        <f>IF(A11=Sheet1!$A$12,('Food Calcs'!C11*'GHG ERFs'!$B$29+'GHG ERFs'!$B$30)*'GHG ERFs'!$B$36,0)</f>
        <v>0</v>
      </c>
      <c r="X11" s="76">
        <f t="shared" si="2"/>
        <v>0</v>
      </c>
      <c r="Y11" s="76">
        <f>(B11*F11*H11*I11)/'GHG ERFs'!$A$151</f>
        <v>0</v>
      </c>
      <c r="Z11" s="84">
        <f t="shared" si="3"/>
        <v>0</v>
      </c>
      <c r="AA11" s="99">
        <f>MAX(J11:P11,S11:W11)*'Co-Ben ERFs'!$B$24</f>
        <v>0</v>
      </c>
      <c r="AB11" s="99">
        <f>MAX(J11:P11,S11:W11)*'Co-Ben ERFs'!$B$25</f>
        <v>0</v>
      </c>
      <c r="AC11" s="99">
        <f>MAX(J11:P11,S11:W11)*'Co-Ben ERFs'!$B$26</f>
        <v>0</v>
      </c>
    </row>
    <row r="12" spans="1:29" x14ac:dyDescent="0.25">
      <c r="A12" s="11">
        <f>Inputs!A25</f>
        <v>0</v>
      </c>
      <c r="B12" s="11">
        <f>IF(Inputs!B25="",1,Inputs!B25)</f>
        <v>1</v>
      </c>
      <c r="C12" s="11">
        <f>IF(OR(A12="Residential Refrigerator/Freezer Combination",A12="Residential Freezer Only",A12="Residential Refrigerator Only"),30,Inputs!C25)</f>
        <v>0</v>
      </c>
      <c r="D12" s="39">
        <f>IF(OR(A12="Residential Refrigerator/Freezer Combination",A12="Residential Freezer Only",A12="Residential Refrigerator Only"),'GHG ERFs'!$B$124,IF(OR(A12="Small Walk In Refrigerator",A12="Small Walk In Freezer"),'GHG ERFs'!$B$126,IF(OR(A12="Large Walk In Refrigerator",A12="Large Walk In Freezer"),'GHG ERFs'!$B$127,'GHG ERFs'!$B$125)))</f>
        <v>7.1</v>
      </c>
      <c r="E12" s="39">
        <f>Inputs!D25</f>
        <v>0</v>
      </c>
      <c r="F12" s="39">
        <f t="shared" si="0"/>
        <v>0</v>
      </c>
      <c r="G12" s="11" t="str">
        <f>Inputs!E25</f>
        <v>Default Value</v>
      </c>
      <c r="H12" s="39">
        <f t="shared" si="1"/>
        <v>0.15</v>
      </c>
      <c r="I12" s="14">
        <f>IF(Inputs!E25="",'GHG ERFs'!$B$38,VLOOKUP(Inputs!E25,'GHG ERFs'!$A$38:$B$112,2,0))</f>
        <v>3327.7550000000001</v>
      </c>
      <c r="J12" s="76">
        <f>IF(A12=Sheet1!$A$1,('Food Calcs'!C12*'GHG ERFs'!$B$19+'GHG ERFs'!$B$20)*'GHG ERFs'!$B$36,0)</f>
        <v>0</v>
      </c>
      <c r="K12" s="76">
        <f>IF(A12=Sheet1!$A$2,('Food Calcs'!C12*'GHG ERFs'!$B$21+'GHG ERFs'!$B$22)*'GHG ERFs'!$B$36,0)</f>
        <v>0</v>
      </c>
      <c r="L12" s="76">
        <f>IF(A12=Sheet1!$A$3,('Food Calcs'!C12*'GHG ERFs'!$B$23+'GHG ERFs'!$B$24)*'GHG ERFs'!$B$36,0)</f>
        <v>0</v>
      </c>
      <c r="M12" s="76">
        <f>IF(A12=Sheet1!$A$4,('Food Calcs'!C12*'GHG ERFs'!$B$25+'GHG ERFs'!$B$26)*'GHG ERFs'!$B$36,0)</f>
        <v>0</v>
      </c>
      <c r="N12" s="76">
        <f>IF(A12=Sheet1!$A$5,('Food Calcs'!C12*'GHG ERFs'!$B$27+'GHG ERFs'!$B$28)*'GHG ERFs'!$B$36,0)</f>
        <v>0</v>
      </c>
      <c r="O12" s="76">
        <f>IF(A12=Sheet1!$A$6,('Food Calcs'!C12*'GHG ERFs'!$B$29+'GHG ERFs'!$B$30)*'GHG ERFs'!$B$36,0)</f>
        <v>0</v>
      </c>
      <c r="P12" s="76">
        <f>IF(A12=Sheet1!$A$7,('Food Calcs'!C12*'GHG ERFs'!$B$31+'GHG ERFs'!$B$32)*'GHG ERFs'!$B$36,0)</f>
        <v>0</v>
      </c>
      <c r="Q12" s="76">
        <f>IF(A12=Sheet1!$A$8,('Food Calcs'!C12*'GHG ERFs'!$B$33+'GHG ERFs'!$B$34),0)</f>
        <v>0</v>
      </c>
      <c r="R12" s="76">
        <f>IF(Q12=0,0,IF(Q12&lt;'GHG ERFs'!$B$35,'GHG ERFs'!$B$35,'Food Calcs'!Q12))</f>
        <v>0</v>
      </c>
      <c r="S12" s="76">
        <f>R12*'GHG ERFs'!$B$36</f>
        <v>0</v>
      </c>
      <c r="T12" s="76">
        <f>IF(A12=Sheet1!$A$9,('Food Calcs'!C12*'GHG ERFs'!$B$25+'GHG ERFs'!$B$26)*'GHG ERFs'!$B$36,0)</f>
        <v>0</v>
      </c>
      <c r="U12" s="76">
        <f>IF(A12=Sheet1!$A$10,('Food Calcs'!C12*'GHG ERFs'!$B$25+'GHG ERFs'!$B$26)*'GHG ERFs'!$B$36,0)</f>
        <v>0</v>
      </c>
      <c r="V12" s="84">
        <f>IF(A12=Sheet1!$A$11,('Food Calcs'!C12*'GHG ERFs'!$B$29+'GHG ERFs'!$B$30)*'GHG ERFs'!$B$36,0)</f>
        <v>0</v>
      </c>
      <c r="W12" s="76">
        <f>IF(A12=Sheet1!$A$12,('Food Calcs'!C12*'GHG ERFs'!$B$29+'GHG ERFs'!$B$30)*'GHG ERFs'!$B$36,0)</f>
        <v>0</v>
      </c>
      <c r="X12" s="76">
        <f t="shared" si="2"/>
        <v>0</v>
      </c>
      <c r="Y12" s="76">
        <f>(B12*F12*H12*I12)/'GHG ERFs'!$A$151</f>
        <v>0</v>
      </c>
      <c r="Z12" s="84">
        <f t="shared" si="3"/>
        <v>0</v>
      </c>
      <c r="AA12" s="99">
        <f>MAX(J12:P12,S12:W12)*'Co-Ben ERFs'!$B$24</f>
        <v>0</v>
      </c>
      <c r="AB12" s="99">
        <f>MAX(J12:P12,S12:W12)*'Co-Ben ERFs'!$B$25</f>
        <v>0</v>
      </c>
      <c r="AC12" s="99">
        <f>MAX(J12:P12,S12:W12)*'Co-Ben ERFs'!$B$26</f>
        <v>0</v>
      </c>
    </row>
    <row r="13" spans="1:29" x14ac:dyDescent="0.25">
      <c r="A13" s="11">
        <f>Inputs!A26</f>
        <v>0</v>
      </c>
      <c r="B13" s="11">
        <f>IF(Inputs!B26="",1,Inputs!B26)</f>
        <v>1</v>
      </c>
      <c r="C13" s="11">
        <f>IF(OR(A13="Residential Refrigerator/Freezer Combination",A13="Residential Freezer Only",A13="Residential Refrigerator Only"),30,Inputs!C26)</f>
        <v>0</v>
      </c>
      <c r="D13" s="39">
        <f>IF(OR(A13="Residential Refrigerator/Freezer Combination",A13="Residential Freezer Only",A13="Residential Refrigerator Only"),'GHG ERFs'!$B$124,IF(OR(A13="Small Walk In Refrigerator",A13="Small Walk In Freezer"),'GHG ERFs'!$B$126,IF(OR(A13="Large Walk In Refrigerator",A13="Large Walk In Freezer"),'GHG ERFs'!$B$127,'GHG ERFs'!$B$125)))</f>
        <v>7.1</v>
      </c>
      <c r="E13" s="39">
        <f>Inputs!D26</f>
        <v>0</v>
      </c>
      <c r="F13" s="39">
        <f t="shared" si="0"/>
        <v>0</v>
      </c>
      <c r="G13" s="11" t="str">
        <f>Inputs!E26</f>
        <v>Default Value</v>
      </c>
      <c r="H13" s="39">
        <f t="shared" si="1"/>
        <v>0.15</v>
      </c>
      <c r="I13" s="14">
        <f>IF(Inputs!E26="",'GHG ERFs'!$B$38,VLOOKUP(Inputs!E26,'GHG ERFs'!$A$38:$B$112,2,0))</f>
        <v>3327.7550000000001</v>
      </c>
      <c r="J13" s="76">
        <f>IF(A13=Sheet1!$A$1,('Food Calcs'!C13*'GHG ERFs'!$B$19+'GHG ERFs'!$B$20)*'GHG ERFs'!$B$36,0)</f>
        <v>0</v>
      </c>
      <c r="K13" s="76">
        <f>IF(A13=Sheet1!$A$2,('Food Calcs'!C13*'GHG ERFs'!$B$21+'GHG ERFs'!$B$22)*'GHG ERFs'!$B$36,0)</f>
        <v>0</v>
      </c>
      <c r="L13" s="76">
        <f>IF(A13=Sheet1!$A$3,('Food Calcs'!C13*'GHG ERFs'!$B$23+'GHG ERFs'!$B$24)*'GHG ERFs'!$B$36,0)</f>
        <v>0</v>
      </c>
      <c r="M13" s="76">
        <f>IF(A13=Sheet1!$A$4,('Food Calcs'!C13*'GHG ERFs'!$B$25+'GHG ERFs'!$B$26)*'GHG ERFs'!$B$36,0)</f>
        <v>0</v>
      </c>
      <c r="N13" s="76">
        <f>IF(A13=Sheet1!$A$5,('Food Calcs'!C13*'GHG ERFs'!$B$27+'GHG ERFs'!$B$28)*'GHG ERFs'!$B$36,0)</f>
        <v>0</v>
      </c>
      <c r="O13" s="76">
        <f>IF(A13=Sheet1!$A$6,('Food Calcs'!C13*'GHG ERFs'!$B$29+'GHG ERFs'!$B$30)*'GHG ERFs'!$B$36,0)</f>
        <v>0</v>
      </c>
      <c r="P13" s="76">
        <f>IF(A13=Sheet1!$A$7,('Food Calcs'!C13*'GHG ERFs'!$B$31+'GHG ERFs'!$B$32)*'GHG ERFs'!$B$36,0)</f>
        <v>0</v>
      </c>
      <c r="Q13" s="76">
        <f>IF(A13=Sheet1!$A$8,('Food Calcs'!C13*'GHG ERFs'!$B$33+'GHG ERFs'!$B$34),0)</f>
        <v>0</v>
      </c>
      <c r="R13" s="76">
        <f>IF(Q13=0,0,IF(Q13&lt;'GHG ERFs'!$B$35,'GHG ERFs'!$B$35,'Food Calcs'!Q13))</f>
        <v>0</v>
      </c>
      <c r="S13" s="76">
        <f>R13*'GHG ERFs'!$B$36</f>
        <v>0</v>
      </c>
      <c r="T13" s="76">
        <f>IF(A13=Sheet1!$A$9,('Food Calcs'!C13*'GHG ERFs'!$B$25+'GHG ERFs'!$B$26)*'GHG ERFs'!$B$36,0)</f>
        <v>0</v>
      </c>
      <c r="U13" s="76">
        <f>IF(A13=Sheet1!$A$10,('Food Calcs'!C13*'GHG ERFs'!$B$25+'GHG ERFs'!$B$26)*'GHG ERFs'!$B$36,0)</f>
        <v>0</v>
      </c>
      <c r="V13" s="84">
        <f>IF(A13=Sheet1!$A$11,('Food Calcs'!C13*'GHG ERFs'!$B$29+'GHG ERFs'!$B$30)*'GHG ERFs'!$B$36,0)</f>
        <v>0</v>
      </c>
      <c r="W13" s="76">
        <f>IF(A13=Sheet1!$A$12,('Food Calcs'!C13*'GHG ERFs'!$B$29+'GHG ERFs'!$B$30)*'GHG ERFs'!$B$36,0)</f>
        <v>0</v>
      </c>
      <c r="X13" s="76">
        <f t="shared" si="2"/>
        <v>0</v>
      </c>
      <c r="Y13" s="76">
        <f>(B13*F13*H13*I13)/'GHG ERFs'!$A$151</f>
        <v>0</v>
      </c>
      <c r="Z13" s="84">
        <f t="shared" si="3"/>
        <v>0</v>
      </c>
      <c r="AA13" s="99">
        <f>MAX(J13:P13,S13:W13)*'Co-Ben ERFs'!$B$24</f>
        <v>0</v>
      </c>
      <c r="AB13" s="99">
        <f>MAX(J13:P13,S13:W13)*'Co-Ben ERFs'!$B$25</f>
        <v>0</v>
      </c>
      <c r="AC13" s="99">
        <f>MAX(J13:P13,S13:W13)*'Co-Ben ERFs'!$B$26</f>
        <v>0</v>
      </c>
    </row>
    <row r="14" spans="1:29" ht="15.75" thickBot="1" x14ac:dyDescent="0.3">
      <c r="A14" s="77"/>
      <c r="B14" s="77"/>
      <c r="C14" s="77"/>
      <c r="D14" s="78"/>
      <c r="E14" s="78"/>
      <c r="F14" s="78"/>
      <c r="G14" s="77"/>
      <c r="H14" s="78"/>
      <c r="I14" s="10"/>
      <c r="W14" s="76" t="s">
        <v>165</v>
      </c>
      <c r="X14" s="79">
        <f t="shared" ref="X14:AC14" si="4">SUM(X4:X13)</f>
        <v>0</v>
      </c>
      <c r="Y14" s="79">
        <f t="shared" si="4"/>
        <v>0</v>
      </c>
      <c r="Z14" s="118">
        <f t="shared" si="4"/>
        <v>0</v>
      </c>
      <c r="AA14" s="118">
        <f t="shared" si="4"/>
        <v>0</v>
      </c>
      <c r="AB14" s="118">
        <f t="shared" si="4"/>
        <v>0</v>
      </c>
      <c r="AC14" s="79">
        <f t="shared" si="4"/>
        <v>0</v>
      </c>
    </row>
    <row r="15" spans="1:29" s="9" customFormat="1" ht="45" x14ac:dyDescent="0.25">
      <c r="A15" s="103" t="s">
        <v>167</v>
      </c>
      <c r="B15" s="132" t="s">
        <v>168</v>
      </c>
      <c r="C15" s="69" t="s">
        <v>178</v>
      </c>
      <c r="D15" s="69" t="s">
        <v>14</v>
      </c>
      <c r="E15" s="134" t="s">
        <v>200</v>
      </c>
      <c r="F15" s="132" t="s">
        <v>198</v>
      </c>
      <c r="G15" s="133" t="s">
        <v>56</v>
      </c>
      <c r="H15" s="133" t="s">
        <v>199</v>
      </c>
      <c r="I15" s="134" t="s">
        <v>202</v>
      </c>
      <c r="J15" s="111" t="s">
        <v>201</v>
      </c>
      <c r="K15" s="132" t="s">
        <v>209</v>
      </c>
      <c r="L15" s="133" t="s">
        <v>225</v>
      </c>
      <c r="M15" s="133" t="s">
        <v>206</v>
      </c>
      <c r="N15" s="242" t="s">
        <v>207</v>
      </c>
      <c r="O15" s="245" t="s">
        <v>373</v>
      </c>
    </row>
    <row r="16" spans="1:29" s="9" customFormat="1" x14ac:dyDescent="0.25">
      <c r="A16" s="104">
        <f>Inputs!A30</f>
        <v>0</v>
      </c>
      <c r="B16" s="101">
        <f>Inputs!B30</f>
        <v>0</v>
      </c>
      <c r="C16" s="11">
        <f>IF(B16&gt;0,'GHG ERFs'!$B$133*B16,0)</f>
        <v>0</v>
      </c>
      <c r="D16" s="39">
        <f>IF(A16&gt;0,VLOOKUP(A16,Sheet1!$A$34:$H$54,2,FALSE),0)</f>
        <v>0</v>
      </c>
      <c r="E16" s="106">
        <f>(C16*D16)/'GHG ERFs'!$A$152</f>
        <v>0</v>
      </c>
      <c r="F16" s="108">
        <f>IF(A16&gt;0,VLOOKUP(A16,Sheet1!$A$34:$H$54,8,FALSE),0)</f>
        <v>0</v>
      </c>
      <c r="G16" s="100">
        <f>IF(A16&gt;0,VLOOKUP(A16,Sheet1!$A$34:$H$54,7,FALSE),0)</f>
        <v>0</v>
      </c>
      <c r="H16" s="68">
        <f>'GHG ERFs'!$B$40</f>
        <v>1430</v>
      </c>
      <c r="I16" s="109">
        <f>(F16*G16*H16*B16)/'GHG ERFs'!$A$151</f>
        <v>0</v>
      </c>
      <c r="J16" s="112">
        <f t="shared" ref="J16:J21" si="5">E16+I16</f>
        <v>0</v>
      </c>
      <c r="K16" s="114">
        <f>IF(A16&gt;0,(VLOOKUP(A16,Sheet1!$A$34:$H$54,3,FALSE)*B16*C16)/'GHG ERFs'!$A$153,0)</f>
        <v>0</v>
      </c>
      <c r="L16" s="99">
        <f>IF(A16&gt;0,(VLOOKUP(A16,Sheet1!$A$34:$H$54,4,FALSE)*B16*C16)/'GHG ERFs'!$A$153,0)</f>
        <v>0</v>
      </c>
      <c r="M16" s="99">
        <f>IF(A16&gt;0,(VLOOKUP(A16,Sheet1!$A$34:$H$54,5,FALSE)*B16*C16)/'GHG ERFs'!$A$153,0)</f>
        <v>0</v>
      </c>
      <c r="N16" s="243">
        <f>IF(A16&gt;0,(VLOOKUP(A16,Sheet1!$A$34:$H$54,6,FALSE)*B16*C16)/'GHG ERFs'!$A$153,0)</f>
        <v>0</v>
      </c>
      <c r="O16" s="246">
        <f>-IF(A16&gt;0,(VLOOKUP(A16,Sheet1!$A$34:$I$54,9,FALSE)*B16),0)</f>
        <v>0</v>
      </c>
    </row>
    <row r="17" spans="1:19" s="9" customFormat="1" x14ac:dyDescent="0.25">
      <c r="A17" s="104">
        <f>Inputs!A31</f>
        <v>0</v>
      </c>
      <c r="B17" s="101">
        <f>Inputs!B31</f>
        <v>0</v>
      </c>
      <c r="C17" s="11">
        <f>IF(B17&gt;0,'GHG ERFs'!$B$133*B17,0)</f>
        <v>0</v>
      </c>
      <c r="D17" s="39">
        <f>IF(A17&gt;0,VLOOKUP(A17,Sheet1!$A$34:$H$54,2,FALSE),0)</f>
        <v>0</v>
      </c>
      <c r="E17" s="106">
        <f>(C17*D17)/'GHG ERFs'!$A$152</f>
        <v>0</v>
      </c>
      <c r="F17" s="108">
        <f>IF(A17&gt;0,VLOOKUP(A17,Sheet1!$A$34:$H$54,8,FALSE),0)</f>
        <v>0</v>
      </c>
      <c r="G17" s="100">
        <f>IF(A17&gt;0,VLOOKUP(A17,Sheet1!$A$34:$H$54,7,FALSE),0)</f>
        <v>0</v>
      </c>
      <c r="H17" s="68">
        <f>'GHG ERFs'!$B$40</f>
        <v>1430</v>
      </c>
      <c r="I17" s="109">
        <f>(F17*G17*H17*B17)/'GHG ERFs'!$A$151</f>
        <v>0</v>
      </c>
      <c r="J17" s="112">
        <f t="shared" si="5"/>
        <v>0</v>
      </c>
      <c r="K17" s="114">
        <f>IF(A17&gt;0,(VLOOKUP(A17,Sheet1!$A$34:$H$54,3,FALSE)*B17*C17)/'GHG ERFs'!$A$153,0)</f>
        <v>0</v>
      </c>
      <c r="L17" s="99">
        <f>IF(A17&gt;0,(VLOOKUP(A17,Sheet1!$A$34:$H$54,4,FALSE)*B17*C17)/'GHG ERFs'!$A$153,0)</f>
        <v>0</v>
      </c>
      <c r="M17" s="99">
        <f>IF(A17&gt;0,(VLOOKUP(A17,Sheet1!$A$34:$H$54,5,FALSE)*B17*C17)/'GHG ERFs'!$A$153,0)</f>
        <v>0</v>
      </c>
      <c r="N17" s="243">
        <f>IF(A17&gt;0,(VLOOKUP(A17,Sheet1!$A$34:$H$54,6,FALSE)*B17*C17)/'GHG ERFs'!$A$153,0)</f>
        <v>0</v>
      </c>
      <c r="O17" s="246">
        <f>-IF(A17&gt;0,(VLOOKUP(A17,Sheet1!$A$34:$I$54,9,FALSE)*B17),0)</f>
        <v>0</v>
      </c>
    </row>
    <row r="18" spans="1:19" s="9" customFormat="1" x14ac:dyDescent="0.25">
      <c r="A18" s="104">
        <f>Inputs!A32</f>
        <v>0</v>
      </c>
      <c r="B18" s="101">
        <f>Inputs!B32</f>
        <v>0</v>
      </c>
      <c r="C18" s="11">
        <f>IF(B18&gt;0,'GHG ERFs'!$B$133*B18,0)</f>
        <v>0</v>
      </c>
      <c r="D18" s="39">
        <f>IF(A18&gt;0,VLOOKUP(A18,Sheet1!$A$34:$H$54,2,FALSE),0)</f>
        <v>0</v>
      </c>
      <c r="E18" s="106">
        <f>(C18*D18)/'GHG ERFs'!$A$152</f>
        <v>0</v>
      </c>
      <c r="F18" s="108">
        <f>IF(A18&gt;0,VLOOKUP(A18,Sheet1!$A$34:$H$54,8,FALSE),0)</f>
        <v>0</v>
      </c>
      <c r="G18" s="100">
        <f>IF(A18&gt;0,VLOOKUP(A18,Sheet1!$A$34:$H$54,7,FALSE),0)</f>
        <v>0</v>
      </c>
      <c r="H18" s="68">
        <f>'GHG ERFs'!$B$40</f>
        <v>1430</v>
      </c>
      <c r="I18" s="109">
        <f>(F18*G18*H18*B18)/'GHG ERFs'!$A$151</f>
        <v>0</v>
      </c>
      <c r="J18" s="112">
        <f t="shared" si="5"/>
        <v>0</v>
      </c>
      <c r="K18" s="114">
        <f>IF(A18&gt;0,(VLOOKUP(A18,Sheet1!$A$34:$H$54,3,FALSE)*B18*C18)/'GHG ERFs'!$A$153,0)</f>
        <v>0</v>
      </c>
      <c r="L18" s="99">
        <f>IF(A18&gt;0,(VLOOKUP(A18,Sheet1!$A$34:$H$54,4,FALSE)*B18*C18)/'GHG ERFs'!$A$153,0)</f>
        <v>0</v>
      </c>
      <c r="M18" s="99">
        <f>IF(A18&gt;0,(VLOOKUP(A18,Sheet1!$A$34:$H$54,5,FALSE)*B18*C18)/'GHG ERFs'!$A$153,0)</f>
        <v>0</v>
      </c>
      <c r="N18" s="243">
        <f>IF(A18&gt;0,(VLOOKUP(A18,Sheet1!$A$34:$H$54,6,FALSE)*B18*C18)/'GHG ERFs'!$A$153,0)</f>
        <v>0</v>
      </c>
      <c r="O18" s="246">
        <f>-IF(A18&gt;0,(VLOOKUP(A18,Sheet1!$A$34:$I$54,9,FALSE)*B18),0)</f>
        <v>0</v>
      </c>
    </row>
    <row r="19" spans="1:19" s="9" customFormat="1" x14ac:dyDescent="0.25">
      <c r="A19" s="104">
        <f>Inputs!A33</f>
        <v>0</v>
      </c>
      <c r="B19" s="101">
        <f>Inputs!B33</f>
        <v>0</v>
      </c>
      <c r="C19" s="11">
        <f>IF(B19&gt;0,'GHG ERFs'!$B$133*B19,0)</f>
        <v>0</v>
      </c>
      <c r="D19" s="39">
        <f>IF(A19&gt;0,VLOOKUP(A19,Sheet1!$A$34:$H$54,2,FALSE),0)</f>
        <v>0</v>
      </c>
      <c r="E19" s="106">
        <f>(C19*D19)/'GHG ERFs'!$A$152</f>
        <v>0</v>
      </c>
      <c r="F19" s="108">
        <f>IF(A19&gt;0,VLOOKUP(A19,Sheet1!$A$34:$H$54,8,FALSE),0)</f>
        <v>0</v>
      </c>
      <c r="G19" s="100">
        <f>IF(A19&gt;0,VLOOKUP(A19,Sheet1!$A$34:$H$54,7,FALSE),0)</f>
        <v>0</v>
      </c>
      <c r="H19" s="68">
        <f>'GHG ERFs'!$B$40</f>
        <v>1430</v>
      </c>
      <c r="I19" s="109">
        <f>(F19*G19*H19*B19)/'GHG ERFs'!$A$151</f>
        <v>0</v>
      </c>
      <c r="J19" s="112">
        <f t="shared" si="5"/>
        <v>0</v>
      </c>
      <c r="K19" s="114">
        <f>IF(A19&gt;0,(VLOOKUP(A19,Sheet1!$A$34:$H$54,3,FALSE)*B19*C19)/'GHG ERFs'!$A$153,0)</f>
        <v>0</v>
      </c>
      <c r="L19" s="99">
        <f>IF(A19&gt;0,(VLOOKUP(A19,Sheet1!$A$34:$H$54,4,FALSE)*B19*C19)/'GHG ERFs'!$A$153,0)</f>
        <v>0</v>
      </c>
      <c r="M19" s="99">
        <f>IF(A19&gt;0,(VLOOKUP(A19,Sheet1!$A$34:$H$54,5,FALSE)*B19*C19)/'GHG ERFs'!$A$153,0)</f>
        <v>0</v>
      </c>
      <c r="N19" s="243">
        <f>IF(A19&gt;0,(VLOOKUP(A19,Sheet1!$A$34:$H$54,6,FALSE)*B19*C19)/'GHG ERFs'!$A$153,0)</f>
        <v>0</v>
      </c>
      <c r="O19" s="246">
        <f>-IF(A19&gt;0,(VLOOKUP(A19,Sheet1!$A$34:$I$54,9,FALSE)*B19),0)</f>
        <v>0</v>
      </c>
    </row>
    <row r="20" spans="1:19" s="9" customFormat="1" x14ac:dyDescent="0.25">
      <c r="A20" s="104">
        <f>Inputs!A34</f>
        <v>0</v>
      </c>
      <c r="B20" s="101">
        <f>Inputs!B34</f>
        <v>0</v>
      </c>
      <c r="C20" s="11">
        <f>IF(B20&gt;0,'GHG ERFs'!$B$133*B20,0)</f>
        <v>0</v>
      </c>
      <c r="D20" s="39">
        <f>IF(A20&gt;0,VLOOKUP(A20,Sheet1!$A$34:$H$54,2,FALSE),0)</f>
        <v>0</v>
      </c>
      <c r="E20" s="106">
        <f>(C20*D20)/'GHG ERFs'!$A$152</f>
        <v>0</v>
      </c>
      <c r="F20" s="108">
        <f>IF(A20&gt;0,VLOOKUP(A20,Sheet1!$A$34:$H$54,8,FALSE),0)</f>
        <v>0</v>
      </c>
      <c r="G20" s="100">
        <f>IF(A20&gt;0,VLOOKUP(A20,Sheet1!$A$34:$H$54,7,FALSE),0)</f>
        <v>0</v>
      </c>
      <c r="H20" s="68">
        <f>'GHG ERFs'!$B$40</f>
        <v>1430</v>
      </c>
      <c r="I20" s="109">
        <f>(F20*G20*H20*B20)/'GHG ERFs'!$A$151</f>
        <v>0</v>
      </c>
      <c r="J20" s="112">
        <f t="shared" si="5"/>
        <v>0</v>
      </c>
      <c r="K20" s="114">
        <f>IF(A20&gt;0,(VLOOKUP(A20,Sheet1!$A$34:$H$54,3,FALSE)*B20*C20)/'GHG ERFs'!$A$153,0)</f>
        <v>0</v>
      </c>
      <c r="L20" s="99">
        <f>IF(A20&gt;0,(VLOOKUP(A20,Sheet1!$A$34:$H$54,4,FALSE)*B20*C20)/'GHG ERFs'!$A$153,0)</f>
        <v>0</v>
      </c>
      <c r="M20" s="99">
        <f>IF(A20&gt;0,(VLOOKUP(A20,Sheet1!$A$34:$H$54,5,FALSE)*B20*C20)/'GHG ERFs'!$A$153,0)</f>
        <v>0</v>
      </c>
      <c r="N20" s="243">
        <f>IF(A20&gt;0,(VLOOKUP(A20,Sheet1!$A$34:$H$54,6,FALSE)*B20*C20)/'GHG ERFs'!$A$153,0)</f>
        <v>0</v>
      </c>
      <c r="O20" s="246">
        <f>-IF(A20&gt;0,(VLOOKUP(A20,Sheet1!$A$34:$I$54,9,FALSE)*B20),0)</f>
        <v>0</v>
      </c>
    </row>
    <row r="21" spans="1:19" s="9" customFormat="1" ht="15.75" thickBot="1" x14ac:dyDescent="0.3">
      <c r="A21" s="105">
        <f>Inputs!A35</f>
        <v>0</v>
      </c>
      <c r="B21" s="102">
        <f>Inputs!B35</f>
        <v>0</v>
      </c>
      <c r="C21" s="90">
        <f>IF(B21&gt;0,'GHG ERFs'!$B$133*B21,0)</f>
        <v>0</v>
      </c>
      <c r="D21" s="164">
        <f>IF(A21&gt;0,VLOOKUP(A21,Sheet1!$A$34:$H$54,2,FALSE),0)</f>
        <v>0</v>
      </c>
      <c r="E21" s="107">
        <f>(C21*D21)/'GHG ERFs'!$A$152</f>
        <v>0</v>
      </c>
      <c r="F21" s="165">
        <f>IF(A21&gt;0,VLOOKUP(A21,Sheet1!$A$34:$H$54,8,FALSE),0)</f>
        <v>0</v>
      </c>
      <c r="G21" s="166">
        <f>IF(A21&gt;0,VLOOKUP(A21,Sheet1!$A$34:$H$54,7,FALSE),0)</f>
        <v>0</v>
      </c>
      <c r="H21" s="72">
        <f>'GHG ERFs'!$B$40</f>
        <v>1430</v>
      </c>
      <c r="I21" s="110">
        <f>(F21*G21*H21*B21)/'GHG ERFs'!$A$151</f>
        <v>0</v>
      </c>
      <c r="J21" s="113">
        <f t="shared" si="5"/>
        <v>0</v>
      </c>
      <c r="K21" s="167">
        <f>IF(A21&gt;0,(VLOOKUP(A21,Sheet1!$A$34:$H$54,3,FALSE)*B21*C21)/'GHG ERFs'!$A$153,0)</f>
        <v>0</v>
      </c>
      <c r="L21" s="168">
        <f>IF(A21&gt;0,(VLOOKUP(A21,Sheet1!$A$34:$H$54,4,FALSE)*B21*C21)/'GHG ERFs'!$A$153,0)</f>
        <v>0</v>
      </c>
      <c r="M21" s="168">
        <f>IF(A21&gt;0,(VLOOKUP(A21,Sheet1!$A$34:$H$54,5,FALSE)*B21*C21)/'GHG ERFs'!$A$153,0)</f>
        <v>0</v>
      </c>
      <c r="N21" s="244">
        <f>IF(A21&gt;0,(VLOOKUP(A21,Sheet1!$A$34:$H$54,6,FALSE)*B21*C21)/'GHG ERFs'!$A$153,0)</f>
        <v>0</v>
      </c>
      <c r="O21" s="247">
        <f>-IF(A21&gt;0,(VLOOKUP(A21,Sheet1!$A$34:$I$54,9,FALSE)*B21),0)</f>
        <v>0</v>
      </c>
    </row>
    <row r="22" spans="1:19" x14ac:dyDescent="0.25">
      <c r="A22" s="77"/>
      <c r="B22" s="77"/>
      <c r="C22" s="77"/>
      <c r="D22" s="78"/>
      <c r="E22" s="78"/>
      <c r="F22" s="78"/>
      <c r="G22" s="77"/>
      <c r="H22" s="78"/>
      <c r="I22" s="10"/>
    </row>
    <row r="23" spans="1:19" ht="15.75" thickBot="1" x14ac:dyDescent="0.3">
      <c r="J23" s="405" t="s">
        <v>247</v>
      </c>
      <c r="K23" s="405"/>
      <c r="L23" s="405"/>
      <c r="M23" s="405"/>
    </row>
    <row r="24" spans="1:19" ht="15" customHeight="1" x14ac:dyDescent="0.25">
      <c r="A24" s="409" t="s">
        <v>0</v>
      </c>
      <c r="B24" s="411" t="s">
        <v>5</v>
      </c>
      <c r="C24" s="411" t="s">
        <v>29</v>
      </c>
      <c r="D24" s="413" t="s">
        <v>166</v>
      </c>
      <c r="E24" s="415" t="s">
        <v>189</v>
      </c>
      <c r="F24" s="415" t="s">
        <v>190</v>
      </c>
      <c r="G24" s="415" t="s">
        <v>235</v>
      </c>
      <c r="H24" s="417" t="s">
        <v>203</v>
      </c>
      <c r="I24" s="396" t="s">
        <v>236</v>
      </c>
      <c r="J24" s="419" t="s">
        <v>231</v>
      </c>
      <c r="K24" s="399" t="s">
        <v>232</v>
      </c>
      <c r="L24" s="399" t="s">
        <v>233</v>
      </c>
      <c r="M24" s="403" t="s">
        <v>241</v>
      </c>
      <c r="N24" s="401" t="s">
        <v>228</v>
      </c>
      <c r="O24" s="391" t="s">
        <v>229</v>
      </c>
      <c r="P24" s="391" t="s">
        <v>230</v>
      </c>
      <c r="Q24" s="393" t="s">
        <v>234</v>
      </c>
      <c r="R24" s="407" t="s">
        <v>373</v>
      </c>
      <c r="S24" s="406" t="s">
        <v>402</v>
      </c>
    </row>
    <row r="25" spans="1:19" ht="30" customHeight="1" x14ac:dyDescent="0.25">
      <c r="A25" s="410"/>
      <c r="B25" s="412"/>
      <c r="C25" s="412"/>
      <c r="D25" s="414"/>
      <c r="E25" s="416"/>
      <c r="F25" s="416"/>
      <c r="G25" s="416"/>
      <c r="H25" s="418"/>
      <c r="I25" s="397"/>
      <c r="J25" s="420"/>
      <c r="K25" s="400"/>
      <c r="L25" s="400"/>
      <c r="M25" s="404"/>
      <c r="N25" s="402"/>
      <c r="O25" s="392"/>
      <c r="P25" s="392"/>
      <c r="Q25" s="394"/>
      <c r="R25" s="408"/>
      <c r="S25" s="406"/>
    </row>
    <row r="26" spans="1:19" x14ac:dyDescent="0.25">
      <c r="A26" s="70" t="str">
        <f>Inputs!A38</f>
        <v>Year 1</v>
      </c>
      <c r="B26" s="11">
        <f>Inputs!B38/2000</f>
        <v>0</v>
      </c>
      <c r="C26" s="11">
        <f>Inputs!C38/2000</f>
        <v>0</v>
      </c>
      <c r="D26" s="76">
        <f>(B26+C26)*'GHG ERFs'!$B$16</f>
        <v>0</v>
      </c>
      <c r="E26" s="79">
        <f>IF(B26&gt;0,$X$14,0)</f>
        <v>0</v>
      </c>
      <c r="F26" s="79">
        <f>IF(B26&gt;0,$Y$14,0)</f>
        <v>0</v>
      </c>
      <c r="G26" s="79">
        <f>IF(B26&gt;0,SUM($E$16:$E$21),0)</f>
        <v>0</v>
      </c>
      <c r="H26" s="169">
        <f>IF(B26&gt;0,SUM($I$16:$I$21),0)</f>
        <v>0</v>
      </c>
      <c r="I26" s="127">
        <f>D26-E26-F26-G26-H26</f>
        <v>0</v>
      </c>
      <c r="J26" s="120">
        <f>(B26+C26)*'Co-Ben ERFs'!$B$18+(B26+C26)*'Co-Ben ERFs'!$B$30</f>
        <v>0</v>
      </c>
      <c r="K26" s="119">
        <f>(B26+C26)*'Co-Ben ERFs'!$B$19+(B26+C26)*'Co-Ben ERFs'!$B$31</f>
        <v>0</v>
      </c>
      <c r="L26" s="119">
        <f>(B26+C26)*'Co-Ben ERFs'!$B$20+(B26+C26)*'Co-Ben ERFs'!$B$32</f>
        <v>0</v>
      </c>
      <c r="M26" s="124">
        <f>(B26+C26)*'Co-Ben ERFs'!$B$33</f>
        <v>0</v>
      </c>
      <c r="N26" s="130">
        <f>IF(B26&gt;0,J26-(SUM($K$16:$K$21)+$AA$14),J26)</f>
        <v>0</v>
      </c>
      <c r="O26" s="119">
        <f>IF(B26&gt;0,K26-(SUM($L$16:$L$21)+$AB$14),K26)</f>
        <v>0</v>
      </c>
      <c r="P26" s="119">
        <f>IF(B26&gt;0,L26-(SUM($M$16:$M$21)+$AC$14),L26)</f>
        <v>0</v>
      </c>
      <c r="Q26" s="237">
        <f>IF(B26&gt;0,M26-(SUM($N$16:$N$21)),M26)</f>
        <v>0</v>
      </c>
      <c r="R26" s="239">
        <f>IF(B26&gt;0,(SUM($O$16:$O$21)),0)</f>
        <v>0</v>
      </c>
      <c r="S26">
        <f>IF(B26&gt;0,1,0)</f>
        <v>0</v>
      </c>
    </row>
    <row r="27" spans="1:19" x14ac:dyDescent="0.25">
      <c r="A27" s="70" t="e">
        <f>A26+1</f>
        <v>#VALUE!</v>
      </c>
      <c r="B27" s="11">
        <f>Inputs!B39/2000</f>
        <v>0</v>
      </c>
      <c r="C27" s="11">
        <f>Inputs!C39/2000</f>
        <v>0</v>
      </c>
      <c r="D27" s="76">
        <f>(B27+C27)*'GHG ERFs'!$B$16</f>
        <v>0</v>
      </c>
      <c r="E27" s="79">
        <f t="shared" ref="E27:E35" si="6">IF(B27&gt;0,$X$14,0)</f>
        <v>0</v>
      </c>
      <c r="F27" s="79">
        <f t="shared" ref="F27:F35" si="7">IF(B27&gt;0,$Y$14,0)</f>
        <v>0</v>
      </c>
      <c r="G27" s="79">
        <f t="shared" ref="G27:G35" si="8">IF(B27&gt;0,SUM($E$16:$E$21),0)</f>
        <v>0</v>
      </c>
      <c r="H27" s="169">
        <f t="shared" ref="H27:H35" si="9">IF(B27&gt;0,SUM($I$16:$I$21),0)</f>
        <v>0</v>
      </c>
      <c r="I27" s="128">
        <f t="shared" ref="I27:I35" si="10">D27-E27-F27-G27-H27</f>
        <v>0</v>
      </c>
      <c r="J27" s="120">
        <f>(B27+C27)*'Co-Ben ERFs'!$B$18+(B27+C27)*'Co-Ben ERFs'!$B$30</f>
        <v>0</v>
      </c>
      <c r="K27" s="119">
        <f>(B27+C27)*'Co-Ben ERFs'!$B$19+(B27+C27)*'Co-Ben ERFs'!$B$31</f>
        <v>0</v>
      </c>
      <c r="L27" s="119">
        <f>(B27+C27)*'Co-Ben ERFs'!$B$20+(B27+C27)*'Co-Ben ERFs'!$B$32</f>
        <v>0</v>
      </c>
      <c r="M27" s="124">
        <f>(B27+C27)*'Co-Ben ERFs'!$B$33</f>
        <v>0</v>
      </c>
      <c r="N27" s="130">
        <f t="shared" ref="N27:N35" si="11">IF(B27&gt;0,J27-(SUM($K$16:$K$21)+$AA$14),J27)</f>
        <v>0</v>
      </c>
      <c r="O27" s="119">
        <f t="shared" ref="O27:O35" si="12">IF(B27&gt;0,K27-(SUM($L$16:$L$21)+$AB$14),K27)</f>
        <v>0</v>
      </c>
      <c r="P27" s="119">
        <f t="shared" ref="P27:P35" si="13">IF(B27&gt;0,L27-(SUM($M$16:$M$21)+$AC$14),L27)</f>
        <v>0</v>
      </c>
      <c r="Q27" s="237">
        <f t="shared" ref="Q27:Q35" si="14">IF(B27&gt;0,M27-(SUM($N$16:$N$21)),M27)</f>
        <v>0</v>
      </c>
      <c r="R27" s="239">
        <f t="shared" ref="R27:R35" si="15">IF(B27&gt;0,(SUM($O$16:$O$21)),0)</f>
        <v>0</v>
      </c>
      <c r="S27" s="214">
        <f t="shared" ref="S27:S35" si="16">IF(B27&gt;0,1,0)</f>
        <v>0</v>
      </c>
    </row>
    <row r="28" spans="1:19" x14ac:dyDescent="0.25">
      <c r="A28" s="70" t="e">
        <f t="shared" ref="A28:A35" si="17">A27+1</f>
        <v>#VALUE!</v>
      </c>
      <c r="B28" s="11">
        <f>Inputs!B40/2000</f>
        <v>0</v>
      </c>
      <c r="C28" s="11">
        <f>Inputs!C40/2000</f>
        <v>0</v>
      </c>
      <c r="D28" s="76">
        <f>(B28+C28)*'GHG ERFs'!$B$16</f>
        <v>0</v>
      </c>
      <c r="E28" s="79">
        <f t="shared" si="6"/>
        <v>0</v>
      </c>
      <c r="F28" s="79">
        <f t="shared" si="7"/>
        <v>0</v>
      </c>
      <c r="G28" s="79">
        <f t="shared" si="8"/>
        <v>0</v>
      </c>
      <c r="H28" s="169">
        <f t="shared" si="9"/>
        <v>0</v>
      </c>
      <c r="I28" s="128">
        <f t="shared" si="10"/>
        <v>0</v>
      </c>
      <c r="J28" s="120">
        <f>(B28+C28)*'Co-Ben ERFs'!$B$18+(B28+C28)*'Co-Ben ERFs'!$B$30</f>
        <v>0</v>
      </c>
      <c r="K28" s="119">
        <f>(B28+C28)*'Co-Ben ERFs'!$B$19+(B28+C28)*'Co-Ben ERFs'!$B$31</f>
        <v>0</v>
      </c>
      <c r="L28" s="119">
        <f>(B28+C28)*'Co-Ben ERFs'!$B$20+(B28+C28)*'Co-Ben ERFs'!$B$32</f>
        <v>0</v>
      </c>
      <c r="M28" s="124">
        <f>(B28+C28)*'Co-Ben ERFs'!$B$33</f>
        <v>0</v>
      </c>
      <c r="N28" s="130">
        <f t="shared" si="11"/>
        <v>0</v>
      </c>
      <c r="O28" s="119">
        <f t="shared" si="12"/>
        <v>0</v>
      </c>
      <c r="P28" s="119">
        <f t="shared" si="13"/>
        <v>0</v>
      </c>
      <c r="Q28" s="237">
        <f t="shared" si="14"/>
        <v>0</v>
      </c>
      <c r="R28" s="239">
        <f t="shared" si="15"/>
        <v>0</v>
      </c>
      <c r="S28" s="214">
        <f t="shared" si="16"/>
        <v>0</v>
      </c>
    </row>
    <row r="29" spans="1:19" x14ac:dyDescent="0.25">
      <c r="A29" s="70" t="e">
        <f t="shared" si="17"/>
        <v>#VALUE!</v>
      </c>
      <c r="B29" s="11">
        <f>Inputs!B41/2000</f>
        <v>0</v>
      </c>
      <c r="C29" s="11">
        <f>Inputs!C41/2000</f>
        <v>0</v>
      </c>
      <c r="D29" s="76">
        <f>(B29+C29)*'GHG ERFs'!$B$16</f>
        <v>0</v>
      </c>
      <c r="E29" s="79">
        <f t="shared" si="6"/>
        <v>0</v>
      </c>
      <c r="F29" s="79">
        <f t="shared" si="7"/>
        <v>0</v>
      </c>
      <c r="G29" s="79">
        <f t="shared" si="8"/>
        <v>0</v>
      </c>
      <c r="H29" s="169">
        <f t="shared" si="9"/>
        <v>0</v>
      </c>
      <c r="I29" s="128">
        <f t="shared" si="10"/>
        <v>0</v>
      </c>
      <c r="J29" s="120">
        <f>(B29+C29)*'Co-Ben ERFs'!$B$18+(B29+C29)*'Co-Ben ERFs'!$B$30</f>
        <v>0</v>
      </c>
      <c r="K29" s="119">
        <f>(B29+C29)*'Co-Ben ERFs'!$B$19+(B29+C29)*'Co-Ben ERFs'!$B$31</f>
        <v>0</v>
      </c>
      <c r="L29" s="119">
        <f>(B29+C29)*'Co-Ben ERFs'!$B$20+(B29+C29)*'Co-Ben ERFs'!$B$32</f>
        <v>0</v>
      </c>
      <c r="M29" s="124">
        <f>(B29+C29)*'Co-Ben ERFs'!$B$33</f>
        <v>0</v>
      </c>
      <c r="N29" s="130">
        <f t="shared" si="11"/>
        <v>0</v>
      </c>
      <c r="O29" s="119">
        <f t="shared" si="12"/>
        <v>0</v>
      </c>
      <c r="P29" s="119">
        <f t="shared" si="13"/>
        <v>0</v>
      </c>
      <c r="Q29" s="237">
        <f t="shared" si="14"/>
        <v>0</v>
      </c>
      <c r="R29" s="239">
        <f t="shared" si="15"/>
        <v>0</v>
      </c>
      <c r="S29" s="214">
        <f t="shared" si="16"/>
        <v>0</v>
      </c>
    </row>
    <row r="30" spans="1:19" x14ac:dyDescent="0.25">
      <c r="A30" s="70" t="e">
        <f t="shared" si="17"/>
        <v>#VALUE!</v>
      </c>
      <c r="B30" s="11">
        <f>Inputs!B42/2000</f>
        <v>0</v>
      </c>
      <c r="C30" s="11">
        <f>Inputs!C42/2000</f>
        <v>0</v>
      </c>
      <c r="D30" s="76">
        <f>(B30+C30)*'GHG ERFs'!$B$16</f>
        <v>0</v>
      </c>
      <c r="E30" s="79">
        <f t="shared" si="6"/>
        <v>0</v>
      </c>
      <c r="F30" s="79">
        <f t="shared" si="7"/>
        <v>0</v>
      </c>
      <c r="G30" s="79">
        <f t="shared" si="8"/>
        <v>0</v>
      </c>
      <c r="H30" s="169">
        <f t="shared" si="9"/>
        <v>0</v>
      </c>
      <c r="I30" s="128">
        <f t="shared" si="10"/>
        <v>0</v>
      </c>
      <c r="J30" s="120">
        <f>(B30+C30)*'Co-Ben ERFs'!$B$18+(B30+C30)*'Co-Ben ERFs'!$B$30</f>
        <v>0</v>
      </c>
      <c r="K30" s="119">
        <f>(B30+C30)*'Co-Ben ERFs'!$B$19+(B30+C30)*'Co-Ben ERFs'!$B$31</f>
        <v>0</v>
      </c>
      <c r="L30" s="119">
        <f>(B30+C30)*'Co-Ben ERFs'!$B$20+(B30+C30)*'Co-Ben ERFs'!$B$32</f>
        <v>0</v>
      </c>
      <c r="M30" s="124">
        <f>(B30+C30)*'Co-Ben ERFs'!$B$33</f>
        <v>0</v>
      </c>
      <c r="N30" s="130">
        <f t="shared" si="11"/>
        <v>0</v>
      </c>
      <c r="O30" s="119">
        <f t="shared" si="12"/>
        <v>0</v>
      </c>
      <c r="P30" s="119">
        <f t="shared" si="13"/>
        <v>0</v>
      </c>
      <c r="Q30" s="237">
        <f t="shared" si="14"/>
        <v>0</v>
      </c>
      <c r="R30" s="239">
        <f t="shared" si="15"/>
        <v>0</v>
      </c>
      <c r="S30" s="214">
        <f t="shared" si="16"/>
        <v>0</v>
      </c>
    </row>
    <row r="31" spans="1:19" x14ac:dyDescent="0.25">
      <c r="A31" s="70" t="e">
        <f t="shared" si="17"/>
        <v>#VALUE!</v>
      </c>
      <c r="B31" s="11">
        <f>Inputs!B43/2000</f>
        <v>0</v>
      </c>
      <c r="C31" s="11">
        <f>Inputs!C43/2000</f>
        <v>0</v>
      </c>
      <c r="D31" s="76">
        <f>(B31+C31)*'GHG ERFs'!$B$16</f>
        <v>0</v>
      </c>
      <c r="E31" s="79">
        <f t="shared" si="6"/>
        <v>0</v>
      </c>
      <c r="F31" s="79">
        <f t="shared" si="7"/>
        <v>0</v>
      </c>
      <c r="G31" s="79">
        <f t="shared" si="8"/>
        <v>0</v>
      </c>
      <c r="H31" s="169">
        <f t="shared" si="9"/>
        <v>0</v>
      </c>
      <c r="I31" s="128">
        <f t="shared" si="10"/>
        <v>0</v>
      </c>
      <c r="J31" s="120">
        <f>(B31+C31)*'Co-Ben ERFs'!$B$18+(B31+C31)*'Co-Ben ERFs'!$B$30</f>
        <v>0</v>
      </c>
      <c r="K31" s="119">
        <f>(B31+C31)*'Co-Ben ERFs'!$B$19+(B31+C31)*'Co-Ben ERFs'!$B$31</f>
        <v>0</v>
      </c>
      <c r="L31" s="119">
        <f>(B31+C31)*'Co-Ben ERFs'!$B$20+(B31+C31)*'Co-Ben ERFs'!$B$32</f>
        <v>0</v>
      </c>
      <c r="M31" s="124">
        <f>(B31+C31)*'Co-Ben ERFs'!$B$33</f>
        <v>0</v>
      </c>
      <c r="N31" s="130">
        <f t="shared" si="11"/>
        <v>0</v>
      </c>
      <c r="O31" s="119">
        <f t="shared" si="12"/>
        <v>0</v>
      </c>
      <c r="P31" s="119">
        <f t="shared" si="13"/>
        <v>0</v>
      </c>
      <c r="Q31" s="237">
        <f t="shared" si="14"/>
        <v>0</v>
      </c>
      <c r="R31" s="239">
        <f t="shared" si="15"/>
        <v>0</v>
      </c>
      <c r="S31" s="214">
        <f t="shared" si="16"/>
        <v>0</v>
      </c>
    </row>
    <row r="32" spans="1:19" x14ac:dyDescent="0.25">
      <c r="A32" s="70" t="e">
        <f t="shared" si="17"/>
        <v>#VALUE!</v>
      </c>
      <c r="B32" s="11">
        <f>Inputs!B44/2000</f>
        <v>0</v>
      </c>
      <c r="C32" s="11">
        <f>Inputs!C44/2000</f>
        <v>0</v>
      </c>
      <c r="D32" s="76">
        <f>(B32+C32)*'GHG ERFs'!$B$16</f>
        <v>0</v>
      </c>
      <c r="E32" s="79">
        <f t="shared" si="6"/>
        <v>0</v>
      </c>
      <c r="F32" s="79">
        <f t="shared" si="7"/>
        <v>0</v>
      </c>
      <c r="G32" s="79">
        <f t="shared" si="8"/>
        <v>0</v>
      </c>
      <c r="H32" s="169">
        <f t="shared" si="9"/>
        <v>0</v>
      </c>
      <c r="I32" s="128">
        <f t="shared" si="10"/>
        <v>0</v>
      </c>
      <c r="J32" s="120">
        <f>(B32+C32)*'Co-Ben ERFs'!$B$18+(B32+C32)*'Co-Ben ERFs'!$B$30</f>
        <v>0</v>
      </c>
      <c r="K32" s="119">
        <f>(B32+C32)*'Co-Ben ERFs'!$B$19+(B32+C32)*'Co-Ben ERFs'!$B$31</f>
        <v>0</v>
      </c>
      <c r="L32" s="119">
        <f>(B32+C32)*'Co-Ben ERFs'!$B$20+(B32+C32)*'Co-Ben ERFs'!$B$32</f>
        <v>0</v>
      </c>
      <c r="M32" s="124">
        <f>(B32+C32)*'Co-Ben ERFs'!$B$33</f>
        <v>0</v>
      </c>
      <c r="N32" s="130">
        <f t="shared" si="11"/>
        <v>0</v>
      </c>
      <c r="O32" s="119">
        <f t="shared" si="12"/>
        <v>0</v>
      </c>
      <c r="P32" s="119">
        <f t="shared" si="13"/>
        <v>0</v>
      </c>
      <c r="Q32" s="237">
        <f t="shared" si="14"/>
        <v>0</v>
      </c>
      <c r="R32" s="239">
        <f t="shared" si="15"/>
        <v>0</v>
      </c>
      <c r="S32" s="214">
        <f t="shared" si="16"/>
        <v>0</v>
      </c>
    </row>
    <row r="33" spans="1:19" x14ac:dyDescent="0.25">
      <c r="A33" s="70" t="e">
        <f t="shared" si="17"/>
        <v>#VALUE!</v>
      </c>
      <c r="B33" s="11">
        <f>Inputs!B45/2000</f>
        <v>0</v>
      </c>
      <c r="C33" s="11">
        <f>Inputs!C45/2000</f>
        <v>0</v>
      </c>
      <c r="D33" s="76">
        <f>(B33+C33)*'GHG ERFs'!$B$16</f>
        <v>0</v>
      </c>
      <c r="E33" s="79">
        <f t="shared" si="6"/>
        <v>0</v>
      </c>
      <c r="F33" s="79">
        <f t="shared" si="7"/>
        <v>0</v>
      </c>
      <c r="G33" s="79">
        <f t="shared" si="8"/>
        <v>0</v>
      </c>
      <c r="H33" s="169">
        <f t="shared" si="9"/>
        <v>0</v>
      </c>
      <c r="I33" s="128">
        <f t="shared" si="10"/>
        <v>0</v>
      </c>
      <c r="J33" s="120">
        <f>(B33+C33)*'Co-Ben ERFs'!$B$18+(B33+C33)*'Co-Ben ERFs'!$B$30</f>
        <v>0</v>
      </c>
      <c r="K33" s="119">
        <f>(B33+C33)*'Co-Ben ERFs'!$B$19+(B33+C33)*'Co-Ben ERFs'!$B$31</f>
        <v>0</v>
      </c>
      <c r="L33" s="119">
        <f>(B33+C33)*'Co-Ben ERFs'!$B$20+(B33+C33)*'Co-Ben ERFs'!$B$32</f>
        <v>0</v>
      </c>
      <c r="M33" s="124">
        <f>(B33+C33)*'Co-Ben ERFs'!$B$33</f>
        <v>0</v>
      </c>
      <c r="N33" s="130">
        <f t="shared" si="11"/>
        <v>0</v>
      </c>
      <c r="O33" s="119">
        <f t="shared" si="12"/>
        <v>0</v>
      </c>
      <c r="P33" s="119">
        <f t="shared" si="13"/>
        <v>0</v>
      </c>
      <c r="Q33" s="237">
        <f t="shared" si="14"/>
        <v>0</v>
      </c>
      <c r="R33" s="239">
        <f t="shared" si="15"/>
        <v>0</v>
      </c>
      <c r="S33" s="214">
        <f t="shared" si="16"/>
        <v>0</v>
      </c>
    </row>
    <row r="34" spans="1:19" x14ac:dyDescent="0.25">
      <c r="A34" s="70" t="e">
        <f t="shared" si="17"/>
        <v>#VALUE!</v>
      </c>
      <c r="B34" s="11">
        <f>Inputs!B46/2000</f>
        <v>0</v>
      </c>
      <c r="C34" s="11">
        <f>Inputs!C46/2000</f>
        <v>0</v>
      </c>
      <c r="D34" s="76">
        <f>(B34+C34)*'GHG ERFs'!$B$16</f>
        <v>0</v>
      </c>
      <c r="E34" s="79">
        <f t="shared" si="6"/>
        <v>0</v>
      </c>
      <c r="F34" s="79">
        <f t="shared" si="7"/>
        <v>0</v>
      </c>
      <c r="G34" s="79">
        <f t="shared" si="8"/>
        <v>0</v>
      </c>
      <c r="H34" s="169">
        <f t="shared" si="9"/>
        <v>0</v>
      </c>
      <c r="I34" s="128">
        <f t="shared" si="10"/>
        <v>0</v>
      </c>
      <c r="J34" s="120">
        <f>(B34+C34)*'Co-Ben ERFs'!$B$18+(B34+C34)*'Co-Ben ERFs'!$B$30</f>
        <v>0</v>
      </c>
      <c r="K34" s="119">
        <f>(B34+C34)*'Co-Ben ERFs'!$B$19+(B34+C34)*'Co-Ben ERFs'!$B$31</f>
        <v>0</v>
      </c>
      <c r="L34" s="119">
        <f>(B34+C34)*'Co-Ben ERFs'!$B$20+(B34+C34)*'Co-Ben ERFs'!$B$32</f>
        <v>0</v>
      </c>
      <c r="M34" s="124">
        <f>(B34+C34)*'Co-Ben ERFs'!$B$33</f>
        <v>0</v>
      </c>
      <c r="N34" s="130">
        <f t="shared" si="11"/>
        <v>0</v>
      </c>
      <c r="O34" s="119">
        <f t="shared" si="12"/>
        <v>0</v>
      </c>
      <c r="P34" s="119">
        <f t="shared" si="13"/>
        <v>0</v>
      </c>
      <c r="Q34" s="237">
        <f t="shared" si="14"/>
        <v>0</v>
      </c>
      <c r="R34" s="239">
        <f t="shared" si="15"/>
        <v>0</v>
      </c>
      <c r="S34" s="214">
        <f t="shared" si="16"/>
        <v>0</v>
      </c>
    </row>
    <row r="35" spans="1:19" x14ac:dyDescent="0.25">
      <c r="A35" s="70" t="e">
        <f t="shared" si="17"/>
        <v>#VALUE!</v>
      </c>
      <c r="B35" s="11">
        <f>Inputs!B47/2000</f>
        <v>0</v>
      </c>
      <c r="C35" s="11">
        <f>Inputs!C47/2000</f>
        <v>0</v>
      </c>
      <c r="D35" s="76">
        <f>(B35+C35)*'GHG ERFs'!$B$16</f>
        <v>0</v>
      </c>
      <c r="E35" s="79">
        <f t="shared" si="6"/>
        <v>0</v>
      </c>
      <c r="F35" s="79">
        <f t="shared" si="7"/>
        <v>0</v>
      </c>
      <c r="G35" s="79">
        <f t="shared" si="8"/>
        <v>0</v>
      </c>
      <c r="H35" s="169">
        <f t="shared" si="9"/>
        <v>0</v>
      </c>
      <c r="I35" s="128">
        <f t="shared" si="10"/>
        <v>0</v>
      </c>
      <c r="J35" s="120">
        <f>(B35+C35)*'Co-Ben ERFs'!$B$18+(B35+C35)*'Co-Ben ERFs'!$B$30</f>
        <v>0</v>
      </c>
      <c r="K35" s="119">
        <f>(B35+C35)*'Co-Ben ERFs'!$B$19+(B35+C35)*'Co-Ben ERFs'!$B$31</f>
        <v>0</v>
      </c>
      <c r="L35" s="119">
        <f>(B35+C35)*'Co-Ben ERFs'!$B$20+(B35+C35)*'Co-Ben ERFs'!$B$32</f>
        <v>0</v>
      </c>
      <c r="M35" s="124">
        <f>(B35+C35)*'Co-Ben ERFs'!$B$33</f>
        <v>0</v>
      </c>
      <c r="N35" s="130">
        <f t="shared" si="11"/>
        <v>0</v>
      </c>
      <c r="O35" s="119">
        <f t="shared" si="12"/>
        <v>0</v>
      </c>
      <c r="P35" s="119">
        <f t="shared" si="13"/>
        <v>0</v>
      </c>
      <c r="Q35" s="237">
        <f t="shared" si="14"/>
        <v>0</v>
      </c>
      <c r="R35" s="239">
        <f t="shared" si="15"/>
        <v>0</v>
      </c>
      <c r="S35" s="214">
        <f t="shared" si="16"/>
        <v>0</v>
      </c>
    </row>
    <row r="36" spans="1:19" ht="15.75" thickBot="1" x14ac:dyDescent="0.3">
      <c r="A36" s="71" t="s">
        <v>1</v>
      </c>
      <c r="B36" s="91">
        <f t="shared" ref="B36:R36" si="18">SUM(B26:B35)</f>
        <v>0</v>
      </c>
      <c r="C36" s="91">
        <f t="shared" si="18"/>
        <v>0</v>
      </c>
      <c r="D36" s="122">
        <f t="shared" si="18"/>
        <v>0</v>
      </c>
      <c r="E36" s="122">
        <f t="shared" si="18"/>
        <v>0</v>
      </c>
      <c r="F36" s="122">
        <f t="shared" si="18"/>
        <v>0</v>
      </c>
      <c r="G36" s="122">
        <f t="shared" si="18"/>
        <v>0</v>
      </c>
      <c r="H36" s="123">
        <f t="shared" si="18"/>
        <v>0</v>
      </c>
      <c r="I36" s="129">
        <f t="shared" si="18"/>
        <v>0</v>
      </c>
      <c r="J36" s="121">
        <f t="shared" si="18"/>
        <v>0</v>
      </c>
      <c r="K36" s="122">
        <f t="shared" si="18"/>
        <v>0</v>
      </c>
      <c r="L36" s="122">
        <f t="shared" si="18"/>
        <v>0</v>
      </c>
      <c r="M36" s="123">
        <f t="shared" si="18"/>
        <v>0</v>
      </c>
      <c r="N36" s="131">
        <f t="shared" si="18"/>
        <v>0</v>
      </c>
      <c r="O36" s="122">
        <f t="shared" si="18"/>
        <v>0</v>
      </c>
      <c r="P36" s="122">
        <f t="shared" si="18"/>
        <v>0</v>
      </c>
      <c r="Q36" s="238">
        <f t="shared" si="18"/>
        <v>0</v>
      </c>
      <c r="R36" s="240">
        <f t="shared" si="18"/>
        <v>0</v>
      </c>
    </row>
    <row r="37" spans="1:19" x14ac:dyDescent="0.25">
      <c r="R37" s="214"/>
      <c r="S37">
        <f>SUM(S26:S35)</f>
        <v>0</v>
      </c>
    </row>
  </sheetData>
  <sheetProtection algorithmName="SHA-512" hashValue="xOqQrfJyQ2niopQUlIIM+hpwjOb3GGErckHYpbHJyLWMM5RhlmJL5sdZoNRXnnmH7OeV/61Ju+1xGC34NFkWdQ==" saltValue="NcitHR89NLv4wSsGMrvSIQ==" spinCount="100000" sheet="1" objects="1" scenarios="1"/>
  <mergeCells count="22">
    <mergeCell ref="F24:F25"/>
    <mergeCell ref="G24:G25"/>
    <mergeCell ref="H24:H25"/>
    <mergeCell ref="J24:J25"/>
    <mergeCell ref="K24:K25"/>
    <mergeCell ref="A24:A25"/>
    <mergeCell ref="B24:B25"/>
    <mergeCell ref="C24:C25"/>
    <mergeCell ref="D24:D25"/>
    <mergeCell ref="E24:E25"/>
    <mergeCell ref="P24:P25"/>
    <mergeCell ref="Q24:Q25"/>
    <mergeCell ref="J2:X2"/>
    <mergeCell ref="I24:I25"/>
    <mergeCell ref="Q3:S3"/>
    <mergeCell ref="L24:L25"/>
    <mergeCell ref="N24:N25"/>
    <mergeCell ref="O24:O25"/>
    <mergeCell ref="M24:M25"/>
    <mergeCell ref="J23:M23"/>
    <mergeCell ref="S24:S25"/>
    <mergeCell ref="R24:R25"/>
  </mergeCells>
  <dataValidations disablePrompts="1" count="1">
    <dataValidation type="whole" operator="greaterThan" allowBlank="1" showInputMessage="1" showErrorMessage="1" sqref="B16:B21" xr:uid="{00000000-0002-0000-0700-000000000000}">
      <formula1>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700-000001000000}">
          <x14:formula1>
            <xm:f>Sheet1!$A$1:$A$12</xm:f>
          </x14:formula1>
          <xm:sqref>A4:A13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4"/>
  <sheetViews>
    <sheetView workbookViewId="0">
      <selection activeCell="P37" sqref="P37"/>
    </sheetView>
  </sheetViews>
  <sheetFormatPr defaultRowHeight="15" x14ac:dyDescent="0.25"/>
  <cols>
    <col min="1" max="1" width="45.7109375" bestFit="1" customWidth="1"/>
    <col min="15" max="15" width="23.42578125" customWidth="1"/>
    <col min="16" max="17" width="12.5703125" bestFit="1" customWidth="1"/>
    <col min="18" max="19" width="10.5703125" bestFit="1" customWidth="1"/>
  </cols>
  <sheetData>
    <row r="1" spans="1:1" x14ac:dyDescent="0.25">
      <c r="A1" t="s">
        <v>110</v>
      </c>
    </row>
    <row r="2" spans="1:1" x14ac:dyDescent="0.25">
      <c r="A2" t="s">
        <v>111</v>
      </c>
    </row>
    <row r="3" spans="1:1" x14ac:dyDescent="0.25">
      <c r="A3" t="s">
        <v>112</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155</v>
      </c>
    </row>
    <row r="10" spans="1:1" x14ac:dyDescent="0.25">
      <c r="A10" t="s">
        <v>154</v>
      </c>
    </row>
    <row r="11" spans="1:1" x14ac:dyDescent="0.25">
      <c r="A11" t="s">
        <v>156</v>
      </c>
    </row>
    <row r="12" spans="1:1" x14ac:dyDescent="0.25">
      <c r="A12" t="s">
        <v>157</v>
      </c>
    </row>
    <row r="14" spans="1:1" x14ac:dyDescent="0.25">
      <c r="A14" t="s">
        <v>115</v>
      </c>
    </row>
    <row r="15" spans="1:1" x14ac:dyDescent="0.25">
      <c r="A15" t="s">
        <v>116</v>
      </c>
    </row>
    <row r="16" spans="1:1" x14ac:dyDescent="0.25">
      <c r="A16" t="s">
        <v>117</v>
      </c>
    </row>
    <row r="17" spans="1:1" x14ac:dyDescent="0.25">
      <c r="A17" t="s">
        <v>118</v>
      </c>
    </row>
    <row r="19" spans="1:1" x14ac:dyDescent="0.25">
      <c r="A19">
        <v>0</v>
      </c>
    </row>
    <row r="20" spans="1:1" x14ac:dyDescent="0.25">
      <c r="A20">
        <v>1</v>
      </c>
    </row>
    <row r="21" spans="1:1" x14ac:dyDescent="0.25">
      <c r="A21">
        <v>2</v>
      </c>
    </row>
    <row r="22" spans="1:1" x14ac:dyDescent="0.25">
      <c r="A22">
        <v>3</v>
      </c>
    </row>
    <row r="23" spans="1:1" x14ac:dyDescent="0.25">
      <c r="A23">
        <v>4</v>
      </c>
    </row>
    <row r="24" spans="1:1" x14ac:dyDescent="0.25">
      <c r="A24">
        <v>5</v>
      </c>
    </row>
    <row r="25" spans="1:1" x14ac:dyDescent="0.25">
      <c r="A25">
        <v>6</v>
      </c>
    </row>
    <row r="26" spans="1:1" x14ac:dyDescent="0.25">
      <c r="A26">
        <v>7</v>
      </c>
    </row>
    <row r="27" spans="1:1" x14ac:dyDescent="0.25">
      <c r="A27">
        <v>8</v>
      </c>
    </row>
    <row r="28" spans="1:1" x14ac:dyDescent="0.25">
      <c r="A28">
        <v>9</v>
      </c>
    </row>
    <row r="29" spans="1:1" x14ac:dyDescent="0.25">
      <c r="A29">
        <v>10</v>
      </c>
    </row>
    <row r="31" spans="1:1" x14ac:dyDescent="0.25">
      <c r="A31" t="s">
        <v>149</v>
      </c>
    </row>
    <row r="32" spans="1:1" x14ac:dyDescent="0.25">
      <c r="A32" t="s">
        <v>150</v>
      </c>
    </row>
    <row r="34" spans="1:21" x14ac:dyDescent="0.25">
      <c r="B34" t="s">
        <v>192</v>
      </c>
      <c r="C34" t="s">
        <v>153</v>
      </c>
      <c r="D34" t="s">
        <v>193</v>
      </c>
      <c r="E34" t="s">
        <v>151</v>
      </c>
      <c r="F34" t="s">
        <v>152</v>
      </c>
      <c r="G34" t="s">
        <v>56</v>
      </c>
      <c r="H34" t="s">
        <v>197</v>
      </c>
      <c r="I34" t="s">
        <v>375</v>
      </c>
      <c r="L34" t="s">
        <v>237</v>
      </c>
      <c r="P34" t="s">
        <v>153</v>
      </c>
      <c r="Q34" t="s">
        <v>193</v>
      </c>
      <c r="R34" t="s">
        <v>151</v>
      </c>
      <c r="S34" t="s">
        <v>152</v>
      </c>
      <c r="U34" t="s">
        <v>248</v>
      </c>
    </row>
    <row r="35" spans="1:21" x14ac:dyDescent="0.25">
      <c r="A35" t="s">
        <v>169</v>
      </c>
      <c r="B35" s="135">
        <f>'GHG ERFs'!B138</f>
        <v>1038</v>
      </c>
      <c r="C35" s="98">
        <f>'Co-Ben ERFs'!B37</f>
        <v>7.1000000000000004E-3</v>
      </c>
      <c r="D35">
        <f>'Co-Ben ERFs'!B38</f>
        <v>4.5699999999999998E-2</v>
      </c>
      <c r="E35">
        <f>'Co-Ben ERFs'!B39</f>
        <v>3.6200000000000003E-2</v>
      </c>
      <c r="F35">
        <v>0</v>
      </c>
      <c r="G35">
        <v>0</v>
      </c>
      <c r="H35">
        <v>0</v>
      </c>
      <c r="I35" s="236">
        <f>'Co-Ben ERFs'!B79</f>
        <v>3594.7583641362667</v>
      </c>
      <c r="L35">
        <v>2200</v>
      </c>
      <c r="M35" t="s">
        <v>238</v>
      </c>
      <c r="O35" t="s">
        <v>361</v>
      </c>
      <c r="P35" s="98">
        <f>C51*L35</f>
        <v>173.57999999999998</v>
      </c>
      <c r="Q35" s="98">
        <f>D52*L35</f>
        <v>3148.2000000000003</v>
      </c>
      <c r="R35" s="98">
        <f>E52*L35</f>
        <v>89.76</v>
      </c>
      <c r="S35" s="98">
        <f>F52*L35</f>
        <v>12.1</v>
      </c>
    </row>
    <row r="36" spans="1:21" x14ac:dyDescent="0.25">
      <c r="A36" t="s">
        <v>170</v>
      </c>
      <c r="B36" s="135">
        <f>'GHG ERFs'!B138</f>
        <v>1038</v>
      </c>
      <c r="C36">
        <f>'Co-Ben ERFs'!B37</f>
        <v>7.1000000000000004E-3</v>
      </c>
      <c r="D36">
        <f>'Co-Ben ERFs'!B38</f>
        <v>4.5699999999999998E-2</v>
      </c>
      <c r="E36">
        <f>'Co-Ben ERFs'!B39</f>
        <v>3.6200000000000003E-2</v>
      </c>
      <c r="F36">
        <v>0</v>
      </c>
      <c r="G36" s="98">
        <f>'GHG ERFs'!B128</f>
        <v>4</v>
      </c>
      <c r="H36">
        <f>'GHG ERFs'!B122</f>
        <v>0.24</v>
      </c>
      <c r="I36" s="236">
        <f>'Co-Ben ERFs'!B79</f>
        <v>3594.7583641362667</v>
      </c>
      <c r="L36">
        <v>46400</v>
      </c>
      <c r="M36" t="s">
        <v>363</v>
      </c>
      <c r="O36" t="s">
        <v>362</v>
      </c>
      <c r="P36" s="98">
        <f>P35/'GHG ERFs'!$A$153</f>
        <v>0.38233480176211448</v>
      </c>
      <c r="Q36" s="98">
        <f>Q35/'GHG ERFs'!$A$153</f>
        <v>6.9343612334801765</v>
      </c>
      <c r="R36" s="98">
        <f>R35/'GHG ERFs'!$A$153</f>
        <v>0.19770925110132159</v>
      </c>
      <c r="S36" s="98">
        <f>S35/'GHG ERFs'!$A$153</f>
        <v>2.6651982378854626E-2</v>
      </c>
    </row>
    <row r="37" spans="1:21" x14ac:dyDescent="0.25">
      <c r="A37" t="s">
        <v>295</v>
      </c>
      <c r="B37" s="135">
        <f>'GHG ERFs'!B139</f>
        <v>830</v>
      </c>
      <c r="C37">
        <f>'Co-Ben ERFs'!B40</f>
        <v>5.7000000000000002E-3</v>
      </c>
      <c r="D37">
        <f>'Co-Ben ERFs'!B41</f>
        <v>3.6600000000000001E-2</v>
      </c>
      <c r="E37">
        <f>'Co-Ben ERFs'!B42</f>
        <v>1.95E-2</v>
      </c>
      <c r="F37">
        <v>0</v>
      </c>
      <c r="G37" s="98">
        <v>0</v>
      </c>
      <c r="H37">
        <v>0</v>
      </c>
      <c r="I37" s="236">
        <f>'Co-Ben ERFs'!B80</f>
        <v>2874.4214279702323</v>
      </c>
      <c r="O37" t="s">
        <v>239</v>
      </c>
      <c r="P37" s="126">
        <f>P36/$L$36</f>
        <v>8.2399741759076398E-6</v>
      </c>
      <c r="Q37" s="126">
        <f>Q36/$L$36</f>
        <v>1.4944744037672793E-4</v>
      </c>
      <c r="R37" s="126">
        <f>R36/$L$36</f>
        <v>4.2609752392526208E-6</v>
      </c>
      <c r="S37" s="126">
        <f>S36/$L$36</f>
        <v>5.7439617195807382E-7</v>
      </c>
    </row>
    <row r="38" spans="1:21" x14ac:dyDescent="0.25">
      <c r="A38" t="s">
        <v>296</v>
      </c>
      <c r="B38" s="135">
        <f>'GHG ERFs'!B139</f>
        <v>830</v>
      </c>
      <c r="C38">
        <f>'Co-Ben ERFs'!B40</f>
        <v>5.7000000000000002E-3</v>
      </c>
      <c r="D38">
        <f>'Co-Ben ERFs'!B41</f>
        <v>3.6600000000000001E-2</v>
      </c>
      <c r="E38">
        <f>'Co-Ben ERFs'!B42</f>
        <v>1.95E-2</v>
      </c>
      <c r="F38">
        <v>0</v>
      </c>
      <c r="G38" s="98">
        <v>4</v>
      </c>
      <c r="H38">
        <v>0.24</v>
      </c>
      <c r="I38" s="236">
        <f>'Co-Ben ERFs'!B80</f>
        <v>2874.4214279702323</v>
      </c>
      <c r="O38" t="s">
        <v>240</v>
      </c>
      <c r="P38" s="125">
        <f>P37*2000</f>
        <v>1.647994835181528E-2</v>
      </c>
      <c r="Q38" s="125">
        <f>Q37*2000</f>
        <v>0.29889488075345588</v>
      </c>
      <c r="R38" s="125">
        <f>R37*2000</f>
        <v>8.521950478505241E-3</v>
      </c>
      <c r="S38" s="125">
        <f>S37*2000</f>
        <v>1.1487923439161476E-3</v>
      </c>
    </row>
    <row r="39" spans="1:21" x14ac:dyDescent="0.25">
      <c r="A39" t="s">
        <v>297</v>
      </c>
      <c r="B39" s="135">
        <f>'GHG ERFs'!B140</f>
        <v>629</v>
      </c>
      <c r="C39">
        <f>'Co-Ben ERFs'!B43</f>
        <v>3.3999999999999998E-3</v>
      </c>
      <c r="D39">
        <f>'Co-Ben ERFs'!B44</f>
        <v>2.1999999999999999E-2</v>
      </c>
      <c r="E39">
        <f>'Co-Ben ERFs'!B45</f>
        <v>1.9099999999999999E-2</v>
      </c>
      <c r="F39">
        <v>0</v>
      </c>
      <c r="G39" s="98">
        <v>0</v>
      </c>
      <c r="H39">
        <v>0</v>
      </c>
      <c r="I39" s="236">
        <f>'Co-Ben ERFs'!B81</f>
        <v>2178.3266002328628</v>
      </c>
    </row>
    <row r="40" spans="1:21" x14ac:dyDescent="0.25">
      <c r="A40" t="s">
        <v>298</v>
      </c>
      <c r="B40" s="135">
        <f>'GHG ERFs'!B140</f>
        <v>629</v>
      </c>
      <c r="C40">
        <f>'Co-Ben ERFs'!B43</f>
        <v>3.3999999999999998E-3</v>
      </c>
      <c r="D40">
        <f>'Co-Ben ERFs'!B44</f>
        <v>2.1999999999999999E-2</v>
      </c>
      <c r="E40">
        <f>'Co-Ben ERFs'!B45</f>
        <v>1.9099999999999999E-2</v>
      </c>
      <c r="F40">
        <v>0</v>
      </c>
      <c r="G40" s="98">
        <v>4</v>
      </c>
      <c r="H40">
        <v>0.24</v>
      </c>
      <c r="I40" s="236">
        <f>'Co-Ben ERFs'!B81</f>
        <v>2178.3266002328628</v>
      </c>
    </row>
    <row r="41" spans="1:21" x14ac:dyDescent="0.25">
      <c r="A41" t="s">
        <v>299</v>
      </c>
      <c r="B41" s="135">
        <f>'GHG ERFs'!B141</f>
        <v>326</v>
      </c>
      <c r="C41">
        <f>'Co-Ben ERFs'!B46</f>
        <v>0</v>
      </c>
      <c r="D41">
        <f>'Co-Ben ERFs'!B47</f>
        <v>0</v>
      </c>
      <c r="E41">
        <f>'Co-Ben ERFs'!B48</f>
        <v>1.84E-2</v>
      </c>
      <c r="F41">
        <v>0</v>
      </c>
      <c r="G41" s="98">
        <v>0</v>
      </c>
      <c r="H41">
        <v>0</v>
      </c>
      <c r="I41" s="236">
        <f>'Co-Ben ERFs'!B82</f>
        <v>2191.3752897976433</v>
      </c>
    </row>
    <row r="42" spans="1:21" x14ac:dyDescent="0.25">
      <c r="A42" t="s">
        <v>300</v>
      </c>
      <c r="B42" s="135">
        <f>'GHG ERFs'!B141</f>
        <v>326</v>
      </c>
      <c r="C42">
        <f>'Co-Ben ERFs'!B46</f>
        <v>0</v>
      </c>
      <c r="D42">
        <f>'Co-Ben ERFs'!B47</f>
        <v>0</v>
      </c>
      <c r="E42">
        <f>'Co-Ben ERFs'!B48</f>
        <v>1.84E-2</v>
      </c>
      <c r="F42">
        <v>0</v>
      </c>
      <c r="G42" s="98">
        <v>4</v>
      </c>
      <c r="H42">
        <v>0.24</v>
      </c>
      <c r="I42" s="236">
        <f>'Co-Ben ERFs'!B82</f>
        <v>2191.3752897976433</v>
      </c>
    </row>
    <row r="43" spans="1:21" x14ac:dyDescent="0.25">
      <c r="A43" t="s">
        <v>301</v>
      </c>
      <c r="B43" s="135">
        <f>'GHG ERFs'!B142</f>
        <v>372</v>
      </c>
      <c r="C43">
        <f>'Co-Ben ERFs'!B49</f>
        <v>0</v>
      </c>
      <c r="D43">
        <f>'Co-Ben ERFs'!B50</f>
        <v>0</v>
      </c>
      <c r="E43">
        <f>'Co-Ben ERFs'!B51</f>
        <v>1.84E-2</v>
      </c>
      <c r="F43">
        <v>0</v>
      </c>
      <c r="G43" s="98">
        <v>0</v>
      </c>
      <c r="H43">
        <v>0</v>
      </c>
      <c r="I43" s="236">
        <f>'Co-Ben ERFs'!B83</f>
        <v>0</v>
      </c>
    </row>
    <row r="44" spans="1:21" x14ac:dyDescent="0.25">
      <c r="A44" t="s">
        <v>302</v>
      </c>
      <c r="B44" s="135">
        <f>'GHG ERFs'!B142</f>
        <v>372</v>
      </c>
      <c r="C44">
        <f>'Co-Ben ERFs'!B49</f>
        <v>0</v>
      </c>
      <c r="D44">
        <f>'Co-Ben ERFs'!B50</f>
        <v>0</v>
      </c>
      <c r="E44">
        <f>'Co-Ben ERFs'!B51</f>
        <v>1.84E-2</v>
      </c>
      <c r="F44">
        <v>0</v>
      </c>
      <c r="G44" s="98">
        <v>4</v>
      </c>
      <c r="H44">
        <v>0.24</v>
      </c>
      <c r="I44" s="236">
        <f>'Co-Ben ERFs'!B83</f>
        <v>0</v>
      </c>
    </row>
    <row r="45" spans="1:21" x14ac:dyDescent="0.25">
      <c r="A45" t="s">
        <v>171</v>
      </c>
      <c r="B45" s="135">
        <f>'GHG ERFs'!B143</f>
        <v>1540</v>
      </c>
      <c r="C45">
        <f>'Co-Ben ERFs'!B52</f>
        <v>3.7100000000000001E-2</v>
      </c>
      <c r="D45">
        <f>'Co-Ben ERFs'!B53</f>
        <v>0.8579</v>
      </c>
      <c r="E45">
        <f>'Co-Ben ERFs'!B54</f>
        <v>6.1600000000000002E-2</v>
      </c>
      <c r="F45">
        <f>'Co-Ben ERFs'!B55</f>
        <v>2.8999999999999998E-3</v>
      </c>
      <c r="G45">
        <v>0</v>
      </c>
      <c r="H45">
        <v>0</v>
      </c>
      <c r="I45" s="236">
        <f>'Co-Ben ERFs'!B84</f>
        <v>4611.1167921948027</v>
      </c>
    </row>
    <row r="46" spans="1:21" x14ac:dyDescent="0.25">
      <c r="A46" t="s">
        <v>172</v>
      </c>
      <c r="B46" s="135">
        <f>'GHG ERFs'!B143</f>
        <v>1540</v>
      </c>
      <c r="C46">
        <f>'Co-Ben ERFs'!B52</f>
        <v>3.7100000000000001E-2</v>
      </c>
      <c r="D46">
        <f>'Co-Ben ERFs'!B53</f>
        <v>0.8579</v>
      </c>
      <c r="E46">
        <f>'Co-Ben ERFs'!B54</f>
        <v>6.1600000000000002E-2</v>
      </c>
      <c r="F46">
        <f>'Co-Ben ERFs'!B55</f>
        <v>2.8999999999999998E-3</v>
      </c>
      <c r="G46" s="98">
        <f>'GHG ERFs'!B129</f>
        <v>12</v>
      </c>
      <c r="H46">
        <f>'GHG ERFs'!B122</f>
        <v>0.24</v>
      </c>
      <c r="I46" s="236">
        <f>'Co-Ben ERFs'!B84</f>
        <v>4611.1167921948027</v>
      </c>
    </row>
    <row r="47" spans="1:21" x14ac:dyDescent="0.25">
      <c r="A47" t="s">
        <v>303</v>
      </c>
      <c r="B47" s="135">
        <f>'GHG ERFs'!B144</f>
        <v>1232</v>
      </c>
      <c r="C47">
        <f>'Co-Ben ERFs'!B56</f>
        <v>2.9700000000000001E-2</v>
      </c>
      <c r="D47">
        <f>'Co-Ben ERFs'!B57</f>
        <v>0.68630000000000002</v>
      </c>
      <c r="E47">
        <f>'Co-Ben ERFs'!B58</f>
        <v>3.3099999999999997E-2</v>
      </c>
      <c r="F47">
        <f>'Co-Ben ERFs'!B59</f>
        <v>2.3E-3</v>
      </c>
      <c r="G47" s="98">
        <v>0</v>
      </c>
      <c r="H47">
        <v>0</v>
      </c>
      <c r="I47" s="236">
        <f>'Co-Ben ERFs'!B85</f>
        <v>3688.8934337558426</v>
      </c>
    </row>
    <row r="48" spans="1:21" x14ac:dyDescent="0.25">
      <c r="A48" t="s">
        <v>304</v>
      </c>
      <c r="B48" s="135">
        <f>'GHG ERFs'!B144</f>
        <v>1232</v>
      </c>
      <c r="C48">
        <f>'Co-Ben ERFs'!B56</f>
        <v>2.9700000000000001E-2</v>
      </c>
      <c r="D48">
        <f>'Co-Ben ERFs'!B57</f>
        <v>0.68630000000000002</v>
      </c>
      <c r="E48">
        <f>'Co-Ben ERFs'!B58</f>
        <v>3.3099999999999997E-2</v>
      </c>
      <c r="F48">
        <f>'Co-Ben ERFs'!B59</f>
        <v>2.3E-3</v>
      </c>
      <c r="G48" s="98">
        <v>12</v>
      </c>
      <c r="H48">
        <v>0.24</v>
      </c>
      <c r="I48" s="236">
        <f>'Co-Ben ERFs'!B85</f>
        <v>3688.8934337558426</v>
      </c>
    </row>
    <row r="49" spans="1:9" x14ac:dyDescent="0.25">
      <c r="A49" t="s">
        <v>305</v>
      </c>
      <c r="B49" s="135">
        <f>'GHG ERFs'!B145</f>
        <v>289</v>
      </c>
      <c r="C49">
        <f>'Co-Ben ERFs'!B60</f>
        <v>0</v>
      </c>
      <c r="D49">
        <f>'Co-Ben ERFs'!B61</f>
        <v>0</v>
      </c>
      <c r="E49">
        <f>'Co-Ben ERFs'!B62</f>
        <v>3.09E-2</v>
      </c>
      <c r="F49">
        <f>'Co-Ben ERFs'!B63</f>
        <v>0</v>
      </c>
      <c r="G49" s="98">
        <v>0</v>
      </c>
      <c r="H49">
        <v>0</v>
      </c>
      <c r="I49" s="236">
        <f>'Co-Ben ERFs'!B86</f>
        <v>1942.6609164157019</v>
      </c>
    </row>
    <row r="50" spans="1:9" x14ac:dyDescent="0.25">
      <c r="A50" t="s">
        <v>306</v>
      </c>
      <c r="B50" s="135">
        <f>'GHG ERFs'!B145</f>
        <v>289</v>
      </c>
      <c r="C50">
        <f>'Co-Ben ERFs'!B60</f>
        <v>0</v>
      </c>
      <c r="D50">
        <f>'Co-Ben ERFs'!B61</f>
        <v>0</v>
      </c>
      <c r="E50">
        <f>'Co-Ben ERFs'!B62</f>
        <v>3.09E-2</v>
      </c>
      <c r="F50">
        <f>'Co-Ben ERFs'!B63</f>
        <v>0</v>
      </c>
      <c r="G50" s="98">
        <v>12</v>
      </c>
      <c r="H50">
        <v>0.24</v>
      </c>
      <c r="I50" s="236">
        <f>'Co-Ben ERFs'!B86</f>
        <v>1942.6609164157019</v>
      </c>
    </row>
    <row r="51" spans="1:9" x14ac:dyDescent="0.25">
      <c r="A51" t="s">
        <v>173</v>
      </c>
      <c r="B51" s="135">
        <f>'GHG ERFs'!B146</f>
        <v>2223</v>
      </c>
      <c r="C51">
        <f>'Co-Ben ERFs'!B64</f>
        <v>7.8899999999999998E-2</v>
      </c>
      <c r="D51">
        <f>'Co-Ben ERFs'!B65</f>
        <v>1.431</v>
      </c>
      <c r="E51">
        <f>'Co-Ben ERFs'!B66</f>
        <v>4.0800000000000003E-2</v>
      </c>
      <c r="F51">
        <f>'Co-Ben ERFs'!B67</f>
        <v>5.4999999999999997E-3</v>
      </c>
      <c r="G51">
        <v>0</v>
      </c>
      <c r="H51">
        <v>0</v>
      </c>
      <c r="I51" s="236">
        <f>'Co-Ben ERFs'!B87</f>
        <v>6656.1770318500303</v>
      </c>
    </row>
    <row r="52" spans="1:9" x14ac:dyDescent="0.25">
      <c r="A52" t="s">
        <v>307</v>
      </c>
      <c r="B52" s="135">
        <f>'GHG ERFs'!B146</f>
        <v>2223</v>
      </c>
      <c r="C52">
        <f>'Co-Ben ERFs'!B64</f>
        <v>7.8899999999999998E-2</v>
      </c>
      <c r="D52">
        <f>'Co-Ben ERFs'!B65</f>
        <v>1.431</v>
      </c>
      <c r="E52">
        <f>'Co-Ben ERFs'!B66</f>
        <v>4.0800000000000003E-2</v>
      </c>
      <c r="F52">
        <f>'Co-Ben ERFs'!B67</f>
        <v>5.4999999999999997E-3</v>
      </c>
      <c r="G52" s="98">
        <f>'GHG ERFs'!B130</f>
        <v>22</v>
      </c>
      <c r="H52">
        <f>'GHG ERFs'!B122</f>
        <v>0.24</v>
      </c>
      <c r="I52" s="236">
        <f>'Co-Ben ERFs'!B87</f>
        <v>6656.1770318500303</v>
      </c>
    </row>
    <row r="53" spans="1:9" x14ac:dyDescent="0.25">
      <c r="A53" t="s">
        <v>258</v>
      </c>
      <c r="B53" s="135">
        <f>'GHG ERFs'!B147</f>
        <v>417</v>
      </c>
      <c r="C53">
        <f>'Co-Ben ERFs'!B68</f>
        <v>0</v>
      </c>
      <c r="D53">
        <f>'Co-Ben ERFs'!B69</f>
        <v>0</v>
      </c>
      <c r="E53">
        <f>'Co-Ben ERFs'!B70</f>
        <v>2.2200000000000001E-2</v>
      </c>
      <c r="F53">
        <f>'Co-Ben ERFs'!B71</f>
        <v>0</v>
      </c>
      <c r="G53" s="98">
        <v>0</v>
      </c>
      <c r="H53">
        <v>0</v>
      </c>
      <c r="I53" s="236">
        <f>'Co-Ben ERFs'!B88</f>
        <v>2803.0782081153902</v>
      </c>
    </row>
    <row r="54" spans="1:9" x14ac:dyDescent="0.25">
      <c r="A54" t="s">
        <v>308</v>
      </c>
      <c r="B54" s="135">
        <f>'GHG ERFs'!B147</f>
        <v>417</v>
      </c>
      <c r="C54">
        <f>'Co-Ben ERFs'!B68</f>
        <v>0</v>
      </c>
      <c r="D54">
        <f>'Co-Ben ERFs'!B69</f>
        <v>0</v>
      </c>
      <c r="E54">
        <f>'Co-Ben ERFs'!B70</f>
        <v>2.2200000000000001E-2</v>
      </c>
      <c r="F54">
        <f>'Co-Ben ERFs'!B71</f>
        <v>0</v>
      </c>
      <c r="G54" s="98">
        <v>22</v>
      </c>
      <c r="H54">
        <v>0.24</v>
      </c>
      <c r="I54" s="236">
        <f>'Co-Ben ERFs'!B88</f>
        <v>2803.0782081153902</v>
      </c>
    </row>
  </sheetData>
  <sheetProtection algorithmName="SHA-512" hashValue="psMpQ1h1F7+SV32u5M0s0eJQVMtjDElVl+6CGGma4QlER7723HG7fxlWxXWG4glv0GkroIQGRed4npbMcdgN9g==" saltValue="PArsZDipDtBNcY0YbsEQN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Read Me</vt:lpstr>
      <vt:lpstr>Definitions</vt:lpstr>
      <vt:lpstr>Inputs</vt:lpstr>
      <vt:lpstr>GHG Summary</vt:lpstr>
      <vt:lpstr>Co-benefits Summary</vt:lpstr>
      <vt:lpstr>GHG ERFs</vt:lpstr>
      <vt:lpstr>Co-Ben ERFs</vt:lpstr>
      <vt:lpstr>Food Calcs</vt:lpstr>
      <vt:lpstr>Sheet1</vt:lpstr>
      <vt:lpstr>EquipmentType</vt:lpstr>
      <vt:lpstr>EquipmentType2</vt:lpstr>
      <vt:lpstr>'Co-Ben ERFs'!Print_Area</vt:lpstr>
      <vt:lpstr>'Co-benefits Summary'!Print_Area</vt:lpstr>
      <vt:lpstr>Definitions!Print_Area</vt:lpstr>
      <vt:lpstr>'GHG ERFs'!Print_Area</vt:lpstr>
      <vt:lpstr>'GHG Summary'!Print_Area</vt:lpstr>
      <vt:lpstr>Inputs!Print_Area</vt:lpstr>
      <vt:lpstr>'Read Me'!Print_Area</vt:lpstr>
      <vt:lpstr>RefrigerantTypes</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V. Bede</dc:creator>
  <cp:lastModifiedBy>Ryan Huft</cp:lastModifiedBy>
  <cp:lastPrinted>2016-06-03T19:48:52Z</cp:lastPrinted>
  <dcterms:created xsi:type="dcterms:W3CDTF">2015-06-16T15:51:10Z</dcterms:created>
  <dcterms:modified xsi:type="dcterms:W3CDTF">2020-09-24T16:33:56Z</dcterms:modified>
</cp:coreProperties>
</file>