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updateLinks="never" defaultThemeVersion="124226"/>
  <mc:AlternateContent xmlns:mc="http://schemas.openxmlformats.org/markup-compatibility/2006">
    <mc:Choice Requires="x15">
      <x15ac:absPath xmlns:x15ac="http://schemas.microsoft.com/office/spreadsheetml/2010/11/ac" url="Y:\Ryan\My Docs\ARB work\CIB Work Documents\CalRecycle\Community Composting\"/>
    </mc:Choice>
  </mc:AlternateContent>
  <xr:revisionPtr revIDLastSave="0" documentId="13_ncr:1_{401EF0B3-EA09-4693-B53A-1FF95B98AC8C}" xr6:coauthVersionLast="45" xr6:coauthVersionMax="45" xr10:uidLastSave="{00000000-0000-0000-0000-000000000000}"/>
  <bookViews>
    <workbookView xWindow="-103" yWindow="-103" windowWidth="23657" windowHeight="15240" tabRatio="808" xr2:uid="{00000000-000D-0000-FFFF-FFFF00000000}"/>
  </bookViews>
  <sheets>
    <sheet name="Read Me" sheetId="49" r:id="rId1"/>
    <sheet name="Project Info" sheetId="31" r:id="rId2"/>
    <sheet name="Compost" sheetId="29" r:id="rId3"/>
    <sheet name="Standalone AD" sheetId="28" r:id="rId4"/>
    <sheet name="Co-Digestion" sheetId="27" r:id="rId5"/>
    <sheet name="Food" sheetId="25" r:id="rId6"/>
    <sheet name="Community Compost" sheetId="46" r:id="rId7"/>
    <sheet name="Tree Planting" sheetId="48" r:id="rId8"/>
    <sheet name="GHG Summary" sheetId="32" r:id="rId9"/>
    <sheet name="Co-benefit Summary" sheetId="45" r:id="rId10"/>
    <sheet name="Documentation" sheetId="34" r:id="rId11"/>
    <sheet name="GHG ERFs" sheetId="15" r:id="rId12"/>
    <sheet name="Co-Ben ERFs" sheetId="23" r:id="rId13"/>
    <sheet name="Compost ERF" sheetId="35" r:id="rId14"/>
    <sheet name="Standalone AD ERF" sheetId="36" r:id="rId15"/>
    <sheet name="Co-Digestion ERF" sheetId="37" r:id="rId16"/>
    <sheet name="Food ERF" sheetId="38" r:id="rId17"/>
    <sheet name="Composting Calcs" sheetId="19" state="hidden" r:id="rId18"/>
    <sheet name="Standalone AD Co-ben" sheetId="40" state="hidden" r:id="rId19"/>
    <sheet name="Standalone AD Calcs" sheetId="42" state="hidden" r:id="rId20"/>
    <sheet name="Co-Digestion Co-ben" sheetId="41" state="hidden" r:id="rId21"/>
    <sheet name="Community Compost Calcs" sheetId="47" state="hidden" r:id="rId22"/>
    <sheet name="Co-Digestion Calcs" sheetId="43" state="hidden" r:id="rId23"/>
    <sheet name="Food Calcs" sheetId="26" state="hidden" r:id="rId24"/>
    <sheet name="Factors" sheetId="39" state="hidden" r:id="rId25"/>
    <sheet name="Misc" sheetId="17" state="hidden"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ftn1" localSheetId="10">Documentation!#REF!</definedName>
    <definedName name="acc" localSheetId="7">[1]Defaults!$I$2:$I$6</definedName>
    <definedName name="add">[2]Defaults!$Z$3:$Z$4</definedName>
    <definedName name="addghg">[2]Defaults!$Z$2:$Z$3</definedName>
    <definedName name="adjf" localSheetId="7">[1]Defaults!$H$2:$H$16</definedName>
    <definedName name="airb">'[2]EF Default Tables'!#REF!</definedName>
    <definedName name="AttachmentA">[3]Sheet2!$A$3:$A$17</definedName>
    <definedName name="AttachmentB">[3]Sheet2!$A$20:$A$43</definedName>
    <definedName name="basin">[2]Defaults!$D$2:$D$16</definedName>
    <definedName name="basinair">[2]Defaults!#REF!</definedName>
    <definedName name="BCS" localSheetId="9">'[4]Other '!$J$17:$J$18</definedName>
    <definedName name="BCS">'[5]Other '!$J$17:$J$18</definedName>
    <definedName name="bikesharesum">#REF!</definedName>
    <definedName name="BUST">#REF!</definedName>
    <definedName name="cab">[2]Defaults!$U$2:$U$3</definedName>
    <definedName name="CaleemodSum">'[6]CalEEMod Steps 4-6'!$D$49</definedName>
    <definedName name="cap">[2]Defaults!$H$10:$H$12</definedName>
    <definedName name="capital">[2]Defaults!#REF!</definedName>
    <definedName name="caps">'[2]EF Default Tables'!#REF!</definedName>
    <definedName name="captl">[2]Defaults!#REF!</definedName>
    <definedName name="categories">'[7]CH4 Calcs'!$A$42:$A$60</definedName>
    <definedName name="clean">[2]Defaults!$H$8:$H$9</definedName>
    <definedName name="cnty" localSheetId="7">[1]Defaults!$C$2:$C$59</definedName>
    <definedName name="cnty">[8]Defaults!$C$11:$C$68</definedName>
    <definedName name="cntys">[2]Defaults!$C$2:$C$59</definedName>
    <definedName name="County" localSheetId="9">'[4]Other '!$A$2:$A$59</definedName>
    <definedName name="County">'[5]Other '!$A$2:$A$59</definedName>
    <definedName name="cptl">[2]Defaults!#REF!</definedName>
    <definedName name="Cut_A_Way">#REF!</definedName>
    <definedName name="CY" localSheetId="7">[1]Defaults!$B$4:$B$37</definedName>
    <definedName name="Diesel" localSheetId="7">#REF!</definedName>
    <definedName name="diesel">'[7]Other '!$F$2</definedName>
    <definedName name="ECY">'[2]EF Default Tables'!#REF!</definedName>
    <definedName name="Electric">#REF!</definedName>
    <definedName name="EMY" localSheetId="7">[1]Defaults!$A$2:$A$50</definedName>
    <definedName name="EquipmentType" localSheetId="12">'Co-Ben ERFs'!#REF!</definedName>
    <definedName name="EquipmentType" localSheetId="7">[8]ERF!#REF!</definedName>
    <definedName name="EquipmentType">'GHG ERFs'!$A$76:$A$86</definedName>
    <definedName name="EquipmentType10" localSheetId="6">Misc!#REF!</definedName>
    <definedName name="EquipmentType10" localSheetId="21">Misc!#REF!</definedName>
    <definedName name="EquipmentType10">Misc!#REF!</definedName>
    <definedName name="EquipmentType2" localSheetId="12">'Co-Ben ERFs'!#REF!,'Co-Ben ERFs'!#REF!,'Co-Ben ERFs'!#REF!,'Co-Ben ERFs'!#REF!,'Co-Ben ERFs'!#REF!</definedName>
    <definedName name="EquipmentType2" localSheetId="4">[9]ERFs!$A$85,[9]ERFs!$A$87,[9]ERFs!$A$89,[9]ERFs!$A$91,[9]ERFs!$A$93</definedName>
    <definedName name="EquipmentType2" localSheetId="15">[10]ERFs!$A$85,[10]ERFs!$A$87,[10]ERFs!$A$89,[10]ERFs!$A$91,[10]ERFs!$A$93</definedName>
    <definedName name="EquipmentType2" localSheetId="6">[9]ERFs!$A$85,[9]ERFs!$A$87,[9]ERFs!$A$89,[9]ERFs!$A$91,[9]ERFs!$A$93</definedName>
    <definedName name="EquipmentType2" localSheetId="2">[9]ERFs!$A$85,[9]ERFs!$A$87,[9]ERFs!$A$89,[9]ERFs!$A$91,[9]ERFs!$A$93</definedName>
    <definedName name="EquipmentType2" localSheetId="13">[10]ERFs!$A$85,[10]ERFs!$A$87,[10]ERFs!$A$89,[10]ERFs!$A$91,[10]ERFs!$A$93</definedName>
    <definedName name="EquipmentType2" localSheetId="16">[10]ERFs!$A$85,[10]ERFs!$A$87,[10]ERFs!$A$89,[10]ERFs!$A$91,[10]ERFs!$A$93</definedName>
    <definedName name="EquipmentType2" localSheetId="3">[9]ERFs!$A$85,[9]ERFs!$A$87,[9]ERFs!$A$89,[9]ERFs!$A$91,[9]ERFs!$A$93</definedName>
    <definedName name="EquipmentType2" localSheetId="14">[10]ERFs!$A$85,[10]ERFs!$A$87,[10]ERFs!$A$89,[10]ERFs!$A$91,[10]ERFs!$A$93</definedName>
    <definedName name="EquipmentType2" localSheetId="7">[8]ERF!#REF!,[8]ERF!#REF!,[8]ERF!#REF!,[8]ERF!#REF!,[8]ERF!#REF!</definedName>
    <definedName name="EquipmentType2">'GHG ERFs'!$A$76,'GHG ERFs'!$A$78,'GHG ERFs'!$A$80,'GHG ERFs'!$A$82,'GHG ERFs'!$A$84</definedName>
    <definedName name="EquipmentType3" localSheetId="12">Misc!#REF!</definedName>
    <definedName name="EquipmentType3" localSheetId="4">[11]Sheet1!#REF!</definedName>
    <definedName name="EquipmentType3" localSheetId="22">Misc!#REF!</definedName>
    <definedName name="EquipmentType3" localSheetId="15">[12]Sheet1!#REF!</definedName>
    <definedName name="EquipmentType3" localSheetId="6">[11]Sheet1!#REF!</definedName>
    <definedName name="EquipmentType3" localSheetId="21">Misc!#REF!</definedName>
    <definedName name="EquipmentType3" localSheetId="2">[11]Sheet1!#REF!</definedName>
    <definedName name="EquipmentType3" localSheetId="13">[12]Sheet1!#REF!</definedName>
    <definedName name="EquipmentType3" localSheetId="5">Misc!#REF!</definedName>
    <definedName name="EquipmentType3" localSheetId="16">[12]Sheet1!#REF!</definedName>
    <definedName name="EquipmentType3" localSheetId="3">[11]Sheet1!#REF!</definedName>
    <definedName name="EquipmentType3" localSheetId="19">Misc!#REF!</definedName>
    <definedName name="EquipmentType3" localSheetId="14">[12]Sheet1!#REF!</definedName>
    <definedName name="EquipmentType3" localSheetId="7">#REF!</definedName>
    <definedName name="EquipmentType3">Misc!#REF!</definedName>
    <definedName name="EquipmentType4" localSheetId="22">Misc!#REF!</definedName>
    <definedName name="EquipmentType4" localSheetId="6">Misc!#REF!</definedName>
    <definedName name="EquipmentType4" localSheetId="21">Misc!#REF!</definedName>
    <definedName name="EquipmentType4" localSheetId="2">Misc!#REF!</definedName>
    <definedName name="EquipmentType4" localSheetId="3">Misc!#REF!</definedName>
    <definedName name="EquipmentType4" localSheetId="19">Misc!#REF!</definedName>
    <definedName name="EquipmentType4">Misc!#REF!</definedName>
    <definedName name="EquipmentType5" localSheetId="22">Misc!#REF!</definedName>
    <definedName name="EquipmentType5" localSheetId="6">Misc!#REF!</definedName>
    <definedName name="EquipmentType5" localSheetId="21">Misc!#REF!</definedName>
    <definedName name="EquipmentType5" localSheetId="2">Misc!#REF!</definedName>
    <definedName name="EquipmentType5" localSheetId="19">Misc!#REF!</definedName>
    <definedName name="EquipmentType5">Misc!#REF!</definedName>
    <definedName name="EquipmentType6" localSheetId="22">Misc!#REF!</definedName>
    <definedName name="EquipmentType6" localSheetId="6">Misc!#REF!</definedName>
    <definedName name="EquipmentType6" localSheetId="21">Misc!#REF!</definedName>
    <definedName name="EquipmentType6" localSheetId="19">Misc!#REF!</definedName>
    <definedName name="EquipmentType6">Misc!#REF!</definedName>
    <definedName name="EquipmentType7" localSheetId="22">Misc!#REF!</definedName>
    <definedName name="EquipmentType7" localSheetId="6">Misc!#REF!</definedName>
    <definedName name="EquipmentType7" localSheetId="21">Misc!#REF!</definedName>
    <definedName name="EquipmentType7" localSheetId="19">Misc!#REF!</definedName>
    <definedName name="EquipmentType7">Misc!#REF!</definedName>
    <definedName name="Ferry">#REF!</definedName>
    <definedName name="FT">#REF!</definedName>
    <definedName name="Ftype">#REF!</definedName>
    <definedName name="fuel">[2]Defaults!$Y$2:$Y$10</definedName>
    <definedName name="Fuels" localSheetId="9">'[4]Other '!$F$2:$F$8</definedName>
    <definedName name="Fuels" localSheetId="7">#REF!</definedName>
    <definedName name="Fuels">'[5]Other '!$F$2:$F$8</definedName>
    <definedName name="FuelType">#REF!</definedName>
    <definedName name="GHGEF2017HHDBEV">#REF!</definedName>
    <definedName name="GHGEF2017HHDULSD">#REF!</definedName>
    <definedName name="GHGEF2017MHDBEV">#REF!</definedName>
    <definedName name="GHGEF2017MHDHYBRID">#REF!</definedName>
    <definedName name="GHGEF2017MHDULSD">#REF!</definedName>
    <definedName name="GHGEF2017SBUSBEV">#REF!</definedName>
    <definedName name="GHGEF2017SBUSULSD">#REF!</definedName>
    <definedName name="GHGEF2017UBUSBEV">#REF!</definedName>
    <definedName name="GHGEF2017UBUSCNG">#REF!</definedName>
    <definedName name="GHGEF2017UBUSULSD">#REF!</definedName>
    <definedName name="Heavy_Rail">#REF!</definedName>
    <definedName name="Heavy_Rail_Car">#REF!</definedName>
    <definedName name="Hundred" localSheetId="9">'[4]Other '!$E$17:$E$37</definedName>
    <definedName name="Hundred">'[5]Other '!$E$17:$E$37</definedName>
    <definedName name="Hybrid">[2]Defaults!$W$2:$W$3</definedName>
    <definedName name="inex">[2]Defaults!$H$2:$H$4</definedName>
    <definedName name="lctopcy">[2]Defaults!$B$2:$B$37</definedName>
    <definedName name="manurecollect">'[7]Other '!$C$18:$C$22</definedName>
    <definedName name="MY">#REF!</definedName>
    <definedName name="new">[2]Defaults!$H$8</definedName>
    <definedName name="newpt">[2]Defaults!$E$2:$E$5</definedName>
    <definedName name="NMY">[2]Defaults!$A$12:$A$41</definedName>
    <definedName name="nonanaerobic" localSheetId="9">'[4]Other '!$C$2:$C$15</definedName>
    <definedName name="nonanaerobic">'[5]Other '!$C$2:$C$15</definedName>
    <definedName name="NOXEF2017HHDULSD">'[13]HD EF in 2024'!$AP$38</definedName>
    <definedName name="NOXEF2017MHDHYBRID">#REF!</definedName>
    <definedName name="NOXEF2017MHDULSD">'[13]HD EF in 2024'!$AP$23</definedName>
    <definedName name="NOXEF2017SBUSULSD">'[13]HD EF in 2024'!$AP$12</definedName>
    <definedName name="NOXEF2017UBUSULSD">'[13]HD EF in 2024'!$AP$40</definedName>
    <definedName name="omy">[2]Defaults!$A$18:$A$60</definedName>
    <definedName name="oper">[2]Defaults!#REF!</definedName>
    <definedName name="Operations">#REF!</definedName>
    <definedName name="ops">'[2]EF Default Tables'!#REF!</definedName>
    <definedName name="opts">[2]Defaults!#REF!</definedName>
    <definedName name="Over_Road_Coach">#REF!</definedName>
    <definedName name="partialflush">'[7]Other '!$E$19:$E$37</definedName>
    <definedName name="plist">'[2]EF Default Tables'!#REF!</definedName>
    <definedName name="practices2018">'[7]Other '!$C$45:$C$61</definedName>
    <definedName name="_xlnm.Print_Area" localSheetId="12">'Co-Ben ERFs'!$A$1:$D$96</definedName>
    <definedName name="_xlnm.Print_Area" localSheetId="4">'Co-Digestion'!$A$1:$K$34</definedName>
    <definedName name="_xlnm.Print_Area" localSheetId="6">'Community Compost'!$B$1:$L$17</definedName>
    <definedName name="_xlnm.Print_Area" localSheetId="2">Compost!$A$1:$K$27</definedName>
    <definedName name="_xlnm.Print_Area" localSheetId="10">Documentation!$A$1:$F$34</definedName>
    <definedName name="_xlnm.Print_Area" localSheetId="5">Food!$A$1:$J$47</definedName>
    <definedName name="_xlnm.Print_Area" localSheetId="11">'GHG ERFs'!$A$1:$D$183</definedName>
    <definedName name="_xlnm.Print_Area" localSheetId="8">'GHG Summary'!$B$1:$F$20</definedName>
    <definedName name="_xlnm.Print_Area" localSheetId="1">'Project Info'!$B$1:$F$31</definedName>
    <definedName name="_xlnm.Print_Area" localSheetId="3">'Standalone AD'!$A$1:$K$32</definedName>
    <definedName name="Project_Type">#REF!</definedName>
    <definedName name="projecttype">#REF!</definedName>
    <definedName name="projlist">#REF!</definedName>
    <definedName name="projt">'[2]EF Default Tables'!#REF!</definedName>
    <definedName name="PRTYPE">#REF!</definedName>
    <definedName name="ptype" localSheetId="7">[1]Defaults!$E$42:$E$43</definedName>
    <definedName name="ptype">[8]Defaults!$E$51:$E$52</definedName>
    <definedName name="RefrigerantTypes" localSheetId="12">'Co-Ben ERFs'!$A$84:$A$87</definedName>
    <definedName name="RefrigerantTypes" localSheetId="7">[8]ERF!#REF!</definedName>
    <definedName name="RefrigerantTypes">'GHG ERFs'!$A$95:$A$155</definedName>
    <definedName name="region">[14]Defaults!$C$2:$C$3</definedName>
    <definedName name="rep">[6]Defaults!#REF!</definedName>
    <definedName name="ROGEF2017HHDULSD">'[13]HD EF in 2024'!$AC$38</definedName>
    <definedName name="ROGEF2017MHDHYBRID">#REF!</definedName>
    <definedName name="ROGEF2017MHDULSD">'[13]HD EF in 2024'!$AC$23</definedName>
    <definedName name="ROGEF2017SBUSULSD">'[13]HD EF in 2024'!$AC$12</definedName>
    <definedName name="ROGEF2017UBUSULSD">'[13]HD EF in 2024'!$AC$40</definedName>
    <definedName name="serv">[2]Defaults!$H$5:$H$6</definedName>
    <definedName name="service">[2]Defaults!$S$2:$S$11</definedName>
    <definedName name="Servtype">[14]Defaults!$F$2:$F$10</definedName>
    <definedName name="solidsep">'[7]Other '!$J$25:$J$32</definedName>
    <definedName name="solsep" localSheetId="9">'[4]Other '!$J$31:$J$38</definedName>
    <definedName name="solsep">'[5]Other '!$J$31:$J$38</definedName>
    <definedName name="sources" localSheetId="9">'[4]Other '!$J$23:$J$26</definedName>
    <definedName name="sources">'[5]Other '!$J$23:$J$26</definedName>
    <definedName name="svtype">'[2]EF Default Tables'!#REF!</definedName>
    <definedName name="tac">'[2]EF Default Tables'!#REF!</definedName>
    <definedName name="TacSum">#REF!</definedName>
    <definedName name="TFT" localSheetId="7">[1]Defaults!$E$11:$E$21</definedName>
    <definedName name="Transit_Bus">#REF!</definedName>
    <definedName name="TransSub">[8]Defaults!$K$26:$K$30</definedName>
    <definedName name="Vehicle_Type">#REF!</definedName>
    <definedName name="vehicletype">[14]Defaults!$G$2:$G$9</definedName>
    <definedName name="vehtype">[2]Defaults!$T$2:$T$9</definedName>
    <definedName name="VRFuel">'[15]Valid Entries'!$F$4:$F$7</definedName>
    <definedName name="yes" localSheetId="9">'[4]Other '!$J$28:$J$29</definedName>
    <definedName name="yes">'[5]Other '!$J$28:$J$29</definedName>
    <definedName name="YesNo">[8]Defaults!$K$22:$K$23</definedName>
    <definedName name="YN" localSheetId="9">'[4]Other '!$J$28:$J$29</definedName>
    <definedName name="YN">'[5]Other '!$J$28:$J$29</definedName>
    <definedName name="yr">'[7]Other '!$K$32:$K$56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47" l="1"/>
  <c r="D6" i="47"/>
  <c r="E6" i="47" s="1"/>
  <c r="B7" i="47"/>
  <c r="D7" i="47"/>
  <c r="B8" i="47"/>
  <c r="D8" i="47"/>
  <c r="E8" i="47" s="1"/>
  <c r="B9" i="47"/>
  <c r="D9" i="47"/>
  <c r="E9" i="47" s="1"/>
  <c r="C9" i="47" l="1"/>
  <c r="L9" i="47"/>
  <c r="H9" i="47"/>
  <c r="I9" i="47"/>
  <c r="K9" i="47"/>
  <c r="G9" i="47"/>
  <c r="J9" i="47"/>
  <c r="C8" i="47"/>
  <c r="J8" i="47"/>
  <c r="G8" i="47"/>
  <c r="H8" i="47"/>
  <c r="L8" i="47"/>
  <c r="I8" i="47"/>
  <c r="K8" i="47"/>
  <c r="C7" i="47"/>
  <c r="J7" i="47"/>
  <c r="L7" i="47"/>
  <c r="K7" i="47"/>
  <c r="C6" i="47"/>
  <c r="H6" i="47"/>
  <c r="K6" i="47"/>
  <c r="J6" i="47"/>
  <c r="I6" i="47"/>
  <c r="O6" i="47" s="1"/>
  <c r="G6" i="47"/>
  <c r="L6" i="47"/>
  <c r="E7" i="47"/>
  <c r="E17" i="46" s="1"/>
  <c r="E19" i="46"/>
  <c r="E18" i="46"/>
  <c r="E16" i="46"/>
  <c r="K58" i="48"/>
  <c r="J58" i="48"/>
  <c r="I58" i="48"/>
  <c r="H58" i="48"/>
  <c r="G58" i="48"/>
  <c r="K68" i="48" s="1"/>
  <c r="C11" i="45" s="1"/>
  <c r="F58" i="48"/>
  <c r="E58" i="48"/>
  <c r="K60" i="48" s="1"/>
  <c r="D58" i="48"/>
  <c r="E27" i="45" s="1"/>
  <c r="H22" i="48"/>
  <c r="K64" i="48" l="1"/>
  <c r="K61" i="48"/>
  <c r="K62" i="48" s="1"/>
  <c r="H7" i="47"/>
  <c r="N7" i="47" s="1"/>
  <c r="G7" i="47"/>
  <c r="M7" i="47" s="1"/>
  <c r="I7" i="47"/>
  <c r="O7" i="47" s="1"/>
  <c r="N6" i="47"/>
  <c r="N9" i="47"/>
  <c r="M6" i="47"/>
  <c r="O9" i="47"/>
  <c r="N8" i="47"/>
  <c r="M9" i="47"/>
  <c r="O8" i="47"/>
  <c r="M8" i="47"/>
  <c r="K63" i="48"/>
  <c r="K66" i="48"/>
  <c r="E28" i="45" s="1"/>
  <c r="K65" i="48"/>
  <c r="K67" i="48"/>
  <c r="D5" i="47" l="1"/>
  <c r="B5" i="47"/>
  <c r="L5" i="47" l="1"/>
  <c r="K5" i="47"/>
  <c r="K10" i="47" s="1"/>
  <c r="J5" i="47"/>
  <c r="J10" i="47" s="1"/>
  <c r="E5" i="47"/>
  <c r="I5" i="47" s="1"/>
  <c r="D10" i="47"/>
  <c r="C5" i="47"/>
  <c r="B10" i="47"/>
  <c r="L10" i="47"/>
  <c r="H5" i="47" l="1"/>
  <c r="N5" i="47" s="1"/>
  <c r="N10" i="47" s="1"/>
  <c r="G5" i="47"/>
  <c r="G10" i="47" s="1"/>
  <c r="C10" i="47"/>
  <c r="O5" i="47"/>
  <c r="O10" i="47" s="1"/>
  <c r="I10" i="47"/>
  <c r="M5" i="47"/>
  <c r="M10" i="47" s="1"/>
  <c r="E15" i="46"/>
  <c r="E10" i="47"/>
  <c r="H10" i="47" l="1"/>
  <c r="B154" i="23"/>
  <c r="B159" i="23"/>
  <c r="B158" i="23"/>
  <c r="B157" i="23"/>
  <c r="B156" i="23"/>
  <c r="B155" i="23"/>
  <c r="B153" i="23"/>
  <c r="B152" i="23"/>
  <c r="B151" i="23"/>
  <c r="B150" i="23"/>
  <c r="I54" i="17"/>
  <c r="I53" i="17"/>
  <c r="I52" i="17"/>
  <c r="I51" i="17"/>
  <c r="I50" i="17"/>
  <c r="I49" i="17"/>
  <c r="I48" i="17"/>
  <c r="I47" i="17"/>
  <c r="I46" i="17"/>
  <c r="I45" i="17"/>
  <c r="I44" i="17"/>
  <c r="I43" i="17"/>
  <c r="I42" i="17"/>
  <c r="I41" i="17"/>
  <c r="I40" i="17"/>
  <c r="I39" i="17"/>
  <c r="I38" i="17"/>
  <c r="I37" i="17"/>
  <c r="I36" i="17"/>
  <c r="I35" i="17"/>
  <c r="E56" i="42" l="1"/>
  <c r="E57" i="43"/>
  <c r="C14" i="35" l="1"/>
  <c r="B19" i="15" s="1"/>
  <c r="C13" i="35"/>
  <c r="B13" i="36" s="1"/>
  <c r="C12" i="35"/>
  <c r="B17" i="15" s="1"/>
  <c r="C11" i="35"/>
  <c r="B16" i="15" s="1"/>
  <c r="B18" i="15" l="1"/>
  <c r="F25" i="29"/>
  <c r="C25" i="29"/>
  <c r="B25" i="29"/>
  <c r="C6" i="19"/>
  <c r="D6" i="19" s="1"/>
  <c r="E16" i="29" s="1"/>
  <c r="C7" i="19"/>
  <c r="D7" i="19" s="1"/>
  <c r="E17" i="29" s="1"/>
  <c r="C8" i="19"/>
  <c r="D8" i="19" s="1"/>
  <c r="E18" i="29" s="1"/>
  <c r="C9" i="19"/>
  <c r="D9" i="19" s="1"/>
  <c r="E19" i="29" s="1"/>
  <c r="C10" i="19"/>
  <c r="D10" i="19" s="1"/>
  <c r="E20" i="29" s="1"/>
  <c r="C11" i="19"/>
  <c r="D11" i="19" s="1"/>
  <c r="E21" i="29" s="1"/>
  <c r="C12" i="19"/>
  <c r="D12" i="19" s="1"/>
  <c r="E22" i="29" s="1"/>
  <c r="C13" i="19"/>
  <c r="D13" i="19" s="1"/>
  <c r="E23" i="29" s="1"/>
  <c r="C14" i="19"/>
  <c r="D14" i="19" s="1"/>
  <c r="E24" i="29" s="1"/>
  <c r="C5" i="19"/>
  <c r="D5" i="19" s="1"/>
  <c r="E15" i="29" s="1"/>
  <c r="E15" i="39" l="1"/>
  <c r="D18" i="39"/>
  <c r="D17" i="39"/>
  <c r="D16" i="39"/>
  <c r="D15" i="39"/>
  <c r="C18" i="39"/>
  <c r="C17" i="39"/>
  <c r="C16" i="39"/>
  <c r="C15" i="39"/>
  <c r="B18" i="39"/>
  <c r="B17" i="39"/>
  <c r="B16" i="39"/>
  <c r="B15" i="39"/>
  <c r="G23" i="39"/>
  <c r="F23" i="39"/>
  <c r="E23" i="39"/>
  <c r="D23" i="39"/>
  <c r="E11" i="32" l="1"/>
  <c r="E12" i="32"/>
  <c r="E10" i="32"/>
  <c r="E9" i="32"/>
  <c r="D29" i="41" l="1"/>
  <c r="F36" i="43"/>
  <c r="E56" i="43" s="1"/>
  <c r="F36" i="42"/>
  <c r="E55" i="42" s="1"/>
  <c r="B14" i="43" l="1"/>
  <c r="B15" i="43"/>
  <c r="B16" i="43"/>
  <c r="B17" i="43"/>
  <c r="B18" i="43"/>
  <c r="B19" i="43"/>
  <c r="B20" i="43"/>
  <c r="B21" i="43"/>
  <c r="B22" i="43"/>
  <c r="B13" i="43"/>
  <c r="A14" i="43"/>
  <c r="A15" i="43"/>
  <c r="A16" i="43"/>
  <c r="A17" i="43"/>
  <c r="A18" i="43"/>
  <c r="A19" i="43"/>
  <c r="A20" i="43"/>
  <c r="A21" i="43"/>
  <c r="A22" i="43"/>
  <c r="A13" i="43"/>
  <c r="B6" i="43"/>
  <c r="B7" i="43"/>
  <c r="B30" i="43" s="1"/>
  <c r="B8" i="43"/>
  <c r="C51" i="43" s="1"/>
  <c r="B9" i="43"/>
  <c r="D30" i="43" s="1"/>
  <c r="E30" i="43" s="1"/>
  <c r="B10" i="43"/>
  <c r="B5" i="43"/>
  <c r="C5" i="43" s="1"/>
  <c r="D32" i="41"/>
  <c r="D28" i="41"/>
  <c r="C28" i="41"/>
  <c r="D27" i="41"/>
  <c r="C27" i="41"/>
  <c r="D26" i="41"/>
  <c r="C26" i="41"/>
  <c r="D25" i="41"/>
  <c r="C25" i="41"/>
  <c r="D24" i="41"/>
  <c r="C24" i="41"/>
  <c r="C23" i="41"/>
  <c r="C8" i="42"/>
  <c r="C9" i="42"/>
  <c r="C7" i="42"/>
  <c r="C50" i="42" s="1"/>
  <c r="C20" i="43" l="1"/>
  <c r="C19" i="43"/>
  <c r="C15" i="43"/>
  <c r="C22" i="43"/>
  <c r="C17" i="43"/>
  <c r="C16" i="43"/>
  <c r="C30" i="43"/>
  <c r="D26" i="43"/>
  <c r="C14" i="43"/>
  <c r="C21" i="43"/>
  <c r="C18" i="43"/>
  <c r="B23" i="43"/>
  <c r="B26" i="43" s="1"/>
  <c r="A23" i="43"/>
  <c r="A26" i="43" s="1"/>
  <c r="C13" i="43"/>
  <c r="C23" i="43" l="1"/>
  <c r="B40" i="43" l="1"/>
  <c r="B57" i="43" s="1"/>
  <c r="C40" i="43"/>
  <c r="D40" i="43"/>
  <c r="B35" i="43"/>
  <c r="H26" i="43"/>
  <c r="B34" i="43"/>
  <c r="A51" i="43" s="1"/>
  <c r="B51" i="43" s="1"/>
  <c r="C26" i="43"/>
  <c r="G51" i="43" l="1"/>
  <c r="D51" i="43"/>
  <c r="F51" i="43"/>
  <c r="E51" i="43"/>
  <c r="I26" i="43"/>
  <c r="I30" i="43"/>
  <c r="E55" i="43" s="1"/>
  <c r="E58" i="43" s="1"/>
  <c r="G30" i="43"/>
  <c r="C55" i="43" s="1"/>
  <c r="D57" i="43"/>
  <c r="C57" i="43"/>
  <c r="C35" i="43"/>
  <c r="D35" i="43"/>
  <c r="E35" i="43"/>
  <c r="H30" i="43"/>
  <c r="D55" i="43" s="1"/>
  <c r="F30" i="43"/>
  <c r="B55" i="43" s="1"/>
  <c r="E34" i="43"/>
  <c r="D34" i="43"/>
  <c r="C34" i="43"/>
  <c r="C36" i="43" l="1"/>
  <c r="B56" i="43" s="1"/>
  <c r="B58" i="43" s="1"/>
  <c r="D36" i="43"/>
  <c r="C56" i="43" s="1"/>
  <c r="C58" i="43" s="1"/>
  <c r="E36" i="43"/>
  <c r="D56" i="43" s="1"/>
  <c r="D58" i="43" s="1"/>
  <c r="E63" i="43"/>
  <c r="D63" i="43"/>
  <c r="C63" i="43"/>
  <c r="B63" i="43"/>
  <c r="C30" i="28" l="1"/>
  <c r="B30" i="28"/>
  <c r="B14" i="42"/>
  <c r="B15" i="42"/>
  <c r="B16" i="42"/>
  <c r="B17" i="42"/>
  <c r="B18" i="42"/>
  <c r="B19" i="42"/>
  <c r="B20" i="42"/>
  <c r="B21" i="42"/>
  <c r="B22" i="42"/>
  <c r="B13" i="42"/>
  <c r="C6" i="42"/>
  <c r="D30" i="42"/>
  <c r="E30" i="42" s="1"/>
  <c r="C5" i="42"/>
  <c r="A14" i="42"/>
  <c r="A15" i="42"/>
  <c r="A16" i="42"/>
  <c r="A17" i="42"/>
  <c r="A18" i="42"/>
  <c r="A19" i="42"/>
  <c r="A20" i="42"/>
  <c r="A21" i="42"/>
  <c r="A22" i="42"/>
  <c r="A13" i="42"/>
  <c r="E11" i="40"/>
  <c r="B52" i="23" s="1"/>
  <c r="E10" i="40"/>
  <c r="B54" i="23" s="1"/>
  <c r="E5" i="40"/>
  <c r="E7" i="40" l="1"/>
  <c r="B47" i="23" s="1"/>
  <c r="B45" i="23"/>
  <c r="B30" i="42"/>
  <c r="C30" i="42" s="1"/>
  <c r="C17" i="42"/>
  <c r="C16" i="42"/>
  <c r="C19" i="42"/>
  <c r="C18" i="42"/>
  <c r="C13" i="42"/>
  <c r="C22" i="42"/>
  <c r="C14" i="42"/>
  <c r="D26" i="42"/>
  <c r="C20" i="42"/>
  <c r="C15" i="42"/>
  <c r="C21" i="42"/>
  <c r="A23" i="42"/>
  <c r="B23" i="42"/>
  <c r="B26" i="42" s="1"/>
  <c r="E6" i="40"/>
  <c r="B46" i="23" s="1"/>
  <c r="A26" i="42" l="1"/>
  <c r="C23" i="42"/>
  <c r="B40" i="42" l="1"/>
  <c r="D40" i="42"/>
  <c r="C40" i="42"/>
  <c r="H26" i="42"/>
  <c r="C14" i="45" s="1"/>
  <c r="A30" i="42"/>
  <c r="I26" i="42" s="1"/>
  <c r="C13" i="45" s="1"/>
  <c r="B45" i="42"/>
  <c r="G45" i="42" s="1"/>
  <c r="B44" i="42"/>
  <c r="B34" i="42"/>
  <c r="J26" i="42" s="1"/>
  <c r="C26" i="42"/>
  <c r="G26" i="42" s="1"/>
  <c r="I30" i="42" l="1"/>
  <c r="E54" i="42" s="1"/>
  <c r="E57" i="42" s="1"/>
  <c r="G30" i="42"/>
  <c r="C54" i="42" s="1"/>
  <c r="C56" i="42"/>
  <c r="D56" i="42"/>
  <c r="B56" i="42"/>
  <c r="G26" i="43"/>
  <c r="A50" i="42"/>
  <c r="B50" i="42" s="1"/>
  <c r="C15" i="45"/>
  <c r="D45" i="42"/>
  <c r="F45" i="42"/>
  <c r="E45" i="42"/>
  <c r="D44" i="42"/>
  <c r="E44" i="42"/>
  <c r="F44" i="42"/>
  <c r="G44" i="42"/>
  <c r="H30" i="42"/>
  <c r="D54" i="42" s="1"/>
  <c r="F30" i="42"/>
  <c r="B54" i="42" s="1"/>
  <c r="E34" i="42"/>
  <c r="D34" i="42"/>
  <c r="C34" i="42"/>
  <c r="D46" i="42" l="1"/>
  <c r="B61" i="42" s="1"/>
  <c r="F50" i="42"/>
  <c r="D62" i="42" s="1"/>
  <c r="E50" i="42"/>
  <c r="C62" i="42" s="1"/>
  <c r="G50" i="42"/>
  <c r="E62" i="42" s="1"/>
  <c r="D50" i="42"/>
  <c r="B62" i="42" s="1"/>
  <c r="F46" i="42"/>
  <c r="D61" i="42" s="1"/>
  <c r="E46" i="42"/>
  <c r="C61" i="42" s="1"/>
  <c r="G46" i="42"/>
  <c r="E61" i="42" s="1"/>
  <c r="B63" i="42" l="1"/>
  <c r="E63" i="42"/>
  <c r="C63" i="42"/>
  <c r="D63" i="42"/>
  <c r="B85" i="23"/>
  <c r="B84" i="23"/>
  <c r="B12" i="40" l="1"/>
  <c r="E12" i="40" s="1"/>
  <c r="B53" i="23" l="1"/>
  <c r="B35" i="42"/>
  <c r="F28" i="39"/>
  <c r="E28" i="39"/>
  <c r="D28" i="39"/>
  <c r="F9" i="39"/>
  <c r="E9" i="39"/>
  <c r="D9" i="39"/>
  <c r="C9" i="39"/>
  <c r="D35" i="42" l="1"/>
  <c r="D36" i="42" s="1"/>
  <c r="C55" i="42" s="1"/>
  <c r="C57" i="42" s="1"/>
  <c r="C10" i="45"/>
  <c r="C35" i="42"/>
  <c r="C36" i="42" s="1"/>
  <c r="B55" i="42" s="1"/>
  <c r="B57" i="42" s="1"/>
  <c r="E35" i="42"/>
  <c r="E36" i="42" s="1"/>
  <c r="D55" i="42" s="1"/>
  <c r="D57" i="42" s="1"/>
  <c r="T24" i="37"/>
  <c r="R24" i="37"/>
  <c r="T23" i="37"/>
  <c r="R23" i="37"/>
  <c r="T22" i="37"/>
  <c r="R22" i="37"/>
  <c r="S24" i="37"/>
  <c r="Q24" i="37"/>
  <c r="S23" i="37"/>
  <c r="Q23" i="37"/>
  <c r="S22" i="37"/>
  <c r="Q22" i="37"/>
  <c r="N24" i="37"/>
  <c r="L24" i="37"/>
  <c r="N23" i="37"/>
  <c r="L23" i="37"/>
  <c r="N22" i="37"/>
  <c r="L22" i="37"/>
  <c r="M24" i="37"/>
  <c r="K24" i="37"/>
  <c r="M23" i="37"/>
  <c r="K23" i="37"/>
  <c r="M22" i="37"/>
  <c r="K22" i="37"/>
  <c r="H24" i="37"/>
  <c r="F24" i="37"/>
  <c r="H23" i="37"/>
  <c r="F23" i="37"/>
  <c r="H22" i="37"/>
  <c r="F22" i="37"/>
  <c r="G24" i="37"/>
  <c r="E24" i="37"/>
  <c r="G23" i="37"/>
  <c r="E23" i="37"/>
  <c r="G22" i="37"/>
  <c r="E22" i="37"/>
  <c r="L30" i="36" l="1"/>
  <c r="K30" i="36"/>
  <c r="L19" i="36"/>
  <c r="K19" i="36"/>
  <c r="I19" i="36"/>
  <c r="H19" i="36"/>
  <c r="B66" i="36"/>
  <c r="B60" i="37" s="1"/>
  <c r="F19" i="36"/>
  <c r="E19" i="36"/>
  <c r="B38" i="15"/>
  <c r="E6" i="19"/>
  <c r="E7" i="19"/>
  <c r="E8" i="19"/>
  <c r="E9" i="19"/>
  <c r="E10" i="19"/>
  <c r="E11" i="19"/>
  <c r="E12" i="19"/>
  <c r="E13" i="19"/>
  <c r="E14" i="19"/>
  <c r="E5" i="19"/>
  <c r="B6" i="19"/>
  <c r="B7" i="19"/>
  <c r="B8" i="19"/>
  <c r="B9" i="19"/>
  <c r="B10" i="19"/>
  <c r="B11" i="19"/>
  <c r="B12" i="19"/>
  <c r="B13" i="19"/>
  <c r="B14" i="19"/>
  <c r="B5" i="19"/>
  <c r="A6" i="19"/>
  <c r="A7" i="19"/>
  <c r="A8" i="19"/>
  <c r="A9" i="19"/>
  <c r="A10" i="19"/>
  <c r="A11" i="19"/>
  <c r="A12" i="19"/>
  <c r="A13" i="19"/>
  <c r="A14" i="19"/>
  <c r="A5" i="19"/>
  <c r="B53" i="37"/>
  <c r="B58" i="36"/>
  <c r="I29" i="36" s="1"/>
  <c r="I31" i="38"/>
  <c r="E29" i="38"/>
  <c r="J29" i="38" s="1"/>
  <c r="E28" i="38"/>
  <c r="J28" i="38" s="1"/>
  <c r="E27" i="38"/>
  <c r="K27" i="38" s="1"/>
  <c r="E26" i="38"/>
  <c r="K26" i="38" s="1"/>
  <c r="E25" i="38"/>
  <c r="K25" i="38" s="1"/>
  <c r="E24" i="38"/>
  <c r="K24" i="38" s="1"/>
  <c r="E23" i="38"/>
  <c r="K23" i="38" s="1"/>
  <c r="E22" i="38"/>
  <c r="K22" i="38" s="1"/>
  <c r="E21" i="38"/>
  <c r="J21" i="38" s="1"/>
  <c r="E20" i="38"/>
  <c r="J20" i="38" s="1"/>
  <c r="E19" i="38"/>
  <c r="K19" i="38" s="1"/>
  <c r="E18" i="38"/>
  <c r="K18" i="38" s="1"/>
  <c r="E17" i="38"/>
  <c r="K17" i="38" s="1"/>
  <c r="E16" i="38"/>
  <c r="K16" i="38" s="1"/>
  <c r="E15" i="38"/>
  <c r="K15" i="38" s="1"/>
  <c r="E14" i="38"/>
  <c r="K14" i="38" s="1"/>
  <c r="C77" i="37"/>
  <c r="B77" i="37"/>
  <c r="C76" i="37"/>
  <c r="B76" i="37"/>
  <c r="C75" i="37"/>
  <c r="C72" i="37"/>
  <c r="B72" i="37"/>
  <c r="C71" i="37"/>
  <c r="B71" i="37"/>
  <c r="C70" i="37"/>
  <c r="C69" i="37"/>
  <c r="B69" i="37"/>
  <c r="B59" i="37"/>
  <c r="C58" i="37"/>
  <c r="B58" i="37"/>
  <c r="C51" i="37"/>
  <c r="B51" i="37"/>
  <c r="C50" i="37"/>
  <c r="B50" i="37"/>
  <c r="C48" i="37"/>
  <c r="B48" i="37"/>
  <c r="P24" i="37"/>
  <c r="O24" i="37"/>
  <c r="J24" i="37"/>
  <c r="I24" i="37"/>
  <c r="D24" i="37"/>
  <c r="C24" i="37"/>
  <c r="P23" i="37"/>
  <c r="O23" i="37"/>
  <c r="J23" i="37"/>
  <c r="I23" i="37"/>
  <c r="D23" i="37"/>
  <c r="C23" i="37"/>
  <c r="P22" i="37"/>
  <c r="O22" i="37"/>
  <c r="J22" i="37"/>
  <c r="I22" i="37"/>
  <c r="D22" i="37"/>
  <c r="C22" i="37"/>
  <c r="B65" i="36"/>
  <c r="B62" i="36"/>
  <c r="G21" i="36" s="1"/>
  <c r="B57" i="36"/>
  <c r="I26" i="36" s="1"/>
  <c r="J30" i="36"/>
  <c r="J28" i="36"/>
  <c r="L28" i="36" s="1"/>
  <c r="L31" i="36" s="1"/>
  <c r="G28" i="36"/>
  <c r="I28" i="36" s="1"/>
  <c r="D28" i="36"/>
  <c r="D31" i="36" s="1"/>
  <c r="B24" i="36"/>
  <c r="J19" i="36"/>
  <c r="G19" i="36"/>
  <c r="D19" i="36"/>
  <c r="B33" i="15"/>
  <c r="C30" i="35"/>
  <c r="C24" i="35"/>
  <c r="I25" i="36" l="1"/>
  <c r="I27" i="36" s="1"/>
  <c r="K21" i="38"/>
  <c r="J17" i="38"/>
  <c r="J23" i="38"/>
  <c r="J24" i="38"/>
  <c r="J15" i="38"/>
  <c r="O34" i="37"/>
  <c r="C30" i="41"/>
  <c r="Q34" i="37"/>
  <c r="S34" i="37"/>
  <c r="P34" i="37"/>
  <c r="D30" i="41"/>
  <c r="T34" i="37"/>
  <c r="R34" i="37"/>
  <c r="R25" i="37"/>
  <c r="L25" i="37"/>
  <c r="F25" i="37"/>
  <c r="H25" i="37"/>
  <c r="N25" i="37"/>
  <c r="T25" i="37"/>
  <c r="J16" i="38"/>
  <c r="M26" i="37"/>
  <c r="K26" i="37"/>
  <c r="I26" i="37"/>
  <c r="S26" i="37"/>
  <c r="Q26" i="37"/>
  <c r="J25" i="38"/>
  <c r="S25" i="37"/>
  <c r="Q25" i="37"/>
  <c r="Q29" i="37" s="1"/>
  <c r="M25" i="37"/>
  <c r="M29" i="37" s="1"/>
  <c r="K25" i="37"/>
  <c r="L26" i="37"/>
  <c r="N26" i="37"/>
  <c r="J26" i="37"/>
  <c r="T26" i="37"/>
  <c r="R26" i="37"/>
  <c r="F26" i="37"/>
  <c r="H26" i="37"/>
  <c r="K28" i="38"/>
  <c r="C10" i="35"/>
  <c r="B15" i="15" s="1"/>
  <c r="C9" i="35"/>
  <c r="B14" i="15" s="1"/>
  <c r="C31" i="41"/>
  <c r="K32" i="37"/>
  <c r="Q32" i="37"/>
  <c r="Q36" i="37" s="1"/>
  <c r="P31" i="37"/>
  <c r="L31" i="37"/>
  <c r="H31" i="37"/>
  <c r="N31" i="37"/>
  <c r="F31" i="37"/>
  <c r="T31" i="37"/>
  <c r="R31" i="37"/>
  <c r="S27" i="37"/>
  <c r="M27" i="37"/>
  <c r="K27" i="37"/>
  <c r="Q27" i="37"/>
  <c r="K20" i="38"/>
  <c r="C35" i="35"/>
  <c r="D31" i="41"/>
  <c r="L32" i="37"/>
  <c r="F32" i="37"/>
  <c r="R32" i="37"/>
  <c r="H27" i="37"/>
  <c r="F27" i="37"/>
  <c r="R27" i="37"/>
  <c r="N27" i="37"/>
  <c r="T27" i="37"/>
  <c r="L27" i="37"/>
  <c r="K29" i="38"/>
  <c r="J9" i="19"/>
  <c r="J8" i="19"/>
  <c r="G11" i="19"/>
  <c r="J5" i="19"/>
  <c r="J7" i="19"/>
  <c r="G14" i="19"/>
  <c r="J6" i="19"/>
  <c r="J13" i="19"/>
  <c r="D26" i="36"/>
  <c r="F28" i="36"/>
  <c r="F31" i="36" s="1"/>
  <c r="E25" i="36"/>
  <c r="K28" i="36"/>
  <c r="K31" i="36" s="1"/>
  <c r="F25" i="36"/>
  <c r="H28" i="36"/>
  <c r="E26" i="36"/>
  <c r="E27" i="36" s="1"/>
  <c r="K25" i="36"/>
  <c r="F26" i="36"/>
  <c r="H25" i="36"/>
  <c r="L25" i="36"/>
  <c r="K26" i="36"/>
  <c r="I31" i="36"/>
  <c r="I32" i="36" s="1"/>
  <c r="I34" i="36" s="1"/>
  <c r="H26" i="36"/>
  <c r="L26" i="36"/>
  <c r="E28" i="36"/>
  <c r="E31" i="36" s="1"/>
  <c r="T32" i="37"/>
  <c r="S32" i="37"/>
  <c r="S36" i="37" s="1"/>
  <c r="N32" i="37"/>
  <c r="H32" i="37"/>
  <c r="H36" i="37" s="1"/>
  <c r="M32" i="37"/>
  <c r="G32" i="37"/>
  <c r="G36" i="37" s="1"/>
  <c r="G29" i="36"/>
  <c r="G31" i="36" s="1"/>
  <c r="L33" i="37"/>
  <c r="M33" i="37"/>
  <c r="K33" i="37"/>
  <c r="N33" i="37"/>
  <c r="H29" i="36"/>
  <c r="G27" i="37"/>
  <c r="E27" i="37"/>
  <c r="I32" i="37"/>
  <c r="E32" i="37"/>
  <c r="E36" i="37" s="1"/>
  <c r="G25" i="37"/>
  <c r="G29" i="37" s="1"/>
  <c r="E25" i="37"/>
  <c r="E29" i="37" s="1"/>
  <c r="E26" i="37"/>
  <c r="G26" i="37"/>
  <c r="P27" i="37"/>
  <c r="D27" i="37"/>
  <c r="I25" i="37"/>
  <c r="O27" i="37"/>
  <c r="I33" i="37"/>
  <c r="J25" i="37"/>
  <c r="C26" i="37"/>
  <c r="C27" i="37"/>
  <c r="P25" i="37"/>
  <c r="O28" i="37"/>
  <c r="J33" i="37"/>
  <c r="D31" i="37"/>
  <c r="J32" i="37"/>
  <c r="I27" i="37"/>
  <c r="C32" i="37"/>
  <c r="C36" i="37" s="1"/>
  <c r="C25" i="37"/>
  <c r="O25" i="37"/>
  <c r="J27" i="37"/>
  <c r="D28" i="37"/>
  <c r="D32" i="37"/>
  <c r="P32" i="37"/>
  <c r="P28" i="37"/>
  <c r="C28" i="37"/>
  <c r="O32" i="37"/>
  <c r="O36" i="37" s="1"/>
  <c r="D25" i="37"/>
  <c r="O26" i="37"/>
  <c r="I28" i="37"/>
  <c r="J28" i="37"/>
  <c r="J31" i="36"/>
  <c r="G25" i="36"/>
  <c r="G26" i="36"/>
  <c r="J26" i="36"/>
  <c r="J14" i="19"/>
  <c r="G12" i="19"/>
  <c r="J10" i="19"/>
  <c r="G7" i="19"/>
  <c r="G6" i="19"/>
  <c r="G5" i="19"/>
  <c r="G13" i="19"/>
  <c r="J12" i="19"/>
  <c r="J11" i="19"/>
  <c r="G10" i="19"/>
  <c r="G9" i="19"/>
  <c r="G8" i="19"/>
  <c r="J18" i="38"/>
  <c r="J26" i="38"/>
  <c r="J19" i="38"/>
  <c r="J27" i="38"/>
  <c r="J14" i="38"/>
  <c r="J22" i="38"/>
  <c r="E31" i="38"/>
  <c r="K31" i="38" s="1"/>
  <c r="D8" i="38" s="1"/>
  <c r="B67" i="15" s="1"/>
  <c r="D26" i="37"/>
  <c r="P26" i="37"/>
  <c r="J31" i="37"/>
  <c r="J21" i="36"/>
  <c r="J25" i="36" s="1"/>
  <c r="D21" i="36"/>
  <c r="D25" i="36" s="1"/>
  <c r="C36" i="35"/>
  <c r="K30" i="38" l="1"/>
  <c r="K29" i="37"/>
  <c r="L36" i="37"/>
  <c r="K27" i="36"/>
  <c r="Q37" i="37"/>
  <c r="Q39" i="37" s="1"/>
  <c r="D14" i="37" s="1"/>
  <c r="T29" i="37"/>
  <c r="P24" i="41"/>
  <c r="P25" i="41" s="1"/>
  <c r="B65" i="23" s="1"/>
  <c r="N29" i="37"/>
  <c r="H29" i="37"/>
  <c r="F29" i="37"/>
  <c r="H37" i="37"/>
  <c r="H41" i="37" s="1"/>
  <c r="H42" i="37" s="1"/>
  <c r="L29" i="37"/>
  <c r="R29" i="37"/>
  <c r="R36" i="37"/>
  <c r="R37" i="37" s="1"/>
  <c r="R39" i="37" s="1"/>
  <c r="D15" i="37" s="1"/>
  <c r="S29" i="37"/>
  <c r="P26" i="41"/>
  <c r="B66" i="23" s="1"/>
  <c r="A30" i="43"/>
  <c r="T36" i="37"/>
  <c r="L37" i="37"/>
  <c r="L39" i="37" s="1"/>
  <c r="D13" i="37" s="1"/>
  <c r="B45" i="15" s="1"/>
  <c r="P30" i="41"/>
  <c r="B45" i="43" s="1"/>
  <c r="P31" i="41"/>
  <c r="P29" i="41"/>
  <c r="B44" i="43" s="1"/>
  <c r="P32" i="41"/>
  <c r="B46" i="43" s="1"/>
  <c r="J30" i="41"/>
  <c r="J29" i="41"/>
  <c r="J31" i="41"/>
  <c r="F8" i="47"/>
  <c r="F9" i="47"/>
  <c r="F6" i="47"/>
  <c r="F7" i="47"/>
  <c r="F5" i="47"/>
  <c r="J24" i="41"/>
  <c r="D27" i="36"/>
  <c r="D32" i="36" s="1"/>
  <c r="D36" i="36" s="1"/>
  <c r="D37" i="36" s="1"/>
  <c r="B10" i="36" s="1"/>
  <c r="B25" i="15" s="1"/>
  <c r="K36" i="37"/>
  <c r="K37" i="37" s="1"/>
  <c r="K39" i="37" s="1"/>
  <c r="D12" i="37" s="1"/>
  <c r="S37" i="37"/>
  <c r="S39" i="37" s="1"/>
  <c r="F14" i="37" s="1"/>
  <c r="B58" i="15" s="1"/>
  <c r="N36" i="37"/>
  <c r="N37" i="37" s="1"/>
  <c r="N39" i="37" s="1"/>
  <c r="F13" i="37" s="1"/>
  <c r="B61" i="15" s="1"/>
  <c r="E26" i="43" s="1"/>
  <c r="P36" i="37"/>
  <c r="I36" i="37"/>
  <c r="M36" i="37"/>
  <c r="M37" i="37" s="1"/>
  <c r="M39" i="37" s="1"/>
  <c r="F12" i="37" s="1"/>
  <c r="B57" i="15" s="1"/>
  <c r="F11" i="37"/>
  <c r="B60" i="15" s="1"/>
  <c r="F11" i="36"/>
  <c r="B29" i="15" s="1"/>
  <c r="F27" i="36"/>
  <c r="F32" i="36" s="1"/>
  <c r="F36" i="36" s="1"/>
  <c r="F37" i="36" s="1"/>
  <c r="J27" i="36"/>
  <c r="J32" i="36" s="1"/>
  <c r="J34" i="36" s="1"/>
  <c r="B12" i="36" s="1"/>
  <c r="H31" i="36"/>
  <c r="L27" i="36"/>
  <c r="L32" i="36" s="1"/>
  <c r="L34" i="36" s="1"/>
  <c r="H27" i="36"/>
  <c r="E37" i="37"/>
  <c r="E41" i="37" s="1"/>
  <c r="E42" i="37" s="1"/>
  <c r="G37" i="37"/>
  <c r="G41" i="37" s="1"/>
  <c r="G42" i="37" s="1"/>
  <c r="J36" i="37"/>
  <c r="I29" i="37"/>
  <c r="C29" i="37"/>
  <c r="C37" i="37" s="1"/>
  <c r="C41" i="37" s="1"/>
  <c r="C42" i="37" s="1"/>
  <c r="D29" i="37"/>
  <c r="D36" i="37"/>
  <c r="J29" i="37"/>
  <c r="O29" i="37"/>
  <c r="O37" i="37" s="1"/>
  <c r="O39" i="37" s="1"/>
  <c r="F36" i="37"/>
  <c r="P29" i="37"/>
  <c r="K32" i="36"/>
  <c r="E32" i="36"/>
  <c r="E36" i="36" s="1"/>
  <c r="G27" i="36"/>
  <c r="G32" i="36" s="1"/>
  <c r="G34" i="36" s="1"/>
  <c r="T37" i="37" l="1"/>
  <c r="T39" i="37" s="1"/>
  <c r="F15" i="37" s="1"/>
  <c r="B62" i="15" s="1"/>
  <c r="B64" i="23"/>
  <c r="E44" i="43"/>
  <c r="G44" i="43"/>
  <c r="F44" i="43"/>
  <c r="D44" i="43"/>
  <c r="C9" i="45"/>
  <c r="F17" i="46"/>
  <c r="F16" i="46"/>
  <c r="G45" i="43"/>
  <c r="F45" i="43"/>
  <c r="D45" i="43"/>
  <c r="E45" i="43"/>
  <c r="J26" i="41"/>
  <c r="B62" i="23" s="1"/>
  <c r="J25" i="41"/>
  <c r="B61" i="23" s="1"/>
  <c r="B60" i="23"/>
  <c r="E46" i="43"/>
  <c r="D46" i="43"/>
  <c r="F46" i="43"/>
  <c r="P37" i="37"/>
  <c r="P39" i="37" s="1"/>
  <c r="B15" i="37" s="1"/>
  <c r="B54" i="15" s="1"/>
  <c r="F19" i="46"/>
  <c r="F18" i="46"/>
  <c r="F10" i="47"/>
  <c r="F15" i="46"/>
  <c r="I37" i="37"/>
  <c r="I39" i="37" s="1"/>
  <c r="B12" i="37" s="1"/>
  <c r="B49" i="15" s="1"/>
  <c r="F26" i="43" s="1"/>
  <c r="B14" i="37"/>
  <c r="B50" i="15" s="1"/>
  <c r="D10" i="37"/>
  <c r="B40" i="15" s="1"/>
  <c r="F10" i="37"/>
  <c r="B56" i="15" s="1"/>
  <c r="B10" i="37"/>
  <c r="B48" i="15" s="1"/>
  <c r="F10" i="36"/>
  <c r="B26" i="15" s="1"/>
  <c r="F12" i="36"/>
  <c r="B32" i="15" s="1"/>
  <c r="B11" i="36"/>
  <c r="B28" i="15" s="1"/>
  <c r="B31" i="15"/>
  <c r="E37" i="36"/>
  <c r="K34" i="36"/>
  <c r="H32" i="36"/>
  <c r="H34" i="36" s="1"/>
  <c r="B41" i="15"/>
  <c r="B42" i="15"/>
  <c r="B46" i="15"/>
  <c r="J37" i="37"/>
  <c r="J39" i="37" s="1"/>
  <c r="D37" i="37"/>
  <c r="D41" i="37" s="1"/>
  <c r="D42" i="37" s="1"/>
  <c r="F37" i="37"/>
  <c r="F41" i="37" s="1"/>
  <c r="F20" i="46" l="1"/>
  <c r="D47" i="43"/>
  <c r="B62" i="43" s="1"/>
  <c r="B64" i="43" s="1"/>
  <c r="C19" i="45" s="1"/>
  <c r="F47" i="43"/>
  <c r="D62" i="43" s="1"/>
  <c r="D64" i="43" s="1"/>
  <c r="C21" i="45" s="1"/>
  <c r="G47" i="43"/>
  <c r="E62" i="43" s="1"/>
  <c r="E64" i="43" s="1"/>
  <c r="C22" i="45" s="1"/>
  <c r="E47" i="43"/>
  <c r="C62" i="43" s="1"/>
  <c r="C64" i="43" s="1"/>
  <c r="C20" i="45" s="1"/>
  <c r="F42" i="37"/>
  <c r="D11" i="37" s="1"/>
  <c r="B44" i="15" s="1"/>
  <c r="B11" i="37"/>
  <c r="B52" i="15" s="1"/>
  <c r="D10" i="36"/>
  <c r="B24" i="15" s="1"/>
  <c r="D12" i="36"/>
  <c r="B30" i="15" s="1"/>
  <c r="D21" i="43"/>
  <c r="D30" i="27" s="1"/>
  <c r="D22" i="43"/>
  <c r="D31" i="27" s="1"/>
  <c r="D19" i="43"/>
  <c r="D28" i="27" s="1"/>
  <c r="D20" i="43"/>
  <c r="D29" i="27" s="1"/>
  <c r="D17" i="43"/>
  <c r="D26" i="27" s="1"/>
  <c r="D18" i="43"/>
  <c r="D27" i="27" s="1"/>
  <c r="D15" i="43"/>
  <c r="D24" i="27" s="1"/>
  <c r="D16" i="43"/>
  <c r="D25" i="27" s="1"/>
  <c r="D13" i="43"/>
  <c r="D22" i="27" s="1"/>
  <c r="D14" i="43"/>
  <c r="D23" i="27" s="1"/>
  <c r="B13" i="37"/>
  <c r="B53" i="15" s="1"/>
  <c r="D11" i="36"/>
  <c r="B27" i="15" s="1"/>
  <c r="E26" i="42" s="1"/>
  <c r="F26" i="42" s="1"/>
  <c r="E23" i="31"/>
  <c r="E13" i="32" s="1"/>
  <c r="D21" i="42" l="1"/>
  <c r="E28" i="28" s="1"/>
  <c r="D13" i="42"/>
  <c r="E20" i="28" s="1"/>
  <c r="D14" i="42"/>
  <c r="D17" i="42"/>
  <c r="E24" i="28" s="1"/>
  <c r="D15" i="42"/>
  <c r="E22" i="28" s="1"/>
  <c r="D22" i="42"/>
  <c r="E29" i="28" s="1"/>
  <c r="D19" i="42"/>
  <c r="E26" i="28" s="1"/>
  <c r="D20" i="42"/>
  <c r="E27" i="28" s="1"/>
  <c r="D18" i="42"/>
  <c r="E25" i="28" s="1"/>
  <c r="D16" i="42"/>
  <c r="E23" i="28" s="1"/>
  <c r="E21" i="28"/>
  <c r="E30" i="28"/>
  <c r="D23" i="43"/>
  <c r="F54" i="17"/>
  <c r="F53" i="17"/>
  <c r="E54" i="17"/>
  <c r="E53" i="17"/>
  <c r="D54" i="17"/>
  <c r="D53" i="17"/>
  <c r="C54" i="17"/>
  <c r="C53" i="17"/>
  <c r="F50" i="17"/>
  <c r="F49" i="17"/>
  <c r="E50" i="17"/>
  <c r="E49" i="17"/>
  <c r="D50" i="17"/>
  <c r="D49" i="17"/>
  <c r="C50" i="17"/>
  <c r="C49" i="17"/>
  <c r="F48" i="17"/>
  <c r="F47" i="17"/>
  <c r="E48" i="17"/>
  <c r="E47" i="17"/>
  <c r="D48" i="17"/>
  <c r="D47" i="17"/>
  <c r="C48" i="17"/>
  <c r="C47" i="17"/>
  <c r="E44" i="17"/>
  <c r="E43" i="17"/>
  <c r="D44" i="17"/>
  <c r="D43" i="17"/>
  <c r="C44" i="17"/>
  <c r="C43" i="17"/>
  <c r="E42" i="17"/>
  <c r="E41" i="17"/>
  <c r="D42" i="17"/>
  <c r="D41" i="17"/>
  <c r="C42" i="17"/>
  <c r="C41" i="17"/>
  <c r="E40" i="17"/>
  <c r="E39" i="17"/>
  <c r="D40" i="17"/>
  <c r="D39" i="17"/>
  <c r="C40" i="17"/>
  <c r="C39" i="17"/>
  <c r="E38" i="17"/>
  <c r="E37" i="17"/>
  <c r="D38" i="17"/>
  <c r="D37" i="17"/>
  <c r="C38" i="17"/>
  <c r="C37" i="17"/>
  <c r="B54" i="17"/>
  <c r="B53" i="17"/>
  <c r="B50" i="17"/>
  <c r="B49" i="17"/>
  <c r="B48" i="17"/>
  <c r="B47" i="17"/>
  <c r="B44" i="17"/>
  <c r="B43" i="17"/>
  <c r="B42" i="17"/>
  <c r="B41" i="17"/>
  <c r="B40" i="17"/>
  <c r="B39" i="17"/>
  <c r="B38" i="17"/>
  <c r="B37" i="17"/>
  <c r="D23" i="42" l="1"/>
  <c r="F52" i="17"/>
  <c r="S35" i="17" s="1"/>
  <c r="S36" i="17" s="1"/>
  <c r="S37" i="17" s="1"/>
  <c r="S38" i="17" s="1"/>
  <c r="F51" i="17"/>
  <c r="F46" i="17"/>
  <c r="F45" i="17"/>
  <c r="E52" i="17"/>
  <c r="R35" i="17" s="1"/>
  <c r="R36" i="17" s="1"/>
  <c r="R37" i="17" s="1"/>
  <c r="R38" i="17" s="1"/>
  <c r="E51" i="17"/>
  <c r="E46" i="17"/>
  <c r="E45" i="17"/>
  <c r="E36" i="17"/>
  <c r="E35" i="17"/>
  <c r="D52" i="17"/>
  <c r="Q35" i="17" s="1"/>
  <c r="Q36" i="17" s="1"/>
  <c r="Q37" i="17" s="1"/>
  <c r="Q38" i="17" s="1"/>
  <c r="D51" i="17"/>
  <c r="D46" i="17"/>
  <c r="D45" i="17"/>
  <c r="D36" i="17"/>
  <c r="D35" i="17"/>
  <c r="C52" i="17"/>
  <c r="C51" i="17"/>
  <c r="P35" i="17" s="1"/>
  <c r="P36" i="17" s="1"/>
  <c r="P37" i="17" s="1"/>
  <c r="P38" i="17" s="1"/>
  <c r="C46" i="17"/>
  <c r="C45" i="17"/>
  <c r="C36" i="17"/>
  <c r="C35" i="17"/>
  <c r="B52" i="17"/>
  <c r="B51" i="17"/>
  <c r="B46" i="17"/>
  <c r="B45" i="17"/>
  <c r="B36" i="17"/>
  <c r="B35" i="17"/>
  <c r="B89" i="15" l="1"/>
  <c r="H17" i="26"/>
  <c r="H18" i="26"/>
  <c r="H19" i="26"/>
  <c r="H20" i="26"/>
  <c r="H21" i="26"/>
  <c r="H16" i="26"/>
  <c r="H52" i="17"/>
  <c r="H46" i="17"/>
  <c r="H36" i="17"/>
  <c r="G52" i="17"/>
  <c r="G46" i="17"/>
  <c r="G36" i="17"/>
  <c r="B17" i="26" l="1"/>
  <c r="B18" i="26"/>
  <c r="B19" i="26"/>
  <c r="B20" i="26"/>
  <c r="B21" i="26"/>
  <c r="B16" i="26"/>
  <c r="C16" i="26" s="1"/>
  <c r="A17" i="26"/>
  <c r="O17" i="26" s="1"/>
  <c r="A18" i="26"/>
  <c r="O18" i="26" s="1"/>
  <c r="A19" i="26"/>
  <c r="O19" i="26" s="1"/>
  <c r="A20" i="26"/>
  <c r="O20" i="26" s="1"/>
  <c r="A21" i="26"/>
  <c r="O21" i="26" s="1"/>
  <c r="A16" i="26"/>
  <c r="O16" i="26" s="1"/>
  <c r="B26" i="26"/>
  <c r="S26" i="26" s="1"/>
  <c r="C26" i="26"/>
  <c r="B27" i="26"/>
  <c r="S27" i="26" s="1"/>
  <c r="C27" i="26"/>
  <c r="B28" i="26"/>
  <c r="S28" i="26" s="1"/>
  <c r="C28" i="26"/>
  <c r="B29" i="26"/>
  <c r="S29" i="26" s="1"/>
  <c r="C29" i="26"/>
  <c r="B30" i="26"/>
  <c r="S30" i="26" s="1"/>
  <c r="C30" i="26"/>
  <c r="B31" i="26"/>
  <c r="S31" i="26" s="1"/>
  <c r="C31" i="26"/>
  <c r="B32" i="26"/>
  <c r="S32" i="26" s="1"/>
  <c r="C32" i="26"/>
  <c r="R27" i="26" l="1"/>
  <c r="R26" i="26"/>
  <c r="R32" i="26"/>
  <c r="R28" i="26"/>
  <c r="R31" i="26"/>
  <c r="R30" i="26"/>
  <c r="R29" i="26"/>
  <c r="J30" i="26"/>
  <c r="M30" i="26"/>
  <c r="L30" i="26"/>
  <c r="K30" i="26"/>
  <c r="M27" i="26"/>
  <c r="L27" i="26"/>
  <c r="K27" i="26"/>
  <c r="J27" i="26"/>
  <c r="J31" i="26"/>
  <c r="K31" i="26"/>
  <c r="M31" i="26"/>
  <c r="L31" i="26"/>
  <c r="M29" i="26"/>
  <c r="L29" i="26"/>
  <c r="K29" i="26"/>
  <c r="J29" i="26"/>
  <c r="J32" i="26"/>
  <c r="K32" i="26"/>
  <c r="L32" i="26"/>
  <c r="M32" i="26"/>
  <c r="M28" i="26"/>
  <c r="L28" i="26"/>
  <c r="K28" i="26"/>
  <c r="J28" i="26"/>
  <c r="N16" i="26"/>
  <c r="M16" i="26"/>
  <c r="L16" i="26"/>
  <c r="K16" i="26"/>
  <c r="F21" i="26"/>
  <c r="G21" i="26"/>
  <c r="D21" i="26"/>
  <c r="D20" i="26"/>
  <c r="N20" i="26"/>
  <c r="F20" i="26"/>
  <c r="G20" i="26"/>
  <c r="L20" i="26"/>
  <c r="D19" i="26"/>
  <c r="N19" i="26"/>
  <c r="F19" i="26"/>
  <c r="M19" i="26"/>
  <c r="G19" i="26"/>
  <c r="D18" i="26"/>
  <c r="G18" i="26"/>
  <c r="F18" i="26"/>
  <c r="N18" i="26"/>
  <c r="G17" i="26"/>
  <c r="F17" i="26"/>
  <c r="D17" i="26"/>
  <c r="F16" i="26"/>
  <c r="D16" i="26"/>
  <c r="E16" i="26" s="1"/>
  <c r="G16" i="26"/>
  <c r="K26" i="26"/>
  <c r="J26" i="26"/>
  <c r="M26" i="26"/>
  <c r="L26" i="26"/>
  <c r="C21" i="26"/>
  <c r="M21" i="26" s="1"/>
  <c r="C20" i="26"/>
  <c r="M20" i="26" s="1"/>
  <c r="C19" i="26"/>
  <c r="K19" i="26" s="1"/>
  <c r="C18" i="26"/>
  <c r="K18" i="26" s="1"/>
  <c r="C17" i="26"/>
  <c r="N17" i="26" s="1"/>
  <c r="D30" i="26"/>
  <c r="D32" i="26"/>
  <c r="D31" i="26"/>
  <c r="D28" i="26"/>
  <c r="D26" i="26"/>
  <c r="D29" i="26"/>
  <c r="D27" i="26"/>
  <c r="L21" i="26" l="1"/>
  <c r="K21" i="26"/>
  <c r="N21" i="26"/>
  <c r="Q32" i="26" s="1"/>
  <c r="K20" i="26"/>
  <c r="L19" i="26"/>
  <c r="M18" i="26"/>
  <c r="L18" i="26"/>
  <c r="M17" i="26"/>
  <c r="K17" i="26"/>
  <c r="L17" i="26"/>
  <c r="Q26" i="26"/>
  <c r="I19" i="26"/>
  <c r="E17" i="26"/>
  <c r="E18" i="26"/>
  <c r="I18" i="26"/>
  <c r="E19" i="26"/>
  <c r="I21" i="26"/>
  <c r="E20" i="26"/>
  <c r="E21" i="26"/>
  <c r="I20" i="26"/>
  <c r="I16" i="26"/>
  <c r="I17" i="26"/>
  <c r="B33" i="26"/>
  <c r="C33" i="26"/>
  <c r="B34" i="26"/>
  <c r="C34" i="26"/>
  <c r="B35" i="26"/>
  <c r="C35" i="26"/>
  <c r="B5" i="26"/>
  <c r="B6" i="26"/>
  <c r="B7" i="26"/>
  <c r="B8" i="26"/>
  <c r="B9" i="26"/>
  <c r="B10" i="26"/>
  <c r="B11" i="26"/>
  <c r="B12" i="26"/>
  <c r="B13" i="26"/>
  <c r="B4" i="26"/>
  <c r="I5" i="26"/>
  <c r="I6" i="26"/>
  <c r="I7" i="26"/>
  <c r="I8" i="26"/>
  <c r="I9" i="26"/>
  <c r="I10" i="26"/>
  <c r="I11" i="26"/>
  <c r="I12" i="26"/>
  <c r="I13" i="26"/>
  <c r="I4" i="26"/>
  <c r="G5" i="26"/>
  <c r="G6" i="26"/>
  <c r="G7" i="26"/>
  <c r="G8" i="26"/>
  <c r="G9" i="26"/>
  <c r="G10" i="26"/>
  <c r="G11" i="26"/>
  <c r="G12" i="26"/>
  <c r="G13" i="26"/>
  <c r="G4" i="26"/>
  <c r="E5" i="26"/>
  <c r="E6" i="26"/>
  <c r="E7" i="26"/>
  <c r="E8" i="26"/>
  <c r="E9" i="26"/>
  <c r="E10" i="26"/>
  <c r="E11" i="26"/>
  <c r="E12" i="26"/>
  <c r="E13" i="26"/>
  <c r="E4" i="26"/>
  <c r="A5" i="26"/>
  <c r="D5" i="26" s="1"/>
  <c r="A6" i="26"/>
  <c r="D6" i="26" s="1"/>
  <c r="A7" i="26"/>
  <c r="D7" i="26" s="1"/>
  <c r="A8" i="26"/>
  <c r="D8" i="26" s="1"/>
  <c r="A9" i="26"/>
  <c r="D9" i="26" s="1"/>
  <c r="A10" i="26"/>
  <c r="D10" i="26" s="1"/>
  <c r="A11" i="26"/>
  <c r="A12" i="26"/>
  <c r="A13" i="26"/>
  <c r="D13" i="26" s="1"/>
  <c r="A4" i="26"/>
  <c r="D4" i="26" s="1"/>
  <c r="C47" i="25"/>
  <c r="B47" i="25"/>
  <c r="D46" i="25"/>
  <c r="D45" i="25"/>
  <c r="D44" i="25"/>
  <c r="D43" i="25"/>
  <c r="D42" i="25"/>
  <c r="D41" i="25"/>
  <c r="D40" i="25"/>
  <c r="D39" i="25"/>
  <c r="D38" i="25"/>
  <c r="D37" i="25"/>
  <c r="S33" i="26" l="1"/>
  <c r="R33" i="26"/>
  <c r="S35" i="26"/>
  <c r="R35" i="26"/>
  <c r="S34" i="26"/>
  <c r="R34" i="26"/>
  <c r="G31" i="26"/>
  <c r="G32" i="26"/>
  <c r="Q27" i="26"/>
  <c r="Q31" i="26"/>
  <c r="Q28" i="26"/>
  <c r="H32" i="26"/>
  <c r="H31" i="26"/>
  <c r="Q29" i="26"/>
  <c r="Q30" i="26"/>
  <c r="S37" i="26"/>
  <c r="E35" i="45" s="1"/>
  <c r="L34" i="26"/>
  <c r="K34" i="26"/>
  <c r="J34" i="26"/>
  <c r="M34" i="26"/>
  <c r="Q34" i="26" s="1"/>
  <c r="K33" i="26"/>
  <c r="J33" i="26"/>
  <c r="M33" i="26"/>
  <c r="Q33" i="26" s="1"/>
  <c r="L33" i="26"/>
  <c r="M35" i="26"/>
  <c r="L35" i="26"/>
  <c r="K35" i="26"/>
  <c r="J35" i="26"/>
  <c r="Q35" i="26"/>
  <c r="J16" i="26"/>
  <c r="C29" i="25" s="1"/>
  <c r="H26" i="26"/>
  <c r="J19" i="26"/>
  <c r="C32" i="25" s="1"/>
  <c r="H33" i="26"/>
  <c r="G29" i="26"/>
  <c r="J18" i="26"/>
  <c r="C31" i="25" s="1"/>
  <c r="H35" i="26"/>
  <c r="H34" i="26"/>
  <c r="G26" i="26"/>
  <c r="J20" i="26"/>
  <c r="C33" i="25" s="1"/>
  <c r="J17" i="26"/>
  <c r="C30" i="25" s="1"/>
  <c r="H29" i="26"/>
  <c r="H30" i="26"/>
  <c r="H28" i="26"/>
  <c r="H27" i="26"/>
  <c r="G27" i="26"/>
  <c r="G28" i="26"/>
  <c r="G30" i="26"/>
  <c r="J21" i="26"/>
  <c r="C34" i="25" s="1"/>
  <c r="G33" i="26"/>
  <c r="G35" i="26"/>
  <c r="G34" i="26"/>
  <c r="C12" i="26"/>
  <c r="D12" i="26"/>
  <c r="C11" i="26"/>
  <c r="D11" i="26"/>
  <c r="H4" i="26"/>
  <c r="D35" i="26"/>
  <c r="D33" i="26"/>
  <c r="D34" i="26"/>
  <c r="F13" i="26"/>
  <c r="F10" i="26"/>
  <c r="F9" i="26"/>
  <c r="F8" i="26"/>
  <c r="F7" i="26"/>
  <c r="F6" i="26"/>
  <c r="F5" i="26"/>
  <c r="C36" i="26"/>
  <c r="E33" i="45" s="1"/>
  <c r="Q11" i="26"/>
  <c r="R11" i="26" s="1"/>
  <c r="S11" i="26" s="1"/>
  <c r="B36" i="26"/>
  <c r="E32" i="45" s="1"/>
  <c r="J11" i="26"/>
  <c r="U11" i="26"/>
  <c r="Q12" i="26"/>
  <c r="R12" i="26" s="1"/>
  <c r="S12" i="26" s="1"/>
  <c r="L12" i="26"/>
  <c r="V11" i="26"/>
  <c r="Q10" i="26"/>
  <c r="R10" i="26" s="1"/>
  <c r="S10" i="26" s="1"/>
  <c r="N11" i="26"/>
  <c r="V7" i="26"/>
  <c r="Q9" i="26"/>
  <c r="R9" i="26" s="1"/>
  <c r="S9" i="26" s="1"/>
  <c r="N7" i="26"/>
  <c r="W7" i="26"/>
  <c r="Q8" i="26"/>
  <c r="R8" i="26" s="1"/>
  <c r="S8" i="26" s="1"/>
  <c r="O8" i="26"/>
  <c r="Q4" i="26"/>
  <c r="R4" i="26" s="1"/>
  <c r="S4" i="26" s="1"/>
  <c r="Q6" i="26"/>
  <c r="R6" i="26" s="1"/>
  <c r="S6" i="26" s="1"/>
  <c r="K10" i="26"/>
  <c r="T12" i="26"/>
  <c r="Q13" i="26"/>
  <c r="R13" i="26" s="1"/>
  <c r="S13" i="26" s="1"/>
  <c r="Q5" i="26"/>
  <c r="R5" i="26" s="1"/>
  <c r="S5" i="26" s="1"/>
  <c r="K12" i="26"/>
  <c r="L6" i="26"/>
  <c r="N9" i="26"/>
  <c r="P12" i="26"/>
  <c r="T6" i="26"/>
  <c r="U7" i="26"/>
  <c r="V9" i="26"/>
  <c r="W11" i="26"/>
  <c r="K11" i="26"/>
  <c r="L5" i="26"/>
  <c r="M7" i="26"/>
  <c r="P11" i="26"/>
  <c r="U6" i="26"/>
  <c r="V8" i="26"/>
  <c r="W10" i="26"/>
  <c r="W9" i="26"/>
  <c r="K9" i="26"/>
  <c r="L11" i="26"/>
  <c r="M13" i="26"/>
  <c r="N6" i="26"/>
  <c r="O7" i="26"/>
  <c r="P9" i="26"/>
  <c r="T11" i="26"/>
  <c r="U12" i="26"/>
  <c r="V6" i="26"/>
  <c r="W8" i="26"/>
  <c r="K8" i="26"/>
  <c r="M12" i="26"/>
  <c r="P8" i="26"/>
  <c r="T10" i="26"/>
  <c r="V13" i="26"/>
  <c r="K7" i="26"/>
  <c r="L9" i="26"/>
  <c r="M11" i="26"/>
  <c r="N12" i="26"/>
  <c r="O5" i="26"/>
  <c r="T9" i="26"/>
  <c r="U10" i="26"/>
  <c r="V12" i="26"/>
  <c r="W6" i="26"/>
  <c r="L8" i="26"/>
  <c r="M10" i="26"/>
  <c r="O12" i="26"/>
  <c r="T8" i="26"/>
  <c r="U9" i="26"/>
  <c r="M9" i="26"/>
  <c r="N10" i="26"/>
  <c r="O11" i="26"/>
  <c r="P13" i="26"/>
  <c r="P5" i="26"/>
  <c r="T7" i="26"/>
  <c r="U8" i="26"/>
  <c r="V10" i="26"/>
  <c r="W12" i="26"/>
  <c r="T13" i="26"/>
  <c r="K13" i="26"/>
  <c r="O13" i="26"/>
  <c r="U13" i="26"/>
  <c r="J12" i="26"/>
  <c r="J10" i="26"/>
  <c r="J9" i="26"/>
  <c r="J7" i="26"/>
  <c r="J13" i="26"/>
  <c r="H11" i="26"/>
  <c r="H8" i="26"/>
  <c r="H12" i="26"/>
  <c r="H10" i="26"/>
  <c r="H9" i="26"/>
  <c r="D47" i="25"/>
  <c r="H7" i="26"/>
  <c r="H6" i="26"/>
  <c r="H13" i="26"/>
  <c r="H5" i="26"/>
  <c r="C10" i="26"/>
  <c r="P10" i="26" s="1"/>
  <c r="C13" i="26"/>
  <c r="W13" i="26" s="1"/>
  <c r="C8" i="26"/>
  <c r="N8" i="26" s="1"/>
  <c r="C5" i="26"/>
  <c r="N5" i="26" s="1"/>
  <c r="F11" i="26"/>
  <c r="C9" i="26"/>
  <c r="O9" i="26" s="1"/>
  <c r="F12" i="26"/>
  <c r="C7" i="26"/>
  <c r="Q7" i="26" s="1"/>
  <c r="R7" i="26" s="1"/>
  <c r="S7" i="26" s="1"/>
  <c r="C6" i="26"/>
  <c r="P6" i="26" s="1"/>
  <c r="C4" i="26"/>
  <c r="J4" i="26" s="1"/>
  <c r="F4" i="26"/>
  <c r="R36" i="26" l="1"/>
  <c r="C12" i="45" s="1"/>
  <c r="K36" i="26"/>
  <c r="J36" i="26"/>
  <c r="Q36" i="26"/>
  <c r="D22" i="45" s="1"/>
  <c r="E22" i="45" s="1"/>
  <c r="M36" i="26"/>
  <c r="L36" i="26"/>
  <c r="AB11" i="26"/>
  <c r="AA11" i="26"/>
  <c r="AC11" i="26"/>
  <c r="AA9" i="26"/>
  <c r="AB9" i="26"/>
  <c r="AC9" i="26"/>
  <c r="AA12" i="26"/>
  <c r="AB12" i="26"/>
  <c r="AC12" i="26"/>
  <c r="M5" i="26"/>
  <c r="H36" i="26"/>
  <c r="G36" i="26"/>
  <c r="M8" i="26"/>
  <c r="M6" i="26"/>
  <c r="J6" i="26"/>
  <c r="V4" i="26"/>
  <c r="V5" i="26"/>
  <c r="U5" i="26"/>
  <c r="T5" i="26"/>
  <c r="K4" i="26"/>
  <c r="O4" i="26"/>
  <c r="W5" i="26"/>
  <c r="W4" i="26"/>
  <c r="Y7" i="26"/>
  <c r="D36" i="26"/>
  <c r="Y10" i="26"/>
  <c r="N13" i="26"/>
  <c r="Y12" i="26"/>
  <c r="O10" i="26"/>
  <c r="Y8" i="26"/>
  <c r="P7" i="26"/>
  <c r="O6" i="26"/>
  <c r="L13" i="26"/>
  <c r="Y11" i="26"/>
  <c r="L10" i="26"/>
  <c r="J8" i="26"/>
  <c r="L7" i="26"/>
  <c r="K6" i="26"/>
  <c r="J5" i="26"/>
  <c r="Y5" i="26"/>
  <c r="K5" i="26"/>
  <c r="T4" i="26"/>
  <c r="P4" i="26"/>
  <c r="N4" i="26"/>
  <c r="L4" i="26"/>
  <c r="U4" i="26"/>
  <c r="M4" i="26"/>
  <c r="Y4" i="26"/>
  <c r="Y9" i="26"/>
  <c r="Y13" i="26"/>
  <c r="X11" i="26"/>
  <c r="X12" i="26"/>
  <c r="Z12" i="26" s="1"/>
  <c r="F24" i="25" s="1"/>
  <c r="Y6" i="26"/>
  <c r="X9" i="26"/>
  <c r="AB10" i="26" l="1"/>
  <c r="AC13" i="26"/>
  <c r="AB7" i="26"/>
  <c r="AA10" i="26"/>
  <c r="AB13" i="26"/>
  <c r="AC10" i="26"/>
  <c r="AA13" i="26"/>
  <c r="AC4" i="26"/>
  <c r="AA4" i="26"/>
  <c r="AB4" i="26"/>
  <c r="AA8" i="26"/>
  <c r="AC8" i="26"/>
  <c r="AB8" i="26"/>
  <c r="AB5" i="26"/>
  <c r="AC5" i="26"/>
  <c r="AA5" i="26"/>
  <c r="AB6" i="26"/>
  <c r="AC6" i="26"/>
  <c r="AA6" i="26"/>
  <c r="AA7" i="26"/>
  <c r="AC7" i="26"/>
  <c r="Z11" i="26"/>
  <c r="F23" i="25" s="1"/>
  <c r="Z9" i="26"/>
  <c r="F21" i="25" s="1"/>
  <c r="X8" i="26"/>
  <c r="Z8" i="26" s="1"/>
  <c r="F20" i="25" s="1"/>
  <c r="X13" i="26"/>
  <c r="Z13" i="26" s="1"/>
  <c r="F25" i="25" s="1"/>
  <c r="X7" i="26"/>
  <c r="Z7" i="26" s="1"/>
  <c r="F19" i="25" s="1"/>
  <c r="X6" i="26"/>
  <c r="Z6" i="26" s="1"/>
  <c r="F18" i="25" s="1"/>
  <c r="X10" i="26"/>
  <c r="Z10" i="26" s="1"/>
  <c r="F22" i="25" s="1"/>
  <c r="X5" i="26"/>
  <c r="Z5" i="26" s="1"/>
  <c r="F17" i="25" s="1"/>
  <c r="X4" i="26"/>
  <c r="Z4" i="26" s="1"/>
  <c r="Y14" i="26"/>
  <c r="F31" i="26" l="1"/>
  <c r="F32" i="26"/>
  <c r="F34" i="26"/>
  <c r="F33" i="26"/>
  <c r="F35" i="26"/>
  <c r="AC14" i="26"/>
  <c r="P27" i="26" s="1"/>
  <c r="AB14" i="26"/>
  <c r="O30" i="26" s="1"/>
  <c r="P30" i="26"/>
  <c r="AA14" i="26"/>
  <c r="F26" i="26"/>
  <c r="F27" i="26"/>
  <c r="F28" i="26"/>
  <c r="F29" i="26"/>
  <c r="F30" i="26"/>
  <c r="Z14" i="26"/>
  <c r="F16" i="25"/>
  <c r="X14" i="26"/>
  <c r="O28" i="26" l="1"/>
  <c r="O29" i="26"/>
  <c r="P29" i="26"/>
  <c r="E32" i="26"/>
  <c r="I32" i="26" s="1"/>
  <c r="E43" i="25" s="1"/>
  <c r="E31" i="26"/>
  <c r="I31" i="26" s="1"/>
  <c r="E42" i="25" s="1"/>
  <c r="E34" i="26"/>
  <c r="I34" i="26" s="1"/>
  <c r="E45" i="25" s="1"/>
  <c r="E33" i="26"/>
  <c r="I33" i="26" s="1"/>
  <c r="E44" i="25" s="1"/>
  <c r="E35" i="26"/>
  <c r="I35" i="26" s="1"/>
  <c r="E46" i="25" s="1"/>
  <c r="P28" i="26"/>
  <c r="N34" i="26"/>
  <c r="N31" i="26"/>
  <c r="N32" i="26"/>
  <c r="N35" i="26"/>
  <c r="N33" i="26"/>
  <c r="O26" i="26"/>
  <c r="O32" i="26"/>
  <c r="O33" i="26"/>
  <c r="O35" i="26"/>
  <c r="O31" i="26"/>
  <c r="O34" i="26"/>
  <c r="O27" i="26"/>
  <c r="P26" i="26"/>
  <c r="P31" i="26"/>
  <c r="P32" i="26"/>
  <c r="P34" i="26"/>
  <c r="P33" i="26"/>
  <c r="P35" i="26"/>
  <c r="N26" i="26"/>
  <c r="N27" i="26"/>
  <c r="N28" i="26"/>
  <c r="N29" i="26"/>
  <c r="N30" i="26"/>
  <c r="F36" i="26"/>
  <c r="E28" i="26"/>
  <c r="E27" i="26"/>
  <c r="E29" i="26"/>
  <c r="E30" i="26"/>
  <c r="E26" i="26"/>
  <c r="I26" i="26" s="1"/>
  <c r="O36" i="26" l="1"/>
  <c r="P36" i="26"/>
  <c r="N36" i="26"/>
  <c r="I27" i="26"/>
  <c r="E38" i="25" s="1"/>
  <c r="I28" i="26"/>
  <c r="E39" i="25" s="1"/>
  <c r="I30" i="26"/>
  <c r="E41" i="25" s="1"/>
  <c r="I29" i="26"/>
  <c r="E40" i="25" s="1"/>
  <c r="E36" i="26"/>
  <c r="E37" i="25" l="1"/>
  <c r="I36" i="26"/>
  <c r="E47" i="25" l="1"/>
  <c r="H8" i="19" l="1"/>
  <c r="K8" i="19"/>
  <c r="I13" i="19"/>
  <c r="L7" i="19"/>
  <c r="I14" i="19"/>
  <c r="K14" i="19"/>
  <c r="K13" i="19"/>
  <c r="W13" i="19" s="1"/>
  <c r="K12" i="19"/>
  <c r="H12" i="19"/>
  <c r="H11" i="19"/>
  <c r="R11" i="19" s="1"/>
  <c r="I10" i="19"/>
  <c r="H9" i="19"/>
  <c r="I7" i="19"/>
  <c r="L6" i="19"/>
  <c r="F7" i="19"/>
  <c r="F12" i="19"/>
  <c r="F14" i="19"/>
  <c r="F6" i="19"/>
  <c r="F8" i="19"/>
  <c r="F13" i="19"/>
  <c r="F11" i="19"/>
  <c r="F5" i="19"/>
  <c r="F9" i="19"/>
  <c r="F10" i="19"/>
  <c r="L13" i="19" l="1"/>
  <c r="T13" i="19" s="1"/>
  <c r="Q8" i="19"/>
  <c r="S8" i="19"/>
  <c r="T6" i="19"/>
  <c r="V6" i="19"/>
  <c r="U6" i="19"/>
  <c r="AE10" i="19"/>
  <c r="AD10" i="19"/>
  <c r="AD6" i="19"/>
  <c r="AE6" i="19"/>
  <c r="I8" i="19"/>
  <c r="P8" i="19" s="1"/>
  <c r="Q12" i="19"/>
  <c r="R12" i="19"/>
  <c r="S12" i="19"/>
  <c r="AD14" i="19"/>
  <c r="AE14" i="19"/>
  <c r="W12" i="19"/>
  <c r="X12" i="19"/>
  <c r="Y12" i="19"/>
  <c r="AE7" i="19"/>
  <c r="AD7" i="19"/>
  <c r="W14" i="19"/>
  <c r="X14" i="19"/>
  <c r="Y14" i="19"/>
  <c r="O7" i="19"/>
  <c r="N7" i="19"/>
  <c r="P7" i="19"/>
  <c r="N14" i="19"/>
  <c r="O14" i="19"/>
  <c r="P14" i="19"/>
  <c r="AE12" i="19"/>
  <c r="AD12" i="19"/>
  <c r="O10" i="19"/>
  <c r="N10" i="19"/>
  <c r="P10" i="19"/>
  <c r="T7" i="19"/>
  <c r="V7" i="19"/>
  <c r="U7" i="19"/>
  <c r="AD5" i="19"/>
  <c r="AE5" i="19"/>
  <c r="AD13" i="19"/>
  <c r="AE13" i="19"/>
  <c r="Y13" i="19"/>
  <c r="X13" i="19"/>
  <c r="P13" i="19"/>
  <c r="N13" i="19"/>
  <c r="O13" i="19"/>
  <c r="S11" i="19"/>
  <c r="Q11" i="19"/>
  <c r="AE11" i="19"/>
  <c r="AD11" i="19"/>
  <c r="AE9" i="19"/>
  <c r="AD9" i="19"/>
  <c r="Q9" i="19"/>
  <c r="R9" i="19"/>
  <c r="S9" i="19"/>
  <c r="AD8" i="19"/>
  <c r="F15" i="19"/>
  <c r="E34" i="45" s="1"/>
  <c r="AE8" i="19"/>
  <c r="R8" i="19"/>
  <c r="W8" i="19"/>
  <c r="X8" i="19"/>
  <c r="Y8" i="19"/>
  <c r="H14" i="19"/>
  <c r="I12" i="19"/>
  <c r="K6" i="19"/>
  <c r="L8" i="19"/>
  <c r="H13" i="19"/>
  <c r="H7" i="19"/>
  <c r="K7" i="19"/>
  <c r="I9" i="19"/>
  <c r="H10" i="19"/>
  <c r="L14" i="19"/>
  <c r="L12" i="19"/>
  <c r="I11" i="19"/>
  <c r="K11" i="19"/>
  <c r="L11" i="19"/>
  <c r="K10" i="19"/>
  <c r="L10" i="19"/>
  <c r="L9" i="19"/>
  <c r="K9" i="19"/>
  <c r="H6" i="19"/>
  <c r="I6" i="19"/>
  <c r="L5" i="19"/>
  <c r="K5" i="19"/>
  <c r="H5" i="19"/>
  <c r="I5" i="19"/>
  <c r="V13" i="19" l="1"/>
  <c r="U13" i="19"/>
  <c r="E25" i="45"/>
  <c r="E26" i="45" s="1"/>
  <c r="R6" i="19"/>
  <c r="S6" i="19"/>
  <c r="Q6" i="19"/>
  <c r="P6" i="19"/>
  <c r="O6" i="19"/>
  <c r="N6" i="19"/>
  <c r="M12" i="19"/>
  <c r="T12" i="19"/>
  <c r="U12" i="19"/>
  <c r="V12" i="19"/>
  <c r="V10" i="19"/>
  <c r="T10" i="19"/>
  <c r="U10" i="19"/>
  <c r="AE15" i="19"/>
  <c r="M7" i="19"/>
  <c r="Q7" i="19"/>
  <c r="R7" i="19"/>
  <c r="S7" i="19"/>
  <c r="Q10" i="19"/>
  <c r="S10" i="19"/>
  <c r="R10" i="19"/>
  <c r="X10" i="19"/>
  <c r="Y10" i="19"/>
  <c r="W10" i="19"/>
  <c r="X7" i="19"/>
  <c r="W7" i="19"/>
  <c r="Y7" i="19"/>
  <c r="X6" i="19"/>
  <c r="W6" i="19"/>
  <c r="Y6" i="19"/>
  <c r="O12" i="19"/>
  <c r="P12" i="19"/>
  <c r="N12" i="19"/>
  <c r="N8" i="19"/>
  <c r="O8" i="19"/>
  <c r="T14" i="19"/>
  <c r="U14" i="19"/>
  <c r="V14" i="19"/>
  <c r="Q14" i="19"/>
  <c r="R14" i="19"/>
  <c r="S14" i="19"/>
  <c r="N5" i="19"/>
  <c r="P5" i="19"/>
  <c r="O5" i="19"/>
  <c r="S5" i="19"/>
  <c r="Q5" i="19"/>
  <c r="R5" i="19"/>
  <c r="T5" i="19"/>
  <c r="V5" i="19"/>
  <c r="U5" i="19"/>
  <c r="Y5" i="19"/>
  <c r="X5" i="19"/>
  <c r="W5" i="19"/>
  <c r="AD15" i="19"/>
  <c r="M13" i="19"/>
  <c r="R13" i="19"/>
  <c r="S13" i="19"/>
  <c r="Q13" i="19"/>
  <c r="Z13" i="19" s="1"/>
  <c r="T11" i="19"/>
  <c r="U11" i="19"/>
  <c r="V11" i="19"/>
  <c r="W11" i="19"/>
  <c r="X11" i="19"/>
  <c r="Y11" i="19"/>
  <c r="N11" i="19"/>
  <c r="P11" i="19"/>
  <c r="O11" i="19"/>
  <c r="V9" i="19"/>
  <c r="T9" i="19"/>
  <c r="U9" i="19"/>
  <c r="N9" i="19"/>
  <c r="P9" i="19"/>
  <c r="O9" i="19"/>
  <c r="W9" i="19"/>
  <c r="X9" i="19"/>
  <c r="Y9" i="19"/>
  <c r="T8" i="19"/>
  <c r="V8" i="19"/>
  <c r="AB8" i="19" s="1"/>
  <c r="U8" i="19"/>
  <c r="L15" i="19"/>
  <c r="M8" i="19"/>
  <c r="M14" i="19"/>
  <c r="M11" i="19"/>
  <c r="M10" i="19"/>
  <c r="M9" i="19"/>
  <c r="M6" i="19"/>
  <c r="M5" i="19"/>
  <c r="AB13" i="19" l="1"/>
  <c r="AA13" i="19"/>
  <c r="M15" i="19"/>
  <c r="AA12" i="19"/>
  <c r="AA8" i="19"/>
  <c r="Z7" i="19"/>
  <c r="AB7" i="19"/>
  <c r="AB12" i="19"/>
  <c r="Z8" i="19"/>
  <c r="Z12" i="19"/>
  <c r="AA10" i="19"/>
  <c r="AB10" i="19"/>
  <c r="Z10" i="19"/>
  <c r="AB14" i="19"/>
  <c r="G17" i="29"/>
  <c r="G22" i="29"/>
  <c r="AA14" i="19"/>
  <c r="AA7" i="19"/>
  <c r="Z14" i="19"/>
  <c r="Z6" i="19"/>
  <c r="AA6" i="19"/>
  <c r="AB6" i="19"/>
  <c r="AA5" i="19"/>
  <c r="AB5" i="19"/>
  <c r="Z5" i="19"/>
  <c r="G24" i="29"/>
  <c r="G18" i="29"/>
  <c r="G15" i="29"/>
  <c r="G16" i="29"/>
  <c r="G21" i="29"/>
  <c r="G19" i="29"/>
  <c r="G23" i="29"/>
  <c r="G20" i="29"/>
  <c r="AB11" i="19"/>
  <c r="Z11" i="19"/>
  <c r="AA11" i="19"/>
  <c r="AA9" i="19"/>
  <c r="Z9" i="19"/>
  <c r="AB9" i="19"/>
  <c r="D32" i="27" l="1"/>
  <c r="AA15" i="19"/>
  <c r="D20" i="45" s="1"/>
  <c r="G25" i="29"/>
  <c r="E17" i="32" s="1"/>
  <c r="Z15" i="19"/>
  <c r="D19" i="45" s="1"/>
  <c r="AB15" i="19"/>
  <c r="D21" i="45" s="1"/>
  <c r="E19" i="45" l="1"/>
  <c r="E21" i="45"/>
  <c r="E20" i="45"/>
  <c r="E21" i="32" l="1"/>
  <c r="E19" i="32"/>
  <c r="E18" i="32"/>
  <c r="E16" i="32"/>
  <c r="E20" i="32"/>
</calcChain>
</file>

<file path=xl/sharedStrings.xml><?xml version="1.0" encoding="utf-8"?>
<sst xmlns="http://schemas.openxmlformats.org/spreadsheetml/2006/main" count="2045" uniqueCount="1135">
  <si>
    <t>SUBTOTAL</t>
  </si>
  <si>
    <t>Project Name:</t>
  </si>
  <si>
    <t>Compost Worksheet</t>
  </si>
  <si>
    <t>Edible Food Rescued
 (Short Tons)</t>
  </si>
  <si>
    <t>GGRFProgram@arb.ca.gov</t>
  </si>
  <si>
    <t>GHGReductions@CalRecycle.ca.gov</t>
  </si>
  <si>
    <t>Contact Name:</t>
  </si>
  <si>
    <t>Contact Phone Number:</t>
  </si>
  <si>
    <t>Contact Email:</t>
  </si>
  <si>
    <t>Compost</t>
  </si>
  <si>
    <t>Product</t>
  </si>
  <si>
    <t>Transportation</t>
  </si>
  <si>
    <t>Emission Factor</t>
  </si>
  <si>
    <t>Unit</t>
  </si>
  <si>
    <t>Emission Source</t>
  </si>
  <si>
    <t>Emission Reduction Factor</t>
  </si>
  <si>
    <t>Source</t>
  </si>
  <si>
    <t>http://www.valleyair.org/Grant_Programs/TAP/documents/C-15636-ACP/C-15636_ACP_FinalReport.pdf</t>
  </si>
  <si>
    <t>http://www.cleanmetrics.com/pages/ClimateChangeImpactofUSFoodWaste.pdf</t>
  </si>
  <si>
    <t>Compost Process &amp; Feedstock</t>
  </si>
  <si>
    <t>Windrow food waste</t>
  </si>
  <si>
    <t>Windrow green waste</t>
  </si>
  <si>
    <t>Composition of Feedstock 
(% Food Waste)</t>
  </si>
  <si>
    <t>Composition of Feedstock
(% Green Waste)</t>
  </si>
  <si>
    <t>Aerated static pile food waste</t>
  </si>
  <si>
    <t>Aerated static pile green waste</t>
  </si>
  <si>
    <t>http://www.arb.ca.gov/fuels/lcfs/121514hsad.pdf</t>
  </si>
  <si>
    <t>http://www.arb.ca.gov/fuels/lcfs/121514wastewater.pdf</t>
  </si>
  <si>
    <t>Feedstock Diverted for Windrow Composting 
(Short Tons)</t>
  </si>
  <si>
    <t>Feedstock Diverted for ASP System Composting 
(Short Tons)</t>
  </si>
  <si>
    <t>Residual Material  Sent to Landfill
(Short Tons)</t>
  </si>
  <si>
    <t>GHG Summary</t>
  </si>
  <si>
    <t>Electricity emission factor</t>
  </si>
  <si>
    <r>
      <t>MTCO</t>
    </r>
    <r>
      <rPr>
        <vertAlign val="subscript"/>
        <sz val="11"/>
        <color theme="1"/>
        <rFont val="Calibri"/>
        <family val="2"/>
        <scheme val="minor"/>
      </rPr>
      <t>2</t>
    </r>
    <r>
      <rPr>
        <sz val="11"/>
        <color theme="1"/>
        <rFont val="Calibri"/>
        <family val="2"/>
        <scheme val="minor"/>
      </rPr>
      <t>e/short ton feedstock</t>
    </r>
  </si>
  <si>
    <r>
      <t>MTCO</t>
    </r>
    <r>
      <rPr>
        <vertAlign val="subscript"/>
        <sz val="11"/>
        <color theme="1"/>
        <rFont val="Calibri"/>
        <family val="2"/>
        <scheme val="minor"/>
      </rPr>
      <t>2</t>
    </r>
    <r>
      <rPr>
        <sz val="11"/>
        <color theme="1"/>
        <rFont val="Calibri"/>
        <family val="2"/>
        <scheme val="minor"/>
      </rPr>
      <t>e/kWh</t>
    </r>
  </si>
  <si>
    <t>Food Waste Prevention Worksheet</t>
  </si>
  <si>
    <t>Food Waste Prevention</t>
  </si>
  <si>
    <t>Emission Reduction Factors Worksheet</t>
  </si>
  <si>
    <t>Net Tons of Material Diverted
(Short Tons)</t>
  </si>
  <si>
    <t>http://www.climateactionreserve.org/wp-content/uploads/2009/10/Organic_Waste_Digestion_Project_Protocol_Version2.1.pdf</t>
  </si>
  <si>
    <t>MTCO2e/short ton feedstock</t>
  </si>
  <si>
    <t>Source Reduction of Food Waste</t>
  </si>
  <si>
    <t>Source Reduction of Food Waste
(Short Tons)</t>
  </si>
  <si>
    <t>Fugitive landfill emission factor food waste</t>
  </si>
  <si>
    <t>Fugitive landfill emission factor green waste</t>
  </si>
  <si>
    <t>Refrigeration &amp; Freezer Equipment</t>
  </si>
  <si>
    <t>Refrigerant Charge Size
(lbs)</t>
  </si>
  <si>
    <r>
      <t>Volume of System 
(ft</t>
    </r>
    <r>
      <rPr>
        <vertAlign val="superscript"/>
        <sz val="11"/>
        <color theme="1"/>
        <rFont val="Calibri"/>
        <family val="2"/>
        <scheme val="minor"/>
      </rPr>
      <t>3</t>
    </r>
    <r>
      <rPr>
        <sz val="11"/>
        <color theme="1"/>
        <rFont val="Calibri"/>
        <family val="2"/>
        <scheme val="minor"/>
      </rPr>
      <t>)</t>
    </r>
  </si>
  <si>
    <t>Equipment Type 
(select from options)</t>
  </si>
  <si>
    <t>Refrigerant Type
(select from options)</t>
  </si>
  <si>
    <t>R-401A</t>
  </si>
  <si>
    <t>R-404A</t>
  </si>
  <si>
    <t>R-407C</t>
  </si>
  <si>
    <t>R-410A</t>
  </si>
  <si>
    <t>R-500</t>
  </si>
  <si>
    <t>R-502</t>
  </si>
  <si>
    <t>R-507</t>
  </si>
  <si>
    <t>MTCO2e/metric ton</t>
  </si>
  <si>
    <t>Emissions from Energy Consumption</t>
  </si>
  <si>
    <t>kWh/year</t>
  </si>
  <si>
    <r>
      <t>kWh/year by ft</t>
    </r>
    <r>
      <rPr>
        <vertAlign val="superscript"/>
        <sz val="11"/>
        <color theme="1"/>
        <rFont val="Calibri"/>
        <family val="2"/>
        <scheme val="minor"/>
      </rPr>
      <t>3</t>
    </r>
    <r>
      <rPr>
        <sz val="11"/>
        <color theme="1"/>
        <rFont val="Calibri"/>
        <family val="2"/>
        <scheme val="minor"/>
      </rPr>
      <t xml:space="preserve"> of volume</t>
    </r>
  </si>
  <si>
    <r>
      <t>kWh/year per ft</t>
    </r>
    <r>
      <rPr>
        <vertAlign val="superscript"/>
        <sz val="11"/>
        <color theme="1"/>
        <rFont val="Calibri"/>
        <family val="2"/>
        <scheme val="minor"/>
      </rPr>
      <t>3</t>
    </r>
    <r>
      <rPr>
        <sz val="11"/>
        <color theme="1"/>
        <rFont val="Calibri"/>
        <family val="2"/>
        <scheme val="minor"/>
      </rPr>
      <t xml:space="preserve"> of volume</t>
    </r>
  </si>
  <si>
    <t xml:space="preserve">kWh/year </t>
  </si>
  <si>
    <t>minimum value kWh/year</t>
  </si>
  <si>
    <t>Food waste prevention</t>
  </si>
  <si>
    <t>GWPs of Refrigerants</t>
  </si>
  <si>
    <t>Refrigerant Leakage Assumptions</t>
  </si>
  <si>
    <t>10 CFR 431.66 - Energy conservation standards and their effective dates</t>
  </si>
  <si>
    <t>Refrigerant Charge Size</t>
  </si>
  <si>
    <t>R-11</t>
  </si>
  <si>
    <t>R-12</t>
  </si>
  <si>
    <t>R-22</t>
  </si>
  <si>
    <t>R-123</t>
  </si>
  <si>
    <t>R-134a</t>
  </si>
  <si>
    <t>R-236fa</t>
  </si>
  <si>
    <t>Additional documentation on how the emission reduction factors used in the calculator were developed is available from:</t>
  </si>
  <si>
    <r>
      <t>Global Warming Potential of Refrigerant (CO</t>
    </r>
    <r>
      <rPr>
        <vertAlign val="subscript"/>
        <sz val="11"/>
        <color theme="1"/>
        <rFont val="Calibri"/>
        <family val="2"/>
        <scheme val="minor"/>
      </rPr>
      <t>2</t>
    </r>
    <r>
      <rPr>
        <sz val="11"/>
        <color theme="1"/>
        <rFont val="Calibri"/>
        <family val="2"/>
        <scheme val="minor"/>
      </rPr>
      <t>e)</t>
    </r>
  </si>
  <si>
    <t>R-407A</t>
  </si>
  <si>
    <t>R-14</t>
  </si>
  <si>
    <t>R-113</t>
  </si>
  <si>
    <t>R-225cb</t>
  </si>
  <si>
    <t>R-225ca</t>
  </si>
  <si>
    <t>R-23</t>
  </si>
  <si>
    <t>R-143a</t>
  </si>
  <si>
    <t>R-245fa</t>
  </si>
  <si>
    <t>R-407F</t>
  </si>
  <si>
    <t>R-408A</t>
  </si>
  <si>
    <t>R-409A</t>
  </si>
  <si>
    <t>R-414B</t>
  </si>
  <si>
    <t>R-416A</t>
  </si>
  <si>
    <t>R-417A</t>
  </si>
  <si>
    <t>R-422A</t>
  </si>
  <si>
    <t>R-422B</t>
  </si>
  <si>
    <t>R-422C</t>
  </si>
  <si>
    <t>R-422D</t>
  </si>
  <si>
    <t>R-427A</t>
  </si>
  <si>
    <t>R-401B</t>
  </si>
  <si>
    <t>R-402B</t>
  </si>
  <si>
    <t>R-402A</t>
  </si>
  <si>
    <t>R-406A</t>
  </si>
  <si>
    <t>R-434A</t>
  </si>
  <si>
    <t>R-438A</t>
  </si>
  <si>
    <t>R-448A</t>
  </si>
  <si>
    <t>R-508B</t>
  </si>
  <si>
    <t>R-717</t>
  </si>
  <si>
    <t>R-744</t>
  </si>
  <si>
    <t>Hot Shot 2</t>
  </si>
  <si>
    <t>Isceon MO89</t>
  </si>
  <si>
    <t>Average Annual Leak Rate</t>
  </si>
  <si>
    <t>%</t>
  </si>
  <si>
    <t>http://www.arb.ca.gov/cc/waste/cerffinal.pdf</t>
  </si>
  <si>
    <t>Commercial Refrigeration systems with charge &lt; 50 lbs</t>
  </si>
  <si>
    <t>Commercial Refrigeration systems with charge 50 lbs to &lt; 200 lbs</t>
  </si>
  <si>
    <t>Commercial Refrigeration systems with charge 200 lbs to &lt; 2,000 lbs</t>
  </si>
  <si>
    <t>Commercial Refrigeration systems with charge ≥ 2,000 lbs</t>
  </si>
  <si>
    <t>Commercial Refrigerator with solid doors</t>
  </si>
  <si>
    <t>Commercial Refrigerator with transparent doors</t>
  </si>
  <si>
    <t>Commercial Freezer with solid doors</t>
  </si>
  <si>
    <t>Commercial Freezer with transparent doors</t>
  </si>
  <si>
    <t>Commercial Refrigerator/freezer with solid doors</t>
  </si>
  <si>
    <t>Residential Refrigerator/Freezer Combination</t>
  </si>
  <si>
    <t>Residential Freezer Only</t>
  </si>
  <si>
    <t>Residential Refrigerator Only</t>
  </si>
  <si>
    <t>LCFS Pathway for the Production of Biomethane from High Solids Anaerobic Digestion of Organic (Food and Green) Waste</t>
  </si>
  <si>
    <t>The Climate Change and Economic Impacts of Food Waste in the United States</t>
  </si>
  <si>
    <t>Primary Source</t>
  </si>
  <si>
    <t>Small-Medium Facility - Landfill Digestate</t>
  </si>
  <si>
    <t>Medium-Large Facility - Landfill Digestate</t>
  </si>
  <si>
    <t>Small-Medium Facility - Compost Digestate</t>
  </si>
  <si>
    <t>Medium-Large Facility - Compost Digestate</t>
  </si>
  <si>
    <t>LCFS Pathway for the Production of Biomethane from the Mesophilic Anaerobic Digestion of Wastewater Sludge at Publicly-Owned Treatment Works</t>
  </si>
  <si>
    <t>Fugitive landfill emission factor (assumes 40% food waste 60% green waste per LCFS pathway)</t>
  </si>
  <si>
    <t>R-290</t>
  </si>
  <si>
    <t>Standalone Anaerobic Digestion</t>
  </si>
  <si>
    <t>Standalone Anaerobic Digestion (AD) Worksheet</t>
  </si>
  <si>
    <t>Co-Digestion of Organics at Wastewater Treatment Plants (Co-Digestion) Worksheet</t>
  </si>
  <si>
    <t>Co-Digestion of Organics at Wastewater Treatment Plants</t>
  </si>
  <si>
    <t>Fugitive landfill food waste emission factor</t>
  </si>
  <si>
    <t>R-600a</t>
  </si>
  <si>
    <t>R-170</t>
  </si>
  <si>
    <t>R-601</t>
  </si>
  <si>
    <t>R-161</t>
  </si>
  <si>
    <t>R-152a</t>
  </si>
  <si>
    <t>R-124</t>
  </si>
  <si>
    <t>R-32</t>
  </si>
  <si>
    <t>R-141b</t>
  </si>
  <si>
    <t>R-365mfc</t>
  </si>
  <si>
    <t>R-414A</t>
  </si>
  <si>
    <t>R-4310mee</t>
  </si>
  <si>
    <t>R-437A</t>
  </si>
  <si>
    <t>R-413A</t>
  </si>
  <si>
    <t>R-423A</t>
  </si>
  <si>
    <t>R-142b</t>
  </si>
  <si>
    <t>R-424A</t>
  </si>
  <si>
    <t>R-421A</t>
  </si>
  <si>
    <t>R-227ea</t>
  </si>
  <si>
    <t>R-125</t>
  </si>
  <si>
    <t>R-403B</t>
  </si>
  <si>
    <t>EP-88</t>
  </si>
  <si>
    <t>R-13b1</t>
  </si>
  <si>
    <t>R-115</t>
  </si>
  <si>
    <t>R-218</t>
  </si>
  <si>
    <t>R-114</t>
  </si>
  <si>
    <t>R-116</t>
  </si>
  <si>
    <t>R-13</t>
  </si>
  <si>
    <t>R-503</t>
  </si>
  <si>
    <t>R-449</t>
  </si>
  <si>
    <t>Loan Program (FY 2015-16)</t>
  </si>
  <si>
    <t>Grant Program (FY 2016-17)</t>
  </si>
  <si>
    <t>Net GHG Benefit
(MTCO2e)</t>
  </si>
  <si>
    <t>Residual Foodwaste - Windrow (Short Tons)</t>
  </si>
  <si>
    <t>Residual Greenwaste - Windrow (Short Tons)</t>
  </si>
  <si>
    <t>Residual Foodwaste - ASP (Short Tons)</t>
  </si>
  <si>
    <t>Residual Greenwaste - ASP (Short Tons)</t>
  </si>
  <si>
    <t>Residual Attributed to Windrow (Short Tons)</t>
  </si>
  <si>
    <t>Residual Attributed to ASP (Short Tons)</t>
  </si>
  <si>
    <t>Renewable Fuel Generation 
(gallons)</t>
  </si>
  <si>
    <t>Renewable Energy Generation
(kWh)</t>
  </si>
  <si>
    <t>Renewable Energy Generation
(scf)</t>
  </si>
  <si>
    <t>Co-Digestion of Organics at Wastewater Treatment Plants - Medium-Large Facility</t>
  </si>
  <si>
    <t>PM2.5</t>
  </si>
  <si>
    <t>Diesel PM</t>
  </si>
  <si>
    <t>ROG</t>
  </si>
  <si>
    <t>Large Walk In Refrigerator</t>
  </si>
  <si>
    <t>Small Walk In Refrigerator</t>
  </si>
  <si>
    <t>Small Walk In Freezer</t>
  </si>
  <si>
    <t>Large Walk In Freezer</t>
  </si>
  <si>
    <t>Applicant Entered Refrigerant Charge Size
(lbs)</t>
  </si>
  <si>
    <t>Refrigerant Charge Size Used for Calcs
(lbs)</t>
  </si>
  <si>
    <t>Default Value</t>
  </si>
  <si>
    <t>Leakage Rate</t>
  </si>
  <si>
    <t>Number of Identical Units</t>
  </si>
  <si>
    <t>Leakage GHG Emissions (MTCO2e)</t>
  </si>
  <si>
    <t>lbs/MT</t>
  </si>
  <si>
    <t>Total</t>
  </si>
  <si>
    <t>GHG Reductions</t>
  </si>
  <si>
    <t>New Vehicle Type 
(select from options)</t>
  </si>
  <si>
    <t>Number of Identical Vehicles</t>
  </si>
  <si>
    <t xml:space="preserve">Van </t>
  </si>
  <si>
    <t>Refrigerated Van</t>
  </si>
  <si>
    <t>Box Truck</t>
  </si>
  <si>
    <t>Refrigerated Box Truck</t>
  </si>
  <si>
    <t>Heavy Duty Truck</t>
  </si>
  <si>
    <t>Total GHG Emissions from Refrigeration Equipment (MTCO2e)</t>
  </si>
  <si>
    <t>Average Miles per Year for a Delivery Truck</t>
  </si>
  <si>
    <t>Miles/Year</t>
  </si>
  <si>
    <t>US Department of Transportation: Table VM-1 Annual Vehicle Distance Traveled in Miles and Related Data - 2014 by Highway Category and Vehicle Type</t>
  </si>
  <si>
    <t>Total VMT (Miles/Year)</t>
  </si>
  <si>
    <t>Total Energy GHG Emissions from Energy Consumption (MTCO2e)</t>
  </si>
  <si>
    <t>Energy Consumption Calcs</t>
  </si>
  <si>
    <t>New Refrigeration Equipment for Project (if necessary)</t>
  </si>
  <si>
    <t>New Vehicles for Project (if necessary)</t>
  </si>
  <si>
    <t>Annual GHG Emissions from Refrigeration Equipment 
(MTCO2e/Year)</t>
  </si>
  <si>
    <t>Annual GHG Emissions from New Vehicle 
(MTCO2e/Year)</t>
  </si>
  <si>
    <t>Default Refrigerant Charge Sizes</t>
  </si>
  <si>
    <t>lbs</t>
  </si>
  <si>
    <t>Residential refrigerators/freezers and chest freezers</t>
  </si>
  <si>
    <t>Commercial Refrigerator/Freezers</t>
  </si>
  <si>
    <t>Small Walk In Refrigerator/Freezer</t>
  </si>
  <si>
    <t>Large Walk In Refrigerator/Freezer</t>
  </si>
  <si>
    <t>GHG Emissions - Electricity Usage</t>
  </si>
  <si>
    <t>GHG Emissions - Refrigerant Leakage</t>
  </si>
  <si>
    <t>g/mile</t>
  </si>
  <si>
    <t>GHG</t>
  </si>
  <si>
    <t>NOx</t>
  </si>
  <si>
    <t>g to MT</t>
  </si>
  <si>
    <t>Transportation Vehicle</t>
  </si>
  <si>
    <t>Refrigerated Heavy  Duty Truck</t>
  </si>
  <si>
    <t>Refrigerant Leak Rate</t>
  </si>
  <si>
    <t>Refrigerant Leak rate</t>
  </si>
  <si>
    <t>Refrigerant GWP (R-134A)</t>
  </si>
  <si>
    <t>Transportation GHG Emissions (MTCO2e/Year)</t>
  </si>
  <si>
    <t>Total Vehicle GHG Emissions (MTCO2e/Year)</t>
  </si>
  <si>
    <t>Transportation Refrigerant GHG Emissions (MTCO2e/Year)</t>
  </si>
  <si>
    <t>Transportation Refrigerant GHG Emissions</t>
  </si>
  <si>
    <t>PM2.5 Emissions</t>
  </si>
  <si>
    <t>Diesel PM Emissions</t>
  </si>
  <si>
    <t>g to lbs</t>
  </si>
  <si>
    <t>ROG Emissions (lbs/year)</t>
  </si>
  <si>
    <t>lbs/wet short ton of greenwaste</t>
  </si>
  <si>
    <t>ROG Flare Combustion Emission Factor - Greenwaste</t>
  </si>
  <si>
    <t>NOx Flare Combustion Emission Factor - Greenwaste</t>
  </si>
  <si>
    <t>PM2.5 Flare Combustion Emission Factor - Greenwaste</t>
  </si>
  <si>
    <t>ROG Flare Combustion Emission Factor - Foodwaste</t>
  </si>
  <si>
    <t>NOx Flare Combustion Emission Factor  - Foodwaste</t>
  </si>
  <si>
    <t>PM2.5 Flare Combustion Emission Factor  - Foodwaste</t>
  </si>
  <si>
    <t>lbs/wet short ton of foodwaste</t>
  </si>
  <si>
    <t>Avoided Landfill Flare Emissions</t>
  </si>
  <si>
    <t>Grid Electricity Emission Factors</t>
  </si>
  <si>
    <t>ROG Electricity Emission Factor</t>
  </si>
  <si>
    <t>NOx Electricity Emission Factor</t>
  </si>
  <si>
    <t>lbs/kWh</t>
  </si>
  <si>
    <t>PM2.5 Electricity Emission Factor</t>
  </si>
  <si>
    <t>NOx Emissions</t>
  </si>
  <si>
    <t>NOx Emissions (lbs/year)</t>
  </si>
  <si>
    <t>PM2.5 Emissions (lbs/year)</t>
  </si>
  <si>
    <t>Net Avoided ROG Emissions (lbs)</t>
  </si>
  <si>
    <t>Net Avoided NOx Emissions (lbs)</t>
  </si>
  <si>
    <t>Net Avoided PM2.5 Emissions (lbs)</t>
  </si>
  <si>
    <t>Avoided ROG Emissions (lbs)</t>
  </si>
  <si>
    <t>Avoided NOx Emissions (lbs)</t>
  </si>
  <si>
    <t>Avoided PM2.5 Emissions (lbs)</t>
  </si>
  <si>
    <t>Net Avoided Diesel PM Emissions (lbs)</t>
  </si>
  <si>
    <t xml:space="preserve">Transportation GHG Emissions </t>
  </si>
  <si>
    <t>Net GHG Reductions (MTCO2e)</t>
  </si>
  <si>
    <t>Emissions per ton of food</t>
  </si>
  <si>
    <t>miles per trip</t>
  </si>
  <si>
    <t>g</t>
  </si>
  <si>
    <t>lb</t>
  </si>
  <si>
    <t>lbs of food per truck delivery</t>
  </si>
  <si>
    <t>lb pollutant/lb of food</t>
  </si>
  <si>
    <t>lb pollutant/ton of food</t>
  </si>
  <si>
    <t>Avoided Diesel PM Emissions (lbs)</t>
  </si>
  <si>
    <t xml:space="preserve">ROG Avoided Transportation Emission Factor </t>
  </si>
  <si>
    <t>NOx Avoided Transportation Emission Factor</t>
  </si>
  <si>
    <t xml:space="preserve">PM2.5 Avoided Transportation Emission Factor </t>
  </si>
  <si>
    <t xml:space="preserve">Diesel PM Avoided Transportation Emission Factor </t>
  </si>
  <si>
    <t>lbs/short ton of foodwaste</t>
  </si>
  <si>
    <t>Avoided Flare and Food Transportation Emissions</t>
  </si>
  <si>
    <t>http://www.dot.ca.gov/trafficops/trucks/weight.html</t>
  </si>
  <si>
    <t>Composting Emission Factors</t>
  </si>
  <si>
    <t>Windrow</t>
  </si>
  <si>
    <t>ROG Windrow Emission Factor - Greenwaste</t>
  </si>
  <si>
    <t>ROG Windrow Emission Factor - Foodwaste</t>
  </si>
  <si>
    <t>Aerated Static Pile</t>
  </si>
  <si>
    <t>ROG ASP Emission Factor - Greenwaste</t>
  </si>
  <si>
    <t>ROG ASP Emission Factor - Foodwaste</t>
  </si>
  <si>
    <t>lb/wet short ton of feedstock</t>
  </si>
  <si>
    <t>ARB Emissions Inventory Methodology for Composting Factilities</t>
  </si>
  <si>
    <t>Food Waste Prevention - Avoided Food Transportation</t>
  </si>
  <si>
    <t>AP-42 - 13.2.4 Aggregate Handling And Storage Piles</t>
  </si>
  <si>
    <t>ROG 
(lbs)</t>
  </si>
  <si>
    <t>NOx 
(lbs)</t>
  </si>
  <si>
    <t>PM2.5 
(lbs)</t>
  </si>
  <si>
    <t>Greenwaste ROG 
(lbs)</t>
  </si>
  <si>
    <t>Greenwaste NOx 
(lbs)</t>
  </si>
  <si>
    <t>Greenwaste PM2.5 
(lbs)</t>
  </si>
  <si>
    <t>Foodwaste ROG 
(lbs)</t>
  </si>
  <si>
    <t>Foodwaste NOx 
(lbs)</t>
  </si>
  <si>
    <t>Foodwaste PM2.5 
(lbs)</t>
  </si>
  <si>
    <t xml:space="preserve">NOx Windrow Emission Factor </t>
  </si>
  <si>
    <t xml:space="preserve">PM2.5 Windrow Emission Factor </t>
  </si>
  <si>
    <t>NOx ASP Emission Factor</t>
  </si>
  <si>
    <t>PM2.5 ASP Emission Factor</t>
  </si>
  <si>
    <t>Conversion of wet tons of compost to dry tons of compost for compost with C:N&gt;11</t>
  </si>
  <si>
    <t>ton wet compost/ton dry compost</t>
  </si>
  <si>
    <t>Compost Application Rate to Farm Land</t>
  </si>
  <si>
    <t>Amount of compost to agricultural sources</t>
  </si>
  <si>
    <t>dry tons/acre-year</t>
  </si>
  <si>
    <t>Compost Application Co-benefits</t>
  </si>
  <si>
    <t>Conversion of wet tons of waste to wet tons of compost</t>
  </si>
  <si>
    <t>wet tons waste/wet tons compost</t>
  </si>
  <si>
    <t>Quantification Period</t>
  </si>
  <si>
    <t>years</t>
  </si>
  <si>
    <t>Million BTU to kWh</t>
  </si>
  <si>
    <t>Gasoline Van GHG Emissions</t>
  </si>
  <si>
    <t>Hybrid Van GHG Emissions</t>
  </si>
  <si>
    <t>Plug-in Hybrid Van GHG Emissions</t>
  </si>
  <si>
    <t>Fuel Cell Electric Van GHG Emissions</t>
  </si>
  <si>
    <t>Diesel Box Truck GHG Emissions</t>
  </si>
  <si>
    <t>Hybrid Box Truck GHG Emissions</t>
  </si>
  <si>
    <t>Diesel Heavy Duty Truck</t>
  </si>
  <si>
    <t>Battery Electric Heavy Duty Truck</t>
  </si>
  <si>
    <t>Battery Electric Van GHG Emissions</t>
  </si>
  <si>
    <t>Battery Electric Box Truck GHG Emissions</t>
  </si>
  <si>
    <t>Gasoline Van ROG Emissions</t>
  </si>
  <si>
    <t>Gasoline Van NOx Emissions</t>
  </si>
  <si>
    <t>Gasoline Van PM2.5 Emissions</t>
  </si>
  <si>
    <t>Hybrid Van ROG Emissions</t>
  </si>
  <si>
    <t>Hybrid Van NOx Emissions</t>
  </si>
  <si>
    <t>Hybrid Van PM2.5 Emissions</t>
  </si>
  <si>
    <t>Plug-in Hybrid Van ROG Emissions</t>
  </si>
  <si>
    <t>Plug-in Hybrid Van NOx Emissions</t>
  </si>
  <si>
    <t>Plug-in Hybrid Van PM2.5 Emissions</t>
  </si>
  <si>
    <t>Battery Electric Van ROG Emissions</t>
  </si>
  <si>
    <t>Battery Electric Van NOx Emissions</t>
  </si>
  <si>
    <t>Battery Electric Van PM2.5 Emissions</t>
  </si>
  <si>
    <t>Fuel Cell Electric Van ROG Emissions</t>
  </si>
  <si>
    <t>Fuel Cell Electric Van NOx Emissions</t>
  </si>
  <si>
    <t>Fuel Cell Electric Van PM2.5 Emissions</t>
  </si>
  <si>
    <t>Diesel Box Truck ROG Emissions</t>
  </si>
  <si>
    <t>Diesel Box Truck NOx Emissions</t>
  </si>
  <si>
    <t>Diesel Box Truck PM2.5 Emissions</t>
  </si>
  <si>
    <t>Hybrid Box Truck Diesel PM Emissions</t>
  </si>
  <si>
    <t>Hybrid Box Truck ROG Emissions</t>
  </si>
  <si>
    <t>Hybrid Box Truck NOx Emissions</t>
  </si>
  <si>
    <t>Hybrid Box Truck PM2.5 Emissions</t>
  </si>
  <si>
    <t>Battery Electric Box Truck Diesel PM Emissions</t>
  </si>
  <si>
    <t>Battery Electric Box Truck ROG Emissions</t>
  </si>
  <si>
    <t>Battery Electric Box Truck NOx Emissions</t>
  </si>
  <si>
    <t>Battery Electric Box Truck PM2.5 Emissions</t>
  </si>
  <si>
    <t>Diesel Heavy Duty Truck Diesel PM Emissions</t>
  </si>
  <si>
    <t>Battery Electric Heavy Duty Truck ROG Emissions</t>
  </si>
  <si>
    <t>Battery Electric Heavy Duty Truck NOx Emissions</t>
  </si>
  <si>
    <t>Battery Electric Heavy Duty Truck PM2.5 Emissions</t>
  </si>
  <si>
    <t>Battery Electric Heavy Duty Truck Diesel PM Emissions</t>
  </si>
  <si>
    <t>Hybrid Van</t>
  </si>
  <si>
    <t>Refrigerated Hybrid Van</t>
  </si>
  <si>
    <t>Plug-in Hybrid Van</t>
  </si>
  <si>
    <t>Refrigerated Plug-in Hybrid Van</t>
  </si>
  <si>
    <t>Battery Electric Van</t>
  </si>
  <si>
    <t>Refrigerated Battery Electric Van</t>
  </si>
  <si>
    <t>Fuel Cell Electric Van</t>
  </si>
  <si>
    <t>Refrigerated Fuel Cell Electric Van</t>
  </si>
  <si>
    <t>Hybrid Box Truck</t>
  </si>
  <si>
    <t>Refrigerated Hybrid Box Truck</t>
  </si>
  <si>
    <t>Battery Electric Box Truck</t>
  </si>
  <si>
    <t>Refrigerated Battery Electric Box Truck</t>
  </si>
  <si>
    <t>Refrigerated Heavy Duty Truck</t>
  </si>
  <si>
    <t>Refrigerated Battery Electric Heavy Duty Truck</t>
  </si>
  <si>
    <t>Co-benefit</t>
  </si>
  <si>
    <t>Factor</t>
  </si>
  <si>
    <t>kWh/short ton of feedstock</t>
  </si>
  <si>
    <t>gal of diesel eq/short ton of feedstock</t>
  </si>
  <si>
    <t>scf/short tons feedstock</t>
  </si>
  <si>
    <t>California Air Resources Board, Low Carbon Fuel Standard (LCFS) Pathway for the Production of Biomethane from High Solids Anaerobic Digestion (HSAD) of Organic (Food and Green) Wastes (2014)</t>
  </si>
  <si>
    <t>Co-Digestion of Organics at Wastewater Treatment Plants - Small-Medium Facility - Co-benefits Factors</t>
  </si>
  <si>
    <t>California Air Resources Board, Low Carbon Fuel Standard (LCFS) Pathway for the Production of Biomethane from Mesophilic Anaerobic Digestion of Wastewater Sludge at a Publicly Owned Treatment Works (2014)</t>
  </si>
  <si>
    <t>Diesel Box Truck PM Emissions</t>
  </si>
  <si>
    <t>Standalone Digestion of Organics - Co-benefits Emission Factors</t>
  </si>
  <si>
    <t>Standalone Digestion of Organics - Co-benefits Emission Reduction Factors</t>
  </si>
  <si>
    <t>Digester Heat Loading Requirements
(scf)</t>
  </si>
  <si>
    <t>Electricity Consumption
(kWh)</t>
  </si>
  <si>
    <t xml:space="preserve"> Fossil Energy Use for Hydrolysis Unit Loading
(gallons)</t>
  </si>
  <si>
    <t>gal of diesel/short ton of feedstock</t>
  </si>
  <si>
    <t>Renewable Fuel Production
(gallons)</t>
  </si>
  <si>
    <t>ROG Natural Gas Emission Factor</t>
  </si>
  <si>
    <t>NOx Natural Gas Emission Factor</t>
  </si>
  <si>
    <t>PM2.5 Natural Gas Emission Factor</t>
  </si>
  <si>
    <t>Emissions</t>
  </si>
  <si>
    <t>Emission Reductions</t>
  </si>
  <si>
    <t>Diesel PM Emission Factor</t>
  </si>
  <si>
    <t>PM2.5 Emission Factor</t>
  </si>
  <si>
    <t>ROG Emission Factor</t>
  </si>
  <si>
    <t>NOx  Emission Factor</t>
  </si>
  <si>
    <r>
      <t>lbs/</t>
    </r>
    <r>
      <rPr>
        <sz val="11"/>
        <color theme="1"/>
        <rFont val="Calibri"/>
        <family val="2"/>
        <scheme val="minor"/>
      </rPr>
      <t>scf</t>
    </r>
  </si>
  <si>
    <t>Natural Gas Combustion Emission Factors</t>
  </si>
  <si>
    <t>Facility Size</t>
  </si>
  <si>
    <t>Digestate Handling</t>
  </si>
  <si>
    <t>Final Use of Generated Fuel</t>
  </si>
  <si>
    <t>Less than 21 million gallons treated per day</t>
  </si>
  <si>
    <t>Landfill/Use for ADC</t>
  </si>
  <si>
    <t xml:space="preserve">Compost </t>
  </si>
  <si>
    <t>Vehicle Fuel</t>
  </si>
  <si>
    <t>Electricity Generation</t>
  </si>
  <si>
    <t>Injection in Utility Pipeline</t>
  </si>
  <si>
    <t>Feedstock Diverted for Anaerobic Digestion
(Short Tons)</t>
  </si>
  <si>
    <t>Note to applicants:</t>
  </si>
  <si>
    <t>Traditional Windrow</t>
  </si>
  <si>
    <t>Aerated Static Pile Composting</t>
  </si>
  <si>
    <t>Composting Worksheet</t>
  </si>
  <si>
    <t>California Air Resources Board</t>
  </si>
  <si>
    <t>Benefits Calculator Tool for the</t>
  </si>
  <si>
    <t>California Climate Investments</t>
  </si>
  <si>
    <t>ABOUT:</t>
  </si>
  <si>
    <t>More information:</t>
  </si>
  <si>
    <t>Applicant ID:</t>
  </si>
  <si>
    <t>Date Calculator Completed:</t>
  </si>
  <si>
    <t>Other GGRF Leveraged Funds ($):</t>
  </si>
  <si>
    <t>Non-GGRF Leveraged Funds ($):</t>
  </si>
  <si>
    <t>Total Funds ($):</t>
  </si>
  <si>
    <t>Key for color-coded fields:</t>
  </si>
  <si>
    <t>Green</t>
  </si>
  <si>
    <t>Required input field</t>
  </si>
  <si>
    <t>Blue</t>
  </si>
  <si>
    <t>Optional input field*</t>
  </si>
  <si>
    <t>Grey</t>
  </si>
  <si>
    <t>Output field / not modifiable</t>
  </si>
  <si>
    <t>Yellow</t>
  </si>
  <si>
    <t>Helpful hints / important tips</t>
  </si>
  <si>
    <t>Black</t>
  </si>
  <si>
    <t>Not applicable</t>
  </si>
  <si>
    <t>*See "Documentation" tab for additional information</t>
  </si>
  <si>
    <t>Project Information</t>
  </si>
  <si>
    <t xml:space="preserve">Project Name </t>
  </si>
  <si>
    <t>Other GGRF Leveraged Funds ($)</t>
  </si>
  <si>
    <t>Non-GGRF Leveraged Funds ($)</t>
  </si>
  <si>
    <t>Total Funds ($)</t>
  </si>
  <si>
    <t>General Documentation</t>
  </si>
  <si>
    <t>The following checklist is provided as a guide to applicants; additional data and/or information may be necessary to support project-specific input assumptions.</t>
  </si>
  <si>
    <t>Documentation Description</t>
  </si>
  <si>
    <t>Completed?</t>
  </si>
  <si>
    <t>Contact information for the person who can answer project specific questions from staff reviewers on the quantification calculations</t>
  </si>
  <si>
    <t>Project-Specific Documentation</t>
  </si>
  <si>
    <t>Additional Documentation</t>
  </si>
  <si>
    <t>Waste Diversion</t>
  </si>
  <si>
    <t xml:space="preserve">• Documentation to support estimates of newly diverted waste and
location(s) of landfills from which waste is diverted (public
documents or private agreements) </t>
  </si>
  <si>
    <t>Organics Grant Program</t>
  </si>
  <si>
    <t>Emission Reduction Factors for Organics Projects - Composting</t>
  </si>
  <si>
    <t xml:space="preserve">Primary Source: </t>
  </si>
  <si>
    <t>Additional sources used as appropriate and noted below</t>
  </si>
  <si>
    <t>Material and Compost Method</t>
  </si>
  <si>
    <r>
      <t>Emission Reduction Factor
(MTCO</t>
    </r>
    <r>
      <rPr>
        <vertAlign val="subscript"/>
        <sz val="11"/>
        <color theme="1"/>
        <rFont val="Calibri"/>
        <family val="2"/>
        <scheme val="minor"/>
      </rPr>
      <t>2</t>
    </r>
    <r>
      <rPr>
        <sz val="11"/>
        <color theme="1"/>
        <rFont val="Calibri"/>
        <family val="2"/>
        <scheme val="minor"/>
      </rPr>
      <t>e/short ton)</t>
    </r>
  </si>
  <si>
    <r>
      <t>Aerated static pile food waste</t>
    </r>
    <r>
      <rPr>
        <vertAlign val="superscript"/>
        <sz val="11"/>
        <color theme="1"/>
        <rFont val="Calibri"/>
        <family val="2"/>
        <scheme val="minor"/>
      </rPr>
      <t>1</t>
    </r>
  </si>
  <si>
    <r>
      <t>Aerated static pile green waste</t>
    </r>
    <r>
      <rPr>
        <vertAlign val="superscript"/>
        <sz val="11"/>
        <color theme="1"/>
        <rFont val="Calibri"/>
        <family val="2"/>
        <scheme val="minor"/>
      </rPr>
      <t>1</t>
    </r>
  </si>
  <si>
    <t>Table 14. Summary of compost emission reduction factor (CERF)</t>
  </si>
  <si>
    <t>Emission Type</t>
  </si>
  <si>
    <r>
      <t>Emission 
(MTCO</t>
    </r>
    <r>
      <rPr>
        <vertAlign val="subscript"/>
        <sz val="11"/>
        <color theme="1"/>
        <rFont val="Calibri"/>
        <family val="2"/>
        <scheme val="minor"/>
      </rPr>
      <t>2</t>
    </r>
    <r>
      <rPr>
        <sz val="11"/>
        <color theme="1"/>
        <rFont val="Calibri"/>
        <family val="2"/>
        <scheme val="minor"/>
      </rPr>
      <t>e/ton of feedstock)</t>
    </r>
  </si>
  <si>
    <t>Transportation emissions</t>
  </si>
  <si>
    <t>Process emissions</t>
  </si>
  <si>
    <t>Fugitive CH4 emissions</t>
  </si>
  <si>
    <t>Fugitive N2O emissions</t>
  </si>
  <si>
    <t>Emission reduction type</t>
  </si>
  <si>
    <r>
      <t>Emission reduction 
(MTCO</t>
    </r>
    <r>
      <rPr>
        <vertAlign val="subscript"/>
        <sz val="11"/>
        <color theme="1"/>
        <rFont val="Calibri"/>
        <family val="2"/>
        <scheme val="minor"/>
      </rPr>
      <t>2</t>
    </r>
    <r>
      <rPr>
        <sz val="11"/>
        <color theme="1"/>
        <rFont val="Calibri"/>
        <family val="2"/>
        <scheme val="minor"/>
      </rPr>
      <t>e/ton of feedstock)</t>
    </r>
  </si>
  <si>
    <r>
      <t>Decreased soil erosion</t>
    </r>
    <r>
      <rPr>
        <vertAlign val="superscript"/>
        <sz val="11"/>
        <color theme="1"/>
        <rFont val="Calibri"/>
        <family val="2"/>
        <scheme val="minor"/>
      </rPr>
      <t>2</t>
    </r>
  </si>
  <si>
    <r>
      <t>Decreased fertilizer use</t>
    </r>
    <r>
      <rPr>
        <vertAlign val="superscript"/>
        <sz val="11"/>
        <color theme="1"/>
        <rFont val="Calibri"/>
        <family val="2"/>
        <scheme val="minor"/>
      </rPr>
      <t>2</t>
    </r>
  </si>
  <si>
    <r>
      <t>Decreased herbicide use</t>
    </r>
    <r>
      <rPr>
        <vertAlign val="superscript"/>
        <sz val="11"/>
        <color theme="1"/>
        <rFont val="Calibri"/>
        <family val="2"/>
        <scheme val="minor"/>
      </rPr>
      <t>2</t>
    </r>
  </si>
  <si>
    <t>Avoided landfill methane</t>
  </si>
  <si>
    <t>Food Waste</t>
  </si>
  <si>
    <t>Yard Trimmings</t>
  </si>
  <si>
    <t>Overall</t>
  </si>
  <si>
    <t>Feedstock Type</t>
  </si>
  <si>
    <t>[1] The source material assumes windrow composting.  ASP composting produces less fugitive emissions. Fugitive emissions have been reduced for the ASP emission reduction factor based on the following sources:</t>
  </si>
  <si>
    <t>San Joaquin Valley Air Pollution Control District, Greenwaste Compost Site Emissions Reductions from Solar‐powered Aeration and Biofilter Layer</t>
  </si>
  <si>
    <t>Climate Action Reserve Organic Waste Digestion Project Protocol Version 2.1 (2014)</t>
  </si>
  <si>
    <t>[2] Emission reductions resulting from the application of compost are outside of the GHG accounting boundary for this program and are excluded from the emission reduction factor.</t>
  </si>
  <si>
    <t>Emission Reduction Factors for Organics Projects - Standalone Anaerobic Digestion</t>
  </si>
  <si>
    <t>California Air Resources Board, Low Carbon Fuel Standard (LCFS) Pathway for the Production of Biomethane from High Solids Anaerobic Digestion (HSAD) of Organic (Food and Green) Wastes (2014) (LCFS HSAD Pathway)</t>
  </si>
  <si>
    <t>Product and Digestate Fate</t>
  </si>
  <si>
    <t>Producing Vehicle Fuel, Compost Digestate</t>
  </si>
  <si>
    <t>Producing Vehicle Fuel, Landfill Digestate</t>
  </si>
  <si>
    <t>Producing Electricity, Compost Digestate</t>
  </si>
  <si>
    <t>Producing Electricity, Landfill Digestate</t>
  </si>
  <si>
    <t>Fugitive Landfill Emission Factor</t>
  </si>
  <si>
    <t>Table Addendum-1: Carbon Intensity for Pathway CNG005 (Adjusted)*</t>
  </si>
  <si>
    <t>Parameter</t>
  </si>
  <si>
    <t>Output</t>
  </si>
  <si>
    <t>Pipeline Injection, Compost Digestate</t>
  </si>
  <si>
    <t>Pipeline Injection, Landfill Digestate</t>
  </si>
  <si>
    <t>Value</t>
  </si>
  <si>
    <t>Units</t>
  </si>
  <si>
    <r>
      <t>HSAD Process GHG Emissions</t>
    </r>
    <r>
      <rPr>
        <vertAlign val="superscript"/>
        <sz val="11"/>
        <color theme="1"/>
        <rFont val="Calibri"/>
        <family val="2"/>
        <scheme val="minor"/>
      </rPr>
      <t>1,2</t>
    </r>
  </si>
  <si>
    <t>See columns D-G</t>
  </si>
  <si>
    <r>
      <t>g CO</t>
    </r>
    <r>
      <rPr>
        <vertAlign val="subscript"/>
        <sz val="11"/>
        <color theme="1"/>
        <rFont val="Calibri"/>
        <family val="2"/>
        <scheme val="minor"/>
      </rPr>
      <t>2</t>
    </r>
    <r>
      <rPr>
        <sz val="11"/>
        <color theme="1"/>
        <rFont val="Calibri"/>
        <family val="2"/>
        <scheme val="minor"/>
      </rPr>
      <t>e/year</t>
    </r>
  </si>
  <si>
    <t>HSAD Process Heat Loading Requirements</t>
  </si>
  <si>
    <r>
      <t>HSAD Compost GHG Emissions</t>
    </r>
    <r>
      <rPr>
        <vertAlign val="superscript"/>
        <sz val="11"/>
        <color theme="1"/>
        <rFont val="Calibri"/>
        <family val="2"/>
        <scheme val="minor"/>
      </rPr>
      <t>3</t>
    </r>
  </si>
  <si>
    <t>Wastes Loading Fossil Fuel Use &amp; Emissions</t>
  </si>
  <si>
    <t>Total Fuel Cycle Electric Emissions</t>
  </si>
  <si>
    <t>Total No. 2 Diesel WTT Emissions</t>
  </si>
  <si>
    <t>Total HSAD Process Emissions</t>
  </si>
  <si>
    <r>
      <t>g CO</t>
    </r>
    <r>
      <rPr>
        <b/>
        <vertAlign val="subscript"/>
        <sz val="11"/>
        <color theme="1"/>
        <rFont val="Calibri"/>
        <family val="2"/>
        <scheme val="minor"/>
      </rPr>
      <t>2</t>
    </r>
    <r>
      <rPr>
        <b/>
        <sz val="11"/>
        <color theme="1"/>
        <rFont val="Calibri"/>
        <family val="2"/>
        <scheme val="minor"/>
      </rPr>
      <t>e/year</t>
    </r>
  </si>
  <si>
    <r>
      <t>GHG Emissions from CNG Combustion</t>
    </r>
    <r>
      <rPr>
        <vertAlign val="superscript"/>
        <sz val="11"/>
        <color theme="1"/>
        <rFont val="Calibri"/>
        <family val="2"/>
        <scheme val="minor"/>
      </rPr>
      <t>1</t>
    </r>
  </si>
  <si>
    <t>Total Emissions</t>
  </si>
  <si>
    <r>
      <t>Carbon Credit from Avoided Landfill Emissions</t>
    </r>
    <r>
      <rPr>
        <vertAlign val="superscript"/>
        <sz val="11"/>
        <color theme="1"/>
        <rFont val="Calibri"/>
        <family val="2"/>
        <scheme val="minor"/>
      </rPr>
      <t>4</t>
    </r>
  </si>
  <si>
    <r>
      <t>Credit for Avoided Grid Electricity</t>
    </r>
    <r>
      <rPr>
        <vertAlign val="superscript"/>
        <sz val="11"/>
        <color theme="1"/>
        <rFont val="Calibri"/>
        <family val="2"/>
        <scheme val="minor"/>
      </rPr>
      <t>5</t>
    </r>
  </si>
  <si>
    <t>Credit for Avoided Natural Gas</t>
  </si>
  <si>
    <t>Total Emission Reductions</t>
  </si>
  <si>
    <t>Net Annual GHG Emission Reduction</t>
  </si>
  <si>
    <t>Emission Reduction Factor (Electricity or Pipeline)</t>
  </si>
  <si>
    <t>See columns F-G</t>
  </si>
  <si>
    <r>
      <t>MTCO</t>
    </r>
    <r>
      <rPr>
        <b/>
        <vertAlign val="subscript"/>
        <sz val="11"/>
        <color theme="1"/>
        <rFont val="Calibri"/>
        <family val="2"/>
        <scheme val="minor"/>
      </rPr>
      <t>2</t>
    </r>
    <r>
      <rPr>
        <b/>
        <sz val="11"/>
        <color theme="1"/>
        <rFont val="Calibri"/>
        <family val="2"/>
        <scheme val="minor"/>
      </rPr>
      <t>e/ton</t>
    </r>
  </si>
  <si>
    <t>Carbon Intensity (CI) Value for HSAD Vehicle Fuel)</t>
  </si>
  <si>
    <t>See columns D-E</t>
  </si>
  <si>
    <r>
      <t>g CO</t>
    </r>
    <r>
      <rPr>
        <vertAlign val="subscript"/>
        <sz val="11"/>
        <color theme="1"/>
        <rFont val="Calibri"/>
        <family val="2"/>
        <scheme val="minor"/>
      </rPr>
      <t>2</t>
    </r>
    <r>
      <rPr>
        <sz val="11"/>
        <color theme="1"/>
        <rFont val="Calibri"/>
        <family val="2"/>
        <scheme val="minor"/>
      </rPr>
      <t>e/MJ</t>
    </r>
  </si>
  <si>
    <t>Emission Reduction Factor (Vehicle Fuel)</t>
  </si>
  <si>
    <t>Table excerpted from California Air Resources Board, Low Carbon Fuel Standard (LCFS) Pathway for the Production of Biomethane from High Solids Anaerobic Digestion (HSAD) of Organic (Food and Green) Wastes (2014)</t>
  </si>
  <si>
    <t>*Values based on LCFS pathway assumptions have been adjusted where appropriate to match expected applicant scenarios under CalRecycle's Greenhouse Gas Reduction Grant and Loan Program and be consistent with emission/emission reduction factors used in other GGRF funded programs.  Footnotes are used to explain adjustments.</t>
  </si>
  <si>
    <t>Compostion of feedstock (percent food waste)</t>
  </si>
  <si>
    <t>percent</t>
  </si>
  <si>
    <t>LCFS HSAD Pathway p. 3</t>
  </si>
  <si>
    <t>Compostion of feedstock (percent green waste)</t>
  </si>
  <si>
    <t>Tons feedstock from LCFS HSAD pathway</t>
  </si>
  <si>
    <t>short tons</t>
  </si>
  <si>
    <t>LCFS HSAD Pathway p. 16</t>
  </si>
  <si>
    <t>Estimated Net Annual Biomethane Production</t>
  </si>
  <si>
    <t>scf/year</t>
  </si>
  <si>
    <t>LCFS HSAD Pathway p. 2</t>
  </si>
  <si>
    <t>MJ/year</t>
  </si>
  <si>
    <t>HSAD process CO2e emissions for HSAD to CNG</t>
  </si>
  <si>
    <t>HSAD process CO2e emissions for HSAD to electricity</t>
  </si>
  <si>
    <r>
      <t>MTCO</t>
    </r>
    <r>
      <rPr>
        <vertAlign val="subscript"/>
        <sz val="11"/>
        <color theme="1"/>
        <rFont val="Calibri"/>
        <family val="2"/>
        <scheme val="minor"/>
      </rPr>
      <t>2</t>
    </r>
    <r>
      <rPr>
        <sz val="11"/>
        <color theme="1"/>
        <rFont val="Calibri"/>
        <family val="2"/>
        <scheme val="minor"/>
      </rPr>
      <t>e/Year</t>
    </r>
  </si>
  <si>
    <r>
      <t>LCFS HSAD Pathway workbook</t>
    </r>
    <r>
      <rPr>
        <vertAlign val="superscript"/>
        <sz val="11"/>
        <rFont val="Calibri"/>
        <family val="2"/>
        <scheme val="minor"/>
      </rPr>
      <t>6</t>
    </r>
  </si>
  <si>
    <t>Emissions from feed compressor to biogas purification unit</t>
  </si>
  <si>
    <t>LCFS HSAD Pathway p. 34</t>
  </si>
  <si>
    <t>Emissions from product compressor to natural gas pipeline</t>
  </si>
  <si>
    <t>Combusted CO2 Emissions from Flare</t>
  </si>
  <si>
    <t>LCFS HSAD Pathway p. 36</t>
  </si>
  <si>
    <t>"Pass Through" CO2 Emissions from Flare</t>
  </si>
  <si>
    <t>Percent of diesel fuel used for waste loading</t>
  </si>
  <si>
    <t>LCFS HSAD Pathway p. 20</t>
  </si>
  <si>
    <t>CNG Combustion Emissions</t>
  </si>
  <si>
    <t>LCFS HSAD Pathway p. 57</t>
  </si>
  <si>
    <t>Biogenic CO2 Emissions from CNG Combustion</t>
  </si>
  <si>
    <t>scf/short ton of feedstock</t>
  </si>
  <si>
    <r>
      <t>Avoided grid electricity emission factor</t>
    </r>
    <r>
      <rPr>
        <vertAlign val="superscript"/>
        <sz val="11"/>
        <color theme="1"/>
        <rFont val="Calibri"/>
        <family val="2"/>
        <scheme val="minor"/>
      </rPr>
      <t>7</t>
    </r>
  </si>
  <si>
    <t>ARB GHG Inventory (2013)</t>
  </si>
  <si>
    <t>Avoided natural gas emission factor</t>
  </si>
  <si>
    <r>
      <t>MTCO</t>
    </r>
    <r>
      <rPr>
        <vertAlign val="subscript"/>
        <sz val="11"/>
        <color theme="1"/>
        <rFont val="Calibri"/>
        <family val="2"/>
        <scheme val="minor"/>
      </rPr>
      <t>2</t>
    </r>
    <r>
      <rPr>
        <sz val="11"/>
        <color theme="1"/>
        <rFont val="Calibri"/>
        <family val="2"/>
        <scheme val="minor"/>
      </rPr>
      <t>e/therm</t>
    </r>
  </si>
  <si>
    <t>EPA Emission Factors for Greenhouse Gas Inventories (2014)</t>
  </si>
  <si>
    <t>LHV of biomethane</t>
  </si>
  <si>
    <t>BTU/SCF</t>
  </si>
  <si>
    <t>LCFS Pathway for the Production of Biomethane from the
Mesophilic Anaerobic Digestion of Wastewater Sludge at a
Publicly-Owned Treatment Works (POTW) (2014)</t>
  </si>
  <si>
    <t>Assumed efficiency of microturbine</t>
  </si>
  <si>
    <t>INTECH, Micro Gas Turbine Engine: A Review (2014)</t>
  </si>
  <si>
    <t>Compost fugitive emissions (windrow &amp; ASP avg)</t>
  </si>
  <si>
    <r>
      <t>MTCO</t>
    </r>
    <r>
      <rPr>
        <vertAlign val="subscript"/>
        <sz val="11"/>
        <color theme="1"/>
        <rFont val="Calibri"/>
        <family val="2"/>
        <scheme val="minor"/>
      </rPr>
      <t>2</t>
    </r>
    <r>
      <rPr>
        <sz val="11"/>
        <color theme="1"/>
        <rFont val="Calibri"/>
        <family val="2"/>
        <scheme val="minor"/>
      </rPr>
      <t>e/short ton</t>
    </r>
  </si>
  <si>
    <t>Draft Method for Estimating Greenhouse Gas Emission Reductions from Composting of Commercial Organic Waste (2016)</t>
  </si>
  <si>
    <t>Avoided landfill emissions for mixed organics</t>
  </si>
  <si>
    <t>Yield of digestate per ton of feedstock</t>
  </si>
  <si>
    <t>LCFS HSAD Pathway p. 19</t>
  </si>
  <si>
    <r>
      <t>MTCO</t>
    </r>
    <r>
      <rPr>
        <vertAlign val="subscript"/>
        <sz val="11"/>
        <color theme="1"/>
        <rFont val="Calibri"/>
        <family val="2"/>
        <scheme val="minor"/>
      </rPr>
      <t>2</t>
    </r>
    <r>
      <rPr>
        <sz val="11"/>
        <color theme="1"/>
        <rFont val="Calibri"/>
        <family val="2"/>
        <scheme val="minor"/>
      </rPr>
      <t>e/metric ton</t>
    </r>
  </si>
  <si>
    <t>Climate Action Reserve Organic Waste Digestion Project Protocol v 2.1 Table B.4 used with equation 5.18</t>
  </si>
  <si>
    <t>Carbon Intensity of Diesel</t>
  </si>
  <si>
    <t>California Air Resources Board, Final Statement of Reasons, Re-Adoption of the Low Carbon Fuel Standard (2015)</t>
  </si>
  <si>
    <t>Energy Density of CNG</t>
  </si>
  <si>
    <t>MJ/scf</t>
  </si>
  <si>
    <t>Rulemaking to Consider the Proposed Regulation to Implement the Low Carbon Fuel Standard; Table 5</t>
  </si>
  <si>
    <t>Energy Economy Ratio (CNG relative to diesel)</t>
  </si>
  <si>
    <t>Low Carbon Fuel Standard Regulation</t>
  </si>
  <si>
    <t>Conversion factor</t>
  </si>
  <si>
    <t>metric ton/short ton</t>
  </si>
  <si>
    <t>g/metric ton</t>
  </si>
  <si>
    <t>therm/MJ</t>
  </si>
  <si>
    <t>BTU/kWh</t>
  </si>
  <si>
    <r>
      <t>[1] Biogenic CO</t>
    </r>
    <r>
      <rPr>
        <vertAlign val="subscript"/>
        <sz val="11"/>
        <color theme="1"/>
        <rFont val="Calibri"/>
        <family val="2"/>
        <scheme val="minor"/>
      </rPr>
      <t>2</t>
    </r>
    <r>
      <rPr>
        <sz val="11"/>
        <color theme="1"/>
        <rFont val="Calibri"/>
        <family val="2"/>
        <scheme val="minor"/>
      </rPr>
      <t xml:space="preserve"> emissions are deducted consistent with the ARB GHG inventory accounting methods.</t>
    </r>
  </si>
  <si>
    <t>[2] Projects producing electricity rather than transportation fuel or pipeline quality CNG have been adjusted to remove some compression emissions.</t>
  </si>
  <si>
    <t>[3] Fossil fuel emissions associated with composting are removed consistent with the emission reduction factor used for compost projects.  Projects that do not compost the digestate do not have compost related emissions.</t>
  </si>
  <si>
    <t>[4] Projects use the mixed organics avoided landfill emission reduction factor consistent with that used for compost projects.  Avoided landfill emissions are adjusted to account for the emissions from digestate for projects that landfill the digestate.</t>
  </si>
  <si>
    <t>[5] Projects producing electricity are credited for the displacement of fossil fuels for electricity production rather than transportation fuels as credited for the production of CNG.</t>
  </si>
  <si>
    <t>[6] Workbook provided by ARB's Transportation Fuels Branch.</t>
  </si>
  <si>
    <r>
      <t>[7] Consistent with other GGRF quantification methodologies, the electricity emission factor is based on total in-state and imported electricity emissions (MTCO</t>
    </r>
    <r>
      <rPr>
        <vertAlign val="subscript"/>
        <sz val="11"/>
        <color theme="1"/>
        <rFont val="Calibri"/>
        <family val="2"/>
        <scheme val="minor"/>
      </rPr>
      <t>2</t>
    </r>
    <r>
      <rPr>
        <sz val="11"/>
        <color theme="1"/>
        <rFont val="Calibri"/>
        <family val="2"/>
        <scheme val="minor"/>
      </rPr>
      <t>e) divided by total consumption MWh.  Emissions from ARB GHG inventory (2013).</t>
    </r>
  </si>
  <si>
    <t>Emission Reduction Factors for Organics Projects - Co-Digestion of Organics at Wastewater Treatment Plants</t>
  </si>
  <si>
    <t>California Air Resources Board, Low Carbon Fuel Standard (LCFS) Pathway for the Production of Biomethane from the Mesophilic Anaerobic Digestion of Wastewater Sludge at a Publicly Owned Treatment Works (POTW) (2014) (LCFS POTW Pathway)</t>
  </si>
  <si>
    <t>Product and Facility Size</t>
  </si>
  <si>
    <r>
      <t>Emission Reduction Factor for Composting
(MTCO</t>
    </r>
    <r>
      <rPr>
        <b/>
        <vertAlign val="subscript"/>
        <sz val="11"/>
        <color theme="1"/>
        <rFont val="Calibri"/>
        <family val="2"/>
        <scheme val="minor"/>
      </rPr>
      <t>2</t>
    </r>
    <r>
      <rPr>
        <b/>
        <sz val="11"/>
        <color theme="1"/>
        <rFont val="Calibri"/>
        <family val="2"/>
        <scheme val="minor"/>
      </rPr>
      <t>e/short ton)</t>
    </r>
  </si>
  <si>
    <r>
      <t>Emission Reduction Factor for Landfilling
(MTCO</t>
    </r>
    <r>
      <rPr>
        <b/>
        <vertAlign val="subscript"/>
        <sz val="11"/>
        <color theme="1"/>
        <rFont val="Calibri"/>
        <family val="2"/>
        <scheme val="minor"/>
      </rPr>
      <t>2</t>
    </r>
    <r>
      <rPr>
        <b/>
        <sz val="11"/>
        <color theme="1"/>
        <rFont val="Calibri"/>
        <family val="2"/>
        <scheme val="minor"/>
      </rPr>
      <t>e/short ton)</t>
    </r>
  </si>
  <si>
    <t>S-M Producing Vehicle Fuel</t>
  </si>
  <si>
    <t>M-L Producing Vehicle Fuel</t>
  </si>
  <si>
    <t>S-M Producing Electricity</t>
  </si>
  <si>
    <t>M-L Producing  Electricity</t>
  </si>
  <si>
    <t>S-M Pipeline Injection</t>
  </si>
  <si>
    <t>M-L Pipeline Injection</t>
  </si>
  <si>
    <t>Table Addendum-1: Carbon Intensity for Pathway CNG020 and CNG0201 (Adjusted)*</t>
  </si>
  <si>
    <t>S-M Facility
Producing Vehicle Fuel 
Compost Digestate</t>
  </si>
  <si>
    <t>M-L Facility 
Producing Vehicle Fuel 
Compost Disgestate</t>
  </si>
  <si>
    <t>S-M Facility 
Producing Vehicle Fuel
Landfill Digestate</t>
  </si>
  <si>
    <t>M-L Facility
Producing Vehicle Fuel
Landfill Digestate</t>
  </si>
  <si>
    <t>S-M Facility
Producing Electricity
Compost Digestate</t>
  </si>
  <si>
    <t>M-L  Facility 
Producing Electricity
Compost Digestate</t>
  </si>
  <si>
    <t>S-M Facility
Producing Electricity
Landfill Digestate</t>
  </si>
  <si>
    <t>M-L Facility
Producing Electricity
Landfill Digestate</t>
  </si>
  <si>
    <t>S-M Facility
Pipeline Injection
Compost Digestate</t>
  </si>
  <si>
    <t>M-L Facility
Pipeline Injection
Compost Digestate</t>
  </si>
  <si>
    <t>S-M Facility
Pipeline Injection
Landfill Digestate</t>
  </si>
  <si>
    <t>M-L Facility 
Pipeline Injection
Landfill Digestate</t>
  </si>
  <si>
    <r>
      <t>Anaroebic Digestion</t>
    </r>
    <r>
      <rPr>
        <vertAlign val="superscript"/>
        <sz val="11"/>
        <rFont val="Calibri"/>
        <family val="2"/>
        <scheme val="minor"/>
      </rPr>
      <t>1</t>
    </r>
  </si>
  <si>
    <r>
      <t>Digestate Management</t>
    </r>
    <r>
      <rPr>
        <vertAlign val="superscript"/>
        <sz val="11"/>
        <rFont val="Calibri"/>
        <family val="2"/>
        <scheme val="minor"/>
      </rPr>
      <t>1</t>
    </r>
  </si>
  <si>
    <t>Supernatant Management</t>
  </si>
  <si>
    <r>
      <t>Biogas Refining (1st Stage)</t>
    </r>
    <r>
      <rPr>
        <vertAlign val="superscript"/>
        <sz val="11"/>
        <rFont val="Calibri"/>
        <family val="2"/>
        <scheme val="minor"/>
      </rPr>
      <t>1</t>
    </r>
  </si>
  <si>
    <r>
      <t>Biogas Refining (2nd Stage)</t>
    </r>
    <r>
      <rPr>
        <vertAlign val="superscript"/>
        <sz val="11"/>
        <rFont val="Calibri"/>
        <family val="2"/>
        <scheme val="minor"/>
      </rPr>
      <t>1</t>
    </r>
  </si>
  <si>
    <r>
      <t>GHG Emissions from CNG Combustion</t>
    </r>
    <r>
      <rPr>
        <vertAlign val="superscript"/>
        <sz val="11"/>
        <rFont val="Calibri"/>
        <family val="2"/>
        <scheme val="minor"/>
      </rPr>
      <t>1</t>
    </r>
  </si>
  <si>
    <t>LSAD Compost GHG Emissions</t>
  </si>
  <si>
    <r>
      <t>Net Surplus Electricity Export Credit</t>
    </r>
    <r>
      <rPr>
        <vertAlign val="superscript"/>
        <sz val="11"/>
        <color theme="1"/>
        <rFont val="Calibri"/>
        <family val="2"/>
        <scheme val="minor"/>
      </rPr>
      <t>1</t>
    </r>
  </si>
  <si>
    <r>
      <t>Avoided Landfill Emissions</t>
    </r>
    <r>
      <rPr>
        <vertAlign val="superscript"/>
        <sz val="11"/>
        <rFont val="Calibri"/>
        <family val="2"/>
        <scheme val="minor"/>
      </rPr>
      <t>2</t>
    </r>
  </si>
  <si>
    <r>
      <t>Credit for avoided grid electricity</t>
    </r>
    <r>
      <rPr>
        <vertAlign val="superscript"/>
        <sz val="11"/>
        <rFont val="Calibri"/>
        <family val="2"/>
        <scheme val="minor"/>
      </rPr>
      <t>3</t>
    </r>
  </si>
  <si>
    <r>
      <t>Credit for avoided natural gas</t>
    </r>
    <r>
      <rPr>
        <vertAlign val="superscript"/>
        <sz val="11"/>
        <rFont val="Calibri"/>
        <family val="2"/>
        <scheme val="minor"/>
      </rPr>
      <t>4</t>
    </r>
  </si>
  <si>
    <t>Carbon Intensity (CI) Value for HSAD (Transportation Fuel)</t>
  </si>
  <si>
    <r>
      <t>g CO</t>
    </r>
    <r>
      <rPr>
        <b/>
        <vertAlign val="subscript"/>
        <sz val="11"/>
        <rFont val="Calibri"/>
        <family val="2"/>
        <scheme val="minor"/>
      </rPr>
      <t>2</t>
    </r>
    <r>
      <rPr>
        <b/>
        <sz val="11"/>
        <rFont val="Calibri"/>
        <family val="2"/>
        <scheme val="minor"/>
      </rPr>
      <t>e/MJ</t>
    </r>
  </si>
  <si>
    <r>
      <t>MTCO</t>
    </r>
    <r>
      <rPr>
        <b/>
        <vertAlign val="subscript"/>
        <sz val="11"/>
        <rFont val="Calibri"/>
        <family val="2"/>
        <scheme val="minor"/>
      </rPr>
      <t>2</t>
    </r>
    <r>
      <rPr>
        <b/>
        <sz val="11"/>
        <rFont val="Calibri"/>
        <family val="2"/>
        <scheme val="minor"/>
      </rPr>
      <t>e/ton</t>
    </r>
  </si>
  <si>
    <t>Table excerpted from California Air Resources Board, Low Carbon Fuel Standard (LCFS) Pathway for the Production of Biomethane from Mesophilic Anaerobic Digestion of Wastewater Sludge at a Publicly Owned Treatment Works (2014)</t>
  </si>
  <si>
    <t>S-M</t>
  </si>
  <si>
    <t>M-L</t>
  </si>
  <si>
    <t>Tons feedstock from LCFS LSAD pathway</t>
  </si>
  <si>
    <t>short tons/year</t>
  </si>
  <si>
    <t>LCFS POTW Pathway p. 20</t>
  </si>
  <si>
    <t>Increased Biogas Production Factor</t>
  </si>
  <si>
    <t>Average of all six POTW's biogas production change.  EPA: Food Waste to Energy: How Six Water Resource Recovery Facilities are Boosting Biogas Production and the Bottom Line</t>
  </si>
  <si>
    <t>LCFS POTW Pathway p. 2</t>
  </si>
  <si>
    <t>Net Biomethane Available for Vehicle Fueling</t>
  </si>
  <si>
    <r>
      <t>MTCO</t>
    </r>
    <r>
      <rPr>
        <vertAlign val="subscript"/>
        <sz val="11"/>
        <color theme="1"/>
        <rFont val="Calibri"/>
        <family val="2"/>
        <scheme val="minor"/>
      </rPr>
      <t>2</t>
    </r>
    <r>
      <rPr>
        <sz val="11"/>
        <color theme="1"/>
        <rFont val="Calibri"/>
        <family val="2"/>
        <scheme val="minor"/>
      </rPr>
      <t>/short ton</t>
    </r>
  </si>
  <si>
    <r>
      <t>Avoided grid electricity emission factor</t>
    </r>
    <r>
      <rPr>
        <vertAlign val="superscript"/>
        <sz val="11"/>
        <color theme="1"/>
        <rFont val="Calibri"/>
        <family val="2"/>
        <scheme val="minor"/>
      </rPr>
      <t>5</t>
    </r>
  </si>
  <si>
    <r>
      <t>MTCO</t>
    </r>
    <r>
      <rPr>
        <vertAlign val="subscript"/>
        <sz val="11"/>
        <color theme="1"/>
        <rFont val="Calibri"/>
        <family val="2"/>
        <scheme val="minor"/>
      </rPr>
      <t>2</t>
    </r>
    <r>
      <rPr>
        <sz val="11"/>
        <color theme="1"/>
        <rFont val="Calibri"/>
        <family val="2"/>
        <scheme val="minor"/>
      </rPr>
      <t>e/them</t>
    </r>
  </si>
  <si>
    <r>
      <t>Anaerobic Digestion Total CO</t>
    </r>
    <r>
      <rPr>
        <vertAlign val="subscript"/>
        <sz val="11"/>
        <color theme="1"/>
        <rFont val="Calibri"/>
        <family val="2"/>
        <scheme val="minor"/>
      </rPr>
      <t>2</t>
    </r>
    <r>
      <rPr>
        <sz val="11"/>
        <color theme="1"/>
        <rFont val="Calibri"/>
        <family val="2"/>
        <scheme val="minor"/>
      </rPr>
      <t>e</t>
    </r>
  </si>
  <si>
    <r>
      <t>gCO</t>
    </r>
    <r>
      <rPr>
        <vertAlign val="subscript"/>
        <sz val="11"/>
        <color theme="1"/>
        <rFont val="Calibri"/>
        <family val="2"/>
        <scheme val="minor"/>
      </rPr>
      <t>2</t>
    </r>
    <r>
      <rPr>
        <sz val="11"/>
        <color theme="1"/>
        <rFont val="Calibri"/>
        <family val="2"/>
        <scheme val="minor"/>
      </rPr>
      <t>e/day</t>
    </r>
  </si>
  <si>
    <r>
      <t>LCFS POTW Pathway workbook</t>
    </r>
    <r>
      <rPr>
        <vertAlign val="superscript"/>
        <sz val="11"/>
        <color theme="1"/>
        <rFont val="Calibri"/>
        <family val="2"/>
        <scheme val="minor"/>
      </rPr>
      <t>6</t>
    </r>
  </si>
  <si>
    <r>
      <t>Anaerobic Digestion Biogenic CO</t>
    </r>
    <r>
      <rPr>
        <vertAlign val="subscript"/>
        <sz val="11"/>
        <color theme="1"/>
        <rFont val="Calibri"/>
        <family val="2"/>
        <scheme val="minor"/>
      </rPr>
      <t>2</t>
    </r>
  </si>
  <si>
    <r>
      <t>gCO</t>
    </r>
    <r>
      <rPr>
        <vertAlign val="subscript"/>
        <sz val="11"/>
        <color theme="1"/>
        <rFont val="Calibri"/>
        <family val="2"/>
        <scheme val="minor"/>
      </rPr>
      <t>2</t>
    </r>
    <r>
      <rPr>
        <sz val="11"/>
        <color theme="1"/>
        <rFont val="Calibri"/>
        <family val="2"/>
        <scheme val="minor"/>
      </rPr>
      <t>/day</t>
    </r>
  </si>
  <si>
    <r>
      <t>Digestate Management Total CO</t>
    </r>
    <r>
      <rPr>
        <vertAlign val="subscript"/>
        <sz val="11"/>
        <color theme="1"/>
        <rFont val="Calibri"/>
        <family val="2"/>
        <scheme val="minor"/>
      </rPr>
      <t>2</t>
    </r>
    <r>
      <rPr>
        <sz val="11"/>
        <color theme="1"/>
        <rFont val="Calibri"/>
        <family val="2"/>
        <scheme val="minor"/>
      </rPr>
      <t>e</t>
    </r>
  </si>
  <si>
    <r>
      <t>LCFS POTW Pathway workbook</t>
    </r>
    <r>
      <rPr>
        <vertAlign val="superscript"/>
        <sz val="11"/>
        <color theme="1"/>
        <rFont val="Calibri"/>
        <family val="2"/>
        <scheme val="minor"/>
      </rPr>
      <t>6</t>
    </r>
    <r>
      <rPr>
        <sz val="11"/>
        <color theme="1"/>
        <rFont val="Calibri"/>
        <family val="2"/>
        <scheme val="minor"/>
      </rPr>
      <t/>
    </r>
  </si>
  <si>
    <r>
      <t>Digestate Management Biogenic CO</t>
    </r>
    <r>
      <rPr>
        <vertAlign val="subscript"/>
        <sz val="11"/>
        <color theme="1"/>
        <rFont val="Calibri"/>
        <family val="2"/>
        <scheme val="minor"/>
      </rPr>
      <t>2</t>
    </r>
  </si>
  <si>
    <r>
      <t>Supernatant Management Total CO</t>
    </r>
    <r>
      <rPr>
        <vertAlign val="subscript"/>
        <sz val="11"/>
        <color theme="1"/>
        <rFont val="Calibri"/>
        <family val="2"/>
        <scheme val="minor"/>
      </rPr>
      <t>2</t>
    </r>
    <r>
      <rPr>
        <sz val="11"/>
        <color theme="1"/>
        <rFont val="Calibri"/>
        <family val="2"/>
        <scheme val="minor"/>
      </rPr>
      <t>e</t>
    </r>
  </si>
  <si>
    <t>LCFS POTW Pathway p. 47 &amp; 49</t>
  </si>
  <si>
    <r>
      <t>Biogas Refining (1st Stage) Total CO</t>
    </r>
    <r>
      <rPr>
        <vertAlign val="subscript"/>
        <sz val="11"/>
        <color theme="1"/>
        <rFont val="Calibri"/>
        <family val="2"/>
        <scheme val="minor"/>
      </rPr>
      <t>2</t>
    </r>
    <r>
      <rPr>
        <sz val="11"/>
        <color theme="1"/>
        <rFont val="Calibri"/>
        <family val="2"/>
        <scheme val="minor"/>
      </rPr>
      <t>e</t>
    </r>
  </si>
  <si>
    <r>
      <t>Biogas Refining (1st Stage) Biogenic CO</t>
    </r>
    <r>
      <rPr>
        <vertAlign val="subscript"/>
        <sz val="11"/>
        <color theme="1"/>
        <rFont val="Calibri"/>
        <family val="2"/>
        <scheme val="minor"/>
      </rPr>
      <t>2</t>
    </r>
  </si>
  <si>
    <r>
      <t>Biogas Refining (2nd Stage) Total CO</t>
    </r>
    <r>
      <rPr>
        <vertAlign val="subscript"/>
        <sz val="11"/>
        <color theme="1"/>
        <rFont val="Calibri"/>
        <family val="2"/>
        <scheme val="minor"/>
      </rPr>
      <t>2</t>
    </r>
    <r>
      <rPr>
        <sz val="11"/>
        <color theme="1"/>
        <rFont val="Calibri"/>
        <family val="2"/>
        <scheme val="minor"/>
      </rPr>
      <t>e</t>
    </r>
  </si>
  <si>
    <r>
      <t>Biogas Refining (2nd Stage) Biogenic CO</t>
    </r>
    <r>
      <rPr>
        <vertAlign val="subscript"/>
        <sz val="11"/>
        <color theme="1"/>
        <rFont val="Calibri"/>
        <family val="2"/>
        <scheme val="minor"/>
      </rPr>
      <t>2</t>
    </r>
  </si>
  <si>
    <r>
      <t>Surplus Electricity Export Credit Biogenic CO</t>
    </r>
    <r>
      <rPr>
        <vertAlign val="subscript"/>
        <sz val="11"/>
        <color theme="1"/>
        <rFont val="Calibri"/>
        <family val="2"/>
        <scheme val="minor"/>
      </rPr>
      <t>2</t>
    </r>
  </si>
  <si>
    <t>Net Surplus Electricity Export Credit</t>
  </si>
  <si>
    <t>Surplus Electricity Export Credit GHG Emissions Avoided</t>
  </si>
  <si>
    <t>gCO2e/day</t>
  </si>
  <si>
    <r>
      <t>Net TTW GHG Emissions from Combustion of Biomethane Total CO</t>
    </r>
    <r>
      <rPr>
        <vertAlign val="subscript"/>
        <sz val="11"/>
        <color theme="1"/>
        <rFont val="Calibri"/>
        <family val="2"/>
        <scheme val="minor"/>
      </rPr>
      <t>2</t>
    </r>
    <r>
      <rPr>
        <sz val="11"/>
        <color theme="1"/>
        <rFont val="Calibri"/>
        <family val="2"/>
        <scheme val="minor"/>
      </rPr>
      <t>e</t>
    </r>
  </si>
  <si>
    <r>
      <t>Net TTW GHG Emissions from Combustion of Biomethane Biogenic CO</t>
    </r>
    <r>
      <rPr>
        <vertAlign val="subscript"/>
        <sz val="11"/>
        <color theme="1"/>
        <rFont val="Calibri"/>
        <family val="2"/>
        <scheme val="minor"/>
      </rPr>
      <t>2</t>
    </r>
  </si>
  <si>
    <t>short ton/kg</t>
  </si>
  <si>
    <r>
      <t>[1] Biogenic CO</t>
    </r>
    <r>
      <rPr>
        <vertAlign val="subscript"/>
        <sz val="11"/>
        <color theme="1"/>
        <rFont val="Calibri"/>
        <family val="2"/>
        <scheme val="minor"/>
      </rPr>
      <t>2</t>
    </r>
    <r>
      <rPr>
        <sz val="11"/>
        <color theme="1"/>
        <rFont val="Calibri"/>
        <family val="2"/>
        <scheme val="minor"/>
      </rPr>
      <t xml:space="preserve"> emissions are deducted consistent with ARB GHG inventory accounting methods.</t>
    </r>
  </si>
  <si>
    <t>[2] Projects use the mixed organics avoided landfill emission reduction factor consistent with that used for compost projects.  Avoided landfill emissions are adjusted to account for the emissions from digestate for projects that landfill the digestate.</t>
  </si>
  <si>
    <t>[3] Projects producing electricity are credited for the displacement of fossil fuels for electricity production rather than transportation fuels as credited for the production of CNG.</t>
  </si>
  <si>
    <t>[4] Projects producing electricity are credited for the displacement of fossil fuels in the pipeline rather than transportation fuels as credited for the production of CNG.</t>
  </si>
  <si>
    <r>
      <t>[5] Consistent with other GGRF quantification methodologies, the electricity emission factor is based on total in-state and imported electricity emissions (MTCO</t>
    </r>
    <r>
      <rPr>
        <vertAlign val="subscript"/>
        <sz val="11"/>
        <color theme="1"/>
        <rFont val="Calibri"/>
        <family val="2"/>
        <scheme val="minor"/>
      </rPr>
      <t>2</t>
    </r>
    <r>
      <rPr>
        <sz val="11"/>
        <color theme="1"/>
        <rFont val="Calibri"/>
        <family val="2"/>
        <scheme val="minor"/>
      </rPr>
      <t>e) divided by total consumption MWh.  Emissions from ARB GHG inventory (2013).</t>
    </r>
  </si>
  <si>
    <t>Emission Reduction Factors for Organics Projects - Food Waste Prevention</t>
  </si>
  <si>
    <t xml:space="preserve">Source: </t>
  </si>
  <si>
    <t>The Climate Change and Economic Impacts of Food Waste in the United States (2012)</t>
  </si>
  <si>
    <t>Food Waste Prevention Emission Reduction Factor</t>
  </si>
  <si>
    <r>
      <t>MTCO</t>
    </r>
    <r>
      <rPr>
        <vertAlign val="subscript"/>
        <sz val="11"/>
        <rFont val="Calibri"/>
        <family val="2"/>
        <scheme val="minor"/>
      </rPr>
      <t>2</t>
    </r>
    <r>
      <rPr>
        <sz val="11"/>
        <rFont val="Calibri"/>
        <family val="2"/>
        <scheme val="minor"/>
      </rPr>
      <t>e/short ton</t>
    </r>
  </si>
  <si>
    <t>Tables 2 &amp; 3</t>
  </si>
  <si>
    <t>Food Group</t>
  </si>
  <si>
    <t>Distribution Waste</t>
  </si>
  <si>
    <t>Retail Waste</t>
  </si>
  <si>
    <t>Consumer Waste</t>
  </si>
  <si>
    <t>Avoidable Food Waste</t>
  </si>
  <si>
    <t>Production + Processing  Emissions</t>
  </si>
  <si>
    <t>Packaging Emissions</t>
  </si>
  <si>
    <t>Distribution + Retail Emissions</t>
  </si>
  <si>
    <r>
      <t xml:space="preserve"> Total Emissions</t>
    </r>
    <r>
      <rPr>
        <vertAlign val="superscript"/>
        <sz val="11"/>
        <color theme="1"/>
        <rFont val="Calibri"/>
        <family val="2"/>
        <scheme val="minor"/>
      </rPr>
      <t>1</t>
    </r>
  </si>
  <si>
    <r>
      <t xml:space="preserve">Emission Factor </t>
    </r>
    <r>
      <rPr>
        <sz val="11"/>
        <color theme="1"/>
        <rFont val="Calibri"/>
        <family val="2"/>
        <scheme val="minor"/>
      </rPr>
      <t>MTCO</t>
    </r>
    <r>
      <rPr>
        <vertAlign val="subscript"/>
        <sz val="11"/>
        <color theme="1"/>
        <rFont val="Calibri"/>
        <family val="2"/>
        <scheme val="minor"/>
      </rPr>
      <t>2</t>
    </r>
    <r>
      <rPr>
        <sz val="11"/>
        <color theme="1"/>
        <rFont val="Calibri"/>
        <family val="2"/>
        <scheme val="minor"/>
      </rPr>
      <t>e/Metric ton</t>
    </r>
  </si>
  <si>
    <r>
      <t xml:space="preserve">Emission Factor </t>
    </r>
    <r>
      <rPr>
        <sz val="11"/>
        <color theme="1"/>
        <rFont val="Calibri"/>
        <family val="2"/>
        <scheme val="minor"/>
      </rPr>
      <t>MTCO</t>
    </r>
    <r>
      <rPr>
        <vertAlign val="subscript"/>
        <sz val="11"/>
        <color theme="1"/>
        <rFont val="Calibri"/>
        <family val="2"/>
        <scheme val="minor"/>
      </rPr>
      <t>2</t>
    </r>
    <r>
      <rPr>
        <sz val="11"/>
        <color theme="1"/>
        <rFont val="Calibri"/>
        <family val="2"/>
        <scheme val="minor"/>
      </rPr>
      <t>e/short ton</t>
    </r>
  </si>
  <si>
    <t>(MMT/Year)</t>
  </si>
  <si>
    <r>
      <t>(MMT CO</t>
    </r>
    <r>
      <rPr>
        <vertAlign val="subscript"/>
        <sz val="11"/>
        <color theme="1"/>
        <rFont val="Calibri"/>
        <family val="2"/>
        <scheme val="minor"/>
      </rPr>
      <t>2</t>
    </r>
    <r>
      <rPr>
        <sz val="11"/>
        <color theme="1"/>
        <rFont val="Calibri"/>
        <family val="2"/>
        <scheme val="minor"/>
      </rPr>
      <t>e/Year)</t>
    </r>
  </si>
  <si>
    <t>Beef</t>
  </si>
  <si>
    <t>Pork</t>
  </si>
  <si>
    <t>Chicken</t>
  </si>
  <si>
    <t>Other Meats</t>
  </si>
  <si>
    <t>Fish &amp; Shellfish</t>
  </si>
  <si>
    <t>Cheese</t>
  </si>
  <si>
    <t>Milk &amp; Yogurt</t>
  </si>
  <si>
    <t>Other Dairy</t>
  </si>
  <si>
    <t>Butter, Fats &amp; Oils</t>
  </si>
  <si>
    <t>Eggs</t>
  </si>
  <si>
    <t>Sweeteners</t>
  </si>
  <si>
    <t>Nuts</t>
  </si>
  <si>
    <t>Legumes</t>
  </si>
  <si>
    <t>Grains</t>
  </si>
  <si>
    <t>Vegetables</t>
  </si>
  <si>
    <t>Fruits &amp; Juices</t>
  </si>
  <si>
    <t>Average</t>
  </si>
  <si>
    <t>Weighted Average</t>
  </si>
  <si>
    <r>
      <t>Avoided landfill methane for food waste</t>
    </r>
    <r>
      <rPr>
        <vertAlign val="superscript"/>
        <sz val="11"/>
        <color theme="1"/>
        <rFont val="Calibri"/>
        <family val="2"/>
        <scheme val="minor"/>
      </rPr>
      <t>2</t>
    </r>
  </si>
  <si>
    <r>
      <t>10% discount factor</t>
    </r>
    <r>
      <rPr>
        <vertAlign val="superscript"/>
        <sz val="11"/>
        <color theme="1"/>
        <rFont val="Calibri"/>
        <family val="2"/>
        <scheme val="minor"/>
      </rPr>
      <t>3</t>
    </r>
  </si>
  <si>
    <t xml:space="preserve">Tables excerpted from The Climate Change and Economic Impacts of Food Waste in the United States (2012) </t>
  </si>
  <si>
    <t>[1] Disposal emissions from Table 3  in the study are excluded from the "Total Emissions" for consistency with CERF which excludes disposal emissions.</t>
  </si>
  <si>
    <t>[3] Application of 10% discount as agreed upon by ARB and CalRecycle in email correspondence on September 2, 2014.</t>
  </si>
  <si>
    <t>.</t>
  </si>
  <si>
    <t>Feedstock Diverted for Windrow Composting
(Short Tons)</t>
  </si>
  <si>
    <t>Residual Material 
(Short Tons)</t>
  </si>
  <si>
    <t>Type of Vehicle Fuel</t>
  </si>
  <si>
    <t>Low NOx Vehicle?</t>
  </si>
  <si>
    <t>Yes</t>
  </si>
  <si>
    <t>No</t>
  </si>
  <si>
    <t>RNG</t>
  </si>
  <si>
    <t>DME</t>
  </si>
  <si>
    <t>Land Application</t>
  </si>
  <si>
    <t>Producing Vehicle Fuel, Land Apply Digestate</t>
  </si>
  <si>
    <t>Producing Electricity, Land Apply Digestate</t>
  </si>
  <si>
    <t>Pipeline Injection, Land Apply Digestate</t>
  </si>
  <si>
    <t>Emission factor for landfilling digestate</t>
  </si>
  <si>
    <t>Emission factor for land applying digestate</t>
  </si>
  <si>
    <t>Climate Action Reserve Organic Waste Digestion Project Protocol v 2.1 Table 5.2 used with equation 5.18</t>
  </si>
  <si>
    <t>S-M Facility 
Producing Vehicle Fuel
Land Apply Digestate</t>
  </si>
  <si>
    <t>M-L Facility 
Producing Vehicle Fuel
Land Apply Digestate</t>
  </si>
  <si>
    <t>S-M Facility
Producing Electricity
Land Apply Digestate</t>
  </si>
  <si>
    <t>M-L Facility
Producing Electricity
Land Apply Digestate</t>
  </si>
  <si>
    <t>S-M Facility
Pipeline Injection
Land Apply Digestate</t>
  </si>
  <si>
    <t>M-L Facility 
Pipeline Injection
Land Apply Digestate</t>
  </si>
  <si>
    <r>
      <t>Emission Reduction Factor for Land Application
(MTCO</t>
    </r>
    <r>
      <rPr>
        <b/>
        <vertAlign val="subscript"/>
        <sz val="11"/>
        <color theme="1"/>
        <rFont val="Calibri"/>
        <family val="2"/>
        <scheme val="minor"/>
      </rPr>
      <t>2</t>
    </r>
    <r>
      <rPr>
        <b/>
        <sz val="11"/>
        <color theme="1"/>
        <rFont val="Calibri"/>
        <family val="2"/>
        <scheme val="minor"/>
      </rPr>
      <t>e/short ton)</t>
    </r>
  </si>
  <si>
    <r>
      <t>Emission Reduction Factor - Landfill Digestate
(MTCO</t>
    </r>
    <r>
      <rPr>
        <vertAlign val="subscript"/>
        <sz val="11"/>
        <color theme="1"/>
        <rFont val="Calibri"/>
        <family val="2"/>
        <scheme val="minor"/>
      </rPr>
      <t>2</t>
    </r>
    <r>
      <rPr>
        <sz val="11"/>
        <color theme="1"/>
        <rFont val="Calibri"/>
        <family val="2"/>
        <scheme val="minor"/>
      </rPr>
      <t>e/short ton)</t>
    </r>
  </si>
  <si>
    <r>
      <t>Emission Reduction Factor - Compost Digestate
(MTCO</t>
    </r>
    <r>
      <rPr>
        <vertAlign val="subscript"/>
        <sz val="11"/>
        <color theme="1"/>
        <rFont val="Calibri"/>
        <family val="2"/>
        <scheme val="minor"/>
      </rPr>
      <t>2</t>
    </r>
    <r>
      <rPr>
        <sz val="11"/>
        <color theme="1"/>
        <rFont val="Calibri"/>
        <family val="2"/>
        <scheme val="minor"/>
      </rPr>
      <t>e/short ton)</t>
    </r>
  </si>
  <si>
    <r>
      <t>Emission Reduction Factor - Land Apply Digestate
(MTCO</t>
    </r>
    <r>
      <rPr>
        <vertAlign val="subscript"/>
        <sz val="11"/>
        <color theme="1"/>
        <rFont val="Calibri"/>
        <family val="2"/>
        <scheme val="minor"/>
      </rPr>
      <t>2</t>
    </r>
    <r>
      <rPr>
        <sz val="11"/>
        <color theme="1"/>
        <rFont val="Calibri"/>
        <family val="2"/>
        <scheme val="minor"/>
      </rPr>
      <t>e/short ton)</t>
    </r>
  </si>
  <si>
    <t>Small-Medium Facility - Land Apply Digestate</t>
  </si>
  <si>
    <t>Medium-Large Facility - Land Apply Digestate</t>
  </si>
  <si>
    <t>Biogas Destruction Emissions</t>
  </si>
  <si>
    <t>NOX</t>
  </si>
  <si>
    <t xml:space="preserve">PM </t>
  </si>
  <si>
    <t>Open Flare</t>
  </si>
  <si>
    <t>lb/MMBtu</t>
  </si>
  <si>
    <t>CA-GREET 2.0 Factors</t>
  </si>
  <si>
    <t>Enclosed Flare</t>
  </si>
  <si>
    <t>Lean-burn Internal Combustion Engine</t>
  </si>
  <si>
    <t>Rich-burn Internal Combustion Engine</t>
  </si>
  <si>
    <t>Boiler</t>
  </si>
  <si>
    <t>lb/scf</t>
  </si>
  <si>
    <t>Microturbine or large gas turbine</t>
  </si>
  <si>
    <t>Fuel Cell</t>
  </si>
  <si>
    <t>EPA(2016)p26</t>
  </si>
  <si>
    <t>Fuel Efficiency (Miles/gallon)</t>
  </si>
  <si>
    <t>CARB EMFAC 2014 HHD</t>
  </si>
  <si>
    <t>Diesel</t>
  </si>
  <si>
    <t>CNG/LNG</t>
  </si>
  <si>
    <t>Low NOx CNG/LNG</t>
  </si>
  <si>
    <t>Hydrogen</t>
  </si>
  <si>
    <t>Energy content</t>
  </si>
  <si>
    <t>CARB OFFROAD 2017 Ag Sector</t>
  </si>
  <si>
    <r>
      <t>Diesel</t>
    </r>
    <r>
      <rPr>
        <sz val="11"/>
        <color theme="1"/>
        <rFont val="Calibri"/>
        <family val="2"/>
        <scheme val="minor"/>
      </rPr>
      <t xml:space="preserve"> (Distillate No. 1 or 2, gal.)</t>
    </r>
  </si>
  <si>
    <t>MMBtu/gallon</t>
  </si>
  <si>
    <t>Gasoline (gallons)</t>
  </si>
  <si>
    <t>Livestock waste PM2.5/PM ratio</t>
  </si>
  <si>
    <t>Natural Gas (MMBtu)</t>
  </si>
  <si>
    <t>Natural Gas (scf)</t>
  </si>
  <si>
    <t>California Dimethyl Ether Multimedia Evaluation - Tier 1</t>
  </si>
  <si>
    <t>Fuel Conversion Efficiency</t>
  </si>
  <si>
    <t>Low-NOx Vehicle?</t>
  </si>
  <si>
    <t>HSAD Process Net Annual RNG Requirements</t>
  </si>
  <si>
    <t>scf RNG/year</t>
  </si>
  <si>
    <t>Electrical Demand for Anaerobic Digestion</t>
  </si>
  <si>
    <t>Electrical Demand for FOG Pre-Conditioning and Blending</t>
  </si>
  <si>
    <t>Electrical Demand for Biogas Refining</t>
  </si>
  <si>
    <t>Total Electrical Demand</t>
  </si>
  <si>
    <t>Waste Loading Fossil Fuel Use &amp; Emissions</t>
  </si>
  <si>
    <t>gallons of diesel/year</t>
  </si>
  <si>
    <t>scf RNG/day</t>
  </si>
  <si>
    <t>Industrial Boiler (10-100 mmBTU/hr)</t>
  </si>
  <si>
    <t>MJ/day</t>
  </si>
  <si>
    <t>Anaroebic Digestion - Heat</t>
  </si>
  <si>
    <t>Grid for S-M, Onsite Turbine for M-L</t>
  </si>
  <si>
    <t>Digestate Management - Electrical demand</t>
  </si>
  <si>
    <t>Anaroebic Digestion - Electrical Demand</t>
  </si>
  <si>
    <t>Distribution of Biosolids</t>
  </si>
  <si>
    <t>mmBTU/day</t>
  </si>
  <si>
    <t>Diesel usage in Heavy Duty Truck</t>
  </si>
  <si>
    <t>Biogas Refining (1st Stage) - Electrical Demand</t>
  </si>
  <si>
    <t>Biogas Refining (2nd Stage) - Electrical Demand</t>
  </si>
  <si>
    <t>ASP Control Factor</t>
  </si>
  <si>
    <t>miles per diesel gallon equivalent</t>
  </si>
  <si>
    <t>scf/short ton feedstock</t>
  </si>
  <si>
    <t>Energy Usage Per Ton of Feedstock</t>
  </si>
  <si>
    <t>Aggregate Agricultural Sector Emission Factors</t>
  </si>
  <si>
    <t>lbs/gallon</t>
  </si>
  <si>
    <t>OFFROAD2017 (v1.0.1) Emission Inventory
www.arb.ca.gov/orion</t>
  </si>
  <si>
    <t>Feedstock Diverted for Anaerobic Digestion 
(Short Tons)</t>
  </si>
  <si>
    <t>Available Energy Production</t>
  </si>
  <si>
    <t>Injecting in Utility Pipeline</t>
  </si>
  <si>
    <t>GHG ERF by Digestate Handling and Final Use of Fuel</t>
  </si>
  <si>
    <t>Total Feedstock Diverted for Anaerobic Digestion 
(Short Tons)</t>
  </si>
  <si>
    <t>Total Residual Material  Sent to Landfill
(Short Tons)</t>
  </si>
  <si>
    <t>Digestate Handling and Final Use of Fuel</t>
  </si>
  <si>
    <t>Corresponding GHG ERF by Digestate Handling and Final Use of Fuel</t>
  </si>
  <si>
    <t>Vehicle fuel - Landfill/Use for ADC</t>
  </si>
  <si>
    <t>Electricity Generation - Landfill/Use for ADC</t>
  </si>
  <si>
    <t>Injection in Utility Pipeline - Landfill/Use for ADC</t>
  </si>
  <si>
    <t xml:space="preserve">Vehicle fuel - Compost </t>
  </si>
  <si>
    <t xml:space="preserve">Electricity Generation - Compost </t>
  </si>
  <si>
    <t xml:space="preserve">Injection in Utility Pipeline - Compost </t>
  </si>
  <si>
    <t>Vehicle fuel - Land Application</t>
  </si>
  <si>
    <t>Electricity Generation - Land Application</t>
  </si>
  <si>
    <t>Injection in Utility Pipeline - Land Application</t>
  </si>
  <si>
    <t>Available Fuel</t>
  </si>
  <si>
    <t>ROG (lbs)</t>
  </si>
  <si>
    <t>PM2.5 (lbs)</t>
  </si>
  <si>
    <t>Diesel PM (lbs)</t>
  </si>
  <si>
    <t>Low Nox Vehicle</t>
  </si>
  <si>
    <t>NOx(lbs)</t>
  </si>
  <si>
    <t>Low Nox Factor</t>
  </si>
  <si>
    <t>Energy Consumed</t>
  </si>
  <si>
    <t>Gallons of Diesel</t>
  </si>
  <si>
    <t>kWh</t>
  </si>
  <si>
    <t>SCF of biogas</t>
  </si>
  <si>
    <t>Total Criteria &amp; Toxic Emissions</t>
  </si>
  <si>
    <t>Electricity Generation Device</t>
  </si>
  <si>
    <t>Conversion Efficiency</t>
  </si>
  <si>
    <t>Available Fuel (SCF)</t>
  </si>
  <si>
    <t>Available Fuel (MMBTU)</t>
  </si>
  <si>
    <t>Offset Criteria &amp; Toxic Emissions From Avoided Diesel Usage (Remote)</t>
  </si>
  <si>
    <t>Offset Criteria &amp; Toxic Emissions From Avoided Grid Electricity (Remote)</t>
  </si>
  <si>
    <t>Criteria &amp; Toxic Emissions from Processing Diverted Material (Local)</t>
  </si>
  <si>
    <t>Electricity Generation Onsite Criteria &amp; Toxic Emissions (Local)</t>
  </si>
  <si>
    <t>Net Emission Reductions (Remote)</t>
  </si>
  <si>
    <t>Avoided Diesel Usage</t>
  </si>
  <si>
    <t>Avoided Grid Electricity</t>
  </si>
  <si>
    <t>Total Net Emission Reductions</t>
  </si>
  <si>
    <t>Net Emission Reductions (Local)</t>
  </si>
  <si>
    <t>Processing Diverted Material</t>
  </si>
  <si>
    <t>MJ to kWh</t>
  </si>
  <si>
    <t>BTU to gallon of diesel equivalent</t>
  </si>
  <si>
    <t>Table Addendum-1: Adjusted to Annual Values</t>
  </si>
  <si>
    <t>Energy Source Assumptions in LCFS</t>
  </si>
  <si>
    <t>Co-Digestion Anaerobic Digestion (AD) Worksheet</t>
  </si>
  <si>
    <r>
      <t>Vehicle Fuel - Small-Medium Facility</t>
    </r>
    <r>
      <rPr>
        <sz val="11"/>
        <color theme="0"/>
        <rFont val="Calibri"/>
        <family val="2"/>
        <scheme val="minor"/>
      </rPr>
      <t xml:space="preserve"> - Landfill/Use for ADC</t>
    </r>
  </si>
  <si>
    <r>
      <t>Electricity Generation - Small-Medium Facility</t>
    </r>
    <r>
      <rPr>
        <sz val="11"/>
        <color theme="0"/>
        <rFont val="Calibri"/>
        <family val="2"/>
        <scheme val="minor"/>
      </rPr>
      <t xml:space="preserve"> - Landfill/Use for ADC</t>
    </r>
  </si>
  <si>
    <r>
      <t>Vehicle Fuel - Medium-Large Facility</t>
    </r>
    <r>
      <rPr>
        <sz val="11"/>
        <color theme="0"/>
        <rFont val="Calibri"/>
        <family val="2"/>
        <scheme val="minor"/>
      </rPr>
      <t xml:space="preserve"> - Landfill/Use for ADC</t>
    </r>
  </si>
  <si>
    <r>
      <t>Electricity Generation - Medium-Large Facility</t>
    </r>
    <r>
      <rPr>
        <sz val="11"/>
        <color theme="0"/>
        <rFont val="Calibri"/>
        <family val="2"/>
        <scheme val="minor"/>
      </rPr>
      <t xml:space="preserve"> - Landfill/Use for ADC</t>
    </r>
  </si>
  <si>
    <r>
      <t>Vehicle Fuel - Small-Medium Facility</t>
    </r>
    <r>
      <rPr>
        <sz val="11"/>
        <color theme="0"/>
        <rFont val="Calibri"/>
        <family val="2"/>
        <scheme val="minor"/>
      </rPr>
      <t xml:space="preserve"> - Compost </t>
    </r>
  </si>
  <si>
    <r>
      <t>Electricity Generation - Small-Medium Facility</t>
    </r>
    <r>
      <rPr>
        <sz val="11"/>
        <color theme="0"/>
        <rFont val="Calibri"/>
        <family val="2"/>
        <scheme val="minor"/>
      </rPr>
      <t xml:space="preserve"> - Compost </t>
    </r>
  </si>
  <si>
    <r>
      <t>Vehicle Fuel - Medium-Large Facility</t>
    </r>
    <r>
      <rPr>
        <sz val="11"/>
        <color theme="0"/>
        <rFont val="Calibri"/>
        <family val="2"/>
        <scheme val="minor"/>
      </rPr>
      <t xml:space="preserve"> - Compost </t>
    </r>
  </si>
  <si>
    <r>
      <t>Electricity Generation - Medium-Large Facility</t>
    </r>
    <r>
      <rPr>
        <sz val="11"/>
        <color theme="0"/>
        <rFont val="Calibri"/>
        <family val="2"/>
        <scheme val="minor"/>
      </rPr>
      <t xml:space="preserve"> - Compost </t>
    </r>
  </si>
  <si>
    <r>
      <t>Vehicle Fuel - Small-Medium Facility</t>
    </r>
    <r>
      <rPr>
        <sz val="11"/>
        <color theme="0"/>
        <rFont val="Calibri"/>
        <family val="2"/>
        <scheme val="minor"/>
      </rPr>
      <t xml:space="preserve"> - Land Application</t>
    </r>
  </si>
  <si>
    <r>
      <t>Electricity Generation - Small-Medium Facility</t>
    </r>
    <r>
      <rPr>
        <sz val="11"/>
        <color theme="0"/>
        <rFont val="Calibri"/>
        <family val="2"/>
        <scheme val="minor"/>
      </rPr>
      <t xml:space="preserve"> - Land Application</t>
    </r>
  </si>
  <si>
    <r>
      <t>Vehicle Fuel - Medium-Large Facility</t>
    </r>
    <r>
      <rPr>
        <sz val="11"/>
        <color theme="0"/>
        <rFont val="Calibri"/>
        <family val="2"/>
        <scheme val="minor"/>
      </rPr>
      <t xml:space="preserve"> - Land Application</t>
    </r>
  </si>
  <si>
    <r>
      <t>Electricity Generation - Medium-Large Facility</t>
    </r>
    <r>
      <rPr>
        <sz val="11"/>
        <color theme="0"/>
        <rFont val="Calibri"/>
        <family val="2"/>
        <scheme val="minor"/>
      </rPr>
      <t xml:space="preserve"> - Land Application</t>
    </r>
  </si>
  <si>
    <r>
      <t>Injection in Utility Pipeline - Small-Medium Facility</t>
    </r>
    <r>
      <rPr>
        <sz val="11"/>
        <color theme="0"/>
        <rFont val="Calibri"/>
        <family val="2"/>
        <scheme val="minor"/>
      </rPr>
      <t xml:space="preserve"> - Landfill/Use for ADC</t>
    </r>
  </si>
  <si>
    <r>
      <t>Injection in Utility Pipeline - Medium-Large Facility</t>
    </r>
    <r>
      <rPr>
        <sz val="11"/>
        <color theme="0"/>
        <rFont val="Calibri"/>
        <family val="2"/>
        <scheme val="minor"/>
      </rPr>
      <t xml:space="preserve"> - Landfill/Use for ADC</t>
    </r>
  </si>
  <si>
    <r>
      <t>Injection in Utility Pipeline - Small-Medium Facility</t>
    </r>
    <r>
      <rPr>
        <sz val="11"/>
        <color theme="0"/>
        <rFont val="Calibri"/>
        <family val="2"/>
        <scheme val="minor"/>
      </rPr>
      <t xml:space="preserve"> - Compost </t>
    </r>
  </si>
  <si>
    <r>
      <t>Injection in Utility Pipeline - Medium-Large Facility</t>
    </r>
    <r>
      <rPr>
        <sz val="11"/>
        <color theme="0"/>
        <rFont val="Calibri"/>
        <family val="2"/>
        <scheme val="minor"/>
      </rPr>
      <t xml:space="preserve"> - Compost </t>
    </r>
  </si>
  <si>
    <r>
      <t>Injection in Utility Pipeline - Small-Medium Facility</t>
    </r>
    <r>
      <rPr>
        <sz val="11"/>
        <color theme="0"/>
        <rFont val="Calibri"/>
        <family val="2"/>
        <scheme val="minor"/>
      </rPr>
      <t xml:space="preserve"> - Land Application</t>
    </r>
  </si>
  <si>
    <r>
      <t>Injection in Utility Pipeline - Medium-Large Facility</t>
    </r>
    <r>
      <rPr>
        <sz val="11"/>
        <color theme="0"/>
        <rFont val="Calibri"/>
        <family val="2"/>
        <scheme val="minor"/>
      </rPr>
      <t xml:space="preserve"> - Land Application</t>
    </r>
  </si>
  <si>
    <t>tons/year</t>
  </si>
  <si>
    <t>Available Energy Production S-M Facility</t>
  </si>
  <si>
    <t>Energy Usage Per Ton of Feedstock S-M Facility</t>
  </si>
  <si>
    <t>Available Energy Production M-L Facility</t>
  </si>
  <si>
    <t>Energy Usage Per Ton of Feedstock M-L Facility</t>
  </si>
  <si>
    <t>Small-Medium Facility</t>
  </si>
  <si>
    <t>Medium-Large Facility</t>
  </si>
  <si>
    <t>Net Annual RNG Requirements (Boiler)</t>
  </si>
  <si>
    <t>Total Fossil Fuel Use</t>
  </si>
  <si>
    <t>More than or equal to 21 million gallons treated per day</t>
  </si>
  <si>
    <t>Processing Electrical Demand</t>
  </si>
  <si>
    <t>Net Emission Reduction</t>
  </si>
  <si>
    <t>Electricity Usage (kWh)</t>
  </si>
  <si>
    <t>Grid Criteria &amp; Toxic Emission Reductions (Remote)</t>
  </si>
  <si>
    <t>Onsite Electricity Generation</t>
  </si>
  <si>
    <t>Net Grid Electricity</t>
  </si>
  <si>
    <t>Onsite Electricity Generation Criteria &amp; Toxic Emissions (Local)</t>
  </si>
  <si>
    <t>Total Electrical Demand (Remote)</t>
  </si>
  <si>
    <t>Energy Usage (kWh)</t>
  </si>
  <si>
    <t>CHP Methane Usage</t>
  </si>
  <si>
    <t>m3/day</t>
  </si>
  <si>
    <t>MMBTU/year</t>
  </si>
  <si>
    <r>
      <t>m</t>
    </r>
    <r>
      <rPr>
        <vertAlign val="superscript"/>
        <sz val="11"/>
        <color theme="1"/>
        <rFont val="Calibri"/>
        <family val="2"/>
        <scheme val="minor"/>
      </rPr>
      <t>3</t>
    </r>
    <r>
      <rPr>
        <sz val="11"/>
        <color theme="1"/>
        <rFont val="Calibri"/>
        <family val="2"/>
        <scheme val="minor"/>
      </rPr>
      <t xml:space="preserve"> to MMBTU</t>
    </r>
  </si>
  <si>
    <t>MMBTU/short ton of feedstock</t>
  </si>
  <si>
    <t>Total Electrical Demand (Local)</t>
  </si>
  <si>
    <t>MMBTU</t>
  </si>
  <si>
    <t>Total Processing Diverted Material</t>
  </si>
  <si>
    <t>local</t>
  </si>
  <si>
    <t>remote</t>
  </si>
  <si>
    <t>total</t>
  </si>
  <si>
    <t>Soil health co-benefits</t>
  </si>
  <si>
    <t>Compost production</t>
  </si>
  <si>
    <t xml:space="preserve">Compost application area </t>
  </si>
  <si>
    <t>Acres to be treated with compost soil ammendments</t>
  </si>
  <si>
    <t>Note: Positive values indicate compost production, while negative values indicate reductions in compost production</t>
  </si>
  <si>
    <t>Fuel and energy co-benefits</t>
  </si>
  <si>
    <t>gallons*</t>
  </si>
  <si>
    <t>Note: Positive values indicate reductions, while negative values indicate increases</t>
  </si>
  <si>
    <t>dollars</t>
  </si>
  <si>
    <t>Note: Positive values indicate cost savings, while negative values indicate cost increases</t>
  </si>
  <si>
    <t>*diesel gallons equivalent</t>
  </si>
  <si>
    <t>Air pollutant co-benefits</t>
  </si>
  <si>
    <t>Dry tons</t>
  </si>
  <si>
    <t>Waste reduction co-benefits</t>
  </si>
  <si>
    <t xml:space="preserve">Edible Food Rescued &amp; Donated </t>
  </si>
  <si>
    <t>Tons</t>
  </si>
  <si>
    <t xml:space="preserve">Material Diverted from Landfill </t>
  </si>
  <si>
    <t>scf</t>
  </si>
  <si>
    <t>Material available for composting</t>
  </si>
  <si>
    <t>Net Co-Pollutant Reductions 
(Remote)</t>
  </si>
  <si>
    <t>Avoided Windrow Co-pollutants (Remote)</t>
  </si>
  <si>
    <t>Avoided ASP Co-Pollutants (Remote)</t>
  </si>
  <si>
    <t xml:space="preserve">Co-benefit Assessment Methodology for Soil Health and Conservation 
https://www.arb.ca.gov/cc/capandtrade/auctionproceeds/final_soil_am.pdf </t>
  </si>
  <si>
    <t>ROG Emission Reductions over Quantification Period</t>
  </si>
  <si>
    <t>NOx Emission Reductions over Quantification Period</t>
  </si>
  <si>
    <t>PM2.5 Emission Reductions over Quantification Period</t>
  </si>
  <si>
    <t>Diesel PM Emission Reductions over Quantification Period</t>
  </si>
  <si>
    <t>Fossil fuel use reductions (onsite reductions) over Quantification Period</t>
  </si>
  <si>
    <t>Energy and fuel cost savings (onsite) over Quantification Period</t>
  </si>
  <si>
    <t>Renewable fuel generation over Quantification Period</t>
  </si>
  <si>
    <t>Renewable energy generation over Quantification Period</t>
  </si>
  <si>
    <t>Available Fuel 
(Gallon of diesel eq)</t>
  </si>
  <si>
    <t>Energy and Fuel Cost Savings Co-benefits</t>
  </si>
  <si>
    <t>Diesel Average Fuel Price</t>
  </si>
  <si>
    <t>Electricity Average Price</t>
  </si>
  <si>
    <t>$/gallon</t>
  </si>
  <si>
    <t>$/kWh (Industrial)</t>
  </si>
  <si>
    <t>Co-benefit Assessment Methodology for Energy and Fuel Cost Savings
https://www.arb.ca.gov/cc/capandtrade/auctionproceeds/final_energyfuelcost_am.pdf</t>
  </si>
  <si>
    <t>Renewable Energy Generation (scf))</t>
  </si>
  <si>
    <t>Renewable Energy Generation (scf)</t>
  </si>
  <si>
    <t>Renewable Energy Generation (gallons)</t>
  </si>
  <si>
    <t>Avoided Flare Criteria &amp; Toxic Emissions (Remote)</t>
  </si>
  <si>
    <t>Avoided Flare Emissions</t>
  </si>
  <si>
    <t>CA-GREET 2.0 Factors (Average NOx Factor)</t>
  </si>
  <si>
    <t>CA-GREET 2.0 Factors (Converted with 1020 HHV)</t>
  </si>
  <si>
    <t>Diesel/RNG/DME Heavy Duty Truck ROG Emissions</t>
  </si>
  <si>
    <t>Diesel/RNG/DME Heavy Duty Truck NOx Emissions</t>
  </si>
  <si>
    <t>Diesel/RNG/DME Heavy Duty Truck PM2.5 Emissions</t>
  </si>
  <si>
    <t>Diesel/RNG/DME Heavy Duty Truck Low NOx Emissions</t>
  </si>
  <si>
    <t>Transportation Emission Factors</t>
  </si>
  <si>
    <t>ROG 
(g/mile)</t>
  </si>
  <si>
    <t>Nox 
(g/mile)</t>
  </si>
  <si>
    <t>PM2.5 (g/mile)</t>
  </si>
  <si>
    <t>Diesel PM (g/mile)</t>
  </si>
  <si>
    <t>ROG (lbs/gal)</t>
  </si>
  <si>
    <t>Nox (lbs/gal)</t>
  </si>
  <si>
    <t>PM2.5 (lbs/gal)</t>
  </si>
  <si>
    <t>Diesel PM (lbs/gal)</t>
  </si>
  <si>
    <t>Fuel Conversion Factors</t>
  </si>
  <si>
    <t>Year 1</t>
  </si>
  <si>
    <t>Year 2</t>
  </si>
  <si>
    <t>Year 3</t>
  </si>
  <si>
    <t>Year 4</t>
  </si>
  <si>
    <t>Year 5</t>
  </si>
  <si>
    <t>Year 6</t>
  </si>
  <si>
    <t>Year 7</t>
  </si>
  <si>
    <t>Year 8</t>
  </si>
  <si>
    <t>Year 9</t>
  </si>
  <si>
    <t>Year 10</t>
  </si>
  <si>
    <t>Conversion Factors</t>
  </si>
  <si>
    <t>LHV of Natural Gas</t>
  </si>
  <si>
    <t>BTU/scf</t>
  </si>
  <si>
    <t>-</t>
  </si>
  <si>
    <t>Renewable Energy Generation (kWh)</t>
  </si>
  <si>
    <t>Composition of Food Waste in Feedstock
(%)</t>
  </si>
  <si>
    <t>Composition of Green Waste in Feedstock
(%)</t>
  </si>
  <si>
    <t>Any other information as necessary and appropriate to substantiate Organics Benefits Calculator Tool inputs (e.g., vehicle purchase information, refrigeration unit information, contracts for food rescue sources, contracts for waste materials, etc.)</t>
  </si>
  <si>
    <t xml:space="preserve">Natural gas emission factors for criteria pollutants - US EPA - AP-42, col. 1, CH 1.4: Natural Gas Combustion
https://www3.epa.gov/ttnchie1/ap42/ch01/final/c01s04.pdf </t>
  </si>
  <si>
    <t>Criteria pollutant data is derived from CARB's criteria pollutant emissions inventory for statewide stationary sources of fuel combustion for electric utilities and cogeneration. The latest update is based on 2012 estimated annual average emissions. Criteria pollutant emissions data are available online at:</t>
  </si>
  <si>
    <t>https://www.arb.ca.gov/app/emsinv/2017/emssumcat_query.php?F_YR=2012&amp;F_DIV=-4&amp;F_SEASON=A&amp;SP=SIP105ADJ&amp;F_AREA=CA#0</t>
  </si>
  <si>
    <t>EMFAC2014 (v1.0.7) Emissions</t>
  </si>
  <si>
    <t>https://www.arb.ca.gov/emfac/2014/</t>
  </si>
  <si>
    <t>CARB California grid electricity emission factor for GGRF programs</t>
  </si>
  <si>
    <t>CARB Refrigerant Management Program (Weighted GWP of 2020 Cold Storage Inventory)</t>
  </si>
  <si>
    <t>CARB Refrigerant Management Program</t>
  </si>
  <si>
    <t>CARB Refrigerant Management Program (Used as default refrigerant for TRUs)</t>
  </si>
  <si>
    <t>Boiler Emission Factors</t>
  </si>
  <si>
    <t>Offroad Equipment Factors</t>
  </si>
  <si>
    <t xml:space="preserve">ROG </t>
  </si>
  <si>
    <t xml:space="preserve">Nox </t>
  </si>
  <si>
    <t xml:space="preserve">Diesel PM </t>
  </si>
  <si>
    <t>VMT Count</t>
  </si>
  <si>
    <t>Miles</t>
  </si>
  <si>
    <t>Transportation Costs</t>
  </si>
  <si>
    <t>Fuel Cost</t>
  </si>
  <si>
    <t>Fuel Type</t>
  </si>
  <si>
    <t>Gasoline</t>
  </si>
  <si>
    <t>CARB's Co-benefit Assessment Methodology for Energy and Fuel Cost Savings
https://www.arb.ca.gov/cc/capandtrade/auctionproceeds/final_energyfuelcost_am.pdf</t>
  </si>
  <si>
    <t>Electricity</t>
  </si>
  <si>
    <t>$/kWh</t>
  </si>
  <si>
    <t>$/kg</t>
  </si>
  <si>
    <t>Gasoline Van Fuel Costs</t>
  </si>
  <si>
    <t>$/Year</t>
  </si>
  <si>
    <t>Hybrid Van Fuel Costs</t>
  </si>
  <si>
    <t>Plug-in Hybrid Van Fuel Costs</t>
  </si>
  <si>
    <t>Battery Electric Van Fuel Costs</t>
  </si>
  <si>
    <t>Fuel Cell Electric Van Fuel Costs</t>
  </si>
  <si>
    <t>Diesel Box Truck Fuel Costs</t>
  </si>
  <si>
    <t>Hybrid Box Truck Fuel Costs</t>
  </si>
  <si>
    <t>Battery Electric Box Truck Fuel Costs</t>
  </si>
  <si>
    <t>Diesel Heavy Duty Truck Fuel Costs</t>
  </si>
  <si>
    <t>Battery Electric Heavy Duty Truck Fuel Costs</t>
  </si>
  <si>
    <r>
      <t>gCO</t>
    </r>
    <r>
      <rPr>
        <vertAlign val="subscript"/>
        <sz val="11"/>
        <color theme="1"/>
        <rFont val="Calibri"/>
        <family val="2"/>
        <scheme val="minor"/>
      </rPr>
      <t>2</t>
    </r>
    <r>
      <rPr>
        <sz val="11"/>
        <color theme="1"/>
        <rFont val="Calibri"/>
        <family val="2"/>
        <scheme val="minor"/>
      </rPr>
      <t>e/gal</t>
    </r>
  </si>
  <si>
    <t>Gasoline Fuel Specific Factors</t>
  </si>
  <si>
    <t>Electricity Fuel Specific Factors</t>
  </si>
  <si>
    <r>
      <t>gCO</t>
    </r>
    <r>
      <rPr>
        <vertAlign val="subscript"/>
        <sz val="11"/>
        <color theme="1"/>
        <rFont val="Calibri"/>
        <family val="2"/>
        <scheme val="minor"/>
      </rPr>
      <t>2</t>
    </r>
    <r>
      <rPr>
        <sz val="11"/>
        <color theme="1"/>
        <rFont val="Calibri"/>
        <family val="2"/>
        <scheme val="minor"/>
      </rPr>
      <t>e/kWh</t>
    </r>
  </si>
  <si>
    <t>Hydrogen Fuel Specific Factors</t>
  </si>
  <si>
    <r>
      <t>gCO</t>
    </r>
    <r>
      <rPr>
        <vertAlign val="subscript"/>
        <sz val="11"/>
        <color theme="1"/>
        <rFont val="Calibri"/>
        <family val="2"/>
        <scheme val="minor"/>
      </rPr>
      <t>2</t>
    </r>
    <r>
      <rPr>
        <sz val="11"/>
        <color theme="1"/>
        <rFont val="Calibri"/>
        <family val="2"/>
        <scheme val="minor"/>
      </rPr>
      <t>e/kg</t>
    </r>
  </si>
  <si>
    <t>CARB's California’s High Global Warming Potential Gases Emission Inventory Emission Inventory Methodology and Technical Support Document (2016)</t>
  </si>
  <si>
    <t>Method for Estimating Greenhouse Gas Emission Reductions from Diversion of Organic Waste from Landfills to Compost Facilities</t>
  </si>
  <si>
    <t xml:space="preserve">Method for Estimating Greenhouse Gas Emission Reductions from Diversion of Organic Waste from Landfills to Compost Facilities
</t>
  </si>
  <si>
    <t xml:space="preserve">LCFS Pathway for the Production of Biomethane from High Solids Anaerobic Digestion of Organic (Food and Green) Waste
</t>
  </si>
  <si>
    <t xml:space="preserve">
Method for Estimating Greenhouse Gas Emission Reductions from Diversion of Organic Waste from Landfills to Compost Facilities</t>
  </si>
  <si>
    <t>https://www.arb.ca.gov/regact/2015/lcfs2015/lcfsfinalregorder.pdf</t>
  </si>
  <si>
    <t xml:space="preserve">Low Carbon Fuel Standard </t>
  </si>
  <si>
    <t xml:space="preserve">California Air Resources Board, Method for Estimating Greenhouse Gas Emission Reductions from Diversion of Organic Waste from Landfills to Compost Facilities (May 2017) </t>
  </si>
  <si>
    <t xml:space="preserve">
EPA AP-42, Compilation of Air Emission Factors, 2.4, Municipal Solid Waste Landfills</t>
  </si>
  <si>
    <t xml:space="preserve">CA-GREET 3.0 </t>
  </si>
  <si>
    <t>Diesel Fuel Specific Factors</t>
  </si>
  <si>
    <t>http://www.arb.ca.gov/cci-resources</t>
  </si>
  <si>
    <t>California Air Resources Board, Method for Estimating Greenhouse Gas Emission Reductions from Composting of Commercial Organic Waste (2017) (CERF)</t>
  </si>
  <si>
    <t>Table excerpted from California Air Resources Board, Method for Estimating Greenhouse Gas Emission Reductions from Composting of Commercial Organic Waste (2017) (CERF)</t>
  </si>
  <si>
    <t>[2] Avoided landfill emissions from CARB Method for Estimating Greenhouse Gas Emission Reductions from Composting of Commercial Organic Waste (2017) (CERF)</t>
  </si>
  <si>
    <t>Method for Estimating Greenhouse Gas Emission Reductions from Composting of Commercial Organic Waste (2017)</t>
  </si>
  <si>
    <t>www.arb.ca.gov/cci-cobenefits</t>
  </si>
  <si>
    <t>www.arb.ca.gov/cci-resources</t>
  </si>
  <si>
    <t>Reduction in Vehicle Miles Traveled</t>
  </si>
  <si>
    <t>cubic yards compost to tons</t>
  </si>
  <si>
    <t>tons of compost to ton of feedstock</t>
  </si>
  <si>
    <t>Feedstock Diverted for Aerated Static PIle Composting 
(Short Tons)</t>
  </si>
  <si>
    <t>Estimated Change in Water Irrigation from Planting Trees</t>
  </si>
  <si>
    <t>Enter data below after using the UCANR Water Use Classification of Landscape Species (WUCOLS IV) and the DWR Water Budget Workbook for New and Rehabilitated Non-Residential Landscapes (Water Budget Workbook).</t>
  </si>
  <si>
    <t>If Project Involves Additional Irrigation, Estimated Annual Baseline On-site Water Use (gal/yr)</t>
  </si>
  <si>
    <t>If Project Involves Additional Irrigation, Estimated Annual On-Site Water Use After Planting (gal/yr)</t>
  </si>
  <si>
    <t>Irrigation Savings Over 40 Year Quantification Period (gal)</t>
  </si>
  <si>
    <t>Tree Planting Benefits</t>
  </si>
  <si>
    <t>Enter data below after using i-Tree Planting to estimate tree carbon storage, electricity savings, natural gas savings, and co-pollutants removed due to the groups of trees.</t>
  </si>
  <si>
    <t>Group Identifier</t>
  </si>
  <si>
    <t>Tree Group Characteristics</t>
  </si>
  <si>
    <t>Quantity of Trees to be Planted within this Tree Group</t>
  </si>
  <si>
    <t>Electricity Savings From Tree Group Over the 40 Year Quantification Period 
(kWh)</t>
  </si>
  <si>
    <t>Natural Gas Savings From Tree Group Over the 40 Year Quantification Period
(MMBtu)</t>
  </si>
  <si>
    <t>Rainfall Interception Over the 40 Year Quantification Period 
(gal)</t>
  </si>
  <si>
    <t>Avoided Runoff Over the 40 Year Quantification Period 
(gal)</t>
  </si>
  <si>
    <t>SUBTOTAL FOR POPULATION</t>
  </si>
  <si>
    <t>NOx Emission Reductions (lb)</t>
  </si>
  <si>
    <t>ROG Emission Reductions (lb)</t>
  </si>
  <si>
    <t>Energy Use Reductions (kWh)</t>
  </si>
  <si>
    <t>Energy Use Reductions (therms)</t>
  </si>
  <si>
    <t>Standard Emission Reduction Factors</t>
  </si>
  <si>
    <t>Annual Mortality Rate
(percent)</t>
  </si>
  <si>
    <t xml:space="preserve">•  i-Tree ECO Guide to Using the Forecast Model http://www.itreetools.org/resources/manuals/Ecov6_ManualsGuides/Ecov6Guide_UsingForecast.pdf 
•  Roman, Lara “How many trees are enough? Tree death and the urban canopy” in Scenario Journal (Spring 2014)  http://www.fs.fed.us/nrs/pubs/jrnl/2014/nrs_2014_roman_001.pdf
•  U.S. Department of Energy Information Administration “Method for Calculating Carbon Sequestration by Trees in Urban and Suburban Settings” (April 1998) http://www3.epa.gov/climatechange/Downloads/method-calculating-carbon-sequestration-trees-urban-and-suburban-settings.pdf
</t>
  </si>
  <si>
    <t>Years After Planting With Greatest Risk of Mortality (years)</t>
  </si>
  <si>
    <t>John Melvin, State Urban Forester (April 19, 2016) personal communication</t>
  </si>
  <si>
    <t>Years of Establishment and Replacement Care (years)</t>
  </si>
  <si>
    <t>Years Adjusted for Annual Energy Savings Output at Year 40 (years)</t>
  </si>
  <si>
    <t>Greg McPherson, Research Forester, US Forest Service (April 25, 2016) personal communication</t>
  </si>
  <si>
    <r>
      <t>Emission Factor for Electricity
(MT CO</t>
    </r>
    <r>
      <rPr>
        <vertAlign val="subscript"/>
        <sz val="12"/>
        <rFont val="Arial"/>
        <family val="2"/>
      </rPr>
      <t>2</t>
    </r>
    <r>
      <rPr>
        <sz val="12"/>
        <rFont val="Arial"/>
        <family val="2"/>
      </rPr>
      <t>e/MWh)</t>
    </r>
  </si>
  <si>
    <t>•  For the purposes of GGRF quantification methodologies, CARB developed a California grid electricity emission factor based on total in-state and imported electricity emissions divided by total consumption.  Emissions data were obtained from the CARB GHG inventory, last updated June 2018, available online at:  https://www.arb.ca.gov/cc/inventory/data/tables/ghg_inventory_sector_sum_2000-16.pdf
•  Consumption data were obtained from the CEC Energy Almanac, last updated May 2018, available online at:  http://www.energy.ca.gov/almanac/electricity_data/electricity_generation.html</t>
  </si>
  <si>
    <r>
      <t>Emission Factor for Electricity
(MT CO</t>
    </r>
    <r>
      <rPr>
        <vertAlign val="subscript"/>
        <sz val="12"/>
        <rFont val="Arial"/>
        <family val="2"/>
      </rPr>
      <t>2</t>
    </r>
    <r>
      <rPr>
        <sz val="12"/>
        <rFont val="Arial"/>
        <family val="2"/>
      </rPr>
      <t>e/kWh)</t>
    </r>
  </si>
  <si>
    <r>
      <t>Emission Factor for Natural Gas
(MT CO</t>
    </r>
    <r>
      <rPr>
        <vertAlign val="subscript"/>
        <sz val="12"/>
        <rFont val="Arial"/>
        <family val="2"/>
      </rPr>
      <t>2</t>
    </r>
    <r>
      <rPr>
        <sz val="12"/>
        <rFont val="Arial"/>
        <family val="2"/>
      </rPr>
      <t>e/therm)</t>
    </r>
  </si>
  <si>
    <t>EPA Emission Factors for Greenhouse Gas Inventories (2018)
https://www.epa.gov/sites/production/files/2018-03/documents/emission-factors_mar_2018_0.pdf</t>
  </si>
  <si>
    <t>ROG Electricity Emission Factor (lbs/kWh)</t>
  </si>
  <si>
    <t>•  Criteria pollutant data is derived from CARB's criteria pollutant emissions inventory for statewide stationary sources of fuel combustion for electric utilities and cogeneration. The latest update is based on 2012 estimated annual average emissions data.  Criteria pollutant emissions data are available online at:  https://www.arb.ca.gov/app/emsinv/2017/emssumcat_query.php?F_YR=2012&amp;F_DIV=-4&amp;F_SEASON=A&amp;SP=SIP105ADJ&amp;F_AREA=CA#0.
•  Consumption data were obtained from the CEC Energy Almanac, last updated May 2018, available online at:  http://www.energy.ca.gov/almanac/electricity_data/electricity_generation.html.</t>
  </si>
  <si>
    <r>
      <t>NO</t>
    </r>
    <r>
      <rPr>
        <vertAlign val="subscript"/>
        <sz val="12"/>
        <rFont val="Arial"/>
        <family val="2"/>
      </rPr>
      <t>x</t>
    </r>
    <r>
      <rPr>
        <sz val="12"/>
        <rFont val="Arial"/>
        <family val="2"/>
      </rPr>
      <t xml:space="preserve"> Electricity Emission Factor (lbs/kWh)</t>
    </r>
  </si>
  <si>
    <r>
      <t>PM</t>
    </r>
    <r>
      <rPr>
        <vertAlign val="subscript"/>
        <sz val="12"/>
        <rFont val="Arial"/>
        <family val="2"/>
      </rPr>
      <t>2.5</t>
    </r>
    <r>
      <rPr>
        <sz val="12"/>
        <rFont val="Arial"/>
        <family val="2"/>
      </rPr>
      <t xml:space="preserve"> Electricity Emission Factor (lbs/kWh)</t>
    </r>
  </si>
  <si>
    <t>ROG Natural Gas Combustion Emission Factor (lbs/MMBtu)</t>
  </si>
  <si>
    <t>US EPA, AP 42, Fifth Edition, Volume I, Chapter 1: External Combustion Sources, 1.4 Natural Gas Combustion  https://www3.epa.gov/ttn/chief/ap42/ch01/final/c01s04.pdf</t>
  </si>
  <si>
    <r>
      <t>NO</t>
    </r>
    <r>
      <rPr>
        <vertAlign val="subscript"/>
        <sz val="12"/>
        <rFont val="Arial"/>
        <family val="2"/>
      </rPr>
      <t>x</t>
    </r>
    <r>
      <rPr>
        <sz val="12"/>
        <rFont val="Arial"/>
        <family val="2"/>
      </rPr>
      <t xml:space="preserve"> Natural Gas Combustion Emission Factor (lbs/MMBtu)</t>
    </r>
  </si>
  <si>
    <r>
      <t>PM</t>
    </r>
    <r>
      <rPr>
        <vertAlign val="subscript"/>
        <sz val="12"/>
        <rFont val="Arial"/>
        <family val="2"/>
      </rPr>
      <t>2.5</t>
    </r>
    <r>
      <rPr>
        <sz val="12"/>
        <rFont val="Arial"/>
        <family val="2"/>
      </rPr>
      <t xml:space="preserve"> Natural Gas Combustion Emission Factor (lbs/MMBtu)</t>
    </r>
  </si>
  <si>
    <r>
      <t>PM</t>
    </r>
    <r>
      <rPr>
        <vertAlign val="subscript"/>
        <sz val="12"/>
        <rFont val="Arial"/>
        <family val="2"/>
      </rPr>
      <t>2.5</t>
    </r>
    <r>
      <rPr>
        <sz val="12"/>
        <rFont val="Arial"/>
        <family val="2"/>
      </rPr>
      <t>/PM</t>
    </r>
    <r>
      <rPr>
        <vertAlign val="subscript"/>
        <sz val="12"/>
        <rFont val="Arial"/>
        <family val="2"/>
      </rPr>
      <t>10</t>
    </r>
    <r>
      <rPr>
        <sz val="12"/>
        <rFont val="Arial"/>
        <family val="2"/>
      </rPr>
      <t xml:space="preserve"> Statewide Emission Inventory Ratio  </t>
    </r>
  </si>
  <si>
    <t>California Air Resources Board Statewide 2012 Estimated Annual Ambient Air Emissions, https://www.arb.ca.gov/app/emsinv/2017/emseic1_query.php?F_DIV=-4&amp;F_YR=2012&amp;F_SEASON=A&amp;SP=SIP105ADJ&amp;F_AREA=CA</t>
  </si>
  <si>
    <t>Emissions from Tree Planting Projects (percent of reduction)</t>
  </si>
  <si>
    <t>United States Department of Agriculture, Forest Service. i-Tree Methods and Files [i-Tree Streets &amp; STRATUM Resources: i Tree Streets Reference City Community Tree Guides]. https://www.itreetools.org/resources/archives.php</t>
  </si>
  <si>
    <t>therms/MMBtu</t>
  </si>
  <si>
    <t>MMBtu/therm</t>
  </si>
  <si>
    <t>gal/acre-feet</t>
  </si>
  <si>
    <t>kg/short ton</t>
  </si>
  <si>
    <t>kg/MT</t>
  </si>
  <si>
    <t>Gasoline Average Fuel Price</t>
  </si>
  <si>
    <t>Natural Gas</t>
  </si>
  <si>
    <t>$/therm (Industrial)</t>
  </si>
  <si>
    <t>Feedstock
(Short tons)</t>
  </si>
  <si>
    <t>therms</t>
  </si>
  <si>
    <t>Water savings</t>
  </si>
  <si>
    <t>Compost Production 
(cubic yards)</t>
  </si>
  <si>
    <t>Year
(January-December)</t>
  </si>
  <si>
    <t>Avoided Co-pollutants (Remote)</t>
  </si>
  <si>
    <t>Trees Planted</t>
  </si>
  <si>
    <t>Trees</t>
  </si>
  <si>
    <t>Gallons</t>
  </si>
  <si>
    <t>Benefits Calculator Tool</t>
  </si>
  <si>
    <t xml:space="preserve">California Climate Investments </t>
  </si>
  <si>
    <t>· Questions on this Benefits Calculator Tool should be sent to:</t>
  </si>
  <si>
    <t>Required input</t>
  </si>
  <si>
    <t>Optional input*</t>
  </si>
  <si>
    <t xml:space="preserve">· For more information on California Climate Investments, see: </t>
  </si>
  <si>
    <t>Output field (not modifiable)</t>
  </si>
  <si>
    <t>www.caclimateinvestments.ca.gov</t>
  </si>
  <si>
    <t>Helpful hints</t>
  </si>
  <si>
    <r>
      <rPr>
        <sz val="12"/>
        <rFont val="Avenir LT Std 55 Roman"/>
        <family val="2"/>
      </rPr>
      <t xml:space="preserve">A step-by-step </t>
    </r>
    <r>
      <rPr>
        <b/>
        <sz val="12"/>
        <rFont val="Avenir LT Std 55 Roman"/>
        <family val="2"/>
      </rPr>
      <t>user guide</t>
    </r>
    <r>
      <rPr>
        <sz val="12"/>
        <rFont val="Avenir LT Std 55 Roman"/>
        <family val="2"/>
      </rPr>
      <t xml:space="preserve">, including </t>
    </r>
    <r>
      <rPr>
        <b/>
        <sz val="12"/>
        <rFont val="Avenir LT Std 55 Roman"/>
        <family val="2"/>
      </rPr>
      <t>project examples</t>
    </r>
    <r>
      <rPr>
        <sz val="12"/>
        <rFont val="Avenir LT Std 55 Roman"/>
        <family val="2"/>
      </rPr>
      <t xml:space="preserve">, for this Benefits Calculator Tool is available </t>
    </r>
    <r>
      <rPr>
        <u/>
        <sz val="12"/>
        <color theme="10"/>
        <rFont val="Avenir LT Std 55 Roman"/>
        <family val="2"/>
      </rPr>
      <t>here.</t>
    </r>
  </si>
  <si>
    <r>
      <t xml:space="preserve">To be completed by </t>
    </r>
    <r>
      <rPr>
        <i/>
        <sz val="12"/>
        <color rgb="FFFF0000"/>
        <rFont val="Avenir LT Std 55 Roman"/>
        <family val="2"/>
      </rPr>
      <t>CalRecycle</t>
    </r>
  </si>
  <si>
    <t>Total Organics GGRF Funds Requested ($):</t>
  </si>
  <si>
    <t xml:space="preserve">Benefits Calculator Tool </t>
  </si>
  <si>
    <r>
      <t>Net GHG Benefit
(MTCO</t>
    </r>
    <r>
      <rPr>
        <b/>
        <vertAlign val="subscript"/>
        <sz val="14"/>
        <color theme="1"/>
        <rFont val="Avenir LT Std 55 Roman"/>
        <family val="2"/>
      </rPr>
      <t>2</t>
    </r>
    <r>
      <rPr>
        <b/>
        <sz val="14"/>
        <color theme="1"/>
        <rFont val="Avenir LT Std 55 Roman"/>
        <family val="2"/>
      </rPr>
      <t>e)</t>
    </r>
  </si>
  <si>
    <r>
      <t>Volume of System 
(ft</t>
    </r>
    <r>
      <rPr>
        <b/>
        <vertAlign val="superscript"/>
        <sz val="11"/>
        <color theme="1"/>
        <rFont val="Avenir LT Std 55 Roman"/>
        <family val="2"/>
      </rPr>
      <t>3</t>
    </r>
    <r>
      <rPr>
        <b/>
        <sz val="11"/>
        <color theme="1"/>
        <rFont val="Avenir LT Std 55 Roman"/>
        <family val="2"/>
      </rPr>
      <t>)</t>
    </r>
  </si>
  <si>
    <r>
      <t xml:space="preserve">Refrigerant Charge Size - </t>
    </r>
    <r>
      <rPr>
        <b/>
        <i/>
        <sz val="11"/>
        <color theme="1"/>
        <rFont val="Avenir LT Std 55 Roman"/>
        <family val="2"/>
      </rPr>
      <t>Optional Input</t>
    </r>
    <r>
      <rPr>
        <b/>
        <sz val="11"/>
        <color theme="1"/>
        <rFont val="Avenir LT Std 55 Roman"/>
        <family val="2"/>
      </rPr>
      <t xml:space="preserve">
(lbs)</t>
    </r>
  </si>
  <si>
    <r>
      <t>Net GHG Benefit
(MTCO</t>
    </r>
    <r>
      <rPr>
        <b/>
        <vertAlign val="subscript"/>
        <sz val="11"/>
        <color theme="1"/>
        <rFont val="Avenir LT Std 55 Roman"/>
        <family val="2"/>
      </rPr>
      <t>2</t>
    </r>
    <r>
      <rPr>
        <b/>
        <sz val="11"/>
        <color theme="1"/>
        <rFont val="Avenir LT Std 55 Roman"/>
        <family val="2"/>
      </rPr>
      <t>e)</t>
    </r>
  </si>
  <si>
    <r>
      <t>Carbon Stored in Tree Group Over the 40 Year Quantification Period 
(lb CO</t>
    </r>
    <r>
      <rPr>
        <b/>
        <vertAlign val="subscript"/>
        <sz val="12"/>
        <color theme="1"/>
        <rFont val="Avenir LT Std 55 Roman"/>
        <family val="2"/>
      </rPr>
      <t>2</t>
    </r>
    <r>
      <rPr>
        <b/>
        <sz val="12"/>
        <color theme="1"/>
        <rFont val="Avenir LT Std 55 Roman"/>
        <family val="2"/>
      </rPr>
      <t>e)</t>
    </r>
  </si>
  <si>
    <r>
      <t>NO</t>
    </r>
    <r>
      <rPr>
        <b/>
        <vertAlign val="subscript"/>
        <sz val="12"/>
        <color theme="1"/>
        <rFont val="Avenir LT Std 55 Roman"/>
        <family val="2"/>
      </rPr>
      <t>2</t>
    </r>
    <r>
      <rPr>
        <b/>
        <sz val="12"/>
        <color theme="1"/>
        <rFont val="Avenir LT Std 55 Roman"/>
        <family val="2"/>
      </rPr>
      <t xml:space="preserve"> Removed Over the 40 Year Quantification Period
(lb)</t>
    </r>
  </si>
  <si>
    <r>
      <t>PM</t>
    </r>
    <r>
      <rPr>
        <b/>
        <vertAlign val="subscript"/>
        <sz val="12"/>
        <color theme="1"/>
        <rFont val="Avenir LT Std 55 Roman"/>
        <family val="2"/>
      </rPr>
      <t>2.5</t>
    </r>
    <r>
      <rPr>
        <b/>
        <sz val="12"/>
        <color theme="1"/>
        <rFont val="Avenir LT Std 55 Roman"/>
        <family val="2"/>
      </rPr>
      <t xml:space="preserve"> Removed Over the 40 Year Quantification Period
(lb)</t>
    </r>
  </si>
  <si>
    <r>
      <t>GHG Benefit of Carbon Stored in Live Project Trees (MT CO</t>
    </r>
    <r>
      <rPr>
        <b/>
        <vertAlign val="subscript"/>
        <sz val="12"/>
        <color theme="1"/>
        <rFont val="Avenir LT Std 55 Roman"/>
        <family val="2"/>
      </rPr>
      <t>2</t>
    </r>
    <r>
      <rPr>
        <b/>
        <sz val="12"/>
        <rFont val="Avenir LT Std 55 Roman"/>
        <family val="2"/>
      </rPr>
      <t>e)</t>
    </r>
  </si>
  <si>
    <r>
      <t>GHG Benefit from Energy Savings (MT CO</t>
    </r>
    <r>
      <rPr>
        <b/>
        <vertAlign val="subscript"/>
        <sz val="12"/>
        <color theme="1"/>
        <rFont val="Avenir LT Std 55 Roman"/>
        <family val="2"/>
      </rPr>
      <t>2</t>
    </r>
    <r>
      <rPr>
        <b/>
        <sz val="12"/>
        <rFont val="Avenir LT Std 55 Roman"/>
        <family val="2"/>
      </rPr>
      <t>e)</t>
    </r>
  </si>
  <si>
    <r>
      <t>GHG Emissions from Project Implementation (MT CO</t>
    </r>
    <r>
      <rPr>
        <b/>
        <vertAlign val="subscript"/>
        <sz val="12"/>
        <color theme="1"/>
        <rFont val="Avenir LT Std 55 Roman"/>
        <family val="2"/>
      </rPr>
      <t>2</t>
    </r>
    <r>
      <rPr>
        <b/>
        <sz val="12"/>
        <rFont val="Avenir LT Std 55 Roman"/>
        <family val="2"/>
      </rPr>
      <t>e)</t>
    </r>
  </si>
  <si>
    <r>
      <t>PM</t>
    </r>
    <r>
      <rPr>
        <b/>
        <vertAlign val="subscript"/>
        <sz val="12"/>
        <rFont val="Avenir LT Std 55 Roman"/>
        <family val="2"/>
      </rPr>
      <t>2.5</t>
    </r>
    <r>
      <rPr>
        <b/>
        <sz val="12"/>
        <rFont val="Avenir LT Std 55 Roman"/>
        <family val="2"/>
      </rPr>
      <t xml:space="preserve"> Emission Reductions (lb)</t>
    </r>
  </si>
  <si>
    <r>
      <t>Water Savings from Project Implementation (gal</t>
    </r>
    <r>
      <rPr>
        <b/>
        <sz val="12"/>
        <rFont val="Avenir LT Std 55 Roman"/>
        <family val="2"/>
      </rPr>
      <t>)</t>
    </r>
  </si>
  <si>
    <r>
      <t>Total</t>
    </r>
    <r>
      <rPr>
        <sz val="12"/>
        <color rgb="FFFF0000"/>
        <rFont val="Avenir LT Std 55 Roman"/>
        <family val="2"/>
      </rPr>
      <t xml:space="preserve"> </t>
    </r>
    <r>
      <rPr>
        <sz val="12"/>
        <rFont val="Avenir LT Std 55 Roman"/>
        <family val="2"/>
      </rPr>
      <t xml:space="preserve">Organics </t>
    </r>
    <r>
      <rPr>
        <sz val="12"/>
        <color theme="1"/>
        <rFont val="Avenir LT Std 55 Roman"/>
        <family val="2"/>
      </rPr>
      <t>GGRF Funds Requested ($)</t>
    </r>
  </si>
  <si>
    <r>
      <t>Total GHG Emission Reductions (MTCO</t>
    </r>
    <r>
      <rPr>
        <vertAlign val="subscript"/>
        <sz val="12"/>
        <color theme="1"/>
        <rFont val="Avenir LT Std 55 Roman"/>
        <family val="2"/>
      </rPr>
      <t>2</t>
    </r>
    <r>
      <rPr>
        <sz val="12"/>
        <color theme="1"/>
        <rFont val="Avenir LT Std 55 Roman"/>
        <family val="2"/>
      </rPr>
      <t>e)</t>
    </r>
  </si>
  <si>
    <r>
      <t>Total GHG Emission Reductions per Total Funds (MTCO</t>
    </r>
    <r>
      <rPr>
        <vertAlign val="subscript"/>
        <sz val="12"/>
        <color theme="1"/>
        <rFont val="Avenir LT Std 55 Roman"/>
        <family val="2"/>
      </rPr>
      <t>2</t>
    </r>
    <r>
      <rPr>
        <sz val="12"/>
        <color theme="1"/>
        <rFont val="Avenir LT Std 55 Roman"/>
        <family val="2"/>
      </rPr>
      <t>e/$)</t>
    </r>
  </si>
  <si>
    <r>
      <t>Total Funds per Total GHG Emission Reductions ($/MTCO</t>
    </r>
    <r>
      <rPr>
        <vertAlign val="subscript"/>
        <sz val="12"/>
        <color theme="1"/>
        <rFont val="Avenir LT Std 55 Roman"/>
        <family val="2"/>
      </rPr>
      <t>2</t>
    </r>
    <r>
      <rPr>
        <sz val="12"/>
        <color theme="1"/>
        <rFont val="Avenir LT Std 55 Roman"/>
        <family val="2"/>
      </rPr>
      <t>e)</t>
    </r>
  </si>
  <si>
    <r>
      <t xml:space="preserve">Project description, including excerpts or specific references to the location in the main </t>
    </r>
    <r>
      <rPr>
        <sz val="12"/>
        <rFont val="Avenir LT Std 55 Roman"/>
        <family val="2"/>
      </rPr>
      <t>Organics</t>
    </r>
    <r>
      <rPr>
        <sz val="12"/>
        <color rgb="FF000000"/>
        <rFont val="Avenir LT Std 55 Roman"/>
        <family val="2"/>
      </rPr>
      <t xml:space="preserve"> application of the project information necessary to complete the applicable portions of this Benefits Calculator Tool.</t>
    </r>
  </si>
  <si>
    <r>
      <t>Populated Organics</t>
    </r>
    <r>
      <rPr>
        <sz val="12"/>
        <color rgb="FFFF0000"/>
        <rFont val="Avenir LT Std 55 Roman"/>
        <family val="2"/>
      </rPr>
      <t xml:space="preserve"> </t>
    </r>
    <r>
      <rPr>
        <sz val="12"/>
        <color rgb="FF000000"/>
        <rFont val="Avenir LT Std 55 Roman"/>
        <family val="2"/>
      </rPr>
      <t xml:space="preserve">Benefits Calculator Tool (this file) (in </t>
    </r>
    <r>
      <rPr>
        <sz val="12"/>
        <rFont val="Avenir LT Std 55 Roman"/>
        <family val="2"/>
      </rPr>
      <t>.xlsx</t>
    </r>
    <r>
      <rPr>
        <sz val="12"/>
        <color rgb="FF000000"/>
        <rFont val="Avenir LT Std 55 Roman"/>
        <family val="2"/>
      </rPr>
      <t>) with worksheets applicable to the project populated (ensure that all fields in the GHG Summary and Co-benefits Summary tabs are populated)</t>
    </r>
  </si>
  <si>
    <r>
      <t xml:space="preserve">Some applicant-provided data may require additional documentation to substantiate the inputs.  The expected documentation includes, but is not limited to, that described in the table below, organized by quantifiable project </t>
    </r>
    <r>
      <rPr>
        <sz val="12"/>
        <rFont val="Avenir LT Std 55 Roman"/>
        <family val="2"/>
      </rPr>
      <t>type.</t>
    </r>
  </si>
  <si>
    <r>
      <t xml:space="preserve">Quantifiable Project </t>
    </r>
    <r>
      <rPr>
        <b/>
        <sz val="12"/>
        <rFont val="Avenir LT Std 55 Roman"/>
        <family val="2"/>
      </rPr>
      <t>Type</t>
    </r>
  </si>
  <si>
    <t>Organics Programs</t>
  </si>
  <si>
    <t xml:space="preserve">The Community Composting Program requires applicants to maintain and operate the project site for a minimum of 2 years. </t>
  </si>
  <si>
    <t>Third-party tools:</t>
  </si>
  <si>
    <t xml:space="preserve">Available at: </t>
  </si>
  <si>
    <t>i-Tree Planting</t>
  </si>
  <si>
    <t>https://planting.itreetools.org/</t>
  </si>
  <si>
    <t>Data outputs from the following third-party tool are required to use this Benefits Calculator Tool:</t>
  </si>
  <si>
    <t>This Benefits Calculator Tool requires data inputs obtained from i-Tree Planting.  Information and required default inputs for this tool are available in the user guide (see above in Example #4).</t>
  </si>
  <si>
    <t>Organics Programs applicants must enter the applicable information in the table below before proceeding with the project-specific data on the Inputs tab.</t>
  </si>
  <si>
    <r>
      <t>Total Organics GHG Emission Reductions (MTCO</t>
    </r>
    <r>
      <rPr>
        <vertAlign val="subscript"/>
        <sz val="12"/>
        <color theme="1"/>
        <rFont val="Avenir LT Std 55 Roman"/>
        <family val="2"/>
      </rPr>
      <t>2</t>
    </r>
    <r>
      <rPr>
        <sz val="12"/>
        <color theme="1"/>
        <rFont val="Avenir LT Std 55 Roman"/>
        <family val="2"/>
      </rPr>
      <t>e)</t>
    </r>
  </si>
  <si>
    <r>
      <t>Total GHG Emission Reductions per Total Organics GGRF Funds (MTCO</t>
    </r>
    <r>
      <rPr>
        <vertAlign val="subscript"/>
        <sz val="12"/>
        <color theme="1"/>
        <rFont val="Avenir LT Std 55 Roman"/>
        <family val="2"/>
      </rPr>
      <t>2</t>
    </r>
    <r>
      <rPr>
        <sz val="12"/>
        <color theme="1"/>
        <rFont val="Avenir LT Std 55 Roman"/>
        <family val="2"/>
      </rPr>
      <t>e/$)</t>
    </r>
  </si>
  <si>
    <r>
      <t>Total Organics GGRF Funds per Total GHG Emission Reductions ($/MTCO</t>
    </r>
    <r>
      <rPr>
        <vertAlign val="subscript"/>
        <sz val="12"/>
        <color theme="1"/>
        <rFont val="Avenir LT Std 55 Roman"/>
        <family val="2"/>
      </rPr>
      <t>2</t>
    </r>
    <r>
      <rPr>
        <sz val="12"/>
        <color theme="1"/>
        <rFont val="Avenir LT Std 55 Roman"/>
        <family val="2"/>
      </rPr>
      <t>e)</t>
    </r>
  </si>
  <si>
    <t>Applicants must use this Benefits Calculator Tool to report the estimated GHG benefits and selected co-benefits associated with proposed projects.  In addition to the Organics Programs application requirements, applicants for GGRF funding are required to document results from the use of this Benefits Calculator Tool, including supporting materials to verify the accuracy of project-specific inputs.  Applicants are required to provide electronic documentation that is complete and sufficient to allow the calculations to be reviewed and replicated.  Paper copies of supporting materials must be available upon request by agency staff.</t>
  </si>
  <si>
    <r>
      <t>A step-by-step</t>
    </r>
    <r>
      <rPr>
        <b/>
        <sz val="12"/>
        <color theme="1"/>
        <rFont val="Avenir LT Std 55 Roman"/>
        <family val="2"/>
      </rPr>
      <t xml:space="preserve"> user guide</t>
    </r>
    <r>
      <rPr>
        <sz val="12"/>
        <color theme="1"/>
        <rFont val="Avenir LT Std 55 Roman"/>
        <family val="2"/>
      </rPr>
      <t xml:space="preserve">, including </t>
    </r>
    <r>
      <rPr>
        <b/>
        <sz val="12"/>
        <color theme="1"/>
        <rFont val="Avenir LT Std 55 Roman"/>
        <family val="2"/>
      </rPr>
      <t>project example</t>
    </r>
    <r>
      <rPr>
        <b/>
        <sz val="12"/>
        <rFont val="Avenir LT Std 55 Roman"/>
        <family val="2"/>
      </rPr>
      <t>s</t>
    </r>
    <r>
      <rPr>
        <sz val="12"/>
        <color theme="1"/>
        <rFont val="Avenir LT Std 55 Roman"/>
        <family val="2"/>
      </rPr>
      <t>, for this Benefits Calculator Tool is available at:</t>
    </r>
  </si>
  <si>
    <r>
      <t>· Questions pertaining to th</t>
    </r>
    <r>
      <rPr>
        <sz val="12"/>
        <rFont val="Avenir LT Std 55 Roman"/>
        <family val="2"/>
      </rPr>
      <t>e Organics Programs sho</t>
    </r>
    <r>
      <rPr>
        <sz val="12"/>
        <color theme="1"/>
        <rFont val="Avenir LT Std 55 Roman"/>
        <family val="2"/>
      </rPr>
      <t>uld be sent to:</t>
    </r>
  </si>
  <si>
    <t>Community Compost Worksheet</t>
  </si>
  <si>
    <r>
      <t xml:space="preserve">For the CalRecycle Organics Programs (including the Organics Grant Program, Food Waste Prevention and Rescue Program, and the Community Compost Grant Program), CARB staff developed this Organics Benefits Calculator Tool to estimate the net greenhouse gas (GHG) benefit and selected co-benefits of each proposed project type. </t>
    </r>
    <r>
      <rPr>
        <u/>
        <sz val="12"/>
        <rFont val="Avenir LT Std 55 Roman"/>
        <family val="2"/>
      </rPr>
      <t xml:space="preserve"> In an effort to enhance the analysis, provide greater transparency, and assist in project‑level reporting, CARB has included an output tab in this Benefits Calculator Tool for selected co‑benefits and key variables.</t>
    </r>
    <r>
      <rPr>
        <sz val="12"/>
        <rFont val="Avenir LT Std 55 Roman"/>
        <family val="2"/>
      </rPr>
      <t xml:space="preserve">  This Benefits Calculator Tool and supporting resources are available at:</t>
    </r>
  </si>
  <si>
    <r>
      <t>Thi</t>
    </r>
    <r>
      <rPr>
        <sz val="12"/>
        <rFont val="Avenir LT Std 55 Roman"/>
        <family val="2"/>
      </rPr>
      <t>s Benefits Calculator Tool estimates net GHG benefit and air pollutant emission co-benefits using methods described in the supporting Organics Quantification Methodology.  Other co-benefits estimated in this and other benefits calculator tools use methods described in CARB's Co-benefit Assessment Meth</t>
    </r>
    <r>
      <rPr>
        <sz val="12"/>
        <color theme="1"/>
        <rFont val="Avenir LT Std 55 Roman"/>
        <family val="2"/>
      </rPr>
      <t>odologies.  All CARB Co-benefit Assessment Methodologies are available at:</t>
    </r>
  </si>
  <si>
    <t>http://www.arb.ca.gov/cc/capandtrade/auctionproceeds/calrecycle_organics_finaluserguide_6-15-20.pdf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</si>
</sst>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0.000000"/>
    <numFmt numFmtId="166" formatCode="0.0"/>
    <numFmt numFmtId="167" formatCode="#,##0.0"/>
    <numFmt numFmtId="168" formatCode="0.0%"/>
    <numFmt numFmtId="169" formatCode="0.000"/>
    <numFmt numFmtId="170" formatCode="0.0000000"/>
    <numFmt numFmtId="171" formatCode="#,##0.0000"/>
    <numFmt numFmtId="172" formatCode="_(&quot;$&quot;* #,##0_);_(&quot;$&quot;* \(#,##0\);_(&quot;$&quot;* &quot;-&quot;??_);_(@_)"/>
    <numFmt numFmtId="173" formatCode="0."/>
    <numFmt numFmtId="174" formatCode="0_);\(0\)"/>
    <numFmt numFmtId="175" formatCode="0.00_);\(0.00\)"/>
    <numFmt numFmtId="176" formatCode="_(* #,##0_);_(* \(#,##0\);_(* &quot;-&quot;??_);_(@_)"/>
    <numFmt numFmtId="177" formatCode="#,##0.000000_);\(#,##0.000000\)"/>
    <numFmt numFmtId="178" formatCode="#,##0.0000000"/>
    <numFmt numFmtId="179" formatCode="_(* #,##0.0_);_(* \(#,##0.0\);_(* &quot;-&quot;??_);_(@_)"/>
    <numFmt numFmtId="180" formatCode="#,##0.0000000_);\(#,##0.0000000\)"/>
    <numFmt numFmtId="181" formatCode="&quot;$&quot;#,##0"/>
    <numFmt numFmtId="182" formatCode="0.000000"/>
    <numFmt numFmtId="183" formatCode="&quot;$&quot;#,##0.00"/>
    <numFmt numFmtId="184" formatCode="&quot;$&quot;#,##0.0000_);[Red]\(&quot;$&quot;#,##0.0000\)"/>
    <numFmt numFmtId="185" formatCode="0.00000"/>
    <numFmt numFmtId="186" formatCode="&quot;$&quot;#,##0.0000"/>
  </numFmts>
  <fonts count="69" x14ac:knownFonts="1">
    <font>
      <sz val="11"/>
      <color theme="1"/>
      <name val="Calibri"/>
      <family val="2"/>
      <scheme val="minor"/>
    </font>
    <font>
      <b/>
      <sz val="11"/>
      <color theme="1"/>
      <name val="Calibri"/>
      <family val="2"/>
      <scheme val="minor"/>
    </font>
    <font>
      <b/>
      <sz val="11"/>
      <color rgb="FFFF0000"/>
      <name val="Calibri"/>
      <family val="2"/>
      <scheme val="minor"/>
    </font>
    <font>
      <sz val="12"/>
      <color theme="1"/>
      <name val="Arial"/>
      <family val="2"/>
    </font>
    <font>
      <sz val="12"/>
      <name val="Arial"/>
      <family val="2"/>
    </font>
    <font>
      <b/>
      <sz val="12"/>
      <color theme="1"/>
      <name val="Arial"/>
      <family val="2"/>
    </font>
    <font>
      <b/>
      <sz val="14"/>
      <color theme="1"/>
      <name val="Calibri"/>
      <family val="2"/>
      <scheme val="minor"/>
    </font>
    <font>
      <u/>
      <sz val="11"/>
      <color theme="10"/>
      <name val="Calibri"/>
      <family val="2"/>
      <scheme val="minor"/>
    </font>
    <font>
      <sz val="11"/>
      <color rgb="FFFF0000"/>
      <name val="Calibri"/>
      <family val="2"/>
      <scheme val="minor"/>
    </font>
    <font>
      <sz val="11"/>
      <name val="Calibri"/>
      <family val="2"/>
      <scheme val="minor"/>
    </font>
    <font>
      <vertAlign val="superscript"/>
      <sz val="11"/>
      <color theme="1"/>
      <name val="Calibri"/>
      <family val="2"/>
      <scheme val="minor"/>
    </font>
    <font>
      <vertAlign val="subscript"/>
      <sz val="11"/>
      <color theme="1"/>
      <name val="Calibri"/>
      <family val="2"/>
      <scheme val="minor"/>
    </font>
    <font>
      <b/>
      <vertAlign val="subscript"/>
      <sz val="11"/>
      <color theme="1"/>
      <name val="Calibri"/>
      <family val="2"/>
      <scheme val="minor"/>
    </font>
    <font>
      <b/>
      <sz val="12"/>
      <color theme="1"/>
      <name val="Calibri"/>
      <family val="2"/>
      <scheme val="minor"/>
    </font>
    <font>
      <sz val="11"/>
      <color theme="1"/>
      <name val="Calibri"/>
      <family val="2"/>
      <scheme val="minor"/>
    </font>
    <font>
      <sz val="14"/>
      <color theme="1"/>
      <name val="Calibri"/>
      <family val="2"/>
      <scheme val="minor"/>
    </font>
    <font>
      <sz val="12"/>
      <color theme="1"/>
      <name val="Calibri"/>
      <family val="2"/>
      <scheme val="minor"/>
    </font>
    <font>
      <b/>
      <sz val="16"/>
      <color theme="1"/>
      <name val="Arial"/>
      <family val="2"/>
    </font>
    <font>
      <sz val="10"/>
      <name val="Arial"/>
      <family val="2"/>
    </font>
    <font>
      <b/>
      <sz val="14"/>
      <color theme="1"/>
      <name val="Arial"/>
      <family val="2"/>
    </font>
    <font>
      <b/>
      <sz val="16"/>
      <name val="Arial"/>
      <family val="2"/>
    </font>
    <font>
      <u/>
      <sz val="11"/>
      <color theme="10"/>
      <name val="Calibri"/>
      <family val="2"/>
    </font>
    <font>
      <u/>
      <sz val="11"/>
      <name val="Calibri"/>
      <family val="2"/>
    </font>
    <font>
      <i/>
      <sz val="11"/>
      <color theme="1"/>
      <name val="Calibri"/>
      <family val="2"/>
      <scheme val="minor"/>
    </font>
    <font>
      <b/>
      <sz val="11"/>
      <name val="Calibri"/>
      <family val="2"/>
      <scheme val="minor"/>
    </font>
    <font>
      <vertAlign val="superscript"/>
      <sz val="11"/>
      <name val="Calibri"/>
      <family val="2"/>
      <scheme val="minor"/>
    </font>
    <font>
      <b/>
      <i/>
      <sz val="11"/>
      <color theme="1"/>
      <name val="Arial"/>
      <family val="2"/>
    </font>
    <font>
      <b/>
      <vertAlign val="subscript"/>
      <sz val="11"/>
      <name val="Calibri"/>
      <family val="2"/>
      <scheme val="minor"/>
    </font>
    <font>
      <sz val="11"/>
      <name val="Calibri"/>
      <family val="2"/>
    </font>
    <font>
      <vertAlign val="subscript"/>
      <sz val="11"/>
      <name val="Calibri"/>
      <family val="2"/>
      <scheme val="minor"/>
    </font>
    <font>
      <sz val="11"/>
      <color theme="0"/>
      <name val="Calibri"/>
      <family val="2"/>
      <scheme val="minor"/>
    </font>
    <font>
      <b/>
      <sz val="14"/>
      <name val="Arial"/>
      <family val="2"/>
    </font>
    <font>
      <sz val="11"/>
      <color theme="1"/>
      <name val="Calibri"/>
      <family val="2"/>
    </font>
    <font>
      <u/>
      <sz val="11"/>
      <color theme="10"/>
      <name val="Arial"/>
      <family val="2"/>
    </font>
    <font>
      <sz val="11"/>
      <color theme="1"/>
      <name val="Arial"/>
      <family val="2"/>
    </font>
    <font>
      <u/>
      <sz val="10"/>
      <color theme="10"/>
      <name val="Arial"/>
      <family val="2"/>
    </font>
    <font>
      <vertAlign val="subscript"/>
      <sz val="12"/>
      <name val="Arial"/>
      <family val="2"/>
    </font>
    <font>
      <b/>
      <sz val="14"/>
      <color theme="1"/>
      <name val="Avenir LT Std 55 Roman"/>
      <family val="2"/>
    </font>
    <font>
      <sz val="11"/>
      <color theme="1"/>
      <name val="Avenir LT Std 55 Roman"/>
      <family val="2"/>
    </font>
    <font>
      <sz val="12"/>
      <color theme="1"/>
      <name val="Avenir LT Std 55 Roman"/>
      <family val="2"/>
    </font>
    <font>
      <b/>
      <sz val="12"/>
      <color theme="1"/>
      <name val="Avenir LT Std 55 Roman"/>
      <family val="2"/>
    </font>
    <font>
      <u/>
      <sz val="12"/>
      <color theme="10"/>
      <name val="Avenir LT Std 55 Roman"/>
      <family val="2"/>
    </font>
    <font>
      <sz val="12"/>
      <color rgb="FFFF0000"/>
      <name val="Avenir LT Std 55 Roman"/>
      <family val="2"/>
    </font>
    <font>
      <sz val="12"/>
      <name val="Avenir LT Std 55 Roman"/>
      <family val="2"/>
    </font>
    <font>
      <b/>
      <sz val="12"/>
      <name val="Avenir LT Std 55 Roman"/>
      <family val="2"/>
    </font>
    <font>
      <u/>
      <sz val="11"/>
      <color theme="10"/>
      <name val="Avenir LT Std 55 Roman"/>
      <family val="2"/>
    </font>
    <font>
      <u/>
      <sz val="12"/>
      <name val="Avenir LT Std 55 Roman"/>
      <family val="2"/>
    </font>
    <font>
      <b/>
      <sz val="14"/>
      <name val="Avenir LT Std 55 Roman"/>
      <family val="2"/>
    </font>
    <font>
      <b/>
      <sz val="16"/>
      <color theme="1"/>
      <name val="Avenir LT Std 55 Roman"/>
      <family val="2"/>
    </font>
    <font>
      <b/>
      <sz val="16"/>
      <name val="Avenir LT Std 55 Roman"/>
      <family val="2"/>
    </font>
    <font>
      <b/>
      <sz val="16"/>
      <color rgb="FFFF0000"/>
      <name val="Avenir LT Std 55 Roman"/>
      <family val="2"/>
    </font>
    <font>
      <i/>
      <sz val="12"/>
      <color theme="1"/>
      <name val="Avenir LT Std 55 Roman"/>
      <family val="2"/>
    </font>
    <font>
      <i/>
      <sz val="12"/>
      <color rgb="FFFF0000"/>
      <name val="Avenir LT Std 55 Roman"/>
      <family val="2"/>
    </font>
    <font>
      <u/>
      <sz val="12"/>
      <color indexed="12"/>
      <name val="Avenir LT Std 55 Roman"/>
      <family val="2"/>
    </font>
    <font>
      <sz val="12"/>
      <color theme="0"/>
      <name val="Avenir LT Std 55 Roman"/>
      <family val="2"/>
    </font>
    <font>
      <sz val="10"/>
      <name val="Avenir LT Std 55 Roman"/>
      <family val="2"/>
    </font>
    <font>
      <b/>
      <sz val="11"/>
      <color theme="1"/>
      <name val="Avenir LT Std 55 Roman"/>
      <family val="2"/>
    </font>
    <font>
      <b/>
      <vertAlign val="subscript"/>
      <sz val="14"/>
      <color theme="1"/>
      <name val="Avenir LT Std 55 Roman"/>
      <family val="2"/>
    </font>
    <font>
      <sz val="14"/>
      <color theme="1"/>
      <name val="Avenir LT Std 55 Roman"/>
      <family val="2"/>
    </font>
    <font>
      <sz val="8.8000000000000007"/>
      <color theme="1"/>
      <name val="Avenir LT Std 55 Roman"/>
      <family val="2"/>
    </font>
    <font>
      <b/>
      <vertAlign val="superscript"/>
      <sz val="11"/>
      <color theme="1"/>
      <name val="Avenir LT Std 55 Roman"/>
      <family val="2"/>
    </font>
    <font>
      <b/>
      <i/>
      <sz val="11"/>
      <color theme="1"/>
      <name val="Avenir LT Std 55 Roman"/>
      <family val="2"/>
    </font>
    <font>
      <b/>
      <vertAlign val="subscript"/>
      <sz val="11"/>
      <color theme="1"/>
      <name val="Avenir LT Std 55 Roman"/>
      <family val="2"/>
    </font>
    <font>
      <b/>
      <sz val="14"/>
      <color rgb="FFFF0000"/>
      <name val="Avenir LT Std 55 Roman"/>
      <family val="2"/>
    </font>
    <font>
      <b/>
      <vertAlign val="subscript"/>
      <sz val="12"/>
      <color theme="1"/>
      <name val="Avenir LT Std 55 Roman"/>
      <family val="2"/>
    </font>
    <font>
      <b/>
      <vertAlign val="subscript"/>
      <sz val="12"/>
      <name val="Avenir LT Std 55 Roman"/>
      <family val="2"/>
    </font>
    <font>
      <vertAlign val="subscript"/>
      <sz val="12"/>
      <color theme="1"/>
      <name val="Avenir LT Std 55 Roman"/>
      <family val="2"/>
    </font>
    <font>
      <b/>
      <sz val="12"/>
      <color rgb="FF000000"/>
      <name val="Avenir LT Std 55 Roman"/>
      <family val="2"/>
    </font>
    <font>
      <sz val="12"/>
      <color rgb="FF000000"/>
      <name val="Avenir LT Std 55 Roman"/>
      <family val="2"/>
    </font>
  </fonts>
  <fills count="21">
    <fill>
      <patternFill patternType="none"/>
    </fill>
    <fill>
      <patternFill patternType="gray125"/>
    </fill>
    <fill>
      <patternFill patternType="solid">
        <fgColor theme="0" tint="-0.14999847407452621"/>
        <bgColor indexed="64"/>
      </patternFill>
    </fill>
    <fill>
      <patternFill patternType="solid">
        <fgColor rgb="FFF6FE94"/>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rgb="FFFFFF66"/>
        <bgColor indexed="64"/>
      </patternFill>
    </fill>
    <fill>
      <patternFill patternType="solid">
        <fgColor theme="0"/>
        <bgColor indexed="64"/>
      </patternFill>
    </fill>
    <fill>
      <patternFill patternType="solid">
        <fgColor rgb="FFE2EFDA"/>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style="medium">
        <color indexed="64"/>
      </right>
      <top style="thin">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medium">
        <color theme="1"/>
      </right>
      <top/>
      <bottom style="thin">
        <color theme="1"/>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1"/>
      </left>
      <right style="thin">
        <color theme="1"/>
      </right>
      <top/>
      <bottom/>
      <diagonal/>
    </border>
    <border>
      <left style="thin">
        <color theme="1"/>
      </left>
      <right style="medium">
        <color theme="1"/>
      </right>
      <top/>
      <bottom/>
      <diagonal/>
    </border>
    <border>
      <left style="thin">
        <color indexed="64"/>
      </left>
      <right style="medium">
        <color indexed="64"/>
      </right>
      <top/>
      <bottom/>
      <diagonal/>
    </border>
    <border>
      <left style="medium">
        <color indexed="64"/>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indexed="64"/>
      </right>
      <top/>
      <bottom style="medium">
        <color indexed="64"/>
      </bottom>
      <diagonal/>
    </border>
    <border>
      <left style="medium">
        <color indexed="64"/>
      </left>
      <right style="medium">
        <color indexed="64"/>
      </right>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indexed="64"/>
      </right>
      <top style="medium">
        <color indexed="64"/>
      </top>
      <bottom/>
      <diagonal/>
    </border>
  </borders>
  <cellStyleXfs count="13">
    <xf numFmtId="0" fontId="0" fillId="0" borderId="0"/>
    <xf numFmtId="0" fontId="7" fillId="0" borderId="0" applyNumberFormat="0" applyFill="0" applyBorder="0" applyAlignment="0" applyProtection="0"/>
    <xf numFmtId="0" fontId="7" fillId="0" borderId="0" applyNumberFormat="0" applyFill="0" applyBorder="0" applyAlignment="0" applyProtection="0"/>
    <xf numFmtId="44" fontId="14" fillId="0" borderId="0" applyFont="0" applyFill="0" applyBorder="0" applyAlignment="0" applyProtection="0"/>
    <xf numFmtId="0" fontId="18" fillId="0" borderId="0"/>
    <xf numFmtId="43" fontId="14" fillId="0" borderId="0" applyFont="0" applyFill="0" applyBorder="0" applyAlignment="0" applyProtection="0"/>
    <xf numFmtId="0" fontId="21" fillId="0" borderId="0" applyNumberFormat="0" applyFill="0" applyBorder="0" applyAlignment="0" applyProtection="0">
      <alignment vertical="top"/>
      <protection locked="0"/>
    </xf>
    <xf numFmtId="0" fontId="14" fillId="0" borderId="0"/>
    <xf numFmtId="0" fontId="14" fillId="0" borderId="0"/>
    <xf numFmtId="0" fontId="14" fillId="0" borderId="0"/>
    <xf numFmtId="0" fontId="14" fillId="0" borderId="0"/>
    <xf numFmtId="0" fontId="35" fillId="0" borderId="0" applyNumberFormat="0" applyFill="0" applyBorder="0" applyAlignment="0" applyProtection="0"/>
    <xf numFmtId="43" fontId="18" fillId="0" borderId="0" applyFont="0" applyFill="0" applyBorder="0" applyAlignment="0" applyProtection="0"/>
  </cellStyleXfs>
  <cellXfs count="1570">
    <xf numFmtId="0" fontId="0" fillId="0" borderId="0" xfId="0"/>
    <xf numFmtId="0" fontId="6" fillId="0" borderId="0" xfId="0" applyFont="1"/>
    <xf numFmtId="0" fontId="6" fillId="0" borderId="0" xfId="0" applyFont="1" applyAlignment="1">
      <alignment horizontal="center"/>
    </xf>
    <xf numFmtId="0" fontId="1" fillId="5" borderId="11" xfId="0" applyFont="1" applyFill="1" applyBorder="1" applyAlignment="1">
      <alignment horizontal="center" vertical="center"/>
    </xf>
    <xf numFmtId="0" fontId="0" fillId="0" borderId="0" xfId="0" applyAlignment="1"/>
    <xf numFmtId="0" fontId="0" fillId="0" borderId="1" xfId="0" applyFont="1" applyFill="1" applyBorder="1" applyAlignment="1">
      <alignment horizontal="center" vertical="center" wrapText="1"/>
    </xf>
    <xf numFmtId="0" fontId="0" fillId="0" borderId="0" xfId="0" applyFont="1"/>
    <xf numFmtId="0" fontId="1" fillId="6" borderId="11" xfId="0" applyFont="1" applyFill="1" applyBorder="1" applyAlignment="1">
      <alignment horizontal="center" vertical="center"/>
    </xf>
    <xf numFmtId="0" fontId="1" fillId="8" borderId="11" xfId="0" applyFont="1" applyFill="1" applyBorder="1" applyAlignment="1">
      <alignment horizontal="center" vertical="center"/>
    </xf>
    <xf numFmtId="2" fontId="9" fillId="0" borderId="1" xfId="0" applyNumberFormat="1" applyFont="1" applyBorder="1" applyAlignment="1">
      <alignment horizontal="center" vertical="center"/>
    </xf>
    <xf numFmtId="0" fontId="0" fillId="0" borderId="11" xfId="0" applyBorder="1" applyAlignment="1">
      <alignment vertical="center"/>
    </xf>
    <xf numFmtId="0" fontId="0" fillId="0" borderId="11" xfId="0" applyBorder="1" applyAlignment="1">
      <alignment vertical="center" wrapText="1"/>
    </xf>
    <xf numFmtId="0" fontId="0" fillId="0" borderId="11" xfId="0" applyFill="1" applyBorder="1" applyAlignment="1">
      <alignment vertical="center"/>
    </xf>
    <xf numFmtId="0" fontId="0" fillId="0" borderId="11" xfId="0" applyBorder="1" applyAlignment="1">
      <alignment horizontal="left" vertical="center" wrapText="1"/>
    </xf>
    <xf numFmtId="0" fontId="0" fillId="0" borderId="0" xfId="0" applyProtection="1"/>
    <xf numFmtId="0" fontId="6" fillId="0" borderId="0" xfId="0" applyFont="1" applyProtection="1"/>
    <xf numFmtId="0" fontId="0" fillId="0" borderId="0" xfId="0" applyBorder="1" applyAlignment="1" applyProtection="1"/>
    <xf numFmtId="3" fontId="0" fillId="0" borderId="0" xfId="0" applyNumberFormat="1" applyFill="1" applyBorder="1" applyProtection="1"/>
    <xf numFmtId="3" fontId="0" fillId="3" borderId="1" xfId="0" applyNumberFormat="1" applyFill="1" applyBorder="1" applyProtection="1">
      <protection locked="0"/>
    </xf>
    <xf numFmtId="0" fontId="0" fillId="0" borderId="1" xfId="0" applyBorder="1" applyAlignment="1">
      <alignment horizontal="center" vertical="center"/>
    </xf>
    <xf numFmtId="3" fontId="0" fillId="2" borderId="1" xfId="0" applyNumberFormat="1" applyFill="1" applyBorder="1" applyProtection="1"/>
    <xf numFmtId="0" fontId="9" fillId="0" borderId="16" xfId="0" applyFont="1" applyFill="1" applyBorder="1" applyAlignment="1">
      <alignment horizontal="center" vertical="center"/>
    </xf>
    <xf numFmtId="2" fontId="9" fillId="0" borderId="1" xfId="0" applyNumberFormat="1" applyFont="1" applyFill="1" applyBorder="1" applyAlignment="1">
      <alignment horizontal="center" vertical="center"/>
    </xf>
    <xf numFmtId="0" fontId="9" fillId="0" borderId="11" xfId="0" applyFont="1" applyFill="1" applyBorder="1" applyAlignment="1">
      <alignment vertical="center" wrapText="1"/>
    </xf>
    <xf numFmtId="0" fontId="0" fillId="0" borderId="13" xfId="0" applyBorder="1" applyAlignment="1">
      <alignment vertical="center" wrapText="1"/>
    </xf>
    <xf numFmtId="0" fontId="0" fillId="0" borderId="0" xfId="0" applyBorder="1" applyAlignment="1">
      <alignment vertical="center" wrapText="1"/>
    </xf>
    <xf numFmtId="0" fontId="0" fillId="0" borderId="0" xfId="0" applyAlignment="1">
      <alignment vertical="center"/>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1" fillId="5" borderId="12" xfId="0" applyFont="1" applyFill="1" applyBorder="1" applyAlignment="1">
      <alignment horizontal="center" vertical="center"/>
    </xf>
    <xf numFmtId="0" fontId="0" fillId="0" borderId="13" xfId="0" applyFill="1" applyBorder="1" applyAlignment="1">
      <alignment vertical="center"/>
    </xf>
    <xf numFmtId="0" fontId="1" fillId="6" borderId="1" xfId="0" applyFont="1" applyFill="1" applyBorder="1" applyAlignment="1">
      <alignment horizontal="center" vertical="center" wrapText="1"/>
    </xf>
    <xf numFmtId="0" fontId="1" fillId="6" borderId="1" xfId="0" applyFont="1" applyFill="1" applyBorder="1" applyAlignment="1">
      <alignment horizontal="center" vertical="center"/>
    </xf>
    <xf numFmtId="0" fontId="1" fillId="6" borderId="12" xfId="0" applyFont="1" applyFill="1" applyBorder="1" applyAlignment="1">
      <alignment horizontal="center" vertical="center"/>
    </xf>
    <xf numFmtId="0" fontId="9" fillId="0" borderId="0" xfId="0" applyFont="1" applyFill="1" applyBorder="1" applyAlignment="1">
      <alignment horizontal="center" vertical="center"/>
    </xf>
    <xf numFmtId="0" fontId="0" fillId="0" borderId="0" xfId="0" applyBorder="1" applyAlignment="1">
      <alignment vertical="center"/>
    </xf>
    <xf numFmtId="0" fontId="1"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1" fillId="8" borderId="12" xfId="0" applyFont="1" applyFill="1" applyBorder="1" applyAlignment="1">
      <alignment horizontal="center" vertical="center"/>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0" fontId="0" fillId="0" borderId="5" xfId="0" applyBorder="1" applyAlignment="1">
      <alignment horizontal="center" vertical="center"/>
    </xf>
    <xf numFmtId="167" fontId="0" fillId="0" borderId="1" xfId="0" applyNumberFormat="1" applyBorder="1" applyAlignment="1">
      <alignment horizontal="center" vertical="center"/>
    </xf>
    <xf numFmtId="0" fontId="9" fillId="0" borderId="11" xfId="0" applyFont="1" applyFill="1" applyBorder="1" applyAlignment="1">
      <alignment horizontal="left" vertical="center"/>
    </xf>
    <xf numFmtId="0" fontId="0" fillId="0" borderId="11" xfId="0" applyFont="1" applyFill="1" applyBorder="1" applyAlignment="1">
      <alignment horizontal="left" vertical="center" wrapText="1"/>
    </xf>
    <xf numFmtId="0" fontId="0" fillId="0" borderId="0" xfId="0" applyBorder="1"/>
    <xf numFmtId="0" fontId="7" fillId="0" borderId="0" xfId="1" applyBorder="1"/>
    <xf numFmtId="0" fontId="0" fillId="0" borderId="16" xfId="0" applyBorder="1" applyAlignment="1">
      <alignment horizontal="center" vertical="center"/>
    </xf>
    <xf numFmtId="3" fontId="9" fillId="0" borderId="5" xfId="0" applyNumberFormat="1" applyFont="1" applyBorder="1" applyAlignment="1">
      <alignment horizontal="center" vertical="center"/>
    </xf>
    <xf numFmtId="3" fontId="9" fillId="0" borderId="5" xfId="0" applyNumberFormat="1" applyFont="1" applyFill="1" applyBorder="1" applyAlignment="1">
      <alignment horizontal="center" vertical="center"/>
    </xf>
    <xf numFmtId="4" fontId="0" fillId="3" borderId="1" xfId="0" applyNumberFormat="1" applyFill="1" applyBorder="1" applyProtection="1">
      <protection locked="0"/>
    </xf>
    <xf numFmtId="0" fontId="1" fillId="7" borderId="11"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12" xfId="0" applyFont="1" applyFill="1" applyBorder="1" applyAlignment="1">
      <alignment horizontal="center" vertical="center"/>
    </xf>
    <xf numFmtId="0" fontId="0" fillId="0" borderId="6" xfId="0" applyFill="1" applyBorder="1" applyAlignment="1">
      <alignment horizontal="center" vertical="center"/>
    </xf>
    <xf numFmtId="0" fontId="0" fillId="0" borderId="13" xfId="0" applyFill="1" applyBorder="1" applyAlignment="1">
      <alignment horizontal="left" vertical="center" wrapText="1"/>
    </xf>
    <xf numFmtId="2" fontId="9" fillId="0" borderId="16" xfId="0" applyNumberFormat="1" applyFont="1" applyFill="1" applyBorder="1" applyAlignment="1">
      <alignment horizontal="center" vertical="center"/>
    </xf>
    <xf numFmtId="0" fontId="0" fillId="0" borderId="5" xfId="0" applyFill="1" applyBorder="1" applyAlignment="1">
      <alignment horizontal="center" vertical="center"/>
    </xf>
    <xf numFmtId="0" fontId="0" fillId="0" borderId="12" xfId="0" applyFill="1" applyBorder="1" applyAlignment="1">
      <alignment vertical="center" wrapText="1"/>
    </xf>
    <xf numFmtId="3" fontId="0" fillId="0" borderId="5" xfId="0" applyNumberFormat="1" applyFill="1" applyBorder="1" applyAlignment="1">
      <alignment horizontal="center" vertical="center"/>
    </xf>
    <xf numFmtId="3" fontId="9" fillId="0" borderId="1" xfId="0" applyNumberFormat="1" applyFont="1" applyFill="1" applyBorder="1" applyAlignment="1">
      <alignment horizontal="center" vertical="center"/>
    </xf>
    <xf numFmtId="168" fontId="9" fillId="0" borderId="5" xfId="0" applyNumberFormat="1" applyFont="1" applyFill="1" applyBorder="1" applyAlignment="1">
      <alignment horizontal="center" vertical="center"/>
    </xf>
    <xf numFmtId="9" fontId="9" fillId="0" borderId="1" xfId="0" applyNumberFormat="1" applyFont="1" applyFill="1" applyBorder="1" applyAlignment="1">
      <alignment horizontal="center" vertical="center"/>
    </xf>
    <xf numFmtId="0" fontId="0" fillId="0" borderId="24" xfId="0" applyFont="1" applyFill="1" applyBorder="1" applyAlignment="1">
      <alignment horizontal="left" vertical="center"/>
    </xf>
    <xf numFmtId="9" fontId="0" fillId="0" borderId="5"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pplyProtection="1">
      <alignment horizontal="center" vertical="center"/>
    </xf>
    <xf numFmtId="0" fontId="0" fillId="0" borderId="1" xfId="0" applyFill="1" applyBorder="1" applyAlignment="1">
      <alignment horizontal="center" vertical="center"/>
    </xf>
    <xf numFmtId="0" fontId="0" fillId="0" borderId="0" xfId="0" applyFill="1" applyBorder="1" applyAlignment="1">
      <alignment horizontal="left" vertical="center" wrapText="1"/>
    </xf>
    <xf numFmtId="2" fontId="9" fillId="0" borderId="0" xfId="0" applyNumberFormat="1" applyFont="1" applyFill="1" applyBorder="1" applyAlignment="1">
      <alignment horizontal="center" vertical="center"/>
    </xf>
    <xf numFmtId="0" fontId="0" fillId="0" borderId="0" xfId="0" applyFill="1" applyBorder="1" applyAlignment="1">
      <alignment horizontal="center" vertical="center"/>
    </xf>
    <xf numFmtId="0" fontId="9" fillId="0" borderId="13" xfId="0" applyFont="1" applyFill="1" applyBorder="1" applyAlignment="1">
      <alignment vertical="center" wrapText="1"/>
    </xf>
    <xf numFmtId="0" fontId="9" fillId="0" borderId="16" xfId="0" applyFont="1" applyBorder="1" applyAlignment="1">
      <alignment horizontal="center" vertical="center" wrapText="1"/>
    </xf>
    <xf numFmtId="0" fontId="1" fillId="8" borderId="21" xfId="0" applyFont="1" applyFill="1" applyBorder="1" applyAlignment="1">
      <alignment horizontal="center" vertical="center"/>
    </xf>
    <xf numFmtId="0" fontId="1" fillId="8" borderId="5" xfId="0" applyFont="1" applyFill="1" applyBorder="1" applyAlignment="1">
      <alignment horizontal="center" vertical="center" wrapText="1"/>
    </xf>
    <xf numFmtId="0" fontId="1" fillId="8" borderId="5" xfId="0" applyFont="1" applyFill="1" applyBorder="1" applyAlignment="1">
      <alignment horizontal="center" vertical="center"/>
    </xf>
    <xf numFmtId="0" fontId="1" fillId="8" borderId="28" xfId="0" applyFont="1" applyFill="1" applyBorder="1" applyAlignment="1">
      <alignment horizontal="center" vertical="center"/>
    </xf>
    <xf numFmtId="0" fontId="0" fillId="0" borderId="11" xfId="0" applyFill="1" applyBorder="1" applyAlignment="1">
      <alignment horizontal="left" vertical="center" wrapText="1"/>
    </xf>
    <xf numFmtId="49" fontId="0" fillId="0" borderId="21" xfId="0" applyNumberFormat="1" applyBorder="1" applyAlignment="1">
      <alignment vertical="center"/>
    </xf>
    <xf numFmtId="49" fontId="0" fillId="0" borderId="11" xfId="0" applyNumberFormat="1" applyFill="1" applyBorder="1" applyAlignment="1">
      <alignment vertical="center"/>
    </xf>
    <xf numFmtId="49" fontId="0" fillId="0" borderId="21" xfId="0" applyNumberFormat="1" applyFill="1" applyBorder="1" applyAlignment="1">
      <alignment horizontal="left" vertical="center"/>
    </xf>
    <xf numFmtId="49" fontId="0" fillId="0" borderId="21" xfId="0" applyNumberFormat="1" applyFill="1" applyBorder="1" applyAlignment="1">
      <alignment vertical="center"/>
    </xf>
    <xf numFmtId="0" fontId="1" fillId="7" borderId="1" xfId="0"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4" fontId="9" fillId="0" borderId="1" xfId="0" applyNumberFormat="1" applyFont="1" applyFill="1" applyBorder="1" applyAlignment="1">
      <alignment horizontal="center" vertical="center"/>
    </xf>
    <xf numFmtId="3" fontId="0" fillId="3" borderId="1" xfId="0" applyNumberFormat="1" applyFill="1" applyBorder="1" applyAlignment="1" applyProtection="1">
      <alignment horizontal="right"/>
    </xf>
    <xf numFmtId="3" fontId="0" fillId="3" borderId="1" xfId="0" applyNumberFormat="1" applyFill="1" applyBorder="1" applyProtection="1"/>
    <xf numFmtId="0" fontId="0" fillId="0" borderId="15" xfId="0" applyFont="1" applyBorder="1" applyAlignment="1" applyProtection="1">
      <alignment horizontal="center" vertical="center" wrapText="1"/>
    </xf>
    <xf numFmtId="0" fontId="0" fillId="0" borderId="11" xfId="0" applyBorder="1" applyAlignment="1" applyProtection="1">
      <alignment horizontal="center"/>
    </xf>
    <xf numFmtId="3" fontId="0" fillId="2" borderId="12" xfId="0" applyNumberFormat="1" applyFill="1" applyBorder="1" applyAlignment="1" applyProtection="1">
      <alignment horizontal="right"/>
    </xf>
    <xf numFmtId="0" fontId="0" fillId="0" borderId="13" xfId="0" applyBorder="1" applyAlignment="1" applyProtection="1">
      <alignment horizontal="center"/>
    </xf>
    <xf numFmtId="3" fontId="0" fillId="3" borderId="16" xfId="0" applyNumberFormat="1" applyFill="1" applyBorder="1" applyProtection="1"/>
    <xf numFmtId="3" fontId="0" fillId="2" borderId="14" xfId="0" applyNumberFormat="1" applyFill="1" applyBorder="1" applyAlignment="1" applyProtection="1">
      <alignment horizontal="right"/>
    </xf>
    <xf numFmtId="3" fontId="0" fillId="3" borderId="6" xfId="0" applyNumberFormat="1" applyFill="1" applyBorder="1" applyProtection="1"/>
    <xf numFmtId="9" fontId="0" fillId="3" borderId="6" xfId="0" applyNumberFormat="1" applyFill="1" applyBorder="1" applyAlignment="1" applyProtection="1">
      <alignment horizontal="center"/>
    </xf>
    <xf numFmtId="1" fontId="0" fillId="3" borderId="6" xfId="0" applyNumberFormat="1" applyFill="1" applyBorder="1" applyAlignment="1" applyProtection="1">
      <alignment horizontal="center"/>
    </xf>
    <xf numFmtId="0" fontId="0" fillId="0" borderId="30" xfId="0" applyFont="1" applyBorder="1" applyAlignment="1" applyProtection="1">
      <alignment horizontal="center" vertical="center" wrapText="1"/>
    </xf>
    <xf numFmtId="0" fontId="0" fillId="0" borderId="30" xfId="0" applyFont="1" applyFill="1" applyBorder="1" applyAlignment="1" applyProtection="1">
      <alignment horizontal="center" vertical="center" wrapText="1"/>
    </xf>
    <xf numFmtId="0" fontId="0" fillId="0" borderId="31" xfId="0" applyFont="1" applyBorder="1" applyAlignment="1" applyProtection="1">
      <alignment horizontal="center" vertical="center" wrapText="1"/>
    </xf>
    <xf numFmtId="0" fontId="0" fillId="0" borderId="29" xfId="0" applyFont="1" applyFill="1" applyBorder="1" applyAlignment="1" applyProtection="1">
      <alignment horizontal="center" vertical="center" wrapText="1"/>
    </xf>
    <xf numFmtId="0" fontId="0" fillId="0" borderId="31" xfId="0" applyFont="1" applyFill="1" applyBorder="1" applyAlignment="1" applyProtection="1">
      <alignment horizontal="center" vertical="center" wrapText="1"/>
    </xf>
    <xf numFmtId="9" fontId="0" fillId="0" borderId="0" xfId="0" applyNumberFormat="1"/>
    <xf numFmtId="0" fontId="0" fillId="0" borderId="0" xfId="0" applyFont="1" applyBorder="1" applyAlignment="1">
      <alignment horizontal="left"/>
    </xf>
    <xf numFmtId="3" fontId="0" fillId="0" borderId="1" xfId="0" applyNumberFormat="1" applyFont="1" applyFill="1" applyBorder="1" applyAlignment="1">
      <alignment horizontal="center" vertical="center" wrapText="1"/>
    </xf>
    <xf numFmtId="0" fontId="0" fillId="0" borderId="1" xfId="0" applyFont="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0" fillId="0" borderId="1" xfId="0" applyBorder="1"/>
    <xf numFmtId="3" fontId="0" fillId="0" borderId="0" xfId="0" applyNumberFormat="1" applyFill="1" applyBorder="1" applyProtection="1">
      <protection locked="0"/>
    </xf>
    <xf numFmtId="4" fontId="0" fillId="0" borderId="0" xfId="0" applyNumberFormat="1" applyFill="1" applyBorder="1" applyProtection="1">
      <protection locked="0"/>
    </xf>
    <xf numFmtId="4" fontId="0" fillId="0" borderId="1" xfId="0" applyNumberFormat="1" applyBorder="1"/>
    <xf numFmtId="0" fontId="0" fillId="0" borderId="1" xfId="0" applyFont="1" applyFill="1" applyBorder="1" applyAlignment="1" applyProtection="1">
      <alignment horizontal="left" vertical="center" wrapText="1"/>
    </xf>
    <xf numFmtId="0" fontId="0" fillId="0" borderId="1" xfId="0" applyBorder="1" applyAlignment="1">
      <alignment horizontal="left" vertical="center" wrapText="1"/>
    </xf>
    <xf numFmtId="0" fontId="0" fillId="0" borderId="1" xfId="0" applyBorder="1" applyAlignment="1">
      <alignment wrapText="1"/>
    </xf>
    <xf numFmtId="0" fontId="0" fillId="0" borderId="2" xfId="0" applyBorder="1" applyAlignment="1">
      <alignment wrapText="1"/>
    </xf>
    <xf numFmtId="0" fontId="0" fillId="0" borderId="2" xfId="0" applyBorder="1"/>
    <xf numFmtId="0" fontId="0" fillId="0" borderId="1" xfId="0" applyFill="1" applyBorder="1" applyAlignment="1">
      <alignment wrapText="1"/>
    </xf>
    <xf numFmtId="0" fontId="0" fillId="0" borderId="15" xfId="0" applyBorder="1" applyAlignment="1">
      <alignment horizontal="center" vertical="center"/>
    </xf>
    <xf numFmtId="0" fontId="0" fillId="0" borderId="13" xfId="0" applyBorder="1" applyAlignment="1">
      <alignment horizontal="center" vertical="center" wrapText="1"/>
    </xf>
    <xf numFmtId="3" fontId="0" fillId="0" borderId="16" xfId="0" applyNumberFormat="1" applyBorder="1" applyAlignment="1">
      <alignment horizontal="center" vertical="center"/>
    </xf>
    <xf numFmtId="3" fontId="0" fillId="3" borderId="16" xfId="0" applyNumberFormat="1" applyFill="1" applyBorder="1" applyProtection="1">
      <protection locked="0"/>
    </xf>
    <xf numFmtId="3" fontId="0" fillId="2" borderId="16" xfId="0" applyNumberFormat="1" applyFill="1" applyBorder="1" applyAlignment="1" applyProtection="1">
      <alignment horizontal="right"/>
    </xf>
    <xf numFmtId="0" fontId="0" fillId="0" borderId="1" xfId="0" applyFont="1" applyFill="1" applyBorder="1" applyAlignment="1" applyProtection="1">
      <alignment horizontal="center" vertical="center" wrapText="1"/>
    </xf>
    <xf numFmtId="0" fontId="0" fillId="0" borderId="1" xfId="0" applyFont="1" applyBorder="1" applyAlignment="1" applyProtection="1">
      <alignment horizontal="center" vertical="center" wrapText="1"/>
    </xf>
    <xf numFmtId="3" fontId="0" fillId="0" borderId="1" xfId="0" applyNumberFormat="1" applyBorder="1" applyAlignment="1">
      <alignment horizontal="center" vertical="center"/>
    </xf>
    <xf numFmtId="0" fontId="0" fillId="0" borderId="9" xfId="0" applyBorder="1" applyAlignment="1">
      <alignment horizontal="center" vertical="center" wrapText="1"/>
    </xf>
    <xf numFmtId="3" fontId="0" fillId="0" borderId="15" xfId="0" applyNumberFormat="1" applyBorder="1" applyAlignment="1">
      <alignment horizontal="center" vertical="center"/>
    </xf>
    <xf numFmtId="0" fontId="0" fillId="0" borderId="11" xfId="0" applyBorder="1" applyAlignment="1">
      <alignment horizontal="center" vertical="center" wrapText="1"/>
    </xf>
    <xf numFmtId="168" fontId="9" fillId="0" borderId="1" xfId="0" applyNumberFormat="1" applyFont="1" applyFill="1" applyBorder="1" applyAlignment="1">
      <alignment horizontal="center" vertical="center"/>
    </xf>
    <xf numFmtId="2" fontId="0" fillId="0" borderId="0" xfId="0" applyNumberFormat="1"/>
    <xf numFmtId="0" fontId="0" fillId="3" borderId="1" xfId="0" applyFill="1" applyBorder="1" applyProtection="1"/>
    <xf numFmtId="3" fontId="0" fillId="3" borderId="11" xfId="0" applyNumberFormat="1" applyFill="1" applyBorder="1" applyProtection="1">
      <protection locked="0"/>
    </xf>
    <xf numFmtId="3" fontId="0" fillId="3" borderId="13" xfId="0" applyNumberFormat="1" applyFill="1" applyBorder="1" applyProtection="1">
      <protection locked="0"/>
    </xf>
    <xf numFmtId="0" fontId="0" fillId="0" borderId="49" xfId="0" applyFont="1" applyFill="1" applyBorder="1" applyAlignment="1" applyProtection="1">
      <alignment horizontal="center" vertical="center" wrapText="1"/>
    </xf>
    <xf numFmtId="3" fontId="0" fillId="3" borderId="24" xfId="0" applyNumberFormat="1" applyFill="1" applyBorder="1" applyProtection="1">
      <protection locked="0"/>
    </xf>
    <xf numFmtId="3" fontId="0" fillId="3" borderId="50" xfId="0" applyNumberFormat="1" applyFill="1" applyBorder="1" applyProtection="1">
      <protection locked="0"/>
    </xf>
    <xf numFmtId="4" fontId="0" fillId="3" borderId="12" xfId="0" applyNumberFormat="1" applyFill="1" applyBorder="1" applyProtection="1">
      <protection locked="0"/>
    </xf>
    <xf numFmtId="4" fontId="0" fillId="3" borderId="14" xfId="0" applyNumberFormat="1" applyFill="1" applyBorder="1" applyProtection="1">
      <protection locked="0"/>
    </xf>
    <xf numFmtId="9" fontId="0" fillId="3" borderId="11" xfId="0" applyNumberFormat="1" applyFill="1" applyBorder="1" applyProtection="1"/>
    <xf numFmtId="2" fontId="0" fillId="3" borderId="12" xfId="0" applyNumberFormat="1" applyFill="1" applyBorder="1" applyProtection="1"/>
    <xf numFmtId="2" fontId="0" fillId="3" borderId="14" xfId="0" applyNumberFormat="1" applyFill="1" applyBorder="1" applyProtection="1"/>
    <xf numFmtId="0" fontId="0" fillId="0" borderId="51" xfId="0" applyFont="1" applyFill="1" applyBorder="1" applyAlignment="1" applyProtection="1">
      <alignment horizontal="center" vertical="center" wrapText="1"/>
    </xf>
    <xf numFmtId="4" fontId="0" fillId="3" borderId="3" xfId="0" applyNumberFormat="1" applyFill="1" applyBorder="1" applyProtection="1"/>
    <xf numFmtId="4" fontId="0" fillId="3" borderId="52" xfId="0" applyNumberFormat="1" applyFill="1" applyBorder="1" applyProtection="1"/>
    <xf numFmtId="169" fontId="9" fillId="0" borderId="1" xfId="0" applyNumberFormat="1" applyFont="1" applyBorder="1" applyAlignment="1">
      <alignment horizontal="center" vertical="center"/>
    </xf>
    <xf numFmtId="165" fontId="9" fillId="0" borderId="1" xfId="0" applyNumberFormat="1" applyFont="1" applyFill="1" applyBorder="1" applyAlignment="1">
      <alignment horizontal="center" vertical="center"/>
    </xf>
    <xf numFmtId="0" fontId="0" fillId="0" borderId="2" xfId="0" applyFill="1" applyBorder="1" applyAlignment="1">
      <alignment wrapText="1"/>
    </xf>
    <xf numFmtId="2" fontId="0" fillId="0" borderId="1" xfId="0" applyNumberFormat="1" applyBorder="1"/>
    <xf numFmtId="4" fontId="0" fillId="0" borderId="16" xfId="0" applyNumberFormat="1" applyBorder="1"/>
    <xf numFmtId="4" fontId="0" fillId="0" borderId="14" xfId="0" applyNumberFormat="1" applyBorder="1"/>
    <xf numFmtId="3" fontId="0" fillId="2" borderId="1" xfId="0" applyNumberFormat="1" applyFill="1" applyBorder="1" applyAlignment="1" applyProtection="1">
      <alignment horizontal="right"/>
    </xf>
    <xf numFmtId="164" fontId="0" fillId="0" borderId="0" xfId="0" applyNumberFormat="1"/>
    <xf numFmtId="170" fontId="0" fillId="0" borderId="0" xfId="0" applyNumberFormat="1"/>
    <xf numFmtId="4" fontId="0" fillId="0" borderId="24" xfId="0" applyNumberFormat="1" applyBorder="1" applyAlignment="1">
      <alignment wrapText="1"/>
    </xf>
    <xf numFmtId="4" fontId="0" fillId="0" borderId="24" xfId="0" applyNumberFormat="1" applyBorder="1"/>
    <xf numFmtId="4" fontId="0" fillId="0" borderId="50" xfId="0" applyNumberFormat="1" applyBorder="1"/>
    <xf numFmtId="0" fontId="0" fillId="0" borderId="9" xfId="0" applyFont="1" applyFill="1" applyBorder="1" applyAlignment="1" applyProtection="1">
      <alignment horizontal="center" vertical="center" wrapText="1"/>
    </xf>
    <xf numFmtId="0" fontId="0" fillId="0" borderId="15" xfId="0" applyFont="1" applyFill="1" applyBorder="1" applyAlignment="1" applyProtection="1">
      <alignment horizontal="center" vertical="center" wrapText="1"/>
    </xf>
    <xf numFmtId="0" fontId="0" fillId="0" borderId="10" xfId="0" applyFont="1" applyFill="1" applyBorder="1" applyAlignment="1" applyProtection="1">
      <alignment horizontal="center" vertical="center" wrapText="1"/>
    </xf>
    <xf numFmtId="0" fontId="0" fillId="0" borderId="12" xfId="0" applyBorder="1"/>
    <xf numFmtId="3" fontId="0" fillId="0" borderId="0" xfId="0" applyNumberFormat="1"/>
    <xf numFmtId="0" fontId="0" fillId="0" borderId="10" xfId="0" applyBorder="1"/>
    <xf numFmtId="0" fontId="0" fillId="0" borderId="14" xfId="0" applyBorder="1"/>
    <xf numFmtId="164" fontId="0" fillId="0" borderId="15" xfId="0" applyNumberFormat="1" applyBorder="1" applyAlignment="1">
      <alignment horizontal="center" vertical="center"/>
    </xf>
    <xf numFmtId="164" fontId="0" fillId="0" borderId="1" xfId="0" applyNumberFormat="1" applyBorder="1" applyAlignment="1">
      <alignment horizontal="center" vertical="center"/>
    </xf>
    <xf numFmtId="164" fontId="0" fillId="0" borderId="16" xfId="0" applyNumberFormat="1" applyBorder="1" applyAlignment="1">
      <alignment horizontal="center" vertical="center"/>
    </xf>
    <xf numFmtId="164" fontId="0" fillId="0" borderId="1" xfId="0" applyNumberFormat="1" applyBorder="1" applyAlignment="1">
      <alignment horizontal="center"/>
    </xf>
    <xf numFmtId="164" fontId="0" fillId="0" borderId="16" xfId="0" applyNumberFormat="1" applyBorder="1" applyAlignment="1">
      <alignment horizontal="center"/>
    </xf>
    <xf numFmtId="4" fontId="9" fillId="0" borderId="5" xfId="0" applyNumberFormat="1" applyFont="1" applyBorder="1" applyAlignment="1">
      <alignment horizontal="center" vertical="center"/>
    </xf>
    <xf numFmtId="165" fontId="0" fillId="0" borderId="5" xfId="0" applyNumberFormat="1" applyFill="1" applyBorder="1" applyAlignment="1">
      <alignment horizontal="center" vertical="center"/>
    </xf>
    <xf numFmtId="49" fontId="0" fillId="0" borderId="0" xfId="0" applyNumberFormat="1" applyFill="1" applyBorder="1" applyAlignment="1">
      <alignment vertical="center"/>
    </xf>
    <xf numFmtId="3" fontId="9" fillId="0" borderId="0" xfId="0" applyNumberFormat="1" applyFont="1" applyFill="1" applyBorder="1" applyAlignment="1">
      <alignment horizontal="center" vertical="center"/>
    </xf>
    <xf numFmtId="0" fontId="0" fillId="0" borderId="0" xfId="0" applyFill="1" applyBorder="1" applyAlignment="1">
      <alignment vertical="center" wrapText="1"/>
    </xf>
    <xf numFmtId="49" fontId="0" fillId="0" borderId="13" xfId="0" applyNumberFormat="1" applyFill="1" applyBorder="1" applyAlignment="1">
      <alignment horizontal="left" vertical="center"/>
    </xf>
    <xf numFmtId="165" fontId="0" fillId="0" borderId="16" xfId="0" applyNumberFormat="1" applyFill="1" applyBorder="1" applyAlignment="1">
      <alignment horizontal="center" vertical="center"/>
    </xf>
    <xf numFmtId="0" fontId="0" fillId="0" borderId="16" xfId="0" applyFill="1" applyBorder="1" applyAlignment="1">
      <alignment horizontal="center" vertical="center"/>
    </xf>
    <xf numFmtId="0" fontId="0" fillId="0" borderId="14" xfId="0" applyFill="1" applyBorder="1" applyAlignment="1">
      <alignment vertical="center" wrapText="1"/>
    </xf>
    <xf numFmtId="169" fontId="9" fillId="0" borderId="0" xfId="0" applyNumberFormat="1" applyFont="1" applyBorder="1" applyAlignment="1">
      <alignment horizontal="center" vertical="center"/>
    </xf>
    <xf numFmtId="0" fontId="0" fillId="0" borderId="0" xfId="0" applyBorder="1" applyAlignment="1">
      <alignment horizontal="center" vertical="center"/>
    </xf>
    <xf numFmtId="0" fontId="0" fillId="0" borderId="13" xfId="0" applyBorder="1" applyAlignment="1">
      <alignment vertical="center"/>
    </xf>
    <xf numFmtId="169" fontId="9" fillId="0" borderId="16" xfId="0" applyNumberFormat="1" applyFont="1" applyBorder="1" applyAlignment="1">
      <alignment horizontal="center" vertical="center"/>
    </xf>
    <xf numFmtId="0" fontId="1" fillId="5" borderId="21" xfId="0" applyFont="1" applyFill="1" applyBorder="1" applyAlignment="1">
      <alignment horizontal="center" vertical="center"/>
    </xf>
    <xf numFmtId="0" fontId="1" fillId="5" borderId="5" xfId="0" applyFont="1" applyFill="1" applyBorder="1" applyAlignment="1">
      <alignment horizontal="center" vertical="center" wrapText="1"/>
    </xf>
    <xf numFmtId="0" fontId="1" fillId="5" borderId="5" xfId="0" applyFont="1" applyFill="1" applyBorder="1" applyAlignment="1">
      <alignment horizontal="center" vertical="center"/>
    </xf>
    <xf numFmtId="0" fontId="1" fillId="5" borderId="28" xfId="0" applyFont="1" applyFill="1" applyBorder="1" applyAlignment="1">
      <alignment horizontal="center" vertical="center"/>
    </xf>
    <xf numFmtId="0" fontId="0" fillId="0" borderId="27" xfId="0" applyBorder="1" applyAlignment="1">
      <alignment vertical="center" wrapText="1"/>
    </xf>
    <xf numFmtId="0" fontId="9" fillId="0" borderId="6" xfId="0" applyFont="1" applyFill="1" applyBorder="1" applyAlignment="1">
      <alignment horizontal="center" vertical="center"/>
    </xf>
    <xf numFmtId="0" fontId="0" fillId="0" borderId="6" xfId="0" applyBorder="1" applyAlignment="1">
      <alignment horizontal="center" vertical="center"/>
    </xf>
    <xf numFmtId="0" fontId="0" fillId="0" borderId="9" xfId="0" applyBorder="1" applyAlignment="1">
      <alignment vertical="center" wrapText="1"/>
    </xf>
    <xf numFmtId="0" fontId="9" fillId="0" borderId="15" xfId="0" applyFont="1" applyBorder="1" applyAlignment="1">
      <alignment horizontal="center" vertical="center"/>
    </xf>
    <xf numFmtId="0" fontId="0" fillId="0" borderId="16" xfId="0" applyBorder="1" applyAlignment="1">
      <alignment horizontal="center" vertical="center" wrapText="1"/>
    </xf>
    <xf numFmtId="0" fontId="0" fillId="0" borderId="0" xfId="0" applyFill="1" applyBorder="1" applyAlignment="1" applyProtection="1">
      <alignment horizontal="center" vertical="center" wrapText="1"/>
    </xf>
    <xf numFmtId="0" fontId="0" fillId="0" borderId="40" xfId="0" applyBorder="1" applyAlignment="1" applyProtection="1">
      <alignment horizontal="center" vertical="center" wrapText="1"/>
    </xf>
    <xf numFmtId="0" fontId="0" fillId="0" borderId="33" xfId="0" applyBorder="1"/>
    <xf numFmtId="0" fontId="0" fillId="0" borderId="29" xfId="0" applyFill="1" applyBorder="1" applyAlignment="1" applyProtection="1">
      <alignment horizontal="center" vertical="center" wrapText="1"/>
    </xf>
    <xf numFmtId="0" fontId="0" fillId="0" borderId="30" xfId="0" applyFill="1" applyBorder="1" applyAlignment="1" applyProtection="1">
      <alignment horizontal="center" vertical="center" wrapText="1"/>
    </xf>
    <xf numFmtId="0" fontId="0" fillId="0" borderId="31" xfId="0" applyFill="1" applyBorder="1" applyAlignment="1" applyProtection="1">
      <alignment horizontal="center" vertical="center" wrapText="1"/>
    </xf>
    <xf numFmtId="0" fontId="0" fillId="0" borderId="63" xfId="0" applyFill="1" applyBorder="1" applyAlignment="1" applyProtection="1">
      <alignment horizontal="center" vertical="center" wrapText="1"/>
    </xf>
    <xf numFmtId="3" fontId="0" fillId="0" borderId="0" xfId="0" applyNumberFormat="1" applyProtection="1"/>
    <xf numFmtId="171" fontId="0" fillId="0" borderId="1" xfId="0" applyNumberFormat="1" applyFill="1" applyBorder="1" applyAlignment="1">
      <alignment horizontal="center" vertical="center"/>
    </xf>
    <xf numFmtId="4" fontId="0" fillId="0" borderId="1" xfId="0" applyNumberFormat="1" applyFill="1" applyBorder="1" applyAlignment="1">
      <alignment horizontal="center" vertical="center"/>
    </xf>
    <xf numFmtId="49" fontId="0" fillId="0" borderId="11" xfId="0" applyNumberFormat="1" applyFill="1" applyBorder="1" applyAlignment="1">
      <alignment horizontal="left" vertical="center" wrapText="1"/>
    </xf>
    <xf numFmtId="49" fontId="0" fillId="0" borderId="13" xfId="0" applyNumberFormat="1" applyFill="1" applyBorder="1" applyAlignment="1">
      <alignment horizontal="left" vertical="center" wrapText="1"/>
    </xf>
    <xf numFmtId="3" fontId="0" fillId="0" borderId="16" xfId="0" applyNumberFormat="1" applyFill="1" applyBorder="1" applyAlignment="1">
      <alignment horizontal="center" vertical="center"/>
    </xf>
    <xf numFmtId="49" fontId="0" fillId="0" borderId="27" xfId="0" applyNumberFormat="1" applyFill="1" applyBorder="1" applyAlignment="1">
      <alignment horizontal="left" vertical="center" wrapText="1"/>
    </xf>
    <xf numFmtId="9" fontId="0" fillId="0" borderId="6" xfId="0" applyNumberFormat="1" applyFill="1" applyBorder="1" applyAlignment="1">
      <alignment horizontal="center" vertical="center"/>
    </xf>
    <xf numFmtId="0" fontId="0" fillId="0" borderId="59" xfId="0" applyBorder="1" applyAlignment="1">
      <alignment horizontal="center" vertical="center" wrapText="1"/>
    </xf>
    <xf numFmtId="3" fontId="0" fillId="0" borderId="60" xfId="0" applyNumberFormat="1" applyBorder="1" applyAlignment="1">
      <alignment horizontal="center" vertical="center"/>
    </xf>
    <xf numFmtId="0" fontId="0" fillId="0" borderId="60" xfId="0" applyBorder="1" applyAlignment="1">
      <alignment horizontal="center" vertical="center"/>
    </xf>
    <xf numFmtId="0" fontId="0" fillId="0" borderId="27" xfId="0" applyBorder="1" applyAlignment="1">
      <alignment horizontal="center" vertical="center" wrapText="1"/>
    </xf>
    <xf numFmtId="3" fontId="0" fillId="0" borderId="6" xfId="0" applyNumberFormat="1" applyBorder="1" applyAlignment="1">
      <alignment horizontal="center" vertical="center"/>
    </xf>
    <xf numFmtId="164" fontId="0" fillId="0" borderId="5" xfId="0" applyNumberFormat="1" applyBorder="1" applyAlignment="1">
      <alignment horizontal="center" vertical="center"/>
    </xf>
    <xf numFmtId="4" fontId="0" fillId="3" borderId="16" xfId="0" applyNumberFormat="1" applyFill="1" applyBorder="1" applyProtection="1">
      <protection locked="0"/>
    </xf>
    <xf numFmtId="9" fontId="0" fillId="3" borderId="13" xfId="0" applyNumberFormat="1" applyFill="1" applyBorder="1" applyProtection="1"/>
    <xf numFmtId="0" fontId="0" fillId="3" borderId="16" xfId="0" applyFill="1" applyBorder="1" applyProtection="1"/>
    <xf numFmtId="4" fontId="0" fillId="0" borderId="12" xfId="0" applyNumberFormat="1" applyBorder="1"/>
    <xf numFmtId="0" fontId="1" fillId="11" borderId="11" xfId="0" applyFont="1" applyFill="1" applyBorder="1" applyAlignment="1">
      <alignment horizontal="center" vertical="center"/>
    </xf>
    <xf numFmtId="0" fontId="1" fillId="11" borderId="1" xfId="0" applyFont="1" applyFill="1" applyBorder="1" applyAlignment="1">
      <alignment horizontal="center" vertical="center" wrapText="1"/>
    </xf>
    <xf numFmtId="0" fontId="1" fillId="11" borderId="1" xfId="0" applyFont="1" applyFill="1" applyBorder="1" applyAlignment="1">
      <alignment horizontal="center" vertical="center"/>
    </xf>
    <xf numFmtId="0" fontId="1" fillId="11" borderId="12" xfId="0" applyFont="1" applyFill="1" applyBorder="1" applyAlignment="1">
      <alignment horizontal="center" vertical="center"/>
    </xf>
    <xf numFmtId="0" fontId="0" fillId="0" borderId="28" xfId="0" applyBorder="1"/>
    <xf numFmtId="164" fontId="0" fillId="0" borderId="6" xfId="0" applyNumberFormat="1" applyBorder="1" applyAlignment="1">
      <alignment horizontal="center" vertical="center"/>
    </xf>
    <xf numFmtId="0" fontId="0" fillId="0" borderId="0" xfId="0" applyFill="1" applyBorder="1"/>
    <xf numFmtId="0" fontId="0" fillId="0" borderId="0" xfId="0" applyFill="1" applyBorder="1" applyAlignment="1">
      <alignment vertical="center"/>
    </xf>
    <xf numFmtId="0" fontId="9" fillId="0" borderId="0" xfId="0" applyFont="1" applyAlignment="1">
      <alignment horizontal="left"/>
    </xf>
    <xf numFmtId="0" fontId="22" fillId="0" borderId="0" xfId="6" applyFont="1" applyAlignment="1" applyProtection="1">
      <alignment vertical="top"/>
    </xf>
    <xf numFmtId="0" fontId="9" fillId="0" borderId="0" xfId="0" applyFont="1" applyAlignment="1">
      <alignment vertical="top"/>
    </xf>
    <xf numFmtId="0" fontId="0" fillId="0" borderId="0" xfId="0" applyAlignment="1">
      <alignment vertical="top"/>
    </xf>
    <xf numFmtId="0" fontId="0" fillId="0" borderId="10" xfId="0" applyBorder="1" applyAlignment="1">
      <alignment horizontal="center" vertical="center" wrapText="1"/>
    </xf>
    <xf numFmtId="0" fontId="0" fillId="2" borderId="58" xfId="0" applyFill="1" applyBorder="1" applyAlignment="1">
      <alignment horizontal="center" vertical="center" wrapText="1"/>
    </xf>
    <xf numFmtId="0" fontId="0" fillId="0" borderId="58" xfId="0" applyBorder="1"/>
    <xf numFmtId="169" fontId="0" fillId="0" borderId="71" xfId="0" applyNumberFormat="1" applyBorder="1"/>
    <xf numFmtId="166" fontId="0" fillId="0" borderId="58" xfId="0" applyNumberFormat="1" applyBorder="1"/>
    <xf numFmtId="0" fontId="0" fillId="0" borderId="0" xfId="0" applyBorder="1" applyAlignment="1">
      <alignment horizontal="left" vertical="center"/>
    </xf>
    <xf numFmtId="0" fontId="0" fillId="0" borderId="7" xfId="0" applyBorder="1" applyAlignment="1">
      <alignment horizontal="left" vertical="center"/>
    </xf>
    <xf numFmtId="0" fontId="0" fillId="0" borderId="71" xfId="0" applyBorder="1"/>
    <xf numFmtId="2" fontId="0" fillId="0" borderId="58" xfId="0" applyNumberFormat="1" applyBorder="1"/>
    <xf numFmtId="2" fontId="0" fillId="0" borderId="68" xfId="0" applyNumberFormat="1" applyBorder="1"/>
    <xf numFmtId="2" fontId="0" fillId="0" borderId="0" xfId="0" applyNumberFormat="1" applyBorder="1"/>
    <xf numFmtId="0" fontId="0" fillId="0" borderId="0" xfId="0" applyAlignment="1">
      <alignment horizontal="left" vertical="center"/>
    </xf>
    <xf numFmtId="0" fontId="0" fillId="0" borderId="0" xfId="0" applyAlignment="1">
      <alignment vertical="center" wrapText="1"/>
    </xf>
    <xf numFmtId="0" fontId="0" fillId="0" borderId="0" xfId="0" applyAlignment="1">
      <alignment horizontal="left"/>
    </xf>
    <xf numFmtId="0" fontId="0" fillId="0" borderId="0" xfId="0" applyAlignment="1">
      <alignment wrapText="1"/>
    </xf>
    <xf numFmtId="0" fontId="0" fillId="0" borderId="0" xfId="0" applyAlignment="1">
      <alignment horizontal="left" wrapText="1"/>
    </xf>
    <xf numFmtId="0" fontId="0" fillId="0" borderId="9" xfId="0" applyBorder="1" applyAlignment="1">
      <alignment horizontal="center" vertical="center"/>
    </xf>
    <xf numFmtId="0" fontId="0" fillId="0" borderId="9" xfId="0" applyFont="1" applyBorder="1" applyAlignment="1">
      <alignment horizontal="center" vertical="center"/>
    </xf>
    <xf numFmtId="0" fontId="0" fillId="0" borderId="11" xfId="0" applyFont="1" applyBorder="1" applyAlignment="1">
      <alignment horizontal="center"/>
    </xf>
    <xf numFmtId="0" fontId="0" fillId="0" borderId="1" xfId="0" applyFont="1" applyBorder="1" applyAlignment="1">
      <alignment horizontal="center" vertical="center"/>
    </xf>
    <xf numFmtId="0" fontId="0" fillId="0" borderId="11" xfId="0" applyBorder="1"/>
    <xf numFmtId="3" fontId="0" fillId="0" borderId="1" xfId="0" applyNumberFormat="1" applyFill="1" applyBorder="1" applyAlignment="1">
      <alignment horizontal="center"/>
    </xf>
    <xf numFmtId="3" fontId="0" fillId="0" borderId="1" xfId="0" applyNumberFormat="1" applyFill="1" applyBorder="1"/>
    <xf numFmtId="3" fontId="0" fillId="0" borderId="2" xfId="0" applyNumberFormat="1" applyFill="1" applyBorder="1"/>
    <xf numFmtId="3" fontId="0" fillId="0" borderId="12" xfId="0" applyNumberFormat="1" applyFill="1" applyBorder="1"/>
    <xf numFmtId="3" fontId="0" fillId="0" borderId="0" xfId="0" applyNumberFormat="1" applyFill="1" applyBorder="1"/>
    <xf numFmtId="0" fontId="0" fillId="0" borderId="58" xfId="0" applyFill="1" applyBorder="1"/>
    <xf numFmtId="3" fontId="9" fillId="0" borderId="1" xfId="0" applyNumberFormat="1" applyFont="1" applyFill="1" applyBorder="1" applyAlignment="1">
      <alignment horizontal="center"/>
    </xf>
    <xf numFmtId="3" fontId="9" fillId="0" borderId="1" xfId="0" applyNumberFormat="1" applyFont="1" applyFill="1" applyBorder="1"/>
    <xf numFmtId="3" fontId="9" fillId="0" borderId="0" xfId="0" applyNumberFormat="1" applyFont="1" applyFill="1" applyBorder="1"/>
    <xf numFmtId="0" fontId="1" fillId="0" borderId="11" xfId="0" applyFont="1" applyBorder="1"/>
    <xf numFmtId="3" fontId="24" fillId="0" borderId="1" xfId="0" applyNumberFormat="1" applyFont="1" applyFill="1" applyBorder="1" applyAlignment="1">
      <alignment horizontal="center"/>
    </xf>
    <xf numFmtId="3" fontId="1" fillId="0" borderId="1" xfId="0" applyNumberFormat="1" applyFont="1" applyFill="1" applyBorder="1"/>
    <xf numFmtId="3" fontId="1" fillId="0" borderId="2" xfId="0" applyNumberFormat="1" applyFont="1" applyFill="1" applyBorder="1"/>
    <xf numFmtId="3" fontId="1" fillId="0" borderId="12" xfId="0" applyNumberFormat="1" applyFont="1" applyFill="1" applyBorder="1"/>
    <xf numFmtId="0" fontId="1" fillId="0" borderId="0" xfId="0" applyFont="1"/>
    <xf numFmtId="3" fontId="9" fillId="0" borderId="2" xfId="0" applyNumberFormat="1" applyFont="1" applyFill="1" applyBorder="1"/>
    <xf numFmtId="3" fontId="9" fillId="0" borderId="12" xfId="0" applyNumberFormat="1" applyFont="1" applyFill="1" applyBorder="1"/>
    <xf numFmtId="0" fontId="1" fillId="0" borderId="22" xfId="0" applyFont="1" applyFill="1" applyBorder="1"/>
    <xf numFmtId="3" fontId="1" fillId="0" borderId="1" xfId="0" applyNumberFormat="1" applyFont="1" applyBorder="1"/>
    <xf numFmtId="3" fontId="9" fillId="0" borderId="4" xfId="0" applyNumberFormat="1" applyFont="1" applyFill="1" applyBorder="1"/>
    <xf numFmtId="0" fontId="0" fillId="0" borderId="11" xfId="0" applyFont="1" applyBorder="1"/>
    <xf numFmtId="0" fontId="0" fillId="0" borderId="11" xfId="0" applyFont="1" applyFill="1" applyBorder="1"/>
    <xf numFmtId="174" fontId="24" fillId="0" borderId="1" xfId="0" applyNumberFormat="1" applyFont="1" applyFill="1" applyBorder="1" applyAlignment="1">
      <alignment horizontal="center"/>
    </xf>
    <xf numFmtId="3" fontId="24" fillId="0" borderId="1" xfId="0" applyNumberFormat="1" applyFont="1" applyFill="1" applyBorder="1"/>
    <xf numFmtId="0" fontId="1" fillId="0" borderId="66" xfId="0" applyFont="1" applyBorder="1"/>
    <xf numFmtId="174" fontId="24" fillId="0" borderId="0" xfId="0" applyNumberFormat="1" applyFont="1" applyFill="1" applyBorder="1" applyAlignment="1">
      <alignment horizontal="center"/>
    </xf>
    <xf numFmtId="0" fontId="1" fillId="0" borderId="0" xfId="0" applyFont="1" applyBorder="1"/>
    <xf numFmtId="0" fontId="1" fillId="0" borderId="0" xfId="0" applyFont="1" applyFill="1" applyBorder="1"/>
    <xf numFmtId="0" fontId="1" fillId="0" borderId="58" xfId="0" applyFont="1" applyFill="1" applyBorder="1"/>
    <xf numFmtId="2" fontId="24" fillId="0" borderId="1" xfId="0" applyNumberFormat="1" applyFont="1" applyFill="1" applyBorder="1"/>
    <xf numFmtId="2" fontId="24" fillId="0" borderId="2" xfId="0" applyNumberFormat="1" applyFont="1" applyFill="1" applyBorder="1"/>
    <xf numFmtId="174" fontId="9" fillId="0" borderId="1" xfId="0" applyNumberFormat="1" applyFont="1" applyFill="1" applyBorder="1" applyAlignment="1">
      <alignment horizontal="center"/>
    </xf>
    <xf numFmtId="2" fontId="9" fillId="0" borderId="1" xfId="0" applyNumberFormat="1" applyFont="1" applyFill="1" applyBorder="1"/>
    <xf numFmtId="175" fontId="24" fillId="0" borderId="0" xfId="0" applyNumberFormat="1" applyFont="1" applyFill="1" applyBorder="1"/>
    <xf numFmtId="0" fontId="1" fillId="0" borderId="13" xfId="0" applyFont="1" applyBorder="1"/>
    <xf numFmtId="174" fontId="24" fillId="0" borderId="16" xfId="0" applyNumberFormat="1" applyFont="1" applyFill="1" applyBorder="1" applyAlignment="1">
      <alignment horizontal="center"/>
    </xf>
    <xf numFmtId="2" fontId="24" fillId="0" borderId="16" xfId="0" applyNumberFormat="1" applyFont="1" applyFill="1" applyBorder="1"/>
    <xf numFmtId="0" fontId="1" fillId="0" borderId="56" xfId="0" applyFont="1" applyFill="1" applyBorder="1"/>
    <xf numFmtId="0" fontId="23" fillId="0" borderId="0" xfId="0" applyFont="1"/>
    <xf numFmtId="2" fontId="9" fillId="0" borderId="0" xfId="0" applyNumberFormat="1" applyFont="1" applyFill="1" applyBorder="1"/>
    <xf numFmtId="0" fontId="0" fillId="0" borderId="0" xfId="0" applyBorder="1" applyAlignment="1">
      <alignment horizontal="left" wrapText="1"/>
    </xf>
    <xf numFmtId="0" fontId="0" fillId="0" borderId="27" xfId="0" applyBorder="1" applyAlignment="1">
      <alignment horizontal="left" vertical="center"/>
    </xf>
    <xf numFmtId="9" fontId="0" fillId="0" borderId="6" xfId="0" applyNumberFormat="1" applyBorder="1" applyAlignment="1">
      <alignment horizontal="right" vertical="center"/>
    </xf>
    <xf numFmtId="0" fontId="0" fillId="0" borderId="1" xfId="0" applyFill="1" applyBorder="1" applyAlignment="1">
      <alignment vertical="center"/>
    </xf>
    <xf numFmtId="3" fontId="0" fillId="0" borderId="1" xfId="0" applyNumberFormat="1" applyBorder="1" applyAlignment="1">
      <alignment vertical="center"/>
    </xf>
    <xf numFmtId="0" fontId="0" fillId="0" borderId="1" xfId="0" applyBorder="1" applyAlignment="1">
      <alignment vertical="center"/>
    </xf>
    <xf numFmtId="176" fontId="0" fillId="0" borderId="0" xfId="5" applyNumberFormat="1" applyFont="1"/>
    <xf numFmtId="1" fontId="0" fillId="0" borderId="0" xfId="0" applyNumberFormat="1" applyFill="1"/>
    <xf numFmtId="0" fontId="0" fillId="0" borderId="0" xfId="0" applyFill="1"/>
    <xf numFmtId="3" fontId="0" fillId="0" borderId="1" xfId="0" applyNumberFormat="1" applyFill="1" applyBorder="1" applyAlignment="1">
      <alignment vertical="center"/>
    </xf>
    <xf numFmtId="176" fontId="0" fillId="0" borderId="0" xfId="0" applyNumberFormat="1" applyFill="1"/>
    <xf numFmtId="0" fontId="0" fillId="0" borderId="66" xfId="0" applyFill="1" applyBorder="1"/>
    <xf numFmtId="4" fontId="9" fillId="0" borderId="1" xfId="0" applyNumberFormat="1" applyFont="1" applyFill="1" applyBorder="1" applyAlignment="1">
      <alignment vertical="center"/>
    </xf>
    <xf numFmtId="3" fontId="9" fillId="0" borderId="1" xfId="0" applyNumberFormat="1" applyFont="1" applyFill="1" applyBorder="1" applyAlignment="1">
      <alignment vertical="center"/>
    </xf>
    <xf numFmtId="168" fontId="9" fillId="0" borderId="1" xfId="0" applyNumberFormat="1" applyFont="1" applyFill="1" applyBorder="1" applyAlignment="1">
      <alignment vertical="center"/>
    </xf>
    <xf numFmtId="0" fontId="9" fillId="0" borderId="0" xfId="0" applyFont="1" applyFill="1" applyAlignment="1">
      <alignment vertical="center" wrapText="1"/>
    </xf>
    <xf numFmtId="177" fontId="9" fillId="0" borderId="1" xfId="0" applyNumberFormat="1" applyFont="1" applyFill="1" applyBorder="1" applyAlignment="1">
      <alignment vertical="center"/>
    </xf>
    <xf numFmtId="0" fontId="9" fillId="0" borderId="0" xfId="0" applyFont="1" applyAlignment="1">
      <alignment vertical="center" wrapText="1"/>
    </xf>
    <xf numFmtId="2" fontId="0" fillId="0" borderId="1" xfId="0" applyNumberFormat="1" applyFill="1" applyBorder="1" applyAlignment="1">
      <alignment vertical="center"/>
    </xf>
    <xf numFmtId="0" fontId="9" fillId="0" borderId="11" xfId="0" applyFont="1" applyFill="1" applyBorder="1" applyAlignment="1">
      <alignment vertical="center"/>
    </xf>
    <xf numFmtId="2" fontId="9" fillId="0" borderId="1" xfId="0" applyNumberFormat="1" applyFont="1" applyFill="1" applyBorder="1" applyAlignment="1">
      <alignment vertical="center"/>
    </xf>
    <xf numFmtId="0" fontId="9" fillId="0" borderId="1" xfId="0" applyFont="1" applyFill="1" applyBorder="1" applyAlignment="1">
      <alignment vertical="center"/>
    </xf>
    <xf numFmtId="0" fontId="9" fillId="0" borderId="11" xfId="0" applyFont="1" applyBorder="1" applyAlignment="1">
      <alignment vertical="center"/>
    </xf>
    <xf numFmtId="0" fontId="9" fillId="0" borderId="1" xfId="0" applyFont="1" applyBorder="1" applyAlignment="1">
      <alignment vertical="center"/>
    </xf>
    <xf numFmtId="0" fontId="0" fillId="0" borderId="21" xfId="0" applyFill="1" applyBorder="1" applyAlignment="1">
      <alignment vertical="center"/>
    </xf>
    <xf numFmtId="178" fontId="9" fillId="0" borderId="5" xfId="0" applyNumberFormat="1" applyFont="1" applyFill="1" applyBorder="1" applyAlignment="1">
      <alignment vertical="center"/>
    </xf>
    <xf numFmtId="0" fontId="0" fillId="0" borderId="5" xfId="0" applyFill="1" applyBorder="1" applyAlignment="1">
      <alignment vertical="center"/>
    </xf>
    <xf numFmtId="0" fontId="0" fillId="0" borderId="16" xfId="0" applyBorder="1" applyAlignment="1">
      <alignment vertical="center"/>
    </xf>
    <xf numFmtId="0" fontId="0" fillId="0" borderId="0" xfId="0" applyBorder="1" applyAlignment="1"/>
    <xf numFmtId="0" fontId="0" fillId="0" borderId="0" xfId="0" applyFill="1" applyAlignment="1">
      <alignment vertical="center"/>
    </xf>
    <xf numFmtId="0" fontId="1" fillId="0" borderId="40" xfId="0" applyFont="1" applyBorder="1" applyAlignment="1">
      <alignment horizontal="center" vertical="center"/>
    </xf>
    <xf numFmtId="0" fontId="0" fillId="0" borderId="50" xfId="0" applyFill="1" applyBorder="1" applyAlignment="1">
      <alignment horizontal="left" vertical="center" wrapText="1"/>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9" fillId="0" borderId="27" xfId="0" applyFont="1" applyBorder="1"/>
    <xf numFmtId="0" fontId="0" fillId="0" borderId="19" xfId="0" applyBorder="1"/>
    <xf numFmtId="176" fontId="0" fillId="0" borderId="27" xfId="5" applyNumberFormat="1" applyFont="1" applyFill="1" applyBorder="1"/>
    <xf numFmtId="176" fontId="0" fillId="0" borderId="6" xfId="5" applyNumberFormat="1" applyFont="1" applyFill="1" applyBorder="1"/>
    <xf numFmtId="0" fontId="9" fillId="0" borderId="11" xfId="0" applyFont="1" applyBorder="1"/>
    <xf numFmtId="176" fontId="0" fillId="0" borderId="11" xfId="5" applyNumberFormat="1" applyFont="1" applyFill="1" applyBorder="1"/>
    <xf numFmtId="176" fontId="0" fillId="0" borderId="1" xfId="5" applyNumberFormat="1" applyFont="1" applyFill="1" applyBorder="1"/>
    <xf numFmtId="41" fontId="0" fillId="0" borderId="1" xfId="0" applyNumberFormat="1" applyFill="1" applyBorder="1"/>
    <xf numFmtId="41" fontId="0" fillId="0" borderId="2" xfId="0" applyNumberFormat="1" applyFill="1" applyBorder="1"/>
    <xf numFmtId="3" fontId="0" fillId="0" borderId="11" xfId="0" applyNumberFormat="1" applyFill="1" applyBorder="1"/>
    <xf numFmtId="176" fontId="0" fillId="0" borderId="1" xfId="5" applyNumberFormat="1" applyFont="1" applyBorder="1"/>
    <xf numFmtId="43" fontId="0" fillId="0" borderId="1" xfId="0" applyNumberFormat="1" applyFill="1" applyBorder="1"/>
    <xf numFmtId="3" fontId="9" fillId="0" borderId="11" xfId="0" applyNumberFormat="1" applyFont="1" applyFill="1" applyBorder="1"/>
    <xf numFmtId="176" fontId="9" fillId="0" borderId="11" xfId="5" applyNumberFormat="1" applyFont="1" applyFill="1" applyBorder="1"/>
    <xf numFmtId="176" fontId="9" fillId="0" borderId="1" xfId="5" applyNumberFormat="1" applyFont="1" applyFill="1" applyBorder="1"/>
    <xf numFmtId="41" fontId="9" fillId="0" borderId="2" xfId="0" applyNumberFormat="1" applyFont="1" applyFill="1" applyBorder="1"/>
    <xf numFmtId="0" fontId="24" fillId="0" borderId="11" xfId="0" applyFont="1" applyBorder="1"/>
    <xf numFmtId="176" fontId="1" fillId="0" borderId="11" xfId="5" applyNumberFormat="1" applyFont="1" applyFill="1" applyBorder="1"/>
    <xf numFmtId="176" fontId="1" fillId="0" borderId="1" xfId="5" applyNumberFormat="1" applyFont="1" applyFill="1" applyBorder="1"/>
    <xf numFmtId="41" fontId="1" fillId="0" borderId="2" xfId="5" applyNumberFormat="1" applyFont="1" applyFill="1" applyBorder="1"/>
    <xf numFmtId="43" fontId="1" fillId="0" borderId="11" xfId="5" applyNumberFormat="1" applyFont="1" applyFill="1" applyBorder="1"/>
    <xf numFmtId="43" fontId="1" fillId="0" borderId="1" xfId="5" applyNumberFormat="1" applyFont="1" applyFill="1" applyBorder="1"/>
    <xf numFmtId="0" fontId="0" fillId="0" borderId="11" xfId="0" applyFill="1" applyBorder="1"/>
    <xf numFmtId="0" fontId="0" fillId="0" borderId="19" xfId="0" applyFill="1" applyBorder="1"/>
    <xf numFmtId="41" fontId="0" fillId="0" borderId="1" xfId="5" applyNumberFormat="1" applyFont="1" applyFill="1" applyBorder="1"/>
    <xf numFmtId="43" fontId="0" fillId="0" borderId="1" xfId="5" applyFont="1" applyFill="1" applyBorder="1"/>
    <xf numFmtId="41" fontId="0" fillId="0" borderId="2" xfId="5" applyNumberFormat="1" applyFont="1" applyFill="1" applyBorder="1"/>
    <xf numFmtId="43" fontId="9" fillId="0" borderId="11" xfId="5" applyFont="1" applyFill="1" applyBorder="1"/>
    <xf numFmtId="176" fontId="0" fillId="0" borderId="1" xfId="0" applyNumberFormat="1" applyFill="1" applyBorder="1"/>
    <xf numFmtId="0" fontId="9" fillId="0" borderId="11" xfId="0" applyFont="1" applyFill="1" applyBorder="1"/>
    <xf numFmtId="0" fontId="9" fillId="0" borderId="2" xfId="0" applyFont="1" applyFill="1" applyBorder="1"/>
    <xf numFmtId="0" fontId="24" fillId="0" borderId="11" xfId="0" applyFont="1" applyFill="1" applyBorder="1"/>
    <xf numFmtId="176" fontId="1" fillId="0" borderId="2" xfId="5" applyNumberFormat="1" applyFont="1" applyFill="1" applyBorder="1"/>
    <xf numFmtId="0" fontId="1" fillId="0" borderId="19" xfId="0" applyFont="1" applyBorder="1"/>
    <xf numFmtId="3" fontId="1" fillId="0" borderId="11" xfId="0" applyNumberFormat="1" applyFont="1" applyFill="1" applyBorder="1"/>
    <xf numFmtId="0" fontId="24" fillId="0" borderId="66" xfId="0" applyFont="1" applyFill="1" applyBorder="1"/>
    <xf numFmtId="0" fontId="1" fillId="0" borderId="66" xfId="0" applyFont="1" applyFill="1" applyBorder="1"/>
    <xf numFmtId="174" fontId="24" fillId="0" borderId="66" xfId="0" applyNumberFormat="1" applyFont="1" applyFill="1" applyBorder="1"/>
    <xf numFmtId="0" fontId="1" fillId="0" borderId="2" xfId="0" applyFont="1" applyFill="1" applyBorder="1"/>
    <xf numFmtId="3" fontId="0" fillId="0" borderId="66" xfId="0" applyNumberFormat="1" applyFill="1" applyBorder="1"/>
    <xf numFmtId="3" fontId="9" fillId="0" borderId="58" xfId="0" applyNumberFormat="1" applyFont="1" applyFill="1" applyBorder="1"/>
    <xf numFmtId="2" fontId="24" fillId="0" borderId="11" xfId="0" applyNumberFormat="1" applyFont="1" applyFill="1" applyBorder="1"/>
    <xf numFmtId="2" fontId="1" fillId="0" borderId="1" xfId="0" applyNumberFormat="1" applyFont="1" applyBorder="1"/>
    <xf numFmtId="2" fontId="1" fillId="0" borderId="12" xfId="0" applyNumberFormat="1" applyFont="1" applyBorder="1"/>
    <xf numFmtId="0" fontId="24" fillId="0" borderId="2" xfId="0" applyFont="1" applyFill="1" applyBorder="1"/>
    <xf numFmtId="2" fontId="9" fillId="0" borderId="11" xfId="0" applyNumberFormat="1" applyFont="1" applyFill="1" applyBorder="1"/>
    <xf numFmtId="0" fontId="2" fillId="0" borderId="0" xfId="0" applyFont="1" applyFill="1" applyBorder="1"/>
    <xf numFmtId="175" fontId="2" fillId="0" borderId="66" xfId="0" applyNumberFormat="1" applyFont="1" applyFill="1" applyBorder="1"/>
    <xf numFmtId="0" fontId="8" fillId="0" borderId="0" xfId="0" applyFont="1" applyBorder="1"/>
    <xf numFmtId="0" fontId="8" fillId="0" borderId="58" xfId="0" applyFont="1" applyBorder="1"/>
    <xf numFmtId="0" fontId="8" fillId="0" borderId="0" xfId="0" applyFont="1"/>
    <xf numFmtId="0" fontId="24" fillId="0" borderId="13" xfId="0" applyFont="1" applyFill="1" applyBorder="1"/>
    <xf numFmtId="0" fontId="24" fillId="0" borderId="39" xfId="0" applyFont="1" applyFill="1" applyBorder="1"/>
    <xf numFmtId="2" fontId="24" fillId="0" borderId="13" xfId="0" applyNumberFormat="1" applyFont="1" applyFill="1" applyBorder="1"/>
    <xf numFmtId="0" fontId="2" fillId="0" borderId="56" xfId="0" applyFont="1" applyFill="1" applyBorder="1"/>
    <xf numFmtId="175" fontId="2" fillId="0" borderId="67" xfId="0" applyNumberFormat="1" applyFont="1" applyFill="1" applyBorder="1"/>
    <xf numFmtId="0" fontId="8" fillId="0" borderId="56" xfId="0" applyFont="1" applyBorder="1"/>
    <xf numFmtId="0" fontId="8" fillId="0" borderId="68" xfId="0" applyFont="1" applyBorder="1"/>
    <xf numFmtId="0" fontId="1" fillId="0" borderId="9" xfId="0" applyFont="1" applyBorder="1" applyAlignment="1">
      <alignment horizontal="center" vertical="center"/>
    </xf>
    <xf numFmtId="0" fontId="1" fillId="0" borderId="15" xfId="0" applyFont="1" applyBorder="1" applyAlignment="1">
      <alignment horizontal="center" vertical="center"/>
    </xf>
    <xf numFmtId="3" fontId="9" fillId="0" borderId="1" xfId="0" applyNumberFormat="1" applyFont="1" applyBorder="1" applyAlignment="1">
      <alignment vertical="center"/>
    </xf>
    <xf numFmtId="43" fontId="0" fillId="0" borderId="0" xfId="5" applyFont="1"/>
    <xf numFmtId="4" fontId="9" fillId="0" borderId="1" xfId="0" applyNumberFormat="1" applyFont="1" applyBorder="1" applyAlignment="1">
      <alignment vertical="center"/>
    </xf>
    <xf numFmtId="177" fontId="9" fillId="0" borderId="1" xfId="0" applyNumberFormat="1" applyFont="1" applyBorder="1" applyAlignment="1">
      <alignment vertical="center"/>
    </xf>
    <xf numFmtId="10" fontId="9" fillId="0" borderId="1" xfId="0" applyNumberFormat="1" applyFont="1" applyFill="1" applyBorder="1" applyAlignment="1">
      <alignment vertical="center"/>
    </xf>
    <xf numFmtId="0" fontId="0" fillId="0" borderId="1" xfId="0" applyFill="1" applyBorder="1" applyAlignment="1">
      <alignment vertical="center" wrapText="1"/>
    </xf>
    <xf numFmtId="179" fontId="9" fillId="0" borderId="1" xfId="0" applyNumberFormat="1" applyFont="1" applyBorder="1"/>
    <xf numFmtId="179" fontId="9" fillId="0" borderId="1" xfId="0" applyNumberFormat="1" applyFont="1" applyFill="1" applyBorder="1"/>
    <xf numFmtId="0" fontId="0" fillId="0" borderId="1" xfId="0" applyFill="1" applyBorder="1"/>
    <xf numFmtId="179" fontId="0" fillId="0" borderId="1" xfId="0" applyNumberFormat="1" applyFill="1" applyBorder="1"/>
    <xf numFmtId="165" fontId="9" fillId="0" borderId="5" xfId="0" applyNumberFormat="1" applyFont="1" applyFill="1" applyBorder="1" applyAlignment="1">
      <alignment vertical="center"/>
    </xf>
    <xf numFmtId="3" fontId="9" fillId="0" borderId="5" xfId="0" applyNumberFormat="1" applyFont="1" applyFill="1" applyBorder="1" applyAlignment="1">
      <alignment vertical="center"/>
    </xf>
    <xf numFmtId="4" fontId="9" fillId="0" borderId="5" xfId="0" applyNumberFormat="1" applyFont="1" applyFill="1" applyBorder="1" applyAlignment="1">
      <alignment vertical="center"/>
    </xf>
    <xf numFmtId="0" fontId="9" fillId="0" borderId="16" xfId="0" applyFont="1" applyBorder="1" applyAlignment="1">
      <alignment vertical="center"/>
    </xf>
    <xf numFmtId="0" fontId="21" fillId="0" borderId="0" xfId="6" applyAlignment="1" applyProtection="1"/>
    <xf numFmtId="0" fontId="28" fillId="0" borderId="0" xfId="6" applyFont="1" applyAlignment="1" applyProtection="1"/>
    <xf numFmtId="0" fontId="9" fillId="0" borderId="0" xfId="0" applyFont="1"/>
    <xf numFmtId="0" fontId="28" fillId="0" borderId="40" xfId="6" applyFont="1" applyBorder="1" applyAlignment="1" applyProtection="1">
      <alignment horizontal="left"/>
    </xf>
    <xf numFmtId="0" fontId="0" fillId="0" borderId="41" xfId="0" applyBorder="1"/>
    <xf numFmtId="0" fontId="0" fillId="0" borderId="29" xfId="0" applyBorder="1"/>
    <xf numFmtId="0" fontId="0" fillId="0" borderId="15" xfId="0" applyFont="1" applyBorder="1" applyAlignment="1">
      <alignment horizontal="center" vertical="center" wrapText="1"/>
    </xf>
    <xf numFmtId="0" fontId="0" fillId="0" borderId="15" xfId="0" applyFont="1" applyFill="1" applyBorder="1" applyAlignment="1">
      <alignment horizontal="center" vertical="center" wrapText="1"/>
    </xf>
    <xf numFmtId="0" fontId="0" fillId="0" borderId="1" xfId="0" applyBorder="1" applyAlignment="1">
      <alignment horizontal="right"/>
    </xf>
    <xf numFmtId="166" fontId="0" fillId="0" borderId="1" xfId="0" applyNumberFormat="1" applyFill="1" applyBorder="1" applyAlignment="1">
      <alignment horizontal="right"/>
    </xf>
    <xf numFmtId="0" fontId="0" fillId="0" borderId="11" xfId="0" applyFont="1" applyBorder="1" applyAlignment="1"/>
    <xf numFmtId="0" fontId="0" fillId="0" borderId="1" xfId="0" applyFont="1" applyBorder="1" applyAlignment="1">
      <alignment horizontal="right"/>
    </xf>
    <xf numFmtId="166" fontId="0" fillId="0" borderId="12" xfId="0" applyNumberFormat="1" applyFont="1" applyBorder="1" applyAlignment="1">
      <alignment horizontal="right"/>
    </xf>
    <xf numFmtId="0" fontId="0" fillId="0" borderId="1" xfId="0" applyFont="1" applyFill="1" applyBorder="1" applyAlignment="1">
      <alignment horizontal="right"/>
    </xf>
    <xf numFmtId="4" fontId="0" fillId="0" borderId="1" xfId="0" applyNumberFormat="1" applyFont="1" applyFill="1" applyBorder="1" applyAlignment="1">
      <alignment horizontal="right"/>
    </xf>
    <xf numFmtId="4" fontId="0" fillId="0" borderId="12" xfId="0" applyNumberFormat="1" applyFont="1" applyFill="1" applyBorder="1" applyAlignment="1">
      <alignment horizontal="right"/>
    </xf>
    <xf numFmtId="0" fontId="0" fillId="0" borderId="66" xfId="0" applyFont="1" applyFill="1" applyBorder="1"/>
    <xf numFmtId="0" fontId="0" fillId="0" borderId="0" xfId="0" applyFont="1" applyFill="1" applyBorder="1" applyAlignment="1">
      <alignment horizontal="right"/>
    </xf>
    <xf numFmtId="4" fontId="0" fillId="0" borderId="0" xfId="0" applyNumberFormat="1" applyFont="1" applyFill="1" applyBorder="1" applyAlignment="1">
      <alignment horizontal="right"/>
    </xf>
    <xf numFmtId="4" fontId="0" fillId="0" borderId="58" xfId="0" applyNumberFormat="1" applyFont="1" applyFill="1" applyBorder="1" applyAlignment="1">
      <alignment horizontal="right"/>
    </xf>
    <xf numFmtId="0" fontId="0" fillId="0" borderId="23" xfId="0" applyBorder="1"/>
    <xf numFmtId="0" fontId="0" fillId="0" borderId="66" xfId="0" applyBorder="1" applyAlignment="1">
      <alignment horizontal="left" vertical="center" wrapText="1"/>
    </xf>
    <xf numFmtId="0" fontId="0" fillId="0" borderId="0" xfId="0" applyBorder="1" applyAlignment="1">
      <alignment horizontal="left" vertical="center" wrapText="1"/>
    </xf>
    <xf numFmtId="4" fontId="0" fillId="0" borderId="72" xfId="0" applyNumberFormat="1" applyFont="1" applyFill="1" applyBorder="1" applyAlignment="1">
      <alignment horizontal="right"/>
    </xf>
    <xf numFmtId="0" fontId="0" fillId="0" borderId="0" xfId="0" applyBorder="1" applyAlignment="1">
      <alignment horizontal="right"/>
    </xf>
    <xf numFmtId="0" fontId="23" fillId="0" borderId="0" xfId="0" applyFont="1" applyBorder="1" applyAlignment="1">
      <alignment horizontal="right"/>
    </xf>
    <xf numFmtId="0" fontId="23" fillId="0" borderId="0" xfId="0" applyFont="1" applyBorder="1" applyAlignment="1"/>
    <xf numFmtId="0" fontId="0" fillId="0" borderId="0" xfId="0" applyBorder="1" applyAlignment="1">
      <alignment horizontal="center"/>
    </xf>
    <xf numFmtId="166" fontId="0" fillId="0" borderId="0" xfId="0" applyNumberFormat="1" applyBorder="1" applyAlignment="1">
      <alignment horizontal="center"/>
    </xf>
    <xf numFmtId="0" fontId="0" fillId="0" borderId="0" xfId="0" applyFont="1" applyFill="1" applyBorder="1"/>
    <xf numFmtId="3" fontId="0" fillId="3" borderId="44" xfId="0" applyNumberFormat="1" applyFill="1" applyBorder="1" applyProtection="1"/>
    <xf numFmtId="9" fontId="0" fillId="3" borderId="44" xfId="0" applyNumberFormat="1" applyFill="1" applyBorder="1" applyAlignment="1" applyProtection="1">
      <alignment horizontal="center"/>
    </xf>
    <xf numFmtId="1" fontId="0" fillId="3" borderId="44" xfId="0" applyNumberFormat="1" applyFill="1" applyBorder="1" applyAlignment="1" applyProtection="1">
      <alignment horizontal="center"/>
    </xf>
    <xf numFmtId="4" fontId="9" fillId="0" borderId="16" xfId="0" applyNumberFormat="1" applyFont="1" applyFill="1" applyBorder="1" applyAlignment="1">
      <alignment horizontal="center" vertical="center"/>
    </xf>
    <xf numFmtId="0" fontId="0" fillId="0" borderId="21" xfId="0" applyFill="1" applyBorder="1" applyAlignment="1">
      <alignment horizontal="left" vertical="center"/>
    </xf>
    <xf numFmtId="1" fontId="0" fillId="0" borderId="5" xfId="0" applyNumberFormat="1" applyFill="1" applyBorder="1" applyAlignment="1">
      <alignment horizontal="center" vertical="center"/>
    </xf>
    <xf numFmtId="0" fontId="0" fillId="0" borderId="9" xfId="0" applyFont="1" applyFill="1" applyBorder="1" applyAlignment="1">
      <alignment horizontal="left" vertical="center" wrapText="1"/>
    </xf>
    <xf numFmtId="2" fontId="9" fillId="0" borderId="15" xfId="0" applyNumberFormat="1" applyFont="1" applyFill="1" applyBorder="1" applyAlignment="1">
      <alignment horizontal="center" vertical="center"/>
    </xf>
    <xf numFmtId="9" fontId="9" fillId="0" borderId="15" xfId="0" applyNumberFormat="1" applyFont="1" applyFill="1" applyBorder="1" applyAlignment="1">
      <alignment horizontal="center" vertical="center"/>
    </xf>
    <xf numFmtId="0" fontId="0" fillId="0" borderId="13" xfId="0" applyFont="1" applyFill="1" applyBorder="1" applyAlignment="1">
      <alignment horizontal="left" vertical="center" wrapText="1"/>
    </xf>
    <xf numFmtId="9" fontId="9" fillId="0" borderId="16" xfId="0" applyNumberFormat="1" applyFont="1" applyFill="1" applyBorder="1" applyAlignment="1">
      <alignment horizontal="center" vertical="center"/>
    </xf>
    <xf numFmtId="166" fontId="0" fillId="0" borderId="12" xfId="0" applyNumberFormat="1" applyFill="1" applyBorder="1" applyAlignment="1">
      <alignment horizontal="right"/>
    </xf>
    <xf numFmtId="2" fontId="28" fillId="0" borderId="30" xfId="6" applyNumberFormat="1" applyFont="1" applyFill="1" applyBorder="1" applyAlignment="1" applyProtection="1"/>
    <xf numFmtId="0" fontId="0" fillId="0" borderId="2" xfId="0" applyFont="1" applyBorder="1" applyAlignment="1">
      <alignment horizontal="center" vertical="center"/>
    </xf>
    <xf numFmtId="0" fontId="1" fillId="0" borderId="2" xfId="0" applyFont="1" applyBorder="1"/>
    <xf numFmtId="0" fontId="0" fillId="0" borderId="2" xfId="0" applyFont="1" applyBorder="1"/>
    <xf numFmtId="0" fontId="1" fillId="0" borderId="39" xfId="0" applyFont="1" applyBorder="1"/>
    <xf numFmtId="3" fontId="1" fillId="0" borderId="11" xfId="0" applyNumberFormat="1" applyFont="1" applyBorder="1"/>
    <xf numFmtId="3" fontId="1" fillId="0" borderId="12" xfId="0" applyNumberFormat="1" applyFont="1" applyBorder="1"/>
    <xf numFmtId="3" fontId="9" fillId="0" borderId="23" xfId="0" applyNumberFormat="1" applyFont="1" applyFill="1" applyBorder="1"/>
    <xf numFmtId="2" fontId="24" fillId="0" borderId="68" xfId="0" applyNumberFormat="1" applyFont="1" applyFill="1" applyBorder="1"/>
    <xf numFmtId="3" fontId="9" fillId="0" borderId="66" xfId="0" applyNumberFormat="1" applyFont="1" applyFill="1" applyBorder="1"/>
    <xf numFmtId="3" fontId="24" fillId="0" borderId="11" xfId="0" applyNumberFormat="1" applyFont="1" applyFill="1" applyBorder="1"/>
    <xf numFmtId="175" fontId="24" fillId="0" borderId="66" xfId="0" applyNumberFormat="1" applyFont="1" applyFill="1" applyBorder="1"/>
    <xf numFmtId="175" fontId="24" fillId="0" borderId="67" xfId="0" applyNumberFormat="1" applyFont="1" applyFill="1" applyBorder="1"/>
    <xf numFmtId="0" fontId="1" fillId="0" borderId="58" xfId="0" applyFont="1" applyBorder="1"/>
    <xf numFmtId="0" fontId="1" fillId="0" borderId="68" xfId="0" applyFont="1" applyBorder="1"/>
    <xf numFmtId="3" fontId="1" fillId="0" borderId="2" xfId="0" applyNumberFormat="1" applyFont="1" applyBorder="1"/>
    <xf numFmtId="3" fontId="24" fillId="0" borderId="2" xfId="0" applyNumberFormat="1" applyFont="1" applyFill="1" applyBorder="1"/>
    <xf numFmtId="3" fontId="0" fillId="0" borderId="12" xfId="0" applyNumberFormat="1" applyBorder="1"/>
    <xf numFmtId="176" fontId="0" fillId="0" borderId="2" xfId="5" applyNumberFormat="1" applyFont="1" applyFill="1" applyBorder="1"/>
    <xf numFmtId="176" fontId="9" fillId="0" borderId="2" xfId="5" applyNumberFormat="1" applyFont="1" applyFill="1" applyBorder="1"/>
    <xf numFmtId="2" fontId="24" fillId="0" borderId="39" xfId="0" applyNumberFormat="1" applyFont="1" applyFill="1" applyBorder="1"/>
    <xf numFmtId="41" fontId="9" fillId="0" borderId="1" xfId="0" applyNumberFormat="1" applyFont="1" applyFill="1" applyBorder="1"/>
    <xf numFmtId="41" fontId="1" fillId="0" borderId="1" xfId="5" applyNumberFormat="1" applyFont="1" applyFill="1" applyBorder="1"/>
    <xf numFmtId="176" fontId="0" fillId="0" borderId="19" xfId="5" applyNumberFormat="1" applyFont="1" applyFill="1" applyBorder="1"/>
    <xf numFmtId="169" fontId="9" fillId="0" borderId="1" xfId="0" applyNumberFormat="1" applyFont="1" applyFill="1" applyBorder="1" applyAlignment="1">
      <alignment vertical="center"/>
    </xf>
    <xf numFmtId="3" fontId="0" fillId="0" borderId="1" xfId="0" applyNumberFormat="1" applyBorder="1"/>
    <xf numFmtId="0" fontId="1" fillId="6" borderId="21" xfId="0" applyFont="1" applyFill="1" applyBorder="1" applyAlignment="1">
      <alignment horizontal="center" vertical="center"/>
    </xf>
    <xf numFmtId="0" fontId="1" fillId="6" borderId="5" xfId="0" applyFont="1" applyFill="1" applyBorder="1" applyAlignment="1">
      <alignment horizontal="center" vertical="center" wrapText="1"/>
    </xf>
    <xf numFmtId="0" fontId="1" fillId="6" borderId="5" xfId="0" applyFont="1" applyFill="1" applyBorder="1" applyAlignment="1">
      <alignment horizontal="center" vertical="center"/>
    </xf>
    <xf numFmtId="0" fontId="1" fillId="6" borderId="28" xfId="0" applyFont="1" applyFill="1" applyBorder="1" applyAlignment="1">
      <alignment horizontal="center" vertical="center"/>
    </xf>
    <xf numFmtId="0" fontId="0" fillId="0" borderId="9" xfId="0" applyBorder="1" applyAlignment="1">
      <alignment horizontal="left" vertical="center" wrapText="1"/>
    </xf>
    <xf numFmtId="0" fontId="0" fillId="0" borderId="13" xfId="0" applyBorder="1" applyAlignment="1">
      <alignment horizontal="left" vertical="center" wrapText="1"/>
    </xf>
    <xf numFmtId="0" fontId="0" fillId="0" borderId="9" xfId="0" applyFill="1" applyBorder="1" applyAlignment="1">
      <alignment horizontal="left" vertical="center" wrapText="1"/>
    </xf>
    <xf numFmtId="0" fontId="0" fillId="0" borderId="15" xfId="0" applyFill="1" applyBorder="1" applyAlignment="1">
      <alignment horizontal="center" vertical="center"/>
    </xf>
    <xf numFmtId="9" fontId="0" fillId="0" borderId="1" xfId="0" applyNumberFormat="1" applyBorder="1"/>
    <xf numFmtId="0" fontId="0" fillId="0" borderId="12" xfId="0" applyBorder="1"/>
    <xf numFmtId="0" fontId="0" fillId="0" borderId="9" xfId="0" applyFont="1" applyBorder="1" applyAlignment="1">
      <alignment horizontal="center" vertical="center"/>
    </xf>
    <xf numFmtId="0" fontId="0" fillId="0" borderId="49" xfId="0" applyFill="1" applyBorder="1" applyAlignment="1">
      <alignment horizontal="left" vertical="center" wrapText="1"/>
    </xf>
    <xf numFmtId="0" fontId="0" fillId="0" borderId="67" xfId="0" applyFill="1" applyBorder="1" applyAlignment="1">
      <alignment horizontal="left" vertical="center" wrapText="1"/>
    </xf>
    <xf numFmtId="0" fontId="0" fillId="0" borderId="21" xfId="0" applyFill="1" applyBorder="1" applyAlignment="1">
      <alignment horizontal="left" vertical="center" wrapText="1"/>
    </xf>
    <xf numFmtId="0" fontId="0" fillId="0" borderId="29" xfId="0" applyFill="1" applyBorder="1" applyAlignment="1">
      <alignment horizontal="left" vertical="center" wrapText="1"/>
    </xf>
    <xf numFmtId="0" fontId="0" fillId="0" borderId="12" xfId="0" applyFont="1" applyBorder="1" applyAlignment="1">
      <alignment horizontal="center" vertical="center"/>
    </xf>
    <xf numFmtId="0" fontId="0" fillId="0" borderId="13" xfId="0" applyBorder="1"/>
    <xf numFmtId="0" fontId="0" fillId="0" borderId="15" xfId="0" applyBorder="1" applyAlignment="1">
      <alignment horizontal="center" vertical="center"/>
    </xf>
    <xf numFmtId="0" fontId="0" fillId="0" borderId="0" xfId="0" applyBorder="1" applyAlignment="1">
      <alignment horizontal="left" wrapText="1"/>
    </xf>
    <xf numFmtId="0" fontId="0" fillId="0" borderId="1" xfId="0" applyBorder="1"/>
    <xf numFmtId="0" fontId="1" fillId="7"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pplyProtection="1">
      <alignment horizontal="center" vertical="center" wrapText="1"/>
    </xf>
    <xf numFmtId="0" fontId="0" fillId="0" borderId="60" xfId="0" applyFont="1" applyBorder="1" applyAlignment="1" applyProtection="1">
      <alignment horizontal="center" vertical="center" wrapText="1"/>
    </xf>
    <xf numFmtId="9" fontId="0" fillId="19" borderId="1" xfId="0" applyNumberFormat="1" applyFont="1" applyFill="1" applyBorder="1" applyAlignment="1" applyProtection="1">
      <alignment horizontal="center" vertical="center"/>
    </xf>
    <xf numFmtId="0" fontId="0" fillId="19" borderId="1" xfId="0" applyFont="1" applyFill="1" applyBorder="1" applyAlignment="1" applyProtection="1">
      <alignment horizontal="center" vertical="center"/>
    </xf>
    <xf numFmtId="49" fontId="0" fillId="19" borderId="11" xfId="0" applyNumberFormat="1" applyFill="1" applyBorder="1" applyAlignment="1">
      <alignment vertical="center"/>
    </xf>
    <xf numFmtId="4" fontId="9" fillId="19" borderId="5" xfId="0" applyNumberFormat="1" applyFont="1" applyFill="1" applyBorder="1" applyAlignment="1">
      <alignment horizontal="center" vertical="center"/>
    </xf>
    <xf numFmtId="0" fontId="0" fillId="19" borderId="5" xfId="0" applyFill="1" applyBorder="1" applyAlignment="1">
      <alignment horizontal="center" vertical="center"/>
    </xf>
    <xf numFmtId="0" fontId="0" fillId="19" borderId="0" xfId="0" applyFill="1"/>
    <xf numFmtId="9" fontId="9" fillId="19" borderId="1" xfId="0" applyNumberFormat="1" applyFont="1" applyFill="1" applyBorder="1" applyAlignment="1">
      <alignment vertical="center"/>
    </xf>
    <xf numFmtId="177" fontId="9" fillId="19" borderId="1" xfId="0" applyNumberFormat="1" applyFont="1" applyFill="1" applyBorder="1" applyAlignment="1">
      <alignment vertical="center"/>
    </xf>
    <xf numFmtId="3" fontId="0" fillId="0" borderId="1" xfId="0" applyNumberFormat="1" applyFont="1" applyBorder="1" applyAlignment="1">
      <alignment horizontal="center" vertical="center"/>
    </xf>
    <xf numFmtId="3" fontId="0" fillId="0" borderId="16" xfId="0" applyNumberFormat="1" applyFill="1" applyBorder="1" applyAlignment="1">
      <alignment horizontal="center"/>
    </xf>
    <xf numFmtId="0" fontId="0" fillId="0" borderId="11" xfId="0" applyFont="1" applyBorder="1" applyAlignment="1">
      <alignment horizontal="left"/>
    </xf>
    <xf numFmtId="0" fontId="0" fillId="0" borderId="12" xfId="0" applyFont="1" applyBorder="1" applyAlignment="1">
      <alignment horizontal="left" vertical="center"/>
    </xf>
    <xf numFmtId="0" fontId="0" fillId="0" borderId="12" xfId="0" applyBorder="1" applyAlignment="1">
      <alignment horizontal="left"/>
    </xf>
    <xf numFmtId="1" fontId="0" fillId="0" borderId="1" xfId="0" applyNumberFormat="1" applyFill="1" applyBorder="1"/>
    <xf numFmtId="2" fontId="0" fillId="0" borderId="1" xfId="0" applyNumberFormat="1" applyFill="1" applyBorder="1"/>
    <xf numFmtId="0" fontId="0" fillId="15" borderId="1" xfId="0" applyFill="1" applyBorder="1" applyAlignment="1" applyProtection="1"/>
    <xf numFmtId="1" fontId="0" fillId="2" borderId="1" xfId="0" applyNumberFormat="1" applyFill="1" applyBorder="1" applyProtection="1"/>
    <xf numFmtId="3" fontId="0" fillId="0" borderId="1" xfId="0" applyNumberFormat="1" applyBorder="1" applyProtection="1"/>
    <xf numFmtId="0" fontId="0" fillId="0" borderId="60" xfId="0" applyFont="1" applyFill="1" applyBorder="1" applyAlignment="1" applyProtection="1">
      <alignment horizontal="center" vertical="center" wrapText="1"/>
    </xf>
    <xf numFmtId="0" fontId="0" fillId="0" borderId="62" xfId="0" applyFont="1" applyBorder="1" applyAlignment="1" applyProtection="1">
      <alignment horizontal="center" vertical="center" wrapText="1"/>
    </xf>
    <xf numFmtId="0" fontId="0" fillId="0" borderId="59" xfId="0" applyFont="1" applyBorder="1" applyAlignment="1" applyProtection="1">
      <alignment horizontal="center" vertical="center" wrapText="1"/>
    </xf>
    <xf numFmtId="0" fontId="0" fillId="0" borderId="75" xfId="0" applyBorder="1" applyAlignment="1" applyProtection="1">
      <alignment horizontal="center" vertical="center" wrapText="1"/>
    </xf>
    <xf numFmtId="0" fontId="0" fillId="0" borderId="16" xfId="0" applyBorder="1"/>
    <xf numFmtId="0" fontId="0" fillId="0" borderId="21" xfId="0" applyBorder="1"/>
    <xf numFmtId="0" fontId="0" fillId="0" borderId="5" xfId="0" applyBorder="1"/>
    <xf numFmtId="2" fontId="0" fillId="0" borderId="5" xfId="0" applyNumberFormat="1" applyBorder="1"/>
    <xf numFmtId="0" fontId="0" fillId="0" borderId="44" xfId="0" applyBorder="1"/>
    <xf numFmtId="0" fontId="0" fillId="0" borderId="15" xfId="0" applyBorder="1"/>
    <xf numFmtId="0" fontId="0" fillId="0" borderId="64" xfId="0" applyBorder="1"/>
    <xf numFmtId="0" fontId="0" fillId="0" borderId="34" xfId="0" applyBorder="1" applyAlignment="1">
      <alignment wrapText="1"/>
    </xf>
    <xf numFmtId="0" fontId="0" fillId="0" borderId="35" xfId="0" applyBorder="1" applyAlignment="1">
      <alignment wrapText="1"/>
    </xf>
    <xf numFmtId="0" fontId="0" fillId="0" borderId="36" xfId="0" applyBorder="1"/>
    <xf numFmtId="0" fontId="0" fillId="0" borderId="65" xfId="0" applyBorder="1"/>
    <xf numFmtId="0" fontId="0" fillId="0" borderId="29" xfId="0" applyBorder="1" applyAlignment="1">
      <alignment horizontal="center" vertical="center" wrapText="1"/>
    </xf>
    <xf numFmtId="0" fontId="0" fillId="0" borderId="30" xfId="0" applyBorder="1"/>
    <xf numFmtId="2" fontId="0" fillId="0" borderId="30" xfId="0" applyNumberFormat="1" applyBorder="1"/>
    <xf numFmtId="0" fontId="0" fillId="0" borderId="31" xfId="0" applyBorder="1"/>
    <xf numFmtId="0" fontId="0" fillId="0" borderId="30" xfId="0" applyBorder="1" applyAlignment="1">
      <alignment horizontal="center" vertical="center" wrapText="1"/>
    </xf>
    <xf numFmtId="3" fontId="0" fillId="0" borderId="6" xfId="0" applyNumberFormat="1" applyBorder="1"/>
    <xf numFmtId="0" fontId="0" fillId="0" borderId="27" xfId="0" applyBorder="1"/>
    <xf numFmtId="3" fontId="0" fillId="0" borderId="33" xfId="0" applyNumberFormat="1" applyBorder="1"/>
    <xf numFmtId="0" fontId="0" fillId="0" borderId="9" xfId="0" applyBorder="1"/>
    <xf numFmtId="3" fontId="0" fillId="0" borderId="15" xfId="0" applyNumberFormat="1" applyBorder="1"/>
    <xf numFmtId="3" fontId="0" fillId="15" borderId="43" xfId="0" applyNumberFormat="1" applyFill="1" applyBorder="1"/>
    <xf numFmtId="3" fontId="0" fillId="15" borderId="44" xfId="0" applyNumberFormat="1" applyFill="1" applyBorder="1"/>
    <xf numFmtId="4" fontId="0" fillId="15" borderId="44" xfId="0" applyNumberFormat="1" applyFill="1" applyBorder="1"/>
    <xf numFmtId="167" fontId="0" fillId="15" borderId="44" xfId="0" applyNumberFormat="1" applyFill="1" applyBorder="1"/>
    <xf numFmtId="3" fontId="0" fillId="15" borderId="45" xfId="0" applyNumberFormat="1" applyFill="1" applyBorder="1"/>
    <xf numFmtId="4" fontId="0" fillId="15" borderId="30" xfId="0" applyNumberFormat="1" applyFill="1" applyBorder="1"/>
    <xf numFmtId="4" fontId="0" fillId="15" borderId="31" xfId="0" applyNumberFormat="1" applyFill="1" applyBorder="1"/>
    <xf numFmtId="3" fontId="0" fillId="12" borderId="54" xfId="0" applyNumberFormat="1" applyFill="1" applyBorder="1"/>
    <xf numFmtId="3" fontId="0" fillId="12" borderId="4" xfId="0" applyNumberFormat="1" applyFill="1" applyBorder="1"/>
    <xf numFmtId="3" fontId="0" fillId="12" borderId="55" xfId="0" applyNumberFormat="1" applyFill="1" applyBorder="1"/>
    <xf numFmtId="3" fontId="0" fillId="12" borderId="1" xfId="0" applyNumberFormat="1" applyFill="1" applyBorder="1"/>
    <xf numFmtId="3" fontId="0" fillId="12" borderId="30" xfId="0" applyNumberFormat="1" applyFill="1" applyBorder="1"/>
    <xf numFmtId="3" fontId="0" fillId="12" borderId="31" xfId="0" applyNumberFormat="1" applyFill="1" applyBorder="1"/>
    <xf numFmtId="3" fontId="0" fillId="15" borderId="30" xfId="0" applyNumberFormat="1" applyFill="1" applyBorder="1"/>
    <xf numFmtId="3" fontId="0" fillId="13" borderId="29" xfId="0" applyNumberFormat="1" applyFill="1" applyBorder="1" applyAlignment="1">
      <alignment horizontal="center"/>
    </xf>
    <xf numFmtId="3" fontId="0" fillId="13" borderId="30" xfId="0" applyNumberFormat="1" applyFill="1" applyBorder="1" applyAlignment="1">
      <alignment horizontal="center"/>
    </xf>
    <xf numFmtId="0" fontId="0" fillId="13" borderId="30" xfId="0" applyFill="1" applyBorder="1" applyAlignment="1">
      <alignment horizontal="center"/>
    </xf>
    <xf numFmtId="2" fontId="0" fillId="13" borderId="30" xfId="0" applyNumberFormat="1" applyFill="1" applyBorder="1" applyAlignment="1">
      <alignment horizontal="center"/>
    </xf>
    <xf numFmtId="1" fontId="0" fillId="13" borderId="31" xfId="0" applyNumberFormat="1" applyFill="1" applyBorder="1" applyAlignment="1">
      <alignment horizontal="center"/>
    </xf>
    <xf numFmtId="1" fontId="0" fillId="13" borderId="1" xfId="0" applyNumberFormat="1" applyFill="1" applyBorder="1" applyProtection="1"/>
    <xf numFmtId="3" fontId="0" fillId="13" borderId="1" xfId="0" applyNumberFormat="1" applyFill="1" applyBorder="1" applyProtection="1"/>
    <xf numFmtId="0" fontId="0" fillId="19" borderId="1" xfId="0" applyFill="1" applyBorder="1" applyAlignment="1">
      <alignment vertical="center" wrapText="1"/>
    </xf>
    <xf numFmtId="0" fontId="9" fillId="19" borderId="1" xfId="0" applyFont="1" applyFill="1" applyBorder="1" applyAlignment="1">
      <alignment vertical="center"/>
    </xf>
    <xf numFmtId="178" fontId="9" fillId="0" borderId="1" xfId="0" applyNumberFormat="1" applyFont="1" applyFill="1" applyBorder="1" applyAlignment="1">
      <alignment horizontal="center" vertical="center"/>
    </xf>
    <xf numFmtId="2" fontId="9" fillId="19" borderId="1" xfId="0" applyNumberFormat="1" applyFont="1" applyFill="1" applyBorder="1" applyAlignment="1">
      <alignment horizontal="center" vertical="center" wrapText="1"/>
    </xf>
    <xf numFmtId="2" fontId="9" fillId="19" borderId="16" xfId="0" applyNumberFormat="1" applyFont="1" applyFill="1" applyBorder="1" applyAlignment="1">
      <alignment horizontal="center" vertical="center" wrapText="1"/>
    </xf>
    <xf numFmtId="2" fontId="9" fillId="19" borderId="1" xfId="0" applyNumberFormat="1" applyFont="1" applyFill="1" applyBorder="1" applyAlignment="1">
      <alignment horizontal="center" vertical="center"/>
    </xf>
    <xf numFmtId="2" fontId="9" fillId="19" borderId="44" xfId="0" applyNumberFormat="1" applyFont="1" applyFill="1" applyBorder="1" applyAlignment="1">
      <alignment horizontal="center" vertical="center"/>
    </xf>
    <xf numFmtId="180" fontId="9" fillId="19" borderId="1" xfId="0" applyNumberFormat="1" applyFont="1" applyFill="1" applyBorder="1" applyAlignment="1">
      <alignment vertical="center"/>
    </xf>
    <xf numFmtId="0" fontId="9" fillId="0" borderId="9" xfId="0" applyFont="1" applyBorder="1"/>
    <xf numFmtId="0" fontId="0" fillId="0" borderId="13" xfId="0" applyFill="1" applyBorder="1"/>
    <xf numFmtId="0" fontId="0" fillId="0" borderId="45" xfId="0" applyBorder="1"/>
    <xf numFmtId="3" fontId="0" fillId="0" borderId="20" xfId="5" applyNumberFormat="1" applyFont="1" applyFill="1" applyBorder="1"/>
    <xf numFmtId="3" fontId="0" fillId="0" borderId="4" xfId="5" applyNumberFormat="1" applyFont="1" applyFill="1" applyBorder="1"/>
    <xf numFmtId="3" fontId="0" fillId="0" borderId="55" xfId="5" applyNumberFormat="1" applyFont="1" applyFill="1" applyBorder="1"/>
    <xf numFmtId="3" fontId="0" fillId="0" borderId="27" xfId="5" applyNumberFormat="1" applyFont="1" applyFill="1" applyBorder="1"/>
    <xf numFmtId="3" fontId="0" fillId="0" borderId="6" xfId="5" applyNumberFormat="1" applyFont="1" applyFill="1" applyBorder="1"/>
    <xf numFmtId="3" fontId="0" fillId="0" borderId="11" xfId="5" applyNumberFormat="1" applyFont="1" applyFill="1" applyBorder="1"/>
    <xf numFmtId="3" fontId="0" fillId="0" borderId="1" xfId="5" applyNumberFormat="1" applyFont="1" applyFill="1" applyBorder="1"/>
    <xf numFmtId="3" fontId="0" fillId="0" borderId="13" xfId="5" applyNumberFormat="1" applyFont="1" applyFill="1" applyBorder="1"/>
    <xf numFmtId="0" fontId="0" fillId="0" borderId="76" xfId="0" applyFill="1" applyBorder="1"/>
    <xf numFmtId="3" fontId="0" fillId="0" borderId="11" xfId="0" applyNumberFormat="1" applyBorder="1"/>
    <xf numFmtId="3" fontId="0" fillId="0" borderId="16" xfId="5" applyNumberFormat="1" applyFont="1" applyFill="1" applyBorder="1"/>
    <xf numFmtId="0" fontId="16" fillId="0" borderId="1" xfId="0" applyFont="1" applyBorder="1" applyAlignment="1" applyProtection="1"/>
    <xf numFmtId="0" fontId="16" fillId="15" borderId="1" xfId="0" applyFont="1" applyFill="1" applyBorder="1" applyAlignment="1" applyProtection="1"/>
    <xf numFmtId="0" fontId="16" fillId="19" borderId="1" xfId="0" applyFont="1" applyFill="1" applyBorder="1" applyAlignment="1" applyProtection="1"/>
    <xf numFmtId="2" fontId="9" fillId="19" borderId="5" xfId="0" applyNumberFormat="1" applyFont="1" applyFill="1" applyBorder="1" applyAlignment="1">
      <alignment horizontal="center" vertical="center"/>
    </xf>
    <xf numFmtId="0" fontId="0" fillId="0" borderId="30" xfId="0" applyBorder="1" applyAlignment="1">
      <alignment horizontal="center" vertical="center"/>
    </xf>
    <xf numFmtId="3" fontId="14" fillId="0" borderId="11" xfId="5" applyNumberFormat="1" applyFont="1" applyFill="1" applyBorder="1"/>
    <xf numFmtId="0" fontId="0" fillId="0" borderId="21" xfId="0" applyFont="1" applyBorder="1"/>
    <xf numFmtId="3" fontId="14" fillId="0" borderId="21" xfId="5" applyNumberFormat="1" applyFont="1" applyFill="1" applyBorder="1"/>
    <xf numFmtId="3" fontId="14" fillId="0" borderId="18" xfId="5" applyNumberFormat="1" applyFont="1" applyFill="1" applyBorder="1"/>
    <xf numFmtId="3" fontId="0" fillId="0" borderId="4" xfId="0" applyNumberFormat="1" applyBorder="1"/>
    <xf numFmtId="3" fontId="14" fillId="0" borderId="4" xfId="5" applyNumberFormat="1" applyFont="1" applyFill="1" applyBorder="1"/>
    <xf numFmtId="0" fontId="0" fillId="0" borderId="12" xfId="0" applyFont="1" applyBorder="1"/>
    <xf numFmtId="169" fontId="0" fillId="0" borderId="1" xfId="0" applyNumberFormat="1" applyFill="1" applyBorder="1"/>
    <xf numFmtId="3" fontId="0" fillId="0" borderId="16" xfId="0" applyNumberFormat="1"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21" xfId="0" applyFont="1" applyFill="1" applyBorder="1" applyAlignment="1">
      <alignment horizontal="left" vertical="center" wrapText="1"/>
    </xf>
    <xf numFmtId="3" fontId="0" fillId="0" borderId="5" xfId="0" applyNumberFormat="1" applyFont="1" applyFill="1" applyBorder="1" applyAlignment="1">
      <alignment horizontal="center" vertical="center" wrapText="1"/>
    </xf>
    <xf numFmtId="0" fontId="0" fillId="0" borderId="5" xfId="0" applyFont="1" applyFill="1" applyBorder="1" applyAlignment="1">
      <alignment horizontal="center" vertical="center" wrapText="1"/>
    </xf>
    <xf numFmtId="0" fontId="17" fillId="0" borderId="0" xfId="0" applyFont="1" applyFill="1" applyBorder="1" applyAlignment="1">
      <alignment horizontal="center" vertical="center"/>
    </xf>
    <xf numFmtId="0" fontId="0" fillId="0" borderId="0" xfId="0" applyFill="1" applyBorder="1" applyAlignment="1">
      <alignment horizontal="center"/>
    </xf>
    <xf numFmtId="0" fontId="20" fillId="0" borderId="0" xfId="0" applyFont="1" applyFill="1" applyBorder="1" applyAlignment="1">
      <alignment horizontal="center" vertical="center"/>
    </xf>
    <xf numFmtId="0" fontId="0" fillId="0" borderId="1" xfId="0" applyBorder="1"/>
    <xf numFmtId="0" fontId="0" fillId="0" borderId="27" xfId="0" applyBorder="1" applyAlignment="1">
      <alignment horizontal="left" vertical="center" wrapText="1"/>
    </xf>
    <xf numFmtId="0" fontId="0" fillId="0" borderId="66" xfId="0" applyBorder="1" applyAlignment="1">
      <alignment horizontal="left" vertical="center" wrapText="1"/>
    </xf>
    <xf numFmtId="0" fontId="0" fillId="0" borderId="1" xfId="0" applyBorder="1"/>
    <xf numFmtId="0" fontId="1" fillId="8" borderId="24" xfId="0" applyFont="1" applyFill="1" applyBorder="1" applyAlignment="1">
      <alignment horizontal="center" vertical="center"/>
    </xf>
    <xf numFmtId="0" fontId="1" fillId="8" borderId="23" xfId="0" applyFont="1" applyFill="1" applyBorder="1" applyAlignment="1">
      <alignment horizontal="center" vertical="center"/>
    </xf>
    <xf numFmtId="0" fontId="0" fillId="0" borderId="21" xfId="0" applyBorder="1" applyAlignment="1">
      <alignment horizontal="left" vertical="center" wrapText="1"/>
    </xf>
    <xf numFmtId="0" fontId="0" fillId="0" borderId="27" xfId="0" applyBorder="1" applyAlignment="1">
      <alignment horizontal="left" vertical="center" wrapText="1"/>
    </xf>
    <xf numFmtId="3" fontId="0" fillId="15" borderId="6" xfId="0" applyNumberFormat="1" applyFill="1" applyBorder="1"/>
    <xf numFmtId="2" fontId="0" fillId="0" borderId="16" xfId="0" applyNumberFormat="1" applyBorder="1"/>
    <xf numFmtId="0" fontId="0" fillId="0" borderId="34" xfId="0" applyBorder="1" applyAlignment="1">
      <alignment horizontal="left" vertical="center" wrapText="1"/>
    </xf>
    <xf numFmtId="3" fontId="0" fillId="15" borderId="54" xfId="0" applyNumberFormat="1" applyFill="1" applyBorder="1"/>
    <xf numFmtId="0" fontId="0" fillId="0" borderId="77" xfId="0" applyBorder="1" applyAlignment="1">
      <alignment horizontal="left" vertical="center" wrapText="1"/>
    </xf>
    <xf numFmtId="3" fontId="0" fillId="15" borderId="18" xfId="0" applyNumberFormat="1" applyFill="1" applyBorder="1"/>
    <xf numFmtId="0" fontId="0" fillId="0" borderId="32" xfId="0" applyBorder="1" applyAlignment="1">
      <alignment horizontal="left" vertical="center" wrapText="1"/>
    </xf>
    <xf numFmtId="3" fontId="0" fillId="15" borderId="73" xfId="0" applyNumberFormat="1" applyFill="1" applyBorder="1"/>
    <xf numFmtId="3" fontId="0" fillId="0" borderId="10" xfId="0" applyNumberFormat="1" applyBorder="1"/>
    <xf numFmtId="3" fontId="0" fillId="0" borderId="18" xfId="0" applyNumberFormat="1" applyBorder="1"/>
    <xf numFmtId="3" fontId="0" fillId="0" borderId="5" xfId="0" applyNumberFormat="1" applyBorder="1"/>
    <xf numFmtId="3" fontId="0" fillId="0" borderId="28" xfId="0" applyNumberFormat="1" applyBorder="1"/>
    <xf numFmtId="3" fontId="0" fillId="12" borderId="73" xfId="0" applyNumberFormat="1" applyFill="1" applyBorder="1"/>
    <xf numFmtId="0" fontId="0" fillId="0" borderId="6" xfId="0" applyBorder="1"/>
    <xf numFmtId="3" fontId="0" fillId="0" borderId="20" xfId="0" applyNumberFormat="1" applyBorder="1"/>
    <xf numFmtId="0" fontId="0" fillId="0" borderId="67" xfId="0" applyBorder="1"/>
    <xf numFmtId="0" fontId="0" fillId="0" borderId="56" xfId="0" applyBorder="1"/>
    <xf numFmtId="0" fontId="0" fillId="0" borderId="68" xfId="0" applyBorder="1"/>
    <xf numFmtId="3" fontId="14" fillId="0" borderId="1" xfId="5" applyNumberFormat="1" applyFont="1" applyFill="1" applyBorder="1"/>
    <xf numFmtId="3" fontId="0" fillId="15" borderId="5" xfId="0" applyNumberFormat="1" applyFill="1" applyBorder="1" applyAlignment="1">
      <alignment horizontal="right" vertical="center" wrapText="1"/>
    </xf>
    <xf numFmtId="0" fontId="0" fillId="0" borderId="32" xfId="0" applyFill="1" applyBorder="1" applyAlignment="1" applyProtection="1">
      <alignment horizontal="center" vertical="center" wrapText="1"/>
    </xf>
    <xf numFmtId="0" fontId="0" fillId="13" borderId="65" xfId="0" applyFill="1" applyBorder="1"/>
    <xf numFmtId="0" fontId="0" fillId="19" borderId="11" xfId="0" applyFont="1" applyFill="1" applyBorder="1" applyAlignment="1" applyProtection="1">
      <alignment horizontal="left" vertical="center"/>
    </xf>
    <xf numFmtId="49" fontId="0" fillId="0" borderId="11" xfId="0" applyNumberFormat="1" applyBorder="1" applyAlignment="1">
      <alignment vertical="center"/>
    </xf>
    <xf numFmtId="171" fontId="9" fillId="0" borderId="1" xfId="0" applyNumberFormat="1" applyFont="1" applyFill="1" applyBorder="1" applyAlignment="1">
      <alignment horizontal="center" vertical="center"/>
    </xf>
    <xf numFmtId="2" fontId="0" fillId="0" borderId="30" xfId="0" applyNumberFormat="1" applyBorder="1" applyAlignment="1">
      <alignment horizontal="center" vertical="center"/>
    </xf>
    <xf numFmtId="0" fontId="0" fillId="0" borderId="31" xfId="0" applyBorder="1" applyAlignment="1">
      <alignment horizontal="center" vertical="center"/>
    </xf>
    <xf numFmtId="183" fontId="0" fillId="0" borderId="6" xfId="0" applyNumberFormat="1" applyFill="1" applyBorder="1" applyAlignment="1">
      <alignment horizontal="center" vertical="center"/>
    </xf>
    <xf numFmtId="3" fontId="0" fillId="13" borderId="65" xfId="0" applyNumberFormat="1" applyFill="1" applyBorder="1"/>
    <xf numFmtId="0" fontId="0" fillId="0" borderId="43" xfId="0" applyBorder="1"/>
    <xf numFmtId="2" fontId="0" fillId="0" borderId="44" xfId="0" applyNumberFormat="1" applyBorder="1"/>
    <xf numFmtId="3" fontId="0" fillId="0" borderId="16" xfId="0" applyNumberFormat="1" applyBorder="1"/>
    <xf numFmtId="3" fontId="0" fillId="0" borderId="14" xfId="0" applyNumberFormat="1" applyBorder="1"/>
    <xf numFmtId="3" fontId="0" fillId="12" borderId="43" xfId="0" applyNumberFormat="1" applyFill="1" applyBorder="1"/>
    <xf numFmtId="3" fontId="0" fillId="12" borderId="44" xfId="0" applyNumberFormat="1" applyFill="1" applyBorder="1"/>
    <xf numFmtId="3" fontId="0" fillId="12" borderId="45" xfId="0" applyNumberFormat="1" applyFill="1" applyBorder="1"/>
    <xf numFmtId="0" fontId="0" fillId="0" borderId="12" xfId="0" applyBorder="1" applyAlignment="1">
      <alignment horizontal="center" vertical="center" wrapText="1"/>
    </xf>
    <xf numFmtId="170" fontId="0" fillId="0" borderId="1" xfId="0" applyNumberFormat="1" applyFill="1" applyBorder="1"/>
    <xf numFmtId="0" fontId="0" fillId="0" borderId="24" xfId="0" applyBorder="1"/>
    <xf numFmtId="0" fontId="0" fillId="0" borderId="50" xfId="0" applyBorder="1"/>
    <xf numFmtId="0" fontId="0" fillId="0" borderId="53" xfId="0" applyBorder="1"/>
    <xf numFmtId="0" fontId="0" fillId="0" borderId="13" xfId="0" applyFont="1" applyBorder="1"/>
    <xf numFmtId="0" fontId="0" fillId="0" borderId="27" xfId="0" applyFont="1" applyBorder="1"/>
    <xf numFmtId="0" fontId="0" fillId="0" borderId="6" xfId="0" applyFill="1" applyBorder="1"/>
    <xf numFmtId="9" fontId="0" fillId="0" borderId="16" xfId="0" applyNumberFormat="1" applyFill="1" applyBorder="1" applyAlignment="1">
      <alignment horizontal="center" vertical="center"/>
    </xf>
    <xf numFmtId="9" fontId="0" fillId="0" borderId="6" xfId="0" applyNumberFormat="1" applyBorder="1"/>
    <xf numFmtId="9" fontId="0" fillId="0" borderId="16" xfId="0" applyNumberFormat="1" applyBorder="1"/>
    <xf numFmtId="168" fontId="9" fillId="0" borderId="16" xfId="0" applyNumberFormat="1" applyFont="1" applyFill="1" applyBorder="1" applyAlignment="1">
      <alignment horizontal="center" vertical="center"/>
    </xf>
    <xf numFmtId="3" fontId="0" fillId="0" borderId="11" xfId="0" applyNumberFormat="1" applyBorder="1" applyAlignment="1">
      <alignment horizontal="center" vertical="center" wrapText="1"/>
    </xf>
    <xf numFmtId="0" fontId="0" fillId="0" borderId="15" xfId="0" applyBorder="1" applyAlignment="1">
      <alignment horizontal="center" vertical="center"/>
    </xf>
    <xf numFmtId="0" fontId="0" fillId="0" borderId="38" xfId="0" applyBorder="1" applyAlignment="1">
      <alignment horizontal="center" vertical="center" wrapText="1"/>
    </xf>
    <xf numFmtId="0" fontId="0" fillId="0" borderId="2" xfId="0" applyBorder="1" applyAlignment="1">
      <alignment horizontal="center" vertical="center" wrapText="1"/>
    </xf>
    <xf numFmtId="0" fontId="0" fillId="0" borderId="1" xfId="0" applyBorder="1"/>
    <xf numFmtId="0" fontId="0" fillId="0" borderId="2" xfId="0" applyBorder="1" applyAlignment="1">
      <alignment horizontal="center" vertical="center"/>
    </xf>
    <xf numFmtId="3" fontId="9" fillId="0" borderId="16" xfId="0" applyNumberFormat="1" applyFont="1" applyFill="1" applyBorder="1" applyAlignment="1">
      <alignment horizontal="center" vertical="center"/>
    </xf>
    <xf numFmtId="0" fontId="0" fillId="0" borderId="29" xfId="0" applyFont="1" applyBorder="1" applyAlignment="1" applyProtection="1">
      <alignment horizontal="center" vertical="center" wrapText="1"/>
    </xf>
    <xf numFmtId="3" fontId="0" fillId="3" borderId="27" xfId="0" applyNumberFormat="1" applyFill="1" applyBorder="1" applyAlignment="1" applyProtection="1">
      <alignment horizontal="right"/>
    </xf>
    <xf numFmtId="3" fontId="0" fillId="3" borderId="43" xfId="0" applyNumberFormat="1" applyFill="1" applyBorder="1" applyAlignment="1" applyProtection="1">
      <alignment horizontal="right"/>
    </xf>
    <xf numFmtId="39" fontId="9" fillId="9" borderId="12" xfId="0" applyNumberFormat="1" applyFont="1" applyFill="1" applyBorder="1" applyAlignment="1">
      <alignment horizontal="center" vertical="center"/>
    </xf>
    <xf numFmtId="39" fontId="9" fillId="9" borderId="14" xfId="0" applyNumberFormat="1" applyFont="1" applyFill="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1" fontId="0" fillId="12" borderId="15" xfId="0" applyNumberFormat="1" applyFill="1" applyBorder="1"/>
    <xf numFmtId="1" fontId="0" fillId="12" borderId="10" xfId="0" applyNumberFormat="1" applyFill="1" applyBorder="1"/>
    <xf numFmtId="1" fontId="0" fillId="12" borderId="1" xfId="0" applyNumberFormat="1" applyFill="1" applyBorder="1"/>
    <xf numFmtId="1" fontId="0" fillId="12" borderId="12" xfId="0" applyNumberFormat="1" applyFill="1" applyBorder="1"/>
    <xf numFmtId="1" fontId="0" fillId="12" borderId="44" xfId="0" applyNumberFormat="1" applyFill="1" applyBorder="1"/>
    <xf numFmtId="1" fontId="0" fillId="12" borderId="45" xfId="0" applyNumberFormat="1" applyFill="1" applyBorder="1"/>
    <xf numFmtId="3" fontId="0" fillId="15" borderId="15" xfId="0" applyNumberFormat="1" applyFill="1" applyBorder="1"/>
    <xf numFmtId="3" fontId="0" fillId="15" borderId="10" xfId="0" applyNumberFormat="1" applyFill="1" applyBorder="1"/>
    <xf numFmtId="3" fontId="0" fillId="15" borderId="5" xfId="0" applyNumberFormat="1" applyFill="1" applyBorder="1"/>
    <xf numFmtId="3" fontId="0" fillId="15" borderId="28" xfId="0" applyNumberFormat="1" applyFill="1" applyBorder="1"/>
    <xf numFmtId="3" fontId="0" fillId="15" borderId="31" xfId="0" applyNumberFormat="1" applyFill="1" applyBorder="1"/>
    <xf numFmtId="1" fontId="0" fillId="2" borderId="27" xfId="0" applyNumberFormat="1" applyFill="1" applyBorder="1" applyProtection="1"/>
    <xf numFmtId="1" fontId="0" fillId="2" borderId="6" xfId="0" applyNumberFormat="1" applyFill="1" applyBorder="1" applyProtection="1"/>
    <xf numFmtId="1" fontId="0" fillId="2" borderId="33" xfId="0" applyNumberFormat="1" applyFill="1" applyBorder="1" applyProtection="1"/>
    <xf numFmtId="1" fontId="0" fillId="2" borderId="53" xfId="0" applyNumberFormat="1" applyFill="1" applyBorder="1" applyProtection="1"/>
    <xf numFmtId="1" fontId="0" fillId="2" borderId="12" xfId="0" applyNumberFormat="1" applyFill="1" applyBorder="1" applyProtection="1"/>
    <xf numFmtId="1" fontId="0" fillId="2" borderId="24" xfId="0" applyNumberFormat="1" applyFill="1" applyBorder="1" applyProtection="1"/>
    <xf numFmtId="1" fontId="0" fillId="2" borderId="43" xfId="0" applyNumberFormat="1" applyFill="1" applyBorder="1" applyProtection="1"/>
    <xf numFmtId="1" fontId="0" fillId="2" borderId="16" xfId="0" applyNumberFormat="1" applyFill="1" applyBorder="1" applyProtection="1"/>
    <xf numFmtId="1" fontId="0" fillId="2" borderId="14" xfId="0" applyNumberFormat="1" applyFill="1" applyBorder="1" applyProtection="1"/>
    <xf numFmtId="1" fontId="0" fillId="2" borderId="50" xfId="0" applyNumberFormat="1" applyFill="1" applyBorder="1" applyProtection="1"/>
    <xf numFmtId="1" fontId="0" fillId="13" borderId="27" xfId="0" applyNumberFormat="1" applyFill="1" applyBorder="1" applyProtection="1"/>
    <xf numFmtId="1" fontId="0" fillId="13" borderId="6" xfId="0" applyNumberFormat="1" applyFill="1" applyBorder="1"/>
    <xf numFmtId="1" fontId="0" fillId="13" borderId="33" xfId="0" applyNumberFormat="1" applyFill="1" applyBorder="1"/>
    <xf numFmtId="1" fontId="0" fillId="13" borderId="20" xfId="0" applyNumberFormat="1" applyFill="1" applyBorder="1"/>
    <xf numFmtId="1" fontId="0" fillId="12" borderId="9" xfId="0" applyNumberFormat="1" applyFill="1" applyBorder="1"/>
    <xf numFmtId="1" fontId="0" fillId="12" borderId="54" xfId="0" applyNumberFormat="1" applyFill="1" applyBorder="1"/>
    <xf numFmtId="1" fontId="0" fillId="0" borderId="27" xfId="0" applyNumberFormat="1" applyBorder="1"/>
    <xf numFmtId="1" fontId="0" fillId="0" borderId="37" xfId="0" applyNumberFormat="1" applyBorder="1"/>
    <xf numFmtId="1" fontId="0" fillId="12" borderId="27" xfId="0" applyNumberFormat="1" applyFill="1" applyBorder="1"/>
    <xf numFmtId="1" fontId="0" fillId="12" borderId="6" xfId="0" applyNumberFormat="1" applyFill="1" applyBorder="1"/>
    <xf numFmtId="1" fontId="0" fillId="12" borderId="33" xfId="0" applyNumberFormat="1" applyFill="1" applyBorder="1"/>
    <xf numFmtId="1" fontId="0" fillId="12" borderId="20" xfId="0" applyNumberFormat="1" applyFill="1" applyBorder="1"/>
    <xf numFmtId="1" fontId="0" fillId="13" borderId="43" xfId="0" applyNumberFormat="1" applyFill="1" applyBorder="1" applyProtection="1"/>
    <xf numFmtId="1" fontId="0" fillId="13" borderId="44" xfId="0" applyNumberFormat="1" applyFill="1" applyBorder="1"/>
    <xf numFmtId="1" fontId="0" fillId="13" borderId="45" xfId="0" applyNumberFormat="1" applyFill="1" applyBorder="1"/>
    <xf numFmtId="1" fontId="0" fillId="13" borderId="64" xfId="0" applyNumberFormat="1" applyFill="1" applyBorder="1"/>
    <xf numFmtId="1" fontId="0" fillId="12" borderId="43" xfId="0" applyNumberFormat="1" applyFill="1" applyBorder="1"/>
    <xf numFmtId="1" fontId="0" fillId="12" borderId="64" xfId="0" applyNumberFormat="1" applyFill="1" applyBorder="1"/>
    <xf numFmtId="1" fontId="0" fillId="0" borderId="43" xfId="0" applyNumberFormat="1" applyBorder="1"/>
    <xf numFmtId="1" fontId="0" fillId="0" borderId="65" xfId="0" applyNumberFormat="1" applyBorder="1"/>
    <xf numFmtId="1" fontId="0" fillId="0" borderId="0" xfId="0" applyNumberFormat="1" applyProtection="1"/>
    <xf numFmtId="3" fontId="0" fillId="15" borderId="33" xfId="0" applyNumberFormat="1" applyFill="1" applyBorder="1"/>
    <xf numFmtId="1" fontId="0" fillId="12" borderId="16" xfId="0" applyNumberFormat="1" applyFill="1" applyBorder="1"/>
    <xf numFmtId="1" fontId="0" fillId="12" borderId="14" xfId="0" applyNumberFormat="1" applyFill="1" applyBorder="1"/>
    <xf numFmtId="2" fontId="0" fillId="0" borderId="2" xfId="0" applyNumberFormat="1" applyBorder="1"/>
    <xf numFmtId="1" fontId="0" fillId="0" borderId="1" xfId="0" applyNumberFormat="1" applyBorder="1" applyProtection="1"/>
    <xf numFmtId="1" fontId="0" fillId="0" borderId="2" xfId="0" applyNumberFormat="1" applyBorder="1"/>
    <xf numFmtId="1" fontId="0" fillId="0" borderId="11" xfId="0" applyNumberFormat="1" applyBorder="1" applyProtection="1"/>
    <xf numFmtId="1" fontId="0" fillId="0" borderId="12" xfId="0" applyNumberFormat="1" applyBorder="1" applyProtection="1"/>
    <xf numFmtId="1" fontId="0" fillId="0" borderId="13" xfId="0" applyNumberFormat="1" applyBorder="1" applyProtection="1"/>
    <xf numFmtId="1" fontId="0" fillId="0" borderId="16" xfId="0" applyNumberFormat="1" applyBorder="1" applyProtection="1"/>
    <xf numFmtId="1" fontId="0" fillId="0" borderId="14" xfId="0" applyNumberFormat="1" applyBorder="1" applyProtection="1"/>
    <xf numFmtId="1" fontId="0" fillId="0" borderId="11" xfId="0" applyNumberFormat="1" applyBorder="1"/>
    <xf numFmtId="1" fontId="0" fillId="0" borderId="1" xfId="0" applyNumberFormat="1" applyBorder="1"/>
    <xf numFmtId="1" fontId="0" fillId="0" borderId="12" xfId="0" applyNumberFormat="1" applyBorder="1"/>
    <xf numFmtId="1" fontId="0" fillId="0" borderId="4" xfId="0" applyNumberFormat="1" applyBorder="1"/>
    <xf numFmtId="1" fontId="0" fillId="0" borderId="13" xfId="0" applyNumberFormat="1" applyBorder="1"/>
    <xf numFmtId="1" fontId="0" fillId="0" borderId="16" xfId="0" applyNumberFormat="1" applyBorder="1"/>
    <xf numFmtId="1" fontId="0" fillId="0" borderId="14" xfId="0" applyNumberFormat="1" applyBorder="1"/>
    <xf numFmtId="1" fontId="0" fillId="0" borderId="55" xfId="0" applyNumberFormat="1" applyBorder="1"/>
    <xf numFmtId="3" fontId="0" fillId="12" borderId="9" xfId="0" applyNumberFormat="1" applyFill="1" applyBorder="1"/>
    <xf numFmtId="3" fontId="0" fillId="12" borderId="11" xfId="0" applyNumberFormat="1" applyFill="1" applyBorder="1"/>
    <xf numFmtId="0" fontId="0" fillId="0" borderId="34" xfId="0" applyFont="1" applyFill="1" applyBorder="1" applyAlignment="1" applyProtection="1">
      <alignment horizontal="center" vertical="center" wrapText="1"/>
    </xf>
    <xf numFmtId="181" fontId="0" fillId="0" borderId="35" xfId="0" applyNumberFormat="1" applyBorder="1" applyProtection="1"/>
    <xf numFmtId="181" fontId="0" fillId="0" borderId="36" xfId="0" applyNumberFormat="1" applyBorder="1" applyProtection="1"/>
    <xf numFmtId="181" fontId="0" fillId="0" borderId="0" xfId="0" applyNumberFormat="1"/>
    <xf numFmtId="0" fontId="32" fillId="0" borderId="9" xfId="0" applyFont="1" applyBorder="1" applyAlignment="1" applyProtection="1">
      <alignment vertical="top" wrapText="1"/>
    </xf>
    <xf numFmtId="8" fontId="32" fillId="0" borderId="15" xfId="0" applyNumberFormat="1" applyFont="1" applyBorder="1" applyAlignment="1" applyProtection="1">
      <alignment horizontal="right" vertical="top" wrapText="1"/>
    </xf>
    <xf numFmtId="0" fontId="32" fillId="0" borderId="15" xfId="0" applyFont="1" applyBorder="1" applyAlignment="1" applyProtection="1">
      <alignment vertical="top" wrapText="1"/>
    </xf>
    <xf numFmtId="0" fontId="32" fillId="0" borderId="11" xfId="0" applyFont="1" applyBorder="1" applyProtection="1"/>
    <xf numFmtId="8" fontId="32" fillId="0" borderId="1" xfId="0" applyNumberFormat="1" applyFont="1" applyBorder="1" applyAlignment="1">
      <alignment horizontal="right"/>
    </xf>
    <xf numFmtId="0" fontId="32" fillId="0" borderId="1" xfId="0" applyFont="1" applyBorder="1"/>
    <xf numFmtId="184" fontId="32" fillId="0" borderId="1" xfId="0" applyNumberFormat="1" applyFont="1" applyBorder="1" applyAlignment="1">
      <alignment horizontal="right"/>
    </xf>
    <xf numFmtId="181" fontId="0" fillId="0" borderId="15" xfId="0" applyNumberFormat="1" applyBorder="1"/>
    <xf numFmtId="181" fontId="0" fillId="0" borderId="1" xfId="0" applyNumberFormat="1" applyBorder="1"/>
    <xf numFmtId="181" fontId="0" fillId="0" borderId="16" xfId="0" applyNumberFormat="1" applyBorder="1"/>
    <xf numFmtId="4" fontId="0" fillId="0" borderId="15" xfId="0" applyNumberFormat="1" applyBorder="1" applyAlignment="1">
      <alignment horizontal="center" vertical="center"/>
    </xf>
    <xf numFmtId="4" fontId="0" fillId="0" borderId="1" xfId="0" applyNumberFormat="1" applyBorder="1" applyAlignment="1">
      <alignment horizontal="center" vertical="center"/>
    </xf>
    <xf numFmtId="4" fontId="0" fillId="0" borderId="16" xfId="0" applyNumberFormat="1" applyBorder="1" applyAlignment="1">
      <alignment horizontal="center" vertical="center"/>
    </xf>
    <xf numFmtId="181" fontId="0" fillId="0" borderId="35" xfId="0" applyNumberFormat="1" applyBorder="1"/>
    <xf numFmtId="181" fontId="0" fillId="0" borderId="36" xfId="0" applyNumberFormat="1" applyBorder="1"/>
    <xf numFmtId="0" fontId="7" fillId="0" borderId="14" xfId="1" applyBorder="1" applyAlignment="1">
      <alignment vertical="center" wrapText="1"/>
    </xf>
    <xf numFmtId="0" fontId="7" fillId="0" borderId="45" xfId="1" applyBorder="1" applyAlignment="1">
      <alignment horizontal="left" vertical="top" wrapText="1"/>
    </xf>
    <xf numFmtId="0" fontId="7" fillId="0" borderId="12" xfId="1" applyFill="1" applyBorder="1" applyAlignment="1">
      <alignment vertical="center" wrapText="1"/>
    </xf>
    <xf numFmtId="0" fontId="7" fillId="0" borderId="62" xfId="1" applyBorder="1" applyAlignment="1">
      <alignment vertical="center" wrapText="1"/>
    </xf>
    <xf numFmtId="0" fontId="9" fillId="0" borderId="62" xfId="0" applyFont="1" applyBorder="1" applyAlignment="1">
      <alignment horizontal="left" vertical="center" wrapText="1"/>
    </xf>
    <xf numFmtId="0" fontId="9" fillId="0" borderId="91" xfId="0" applyFont="1" applyBorder="1" applyAlignment="1">
      <alignment horizontal="left" vertical="center" wrapText="1"/>
    </xf>
    <xf numFmtId="0" fontId="9" fillId="0" borderId="45" xfId="0" applyFont="1" applyBorder="1" applyAlignment="1">
      <alignment horizontal="left" vertical="center" wrapText="1"/>
    </xf>
    <xf numFmtId="0" fontId="7" fillId="0" borderId="12" xfId="1" applyBorder="1" applyAlignment="1">
      <alignment vertical="center" wrapText="1"/>
    </xf>
    <xf numFmtId="0" fontId="7" fillId="0" borderId="12" xfId="1" applyBorder="1" applyAlignment="1">
      <alignment vertical="center"/>
    </xf>
    <xf numFmtId="0" fontId="0" fillId="0" borderId="39" xfId="0" applyBorder="1" applyAlignment="1">
      <alignment horizontal="center" vertical="center" wrapText="1"/>
    </xf>
    <xf numFmtId="0" fontId="0" fillId="0" borderId="19" xfId="0" applyBorder="1" applyAlignment="1">
      <alignment horizontal="center" vertical="center"/>
    </xf>
    <xf numFmtId="0" fontId="7" fillId="0" borderId="14" xfId="1" applyFill="1" applyBorder="1" applyAlignment="1">
      <alignment vertical="center" wrapText="1"/>
    </xf>
    <xf numFmtId="0" fontId="0" fillId="19" borderId="16" xfId="0" applyFill="1" applyBorder="1"/>
    <xf numFmtId="0" fontId="7" fillId="0" borderId="91" xfId="1" applyBorder="1" applyAlignment="1">
      <alignment horizontal="left" vertical="center" wrapText="1"/>
    </xf>
    <xf numFmtId="0" fontId="7" fillId="0" borderId="62" xfId="1" applyBorder="1" applyAlignment="1">
      <alignment horizontal="left" vertical="center" wrapText="1"/>
    </xf>
    <xf numFmtId="0" fontId="19" fillId="0" borderId="0" xfId="0" applyFont="1"/>
    <xf numFmtId="0" fontId="34" fillId="0" borderId="0" xfId="0" applyFont="1"/>
    <xf numFmtId="0" fontId="33" fillId="0" borderId="0" xfId="1" applyFont="1" applyBorder="1"/>
    <xf numFmtId="0" fontId="34" fillId="0" borderId="0" xfId="0" applyFont="1" applyBorder="1" applyAlignment="1">
      <alignment horizontal="left"/>
    </xf>
    <xf numFmtId="0" fontId="7" fillId="0" borderId="65" xfId="1" applyBorder="1" applyAlignment="1">
      <alignment wrapText="1"/>
    </xf>
    <xf numFmtId="0" fontId="7" fillId="0" borderId="0" xfId="1" applyAlignment="1" applyProtection="1">
      <alignment vertical="top"/>
    </xf>
    <xf numFmtId="3" fontId="0" fillId="3" borderId="9" xfId="0" applyNumberFormat="1" applyFill="1" applyBorder="1" applyAlignment="1" applyProtection="1">
      <alignment horizontal="right"/>
    </xf>
    <xf numFmtId="3" fontId="0" fillId="3" borderId="15" xfId="0" applyNumberFormat="1" applyFill="1" applyBorder="1" applyProtection="1"/>
    <xf numFmtId="9" fontId="0" fillId="3" borderId="15" xfId="0" applyNumberFormat="1" applyFill="1" applyBorder="1" applyAlignment="1" applyProtection="1">
      <alignment horizontal="center"/>
    </xf>
    <xf numFmtId="1" fontId="0" fillId="3" borderId="15" xfId="0" applyNumberFormat="1" applyFill="1" applyBorder="1" applyAlignment="1" applyProtection="1">
      <alignment horizontal="center"/>
    </xf>
    <xf numFmtId="3" fontId="0" fillId="2" borderId="10" xfId="0" applyNumberFormat="1" applyFill="1" applyBorder="1" applyAlignment="1" applyProtection="1">
      <alignment horizontal="right"/>
    </xf>
    <xf numFmtId="0" fontId="0" fillId="0" borderId="11" xfId="0" applyFill="1"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12" xfId="0" applyFill="1" applyBorder="1" applyAlignment="1">
      <alignment horizontal="center" vertical="center" wrapText="1"/>
    </xf>
    <xf numFmtId="0" fontId="0" fillId="0" borderId="60" xfId="0" applyFont="1" applyBorder="1" applyAlignment="1" applyProtection="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4" fillId="0" borderId="11" xfId="9" applyFont="1" applyBorder="1" applyAlignment="1">
      <alignment vertical="center" wrapText="1"/>
    </xf>
    <xf numFmtId="9" fontId="4" fillId="0" borderId="1" xfId="9" applyNumberFormat="1" applyFont="1" applyBorder="1" applyAlignment="1">
      <alignment horizontal="center" vertical="center"/>
    </xf>
    <xf numFmtId="1" fontId="4" fillId="0" borderId="1" xfId="9" applyNumberFormat="1" applyFont="1" applyBorder="1" applyAlignment="1">
      <alignment horizontal="center" vertical="center"/>
    </xf>
    <xf numFmtId="169" fontId="4" fillId="0" borderId="1" xfId="9" applyNumberFormat="1" applyFont="1" applyFill="1" applyBorder="1" applyAlignment="1">
      <alignment horizontal="center" vertical="center"/>
    </xf>
    <xf numFmtId="185" fontId="4" fillId="0" borderId="1" xfId="9" applyNumberFormat="1" applyFont="1" applyFill="1" applyBorder="1" applyAlignment="1">
      <alignment horizontal="center" vertical="center"/>
    </xf>
    <xf numFmtId="185" fontId="4" fillId="0" borderId="1" xfId="9" applyNumberFormat="1" applyFont="1" applyBorder="1" applyAlignment="1">
      <alignment horizontal="center" vertical="center"/>
    </xf>
    <xf numFmtId="0" fontId="4" fillId="0" borderId="21" xfId="9" applyFont="1" applyBorder="1" applyAlignment="1">
      <alignment vertical="center" wrapText="1"/>
    </xf>
    <xf numFmtId="182" fontId="4" fillId="0" borderId="5" xfId="9" applyNumberFormat="1" applyFont="1" applyFill="1" applyBorder="1" applyAlignment="1">
      <alignment horizontal="center" vertical="center"/>
    </xf>
    <xf numFmtId="164" fontId="4" fillId="0" borderId="5" xfId="9" applyNumberFormat="1" applyFont="1" applyFill="1" applyBorder="1" applyAlignment="1">
      <alignment horizontal="center" vertical="center"/>
    </xf>
    <xf numFmtId="2" fontId="4" fillId="0" borderId="5" xfId="9" applyNumberFormat="1" applyFont="1" applyFill="1" applyBorder="1" applyAlignment="1">
      <alignment horizontal="center" vertical="center"/>
    </xf>
    <xf numFmtId="0" fontId="3" fillId="0" borderId="13" xfId="9" applyFont="1" applyBorder="1" applyAlignment="1">
      <alignment vertical="center" wrapText="1"/>
    </xf>
    <xf numFmtId="9" fontId="4" fillId="0" borderId="16" xfId="9" applyNumberFormat="1" applyFont="1" applyFill="1" applyBorder="1" applyAlignment="1">
      <alignment horizontal="center" vertical="center"/>
    </xf>
    <xf numFmtId="3" fontId="0" fillId="0" borderId="11" xfId="0" applyNumberFormat="1" applyFill="1" applyBorder="1" applyAlignment="1">
      <alignment horizontal="center" vertical="center" wrapText="1"/>
    </xf>
    <xf numFmtId="49" fontId="0" fillId="0" borderId="22" xfId="0" applyNumberFormat="1" applyFill="1" applyBorder="1" applyAlignment="1">
      <alignment horizontal="left" vertical="center" wrapText="1"/>
    </xf>
    <xf numFmtId="183" fontId="0" fillId="0" borderId="1" xfId="0" applyNumberFormat="1" applyFill="1" applyBorder="1" applyAlignment="1">
      <alignment horizontal="center" vertical="center"/>
    </xf>
    <xf numFmtId="186" fontId="0" fillId="0" borderId="16" xfId="0" applyNumberFormat="1" applyFill="1" applyBorder="1" applyAlignment="1">
      <alignment horizontal="center" vertical="center"/>
    </xf>
    <xf numFmtId="0" fontId="0" fillId="0" borderId="103" xfId="0" applyFont="1" applyBorder="1" applyAlignment="1" applyProtection="1">
      <alignment horizontal="center" vertical="center" wrapText="1"/>
    </xf>
    <xf numFmtId="0" fontId="0" fillId="0" borderId="46" xfId="0" applyBorder="1" applyAlignment="1" applyProtection="1">
      <alignment horizontal="center" vertical="center" wrapText="1"/>
    </xf>
    <xf numFmtId="0" fontId="0" fillId="0" borderId="59" xfId="0" applyFill="1" applyBorder="1" applyAlignment="1" applyProtection="1">
      <alignment horizontal="center" vertical="center" wrapText="1"/>
    </xf>
    <xf numFmtId="0" fontId="0" fillId="0" borderId="60" xfId="0" applyFill="1" applyBorder="1" applyAlignment="1" applyProtection="1">
      <alignment horizontal="center" vertical="center" wrapText="1"/>
    </xf>
    <xf numFmtId="0" fontId="0" fillId="0" borderId="62" xfId="0" applyFill="1" applyBorder="1" applyAlignment="1" applyProtection="1">
      <alignment horizontal="center" vertical="center" wrapText="1"/>
    </xf>
    <xf numFmtId="9" fontId="0" fillId="3" borderId="1" xfId="0" applyNumberFormat="1" applyFill="1" applyBorder="1" applyAlignment="1" applyProtection="1">
      <alignment horizontal="center"/>
    </xf>
    <xf numFmtId="1" fontId="0" fillId="13" borderId="1" xfId="0" applyNumberFormat="1" applyFill="1" applyBorder="1"/>
    <xf numFmtId="3" fontId="0" fillId="2" borderId="15" xfId="0" applyNumberFormat="1" applyFill="1" applyBorder="1" applyAlignment="1" applyProtection="1">
      <alignment horizontal="right"/>
    </xf>
    <xf numFmtId="3" fontId="0" fillId="3" borderId="11" xfId="0" applyNumberFormat="1" applyFill="1" applyBorder="1" applyAlignment="1" applyProtection="1">
      <alignment horizontal="right"/>
    </xf>
    <xf numFmtId="1" fontId="0" fillId="2" borderId="34" xfId="0" applyNumberFormat="1" applyFill="1" applyBorder="1" applyProtection="1"/>
    <xf numFmtId="1" fontId="0" fillId="2" borderId="35" xfId="0" applyNumberFormat="1" applyFill="1" applyBorder="1" applyProtection="1"/>
    <xf numFmtId="1" fontId="0" fillId="13" borderId="15" xfId="0" applyNumberFormat="1" applyFill="1" applyBorder="1"/>
    <xf numFmtId="1" fontId="0" fillId="13" borderId="10" xfId="0" applyNumberFormat="1" applyFill="1" applyBorder="1"/>
    <xf numFmtId="1" fontId="0" fillId="13" borderId="12" xfId="0" applyNumberFormat="1" applyFill="1" applyBorder="1"/>
    <xf numFmtId="1" fontId="0" fillId="13" borderId="54" xfId="0" applyNumberFormat="1" applyFill="1" applyBorder="1"/>
    <xf numFmtId="1" fontId="0" fillId="13" borderId="4" xfId="0" applyNumberFormat="1" applyFill="1" applyBorder="1"/>
    <xf numFmtId="1" fontId="0" fillId="0" borderId="9" xfId="0" applyNumberFormat="1" applyBorder="1"/>
    <xf numFmtId="1" fontId="0" fillId="0" borderId="15" xfId="0" applyNumberFormat="1" applyBorder="1"/>
    <xf numFmtId="1" fontId="0" fillId="0" borderId="10" xfId="0" applyNumberFormat="1" applyBorder="1"/>
    <xf numFmtId="1" fontId="0" fillId="13" borderId="38" xfId="0" applyNumberFormat="1" applyFill="1" applyBorder="1"/>
    <xf numFmtId="1" fontId="0" fillId="13" borderId="2" xfId="0" applyNumberFormat="1" applyFill="1" applyBorder="1"/>
    <xf numFmtId="3" fontId="0" fillId="0" borderId="29" xfId="0" applyNumberFormat="1" applyBorder="1" applyProtection="1"/>
    <xf numFmtId="3" fontId="0" fillId="0" borderId="30" xfId="0" applyNumberFormat="1" applyBorder="1" applyProtection="1"/>
    <xf numFmtId="3" fontId="0" fillId="0" borderId="31" xfId="0" applyNumberFormat="1" applyBorder="1" applyProtection="1"/>
    <xf numFmtId="9" fontId="0" fillId="3" borderId="38" xfId="0" applyNumberFormat="1" applyFill="1" applyBorder="1" applyAlignment="1" applyProtection="1">
      <alignment horizontal="center"/>
    </xf>
    <xf numFmtId="9" fontId="0" fillId="3" borderId="2" xfId="0" applyNumberFormat="1" applyFill="1" applyBorder="1" applyAlignment="1" applyProtection="1">
      <alignment horizontal="center"/>
    </xf>
    <xf numFmtId="1" fontId="0" fillId="13" borderId="54" xfId="0" applyNumberFormat="1" applyFill="1" applyBorder="1" applyProtection="1"/>
    <xf numFmtId="1" fontId="0" fillId="13" borderId="4" xfId="0" applyNumberFormat="1" applyFill="1" applyBorder="1" applyProtection="1"/>
    <xf numFmtId="3" fontId="0" fillId="0" borderId="44" xfId="0" applyNumberFormat="1" applyBorder="1" applyProtection="1"/>
    <xf numFmtId="0" fontId="37" fillId="19" borderId="0" xfId="0" applyFont="1" applyFill="1" applyAlignment="1">
      <alignment horizontal="center" vertical="center"/>
    </xf>
    <xf numFmtId="0" fontId="38" fillId="19" borderId="0" xfId="0" applyFont="1" applyFill="1"/>
    <xf numFmtId="0" fontId="39" fillId="19" borderId="0" xfId="0" applyFont="1" applyFill="1"/>
    <xf numFmtId="0" fontId="40" fillId="19" borderId="0" xfId="0" applyFont="1" applyFill="1" applyBorder="1"/>
    <xf numFmtId="0" fontId="41" fillId="19" borderId="95" xfId="1" applyFont="1" applyFill="1" applyBorder="1"/>
    <xf numFmtId="0" fontId="39" fillId="19" borderId="95" xfId="0" applyFont="1" applyFill="1" applyBorder="1"/>
    <xf numFmtId="0" fontId="39" fillId="19" borderId="95" xfId="0" applyFont="1" applyFill="1" applyBorder="1" applyAlignment="1">
      <alignment wrapText="1"/>
    </xf>
    <xf numFmtId="0" fontId="40" fillId="19" borderId="95" xfId="0" applyFont="1" applyFill="1" applyBorder="1"/>
    <xf numFmtId="0" fontId="41" fillId="19" borderId="95" xfId="1" applyFont="1" applyFill="1" applyBorder="1" applyAlignment="1">
      <alignment horizontal="left" indent="4"/>
    </xf>
    <xf numFmtId="0" fontId="44" fillId="0" borderId="49" xfId="4" applyFont="1" applyFill="1" applyBorder="1" applyAlignment="1" applyProtection="1">
      <alignment horizontal="centerContinuous" vertical="center"/>
    </xf>
    <xf numFmtId="0" fontId="39" fillId="0" borderId="51" xfId="0" applyFont="1" applyBorder="1" applyAlignment="1" applyProtection="1">
      <alignment horizontal="centerContinuous"/>
    </xf>
    <xf numFmtId="0" fontId="39" fillId="0" borderId="57" xfId="0" applyFont="1" applyBorder="1" applyAlignment="1" applyProtection="1">
      <alignment horizontal="centerContinuous"/>
    </xf>
    <xf numFmtId="0" fontId="39" fillId="0" borderId="0" xfId="0" applyFont="1" applyBorder="1" applyProtection="1"/>
    <xf numFmtId="0" fontId="39" fillId="0" borderId="58" xfId="0" applyFont="1" applyBorder="1" applyProtection="1"/>
    <xf numFmtId="0" fontId="43" fillId="13" borderId="66" xfId="4" applyFont="1" applyFill="1" applyBorder="1" applyAlignment="1" applyProtection="1">
      <alignment vertical="center"/>
    </xf>
    <xf numFmtId="0" fontId="43" fillId="16" borderId="66" xfId="4" applyFont="1" applyFill="1" applyBorder="1" applyAlignment="1" applyProtection="1">
      <alignment vertical="center"/>
    </xf>
    <xf numFmtId="0" fontId="41" fillId="19" borderId="65" xfId="1" applyFont="1" applyFill="1" applyBorder="1" applyAlignment="1">
      <alignment horizontal="left" indent="4"/>
    </xf>
    <xf numFmtId="0" fontId="43" fillId="9" borderId="67" xfId="4" applyFont="1" applyFill="1" applyBorder="1" applyAlignment="1" applyProtection="1">
      <alignment vertical="center"/>
    </xf>
    <xf numFmtId="0" fontId="39" fillId="0" borderId="56" xfId="0" applyFont="1" applyBorder="1" applyProtection="1"/>
    <xf numFmtId="0" fontId="39" fillId="0" borderId="68" xfId="0" applyFont="1" applyBorder="1" applyProtection="1"/>
    <xf numFmtId="0" fontId="43" fillId="0" borderId="0" xfId="4" applyFont="1" applyFill="1" applyBorder="1" applyAlignment="1" applyProtection="1">
      <alignment vertical="top"/>
    </xf>
    <xf numFmtId="0" fontId="45" fillId="19" borderId="95" xfId="1" applyFont="1" applyFill="1" applyBorder="1" applyAlignment="1">
      <alignment horizontal="left" indent="4"/>
    </xf>
    <xf numFmtId="0" fontId="43" fillId="19" borderId="75" xfId="0" applyFont="1" applyFill="1" applyBorder="1" applyAlignment="1">
      <alignment vertical="top" wrapText="1"/>
    </xf>
    <xf numFmtId="0" fontId="47" fillId="19" borderId="0" xfId="0" applyFont="1" applyFill="1" applyAlignment="1">
      <alignment horizontal="center" vertical="center"/>
    </xf>
    <xf numFmtId="0" fontId="38" fillId="0" borderId="0" xfId="0" applyFont="1" applyFill="1" applyBorder="1"/>
    <xf numFmtId="0" fontId="40" fillId="0" borderId="0" xfId="0" applyFont="1" applyFill="1" applyBorder="1"/>
    <xf numFmtId="0" fontId="38" fillId="0" borderId="0" xfId="0" applyFont="1" applyFill="1" applyBorder="1" applyAlignment="1">
      <alignment horizontal="left" vertical="center"/>
    </xf>
    <xf numFmtId="0" fontId="44" fillId="0" borderId="0" xfId="1" applyFont="1" applyFill="1" applyBorder="1" applyAlignment="1">
      <alignment vertical="top" wrapText="1"/>
    </xf>
    <xf numFmtId="0" fontId="44" fillId="0" borderId="0" xfId="0" applyFont="1" applyFill="1" applyBorder="1" applyAlignment="1">
      <alignment vertical="top" wrapText="1"/>
    </xf>
    <xf numFmtId="0" fontId="43" fillId="0" borderId="0" xfId="0" applyFont="1" applyFill="1" applyBorder="1"/>
    <xf numFmtId="1" fontId="43" fillId="0" borderId="0" xfId="0" applyNumberFormat="1" applyFont="1" applyFill="1" applyBorder="1"/>
    <xf numFmtId="0" fontId="43" fillId="15" borderId="66" xfId="0" applyFont="1" applyFill="1" applyBorder="1" applyAlignment="1">
      <alignment vertical="top" wrapText="1"/>
    </xf>
    <xf numFmtId="0" fontId="43" fillId="0" borderId="58" xfId="0" applyFont="1" applyFill="1" applyBorder="1" applyAlignment="1">
      <alignment vertical="top" wrapText="1"/>
    </xf>
    <xf numFmtId="0" fontId="43" fillId="10" borderId="66" xfId="0" applyFont="1" applyFill="1" applyBorder="1" applyAlignment="1">
      <alignment vertical="top" wrapText="1"/>
    </xf>
    <xf numFmtId="0" fontId="42" fillId="0" borderId="0" xfId="0" applyFont="1" applyFill="1" applyBorder="1" applyAlignment="1">
      <alignment vertical="top" wrapText="1"/>
    </xf>
    <xf numFmtId="0" fontId="43" fillId="16" borderId="66" xfId="0" applyFont="1" applyFill="1" applyBorder="1" applyAlignment="1">
      <alignment vertical="top" wrapText="1"/>
    </xf>
    <xf numFmtId="0" fontId="43" fillId="18" borderId="66" xfId="0" applyFont="1" applyFill="1" applyBorder="1" applyAlignment="1">
      <alignment vertical="top" wrapText="1"/>
    </xf>
    <xf numFmtId="0" fontId="54" fillId="17" borderId="67" xfId="0" applyFont="1" applyFill="1" applyBorder="1" applyAlignment="1">
      <alignment vertical="top" wrapText="1"/>
    </xf>
    <xf numFmtId="0" fontId="43" fillId="0" borderId="68" xfId="0" applyFont="1" applyFill="1" applyBorder="1" applyAlignment="1">
      <alignment vertical="top" wrapText="1"/>
    </xf>
    <xf numFmtId="0" fontId="55" fillId="0" borderId="0" xfId="0" applyFont="1" applyFill="1" applyBorder="1" applyAlignment="1">
      <alignment vertical="top"/>
    </xf>
    <xf numFmtId="0" fontId="39" fillId="0" borderId="0" xfId="0" applyFont="1"/>
    <xf numFmtId="0" fontId="45" fillId="0" borderId="0" xfId="1" applyFont="1" applyFill="1" applyBorder="1"/>
    <xf numFmtId="0" fontId="38" fillId="0" borderId="0" xfId="0" applyFont="1" applyProtection="1"/>
    <xf numFmtId="0" fontId="48" fillId="0" borderId="0" xfId="0" applyFont="1" applyFill="1" applyBorder="1" applyAlignment="1">
      <alignment horizontal="center" vertical="center"/>
    </xf>
    <xf numFmtId="0" fontId="56" fillId="0" borderId="0" xfId="0" applyFont="1" applyProtection="1"/>
    <xf numFmtId="0" fontId="48" fillId="0" borderId="0" xfId="0" applyFont="1" applyFill="1" applyBorder="1" applyAlignment="1">
      <alignment vertical="center"/>
    </xf>
    <xf numFmtId="0" fontId="38" fillId="0" borderId="0" xfId="0" applyFont="1" applyFill="1" applyBorder="1" applyAlignment="1">
      <alignment horizontal="center"/>
    </xf>
    <xf numFmtId="0" fontId="38" fillId="0" borderId="0" xfId="0" applyFont="1" applyFill="1" applyBorder="1" applyAlignment="1"/>
    <xf numFmtId="0" fontId="49" fillId="0" borderId="0" xfId="0" applyFont="1" applyFill="1" applyBorder="1" applyAlignment="1">
      <alignment horizontal="center" vertical="center"/>
    </xf>
    <xf numFmtId="0" fontId="50" fillId="0" borderId="0" xfId="0" applyFont="1" applyFill="1" applyBorder="1" applyAlignment="1">
      <alignment vertical="center"/>
    </xf>
    <xf numFmtId="0" fontId="56" fillId="0" borderId="0" xfId="0" applyFont="1" applyAlignment="1" applyProtection="1"/>
    <xf numFmtId="0" fontId="37" fillId="0" borderId="0" xfId="0" applyFont="1" applyAlignment="1" applyProtection="1">
      <alignment horizontal="center"/>
    </xf>
    <xf numFmtId="0" fontId="56" fillId="0" borderId="0" xfId="0" applyFont="1" applyFill="1" applyBorder="1" applyAlignment="1" applyProtection="1">
      <alignment horizontal="left"/>
    </xf>
    <xf numFmtId="0" fontId="38" fillId="0" borderId="0" xfId="0" applyFont="1" applyFill="1" applyBorder="1" applyAlignment="1" applyProtection="1">
      <alignment horizontal="left"/>
    </xf>
    <xf numFmtId="0" fontId="41" fillId="0" borderId="0" xfId="1" applyFont="1" applyFill="1" applyBorder="1" applyAlignment="1">
      <alignment horizontal="left" vertical="center" wrapText="1"/>
    </xf>
    <xf numFmtId="0" fontId="56" fillId="0" borderId="0" xfId="0" applyFont="1" applyFill="1" applyBorder="1" applyProtection="1"/>
    <xf numFmtId="0" fontId="37" fillId="0" borderId="0" xfId="0" applyFont="1" applyProtection="1"/>
    <xf numFmtId="0" fontId="38" fillId="0" borderId="0" xfId="0" applyFont="1" applyBorder="1" applyAlignment="1" applyProtection="1"/>
    <xf numFmtId="0" fontId="37" fillId="0" borderId="1" xfId="0" applyFont="1" applyBorder="1" applyAlignment="1" applyProtection="1">
      <alignment horizontal="center" vertical="center" wrapText="1"/>
    </xf>
    <xf numFmtId="0" fontId="37" fillId="0" borderId="1" xfId="0" applyFont="1" applyFill="1" applyBorder="1" applyAlignment="1" applyProtection="1">
      <alignment horizontal="center" vertical="center" wrapText="1"/>
    </xf>
    <xf numFmtId="0" fontId="38" fillId="0" borderId="1" xfId="0" applyFont="1" applyBorder="1" applyAlignment="1" applyProtection="1">
      <alignment horizontal="center"/>
    </xf>
    <xf numFmtId="3" fontId="38" fillId="15" borderId="1" xfId="0" applyNumberFormat="1" applyFont="1" applyFill="1" applyBorder="1" applyAlignment="1" applyProtection="1">
      <alignment horizontal="right"/>
      <protection locked="0"/>
    </xf>
    <xf numFmtId="9" fontId="38" fillId="15" borderId="1" xfId="0" applyNumberFormat="1" applyFont="1" applyFill="1" applyBorder="1" applyAlignment="1" applyProtection="1">
      <alignment horizontal="right"/>
      <protection locked="0"/>
    </xf>
    <xf numFmtId="9" fontId="38" fillId="16" borderId="1" xfId="0" applyNumberFormat="1" applyFont="1" applyFill="1" applyBorder="1" applyAlignment="1" applyProtection="1">
      <alignment horizontal="right"/>
    </xf>
    <xf numFmtId="3" fontId="38" fillId="16" borderId="1" xfId="0" applyNumberFormat="1" applyFont="1" applyFill="1" applyBorder="1" applyAlignment="1" applyProtection="1">
      <alignment horizontal="right"/>
    </xf>
    <xf numFmtId="0" fontId="38" fillId="0" borderId="0" xfId="0" applyFont="1" applyFill="1" applyBorder="1" applyAlignment="1" applyProtection="1">
      <alignment horizontal="center" vertical="center" wrapText="1"/>
    </xf>
    <xf numFmtId="0" fontId="38" fillId="0" borderId="0" xfId="0" applyFont="1" applyFill="1" applyBorder="1" applyProtection="1"/>
    <xf numFmtId="3" fontId="38" fillId="0" borderId="0" xfId="0" applyNumberFormat="1" applyFont="1" applyFill="1" applyBorder="1" applyProtection="1"/>
    <xf numFmtId="3" fontId="38" fillId="0" borderId="1" xfId="0" applyNumberFormat="1" applyFont="1" applyFill="1" applyBorder="1" applyAlignment="1" applyProtection="1">
      <alignment horizontal="center"/>
    </xf>
    <xf numFmtId="0" fontId="38" fillId="0" borderId="1" xfId="0" applyFont="1" applyFill="1" applyBorder="1" applyAlignment="1" applyProtection="1">
      <alignment horizontal="center"/>
    </xf>
    <xf numFmtId="3" fontId="38" fillId="2" borderId="1" xfId="0" applyNumberFormat="1" applyFont="1" applyFill="1" applyBorder="1" applyAlignment="1" applyProtection="1">
      <alignment horizontal="right"/>
    </xf>
    <xf numFmtId="3" fontId="56" fillId="0" borderId="0" xfId="0" applyNumberFormat="1" applyFont="1" applyFill="1" applyBorder="1" applyProtection="1"/>
    <xf numFmtId="0" fontId="38" fillId="0" borderId="0" xfId="0" applyFont="1" applyBorder="1" applyProtection="1"/>
    <xf numFmtId="0" fontId="37" fillId="0" borderId="0" xfId="0" applyFont="1" applyFill="1" applyBorder="1" applyAlignment="1" applyProtection="1">
      <alignment horizontal="center"/>
    </xf>
    <xf numFmtId="0" fontId="38" fillId="0" borderId="0" xfId="0" applyFont="1" applyFill="1" applyBorder="1" applyAlignment="1" applyProtection="1"/>
    <xf numFmtId="1" fontId="38" fillId="2" borderId="1" xfId="0" applyNumberFormat="1" applyFont="1" applyFill="1" applyBorder="1" applyProtection="1"/>
    <xf numFmtId="0" fontId="38" fillId="19" borderId="0" xfId="0" applyFont="1" applyFill="1" applyBorder="1" applyAlignment="1" applyProtection="1"/>
    <xf numFmtId="0" fontId="59" fillId="0" borderId="0" xfId="0" applyFont="1" applyProtection="1"/>
    <xf numFmtId="3" fontId="38" fillId="0" borderId="0" xfId="0" applyNumberFormat="1" applyFont="1" applyFill="1" applyProtection="1"/>
    <xf numFmtId="0" fontId="38" fillId="0" borderId="0" xfId="0" applyFont="1" applyBorder="1" applyAlignment="1" applyProtection="1">
      <alignment wrapText="1"/>
    </xf>
    <xf numFmtId="0" fontId="56" fillId="0" borderId="43" xfId="0" applyFont="1" applyFill="1" applyBorder="1" applyAlignment="1" applyProtection="1">
      <alignment horizontal="center" vertical="center" wrapText="1"/>
    </xf>
    <xf numFmtId="0" fontId="56" fillId="0" borderId="44" xfId="0" applyFont="1" applyFill="1" applyBorder="1" applyAlignment="1" applyProtection="1">
      <alignment horizontal="center" vertical="center" wrapText="1"/>
    </xf>
    <xf numFmtId="0" fontId="56" fillId="0" borderId="44" xfId="0" applyFont="1" applyBorder="1" applyAlignment="1" applyProtection="1">
      <alignment horizontal="center" vertical="center" wrapText="1"/>
    </xf>
    <xf numFmtId="0" fontId="56" fillId="0" borderId="45" xfId="0" applyFont="1" applyBorder="1" applyAlignment="1" applyProtection="1">
      <alignment horizontal="center" vertical="center" wrapText="1"/>
    </xf>
    <xf numFmtId="3" fontId="38" fillId="15" borderId="27" xfId="0" applyNumberFormat="1" applyFont="1" applyFill="1" applyBorder="1" applyProtection="1">
      <protection locked="0"/>
    </xf>
    <xf numFmtId="3" fontId="38" fillId="15" borderId="6" xfId="0" applyNumberFormat="1" applyFont="1" applyFill="1" applyBorder="1" applyProtection="1">
      <protection locked="0"/>
    </xf>
    <xf numFmtId="3" fontId="38" fillId="14" borderId="6" xfId="0" applyNumberFormat="1" applyFont="1" applyFill="1" applyBorder="1" applyProtection="1">
      <protection locked="0"/>
    </xf>
    <xf numFmtId="3" fontId="38" fillId="2" borderId="33" xfId="0" applyNumberFormat="1" applyFont="1" applyFill="1" applyBorder="1" applyProtection="1"/>
    <xf numFmtId="3" fontId="38" fillId="15" borderId="11" xfId="0" applyNumberFormat="1" applyFont="1" applyFill="1" applyBorder="1" applyProtection="1">
      <protection locked="0"/>
    </xf>
    <xf numFmtId="3" fontId="38" fillId="15" borderId="1" xfId="0" applyNumberFormat="1" applyFont="1" applyFill="1" applyBorder="1" applyProtection="1">
      <protection locked="0"/>
    </xf>
    <xf numFmtId="3" fontId="38" fillId="14" borderId="1" xfId="0" applyNumberFormat="1" applyFont="1" applyFill="1" applyBorder="1" applyProtection="1">
      <protection locked="0"/>
    </xf>
    <xf numFmtId="3" fontId="38" fillId="2" borderId="12" xfId="0" applyNumberFormat="1" applyFont="1" applyFill="1" applyBorder="1" applyProtection="1"/>
    <xf numFmtId="3" fontId="38" fillId="15" borderId="13" xfId="0" applyNumberFormat="1" applyFont="1" applyFill="1" applyBorder="1" applyProtection="1">
      <protection locked="0"/>
    </xf>
    <xf numFmtId="3" fontId="38" fillId="15" borderId="16" xfId="0" applyNumberFormat="1" applyFont="1" applyFill="1" applyBorder="1" applyProtection="1">
      <protection locked="0"/>
    </xf>
    <xf numFmtId="3" fontId="38" fillId="14" borderId="16" xfId="0" applyNumberFormat="1" applyFont="1" applyFill="1" applyBorder="1" applyProtection="1">
      <protection locked="0"/>
    </xf>
    <xf numFmtId="3" fontId="38" fillId="2" borderId="14" xfId="0" applyNumberFormat="1" applyFont="1" applyFill="1" applyBorder="1" applyProtection="1"/>
    <xf numFmtId="3" fontId="38" fillId="15" borderId="43" xfId="0" applyNumberFormat="1" applyFont="1" applyFill="1" applyBorder="1" applyProtection="1">
      <protection locked="0"/>
    </xf>
    <xf numFmtId="3" fontId="38" fillId="2" borderId="45" xfId="0" applyNumberFormat="1" applyFont="1" applyFill="1" applyBorder="1" applyProtection="1"/>
    <xf numFmtId="0" fontId="56" fillId="0" borderId="29" xfId="0" applyFont="1" applyBorder="1" applyAlignment="1" applyProtection="1">
      <alignment horizontal="center" vertical="center" wrapText="1"/>
    </xf>
    <xf numFmtId="0" fontId="56" fillId="0" borderId="30" xfId="0" applyFont="1" applyBorder="1" applyAlignment="1" applyProtection="1">
      <alignment horizontal="center" vertical="center" wrapText="1"/>
    </xf>
    <xf numFmtId="0" fontId="56" fillId="0" borderId="31" xfId="0" applyFont="1" applyFill="1" applyBorder="1" applyAlignment="1" applyProtection="1">
      <alignment horizontal="center" vertical="center" wrapText="1"/>
    </xf>
    <xf numFmtId="0" fontId="38" fillId="0" borderId="27" xfId="0" applyFont="1" applyBorder="1" applyAlignment="1" applyProtection="1">
      <alignment horizontal="center"/>
    </xf>
    <xf numFmtId="3" fontId="38" fillId="2" borderId="6" xfId="0" applyNumberFormat="1" applyFont="1" applyFill="1" applyBorder="1" applyProtection="1"/>
    <xf numFmtId="3" fontId="38" fillId="2" borderId="33" xfId="0" applyNumberFormat="1" applyFont="1" applyFill="1" applyBorder="1" applyAlignment="1" applyProtection="1">
      <alignment horizontal="right"/>
    </xf>
    <xf numFmtId="3" fontId="38" fillId="2" borderId="1" xfId="0" applyNumberFormat="1" applyFont="1" applyFill="1" applyBorder="1" applyProtection="1"/>
    <xf numFmtId="3" fontId="38" fillId="2" borderId="12" xfId="0" applyNumberFormat="1" applyFont="1" applyFill="1" applyBorder="1" applyAlignment="1" applyProtection="1">
      <alignment horizontal="right"/>
    </xf>
    <xf numFmtId="0" fontId="38" fillId="0" borderId="13" xfId="0" applyFont="1" applyBorder="1" applyAlignment="1" applyProtection="1">
      <alignment horizontal="center"/>
    </xf>
    <xf numFmtId="3" fontId="38" fillId="2" borderId="16" xfId="0" applyNumberFormat="1" applyFont="1" applyFill="1" applyBorder="1" applyAlignment="1" applyProtection="1">
      <alignment horizontal="right"/>
    </xf>
    <xf numFmtId="3" fontId="56" fillId="2" borderId="14" xfId="0" applyNumberFormat="1" applyFont="1" applyFill="1" applyBorder="1" applyAlignment="1" applyProtection="1">
      <alignment horizontal="right"/>
    </xf>
    <xf numFmtId="3" fontId="56" fillId="0" borderId="0" xfId="0" applyNumberFormat="1" applyFont="1" applyFill="1" applyProtection="1"/>
    <xf numFmtId="3" fontId="38" fillId="16" borderId="1" xfId="0" applyNumberFormat="1" applyFont="1" applyFill="1" applyBorder="1" applyProtection="1"/>
    <xf numFmtId="0" fontId="38" fillId="0" borderId="0" xfId="8" applyFont="1" applyFill="1" applyBorder="1" applyProtection="1"/>
    <xf numFmtId="0" fontId="38" fillId="0" borderId="0" xfId="9" applyFont="1" applyProtection="1"/>
    <xf numFmtId="0" fontId="38" fillId="0" borderId="99" xfId="9" applyFont="1" applyBorder="1" applyProtection="1"/>
    <xf numFmtId="0" fontId="38" fillId="0" borderId="0" xfId="9" applyFont="1" applyBorder="1" applyProtection="1"/>
    <xf numFmtId="0" fontId="63" fillId="0" borderId="0" xfId="9" applyFont="1" applyBorder="1" applyAlignment="1" applyProtection="1">
      <alignment horizontal="center"/>
    </xf>
    <xf numFmtId="0" fontId="63" fillId="0" borderId="100" xfId="9" applyFont="1" applyBorder="1" applyAlignment="1" applyProtection="1">
      <alignment horizontal="center"/>
    </xf>
    <xf numFmtId="0" fontId="37" fillId="0" borderId="0" xfId="9" applyFont="1" applyAlignment="1" applyProtection="1">
      <alignment horizontal="center"/>
    </xf>
    <xf numFmtId="0" fontId="43" fillId="0" borderId="0" xfId="4" applyFont="1" applyFill="1" applyBorder="1" applyAlignment="1" applyProtection="1">
      <alignment vertical="top" wrapText="1"/>
    </xf>
    <xf numFmtId="0" fontId="40" fillId="0" borderId="99" xfId="4" applyFont="1" applyFill="1" applyBorder="1" applyProtection="1"/>
    <xf numFmtId="0" fontId="40" fillId="0" borderId="0" xfId="4" applyFont="1" applyFill="1" applyBorder="1" applyProtection="1"/>
    <xf numFmtId="0" fontId="55" fillId="0" borderId="0" xfId="4" applyFont="1" applyFill="1" applyBorder="1" applyProtection="1"/>
    <xf numFmtId="0" fontId="55" fillId="0" borderId="100" xfId="4" applyFont="1" applyFill="1" applyBorder="1" applyProtection="1"/>
    <xf numFmtId="0" fontId="38" fillId="0" borderId="0" xfId="10" applyFont="1" applyFill="1" applyBorder="1" applyAlignment="1" applyProtection="1">
      <alignment horizontal="left" vertical="center"/>
    </xf>
    <xf numFmtId="0" fontId="41" fillId="0" borderId="0" xfId="11" applyFont="1" applyFill="1" applyBorder="1" applyAlignment="1" applyProtection="1">
      <alignment vertical="center" wrapText="1"/>
    </xf>
    <xf numFmtId="0" fontId="56" fillId="0" borderId="0" xfId="9" applyFont="1" applyBorder="1" applyAlignment="1" applyProtection="1"/>
    <xf numFmtId="0" fontId="38" fillId="0" borderId="0" xfId="9" applyFont="1" applyFill="1" applyBorder="1" applyAlignment="1" applyProtection="1">
      <alignment horizontal="left"/>
    </xf>
    <xf numFmtId="0" fontId="39" fillId="0" borderId="0" xfId="9" applyFont="1" applyProtection="1"/>
    <xf numFmtId="0" fontId="40" fillId="0" borderId="99" xfId="9" applyFont="1" applyBorder="1" applyProtection="1"/>
    <xf numFmtId="0" fontId="40" fillId="0" borderId="0" xfId="9" applyFont="1" applyBorder="1" applyProtection="1"/>
    <xf numFmtId="0" fontId="39" fillId="0" borderId="0" xfId="9" applyFont="1" applyBorder="1" applyProtection="1"/>
    <xf numFmtId="0" fontId="39" fillId="0" borderId="0" xfId="9" applyFont="1" applyFill="1" applyBorder="1" applyProtection="1"/>
    <xf numFmtId="0" fontId="39" fillId="0" borderId="100" xfId="9" applyFont="1" applyFill="1" applyBorder="1" applyProtection="1"/>
    <xf numFmtId="0" fontId="39" fillId="0" borderId="99" xfId="9" applyFont="1" applyBorder="1" applyProtection="1"/>
    <xf numFmtId="3" fontId="39" fillId="20" borderId="10" xfId="12" applyNumberFormat="1" applyFont="1" applyFill="1" applyBorder="1" applyAlignment="1" applyProtection="1">
      <alignment horizontal="right" vertical="center" indent="1"/>
      <protection locked="0"/>
    </xf>
    <xf numFmtId="0" fontId="40" fillId="0" borderId="100" xfId="9" applyFont="1" applyBorder="1" applyAlignment="1" applyProtection="1">
      <alignment horizontal="center" vertical="center" wrapText="1"/>
    </xf>
    <xf numFmtId="3" fontId="39" fillId="20" borderId="12" xfId="12" applyNumberFormat="1" applyFont="1" applyFill="1" applyBorder="1" applyAlignment="1" applyProtection="1">
      <alignment horizontal="right" vertical="center" indent="1"/>
      <protection locked="0"/>
    </xf>
    <xf numFmtId="3" fontId="38" fillId="0" borderId="100" xfId="9" applyNumberFormat="1" applyFont="1" applyFill="1" applyBorder="1" applyAlignment="1" applyProtection="1">
      <alignment horizontal="right"/>
    </xf>
    <xf numFmtId="3" fontId="39" fillId="2" borderId="14" xfId="9" applyNumberFormat="1" applyFont="1" applyFill="1" applyBorder="1" applyAlignment="1" applyProtection="1">
      <alignment horizontal="right" vertical="center" indent="1"/>
    </xf>
    <xf numFmtId="0" fontId="39" fillId="0" borderId="100" xfId="9" applyFont="1" applyBorder="1" applyProtection="1"/>
    <xf numFmtId="0" fontId="40" fillId="0" borderId="9" xfId="9" applyFont="1" applyBorder="1" applyAlignment="1" applyProtection="1">
      <alignment horizontal="center" vertical="center" wrapText="1"/>
    </xf>
    <xf numFmtId="0" fontId="40" fillId="0" borderId="15" xfId="9" applyFont="1" applyBorder="1" applyAlignment="1" applyProtection="1">
      <alignment horizontal="center" vertical="center" wrapText="1"/>
    </xf>
    <xf numFmtId="0" fontId="40" fillId="0" borderId="10" xfId="9" applyFont="1" applyBorder="1" applyAlignment="1" applyProtection="1">
      <alignment horizontal="center" vertical="center" wrapText="1"/>
    </xf>
    <xf numFmtId="0" fontId="39" fillId="20" borderId="11" xfId="9" applyFont="1" applyFill="1" applyBorder="1" applyAlignment="1" applyProtection="1">
      <alignment horizontal="center"/>
      <protection locked="0"/>
    </xf>
    <xf numFmtId="0" fontId="39" fillId="20" borderId="1" xfId="9" applyFont="1" applyFill="1" applyBorder="1" applyAlignment="1" applyProtection="1">
      <alignment horizontal="left"/>
      <protection locked="0"/>
    </xf>
    <xf numFmtId="1" fontId="39" fillId="20" borderId="1" xfId="9" applyNumberFormat="1" applyFont="1" applyFill="1" applyBorder="1" applyAlignment="1" applyProtection="1">
      <alignment horizontal="right"/>
      <protection locked="0"/>
    </xf>
    <xf numFmtId="167" fontId="39" fillId="20" borderId="1" xfId="9" applyNumberFormat="1" applyFont="1" applyFill="1" applyBorder="1" applyAlignment="1" applyProtection="1">
      <alignment horizontal="right"/>
      <protection locked="0"/>
    </xf>
    <xf numFmtId="167" fontId="39" fillId="20" borderId="12" xfId="9" applyNumberFormat="1" applyFont="1" applyFill="1" applyBorder="1" applyAlignment="1" applyProtection="1">
      <alignment horizontal="right"/>
      <protection locked="0"/>
    </xf>
    <xf numFmtId="0" fontId="39" fillId="20" borderId="1" xfId="9" applyFont="1" applyFill="1" applyBorder="1" applyAlignment="1" applyProtection="1">
      <alignment horizontal="right"/>
      <protection locked="0"/>
    </xf>
    <xf numFmtId="1" fontId="39" fillId="2" borderId="16" xfId="9" applyNumberFormat="1" applyFont="1" applyFill="1" applyBorder="1" applyAlignment="1" applyProtection="1">
      <alignment horizontal="right"/>
    </xf>
    <xf numFmtId="167" fontId="39" fillId="2" borderId="16" xfId="9" applyNumberFormat="1" applyFont="1" applyFill="1" applyBorder="1" applyAlignment="1" applyProtection="1">
      <alignment horizontal="right"/>
    </xf>
    <xf numFmtId="167" fontId="39" fillId="2" borderId="14" xfId="9" applyNumberFormat="1" applyFont="1" applyFill="1" applyBorder="1" applyAlignment="1" applyProtection="1">
      <alignment horizontal="right"/>
    </xf>
    <xf numFmtId="3" fontId="39" fillId="0" borderId="0" xfId="9" applyNumberFormat="1" applyFont="1" applyFill="1" applyBorder="1" applyAlignment="1" applyProtection="1">
      <alignment horizontal="right"/>
    </xf>
    <xf numFmtId="0" fontId="38" fillId="0" borderId="99" xfId="9" applyFont="1" applyFill="1" applyBorder="1" applyAlignment="1" applyProtection="1">
      <alignment horizontal="center"/>
    </xf>
    <xf numFmtId="0" fontId="38" fillId="0" borderId="0" xfId="9" applyFont="1" applyFill="1" applyBorder="1" applyAlignment="1" applyProtection="1">
      <alignment horizontal="center"/>
    </xf>
    <xf numFmtId="3" fontId="38" fillId="0" borderId="0" xfId="9" applyNumberFormat="1" applyFont="1" applyFill="1" applyBorder="1" applyProtection="1"/>
    <xf numFmtId="3" fontId="38" fillId="0" borderId="100" xfId="9" applyNumberFormat="1" applyFont="1" applyFill="1" applyBorder="1" applyProtection="1"/>
    <xf numFmtId="3" fontId="38" fillId="0" borderId="0" xfId="9" applyNumberFormat="1" applyFont="1" applyFill="1" applyProtection="1"/>
    <xf numFmtId="0" fontId="38" fillId="0" borderId="0" xfId="9" applyFont="1" applyFill="1" applyProtection="1"/>
    <xf numFmtId="1" fontId="39" fillId="2" borderId="57" xfId="9" applyNumberFormat="1" applyFont="1" applyFill="1" applyBorder="1" applyAlignment="1" applyProtection="1">
      <alignment horizontal="right" vertical="center" indent="1"/>
    </xf>
    <xf numFmtId="1" fontId="43" fillId="2" borderId="23" xfId="9" applyNumberFormat="1" applyFont="1" applyFill="1" applyBorder="1" applyAlignment="1" applyProtection="1">
      <alignment horizontal="right" vertical="center" indent="1"/>
    </xf>
    <xf numFmtId="3" fontId="43" fillId="2" borderId="23" xfId="9" applyNumberFormat="1" applyFont="1" applyFill="1" applyBorder="1" applyAlignment="1" applyProtection="1">
      <alignment horizontal="right" vertical="center" indent="1"/>
    </xf>
    <xf numFmtId="3" fontId="43" fillId="2" borderId="12" xfId="4" applyNumberFormat="1" applyFont="1" applyFill="1" applyBorder="1" applyAlignment="1" applyProtection="1">
      <alignment horizontal="right" vertical="center" indent="1"/>
    </xf>
    <xf numFmtId="3" fontId="43" fillId="2" borderId="14" xfId="4" applyNumberFormat="1" applyFont="1" applyFill="1" applyBorder="1" applyAlignment="1" applyProtection="1">
      <alignment horizontal="right" vertical="center" indent="1"/>
    </xf>
    <xf numFmtId="0" fontId="38" fillId="0" borderId="101" xfId="9" applyFont="1" applyBorder="1" applyProtection="1"/>
    <xf numFmtId="0" fontId="38" fillId="0" borderId="102" xfId="9" applyFont="1" applyBorder="1" applyProtection="1"/>
    <xf numFmtId="0" fontId="40" fillId="0" borderId="0" xfId="0" applyFont="1" applyFill="1" applyBorder="1" applyAlignment="1">
      <alignment horizontal="right"/>
    </xf>
    <xf numFmtId="0" fontId="43" fillId="0" borderId="0" xfId="0" applyFont="1" applyFill="1" applyBorder="1" applyAlignment="1">
      <alignment vertical="center"/>
    </xf>
    <xf numFmtId="0" fontId="38" fillId="0" borderId="0" xfId="0" applyFont="1" applyFill="1" applyBorder="1" applyAlignment="1">
      <alignment vertical="center"/>
    </xf>
    <xf numFmtId="0" fontId="39" fillId="0" borderId="0" xfId="0" applyFont="1" applyFill="1" applyBorder="1" applyAlignment="1">
      <alignment vertical="top" wrapText="1"/>
    </xf>
    <xf numFmtId="0" fontId="41" fillId="0" borderId="0" xfId="1" applyFont="1" applyFill="1" applyBorder="1" applyAlignment="1">
      <alignment vertical="top" wrapText="1"/>
    </xf>
    <xf numFmtId="0" fontId="40" fillId="0" borderId="0" xfId="0" applyFont="1" applyAlignment="1">
      <alignment vertical="top"/>
    </xf>
    <xf numFmtId="0" fontId="39" fillId="0" borderId="0" xfId="0" applyFont="1" applyAlignment="1">
      <alignment vertical="top" wrapText="1"/>
    </xf>
    <xf numFmtId="0" fontId="43" fillId="0" borderId="0" xfId="0" applyFont="1"/>
    <xf numFmtId="0" fontId="43" fillId="0" borderId="0" xfId="0" applyFont="1" applyAlignment="1">
      <alignment horizontal="left"/>
    </xf>
    <xf numFmtId="0" fontId="39" fillId="0" borderId="0" xfId="0" applyFont="1" applyFill="1" applyBorder="1"/>
    <xf numFmtId="0" fontId="38" fillId="0" borderId="78" xfId="0" applyFont="1" applyBorder="1"/>
    <xf numFmtId="0" fontId="38" fillId="0" borderId="79" xfId="0" applyFont="1" applyBorder="1"/>
    <xf numFmtId="0" fontId="40" fillId="0" borderId="79" xfId="0" applyFont="1" applyBorder="1"/>
    <xf numFmtId="0" fontId="39" fillId="0" borderId="79" xfId="0" applyFont="1" applyBorder="1"/>
    <xf numFmtId="0" fontId="39" fillId="0" borderId="78" xfId="0" applyFont="1" applyBorder="1"/>
    <xf numFmtId="0" fontId="38" fillId="0" borderId="80" xfId="0" applyFont="1" applyBorder="1"/>
    <xf numFmtId="0" fontId="39" fillId="16" borderId="9" xfId="0" applyFont="1" applyFill="1" applyBorder="1"/>
    <xf numFmtId="3" fontId="39" fillId="16" borderId="15" xfId="0" applyNumberFormat="1" applyFont="1" applyFill="1" applyBorder="1"/>
    <xf numFmtId="0" fontId="39" fillId="16" borderId="10" xfId="0" applyFont="1" applyFill="1" applyBorder="1"/>
    <xf numFmtId="0" fontId="39" fillId="16" borderId="11" xfId="0" applyFont="1" applyFill="1" applyBorder="1"/>
    <xf numFmtId="3" fontId="39" fillId="16" borderId="1" xfId="0" applyNumberFormat="1" applyFont="1" applyFill="1" applyBorder="1"/>
    <xf numFmtId="0" fontId="39" fillId="16" borderId="12" xfId="0" applyFont="1" applyFill="1" applyBorder="1"/>
    <xf numFmtId="0" fontId="39" fillId="16" borderId="92" xfId="0" applyFont="1" applyFill="1" applyBorder="1"/>
    <xf numFmtId="181" fontId="39" fillId="16" borderId="93" xfId="0" applyNumberFormat="1" applyFont="1" applyFill="1" applyBorder="1"/>
    <xf numFmtId="0" fontId="39" fillId="16" borderId="94" xfId="0" applyFont="1" applyFill="1" applyBorder="1"/>
    <xf numFmtId="0" fontId="39" fillId="16" borderId="84" xfId="0" applyFont="1" applyFill="1" applyBorder="1"/>
    <xf numFmtId="3" fontId="39" fillId="16" borderId="85" xfId="0" applyNumberFormat="1" applyFont="1" applyFill="1" applyBorder="1"/>
    <xf numFmtId="0" fontId="39" fillId="16" borderId="86" xfId="0" applyFont="1" applyFill="1" applyBorder="1"/>
    <xf numFmtId="3" fontId="39" fillId="16" borderId="89" xfId="0" applyNumberFormat="1" applyFont="1" applyFill="1" applyBorder="1"/>
    <xf numFmtId="0" fontId="39" fillId="16" borderId="90" xfId="0" applyFont="1" applyFill="1" applyBorder="1"/>
    <xf numFmtId="0" fontId="39" fillId="16" borderId="81" xfId="0" applyFont="1" applyFill="1" applyBorder="1"/>
    <xf numFmtId="3" fontId="39" fillId="16" borderId="82" xfId="0" applyNumberFormat="1" applyFont="1" applyFill="1" applyBorder="1"/>
    <xf numFmtId="0" fontId="39" fillId="16" borderId="83" xfId="0" applyFont="1" applyFill="1" applyBorder="1"/>
    <xf numFmtId="0" fontId="39" fillId="0" borderId="87" xfId="0" applyFont="1" applyBorder="1"/>
    <xf numFmtId="0" fontId="39" fillId="16" borderId="9" xfId="7" applyFont="1" applyFill="1" applyBorder="1" applyAlignment="1" applyProtection="1">
      <alignment horizontal="left" vertical="center" wrapText="1"/>
    </xf>
    <xf numFmtId="0" fontId="39" fillId="0" borderId="88" xfId="0" applyFont="1" applyBorder="1"/>
    <xf numFmtId="0" fontId="39" fillId="16" borderId="11" xfId="7" applyFont="1" applyFill="1" applyBorder="1" applyAlignment="1" applyProtection="1">
      <alignment horizontal="left" vertical="center" wrapText="1"/>
    </xf>
    <xf numFmtId="0" fontId="39" fillId="16" borderId="13" xfId="7" applyFont="1" applyFill="1" applyBorder="1" applyAlignment="1" applyProtection="1">
      <alignment horizontal="left" vertical="center" wrapText="1"/>
    </xf>
    <xf numFmtId="3" fontId="39" fillId="16" borderId="16" xfId="0" applyNumberFormat="1" applyFont="1" applyFill="1" applyBorder="1"/>
    <xf numFmtId="0" fontId="39" fillId="16" borderId="14" xfId="0" applyFont="1" applyFill="1" applyBorder="1"/>
    <xf numFmtId="0" fontId="40" fillId="19" borderId="0" xfId="0" applyFont="1" applyFill="1"/>
    <xf numFmtId="0" fontId="39" fillId="19" borderId="0" xfId="0" applyFont="1" applyFill="1" applyBorder="1"/>
    <xf numFmtId="0" fontId="38" fillId="0" borderId="87" xfId="0" applyFont="1" applyBorder="1"/>
    <xf numFmtId="0" fontId="39" fillId="0" borderId="0" xfId="0" applyFont="1" applyAlignment="1">
      <alignment horizontal="left" vertical="top" wrapText="1"/>
    </xf>
    <xf numFmtId="0" fontId="67" fillId="4" borderId="1" xfId="0" applyFont="1" applyFill="1" applyBorder="1" applyAlignment="1">
      <alignment horizontal="center" vertical="center" wrapText="1"/>
    </xf>
    <xf numFmtId="173" fontId="68" fillId="0" borderId="1" xfId="0" applyNumberFormat="1" applyFont="1" applyBorder="1" applyAlignment="1">
      <alignment horizontal="center" vertical="center" wrapText="1"/>
    </xf>
    <xf numFmtId="0" fontId="68" fillId="12" borderId="1" xfId="0" applyFont="1" applyFill="1" applyBorder="1" applyAlignment="1">
      <alignment vertical="center" wrapText="1"/>
    </xf>
    <xf numFmtId="0" fontId="40" fillId="4" borderId="1" xfId="0" applyFont="1" applyFill="1" applyBorder="1" applyAlignment="1">
      <alignment horizontal="center" vertical="center" wrapText="1"/>
    </xf>
    <xf numFmtId="0" fontId="39" fillId="0" borderId="1" xfId="0" applyFont="1" applyBorder="1" applyAlignment="1">
      <alignment horizontal="left" vertical="center"/>
    </xf>
    <xf numFmtId="0" fontId="43" fillId="15" borderId="66" xfId="4" applyFont="1" applyFill="1" applyBorder="1" applyAlignment="1" applyProtection="1">
      <alignment vertical="center"/>
    </xf>
    <xf numFmtId="0" fontId="39" fillId="0" borderId="0" xfId="0" applyFont="1" applyProtection="1"/>
    <xf numFmtId="0" fontId="44" fillId="0" borderId="0" xfId="1" applyFont="1" applyFill="1" applyBorder="1" applyAlignment="1" applyProtection="1">
      <alignment vertical="top"/>
    </xf>
    <xf numFmtId="0" fontId="43" fillId="0" borderId="0" xfId="1" applyFont="1" applyFill="1" applyBorder="1" applyAlignment="1" applyProtection="1">
      <alignment vertical="top"/>
    </xf>
    <xf numFmtId="0" fontId="43" fillId="0" borderId="0" xfId="1" applyFont="1" applyFill="1" applyBorder="1" applyAlignment="1" applyProtection="1">
      <alignment vertical="top" wrapText="1"/>
    </xf>
    <xf numFmtId="0" fontId="43" fillId="0" borderId="0" xfId="1" applyFont="1" applyFill="1" applyBorder="1" applyAlignment="1" applyProtection="1">
      <alignment horizontal="right" vertical="top" wrapText="1"/>
      <protection locked="0"/>
    </xf>
    <xf numFmtId="0" fontId="39" fillId="0" borderId="0" xfId="0" applyFont="1" applyAlignment="1" applyProtection="1"/>
    <xf numFmtId="0" fontId="41" fillId="0" borderId="0" xfId="11" applyFont="1" applyFill="1" applyBorder="1" applyAlignment="1" applyProtection="1">
      <alignment horizontal="left" vertical="center" wrapText="1"/>
      <protection locked="0"/>
    </xf>
    <xf numFmtId="0" fontId="41" fillId="0" borderId="0" xfId="1" applyFont="1" applyAlignment="1" applyProtection="1">
      <protection locked="0"/>
    </xf>
    <xf numFmtId="0" fontId="39" fillId="0" borderId="95" xfId="0" applyFont="1" applyFill="1" applyBorder="1" applyAlignment="1">
      <alignment wrapText="1"/>
    </xf>
    <xf numFmtId="0" fontId="39" fillId="16" borderId="24" xfId="0" applyFont="1" applyFill="1" applyBorder="1" applyAlignment="1">
      <alignment wrapText="1"/>
    </xf>
    <xf numFmtId="0" fontId="39" fillId="16" borderId="3" xfId="0" applyFont="1" applyFill="1" applyBorder="1" applyAlignment="1">
      <alignment wrapText="1"/>
    </xf>
    <xf numFmtId="3" fontId="39" fillId="16" borderId="57" xfId="0" applyNumberFormat="1" applyFont="1" applyFill="1" applyBorder="1"/>
    <xf numFmtId="3" fontId="39" fillId="16" borderId="71" xfId="0" applyNumberFormat="1" applyFont="1" applyFill="1" applyBorder="1"/>
    <xf numFmtId="3" fontId="39" fillId="16" borderId="23" xfId="0" applyNumberFormat="1" applyFont="1" applyFill="1" applyBorder="1"/>
    <xf numFmtId="3" fontId="39" fillId="16" borderId="72" xfId="0" applyNumberFormat="1" applyFont="1" applyFill="1" applyBorder="1"/>
    <xf numFmtId="0" fontId="39" fillId="16" borderId="49" xfId="0" applyFont="1" applyFill="1" applyBorder="1" applyAlignment="1">
      <alignment wrapText="1"/>
    </xf>
    <xf numFmtId="0" fontId="39" fillId="16" borderId="51" xfId="0" applyFont="1" applyFill="1" applyBorder="1" applyAlignment="1">
      <alignment wrapText="1"/>
    </xf>
    <xf numFmtId="0" fontId="39" fillId="16" borderId="57" xfId="0" applyFont="1" applyFill="1" applyBorder="1" applyAlignment="1">
      <alignment wrapText="1"/>
    </xf>
    <xf numFmtId="0" fontId="39" fillId="16" borderId="23" xfId="0" applyFont="1" applyFill="1" applyBorder="1" applyAlignment="1">
      <alignment wrapText="1"/>
    </xf>
    <xf numFmtId="0" fontId="39" fillId="16" borderId="50" xfId="0" applyFont="1" applyFill="1" applyBorder="1" applyAlignment="1"/>
    <xf numFmtId="0" fontId="39" fillId="16" borderId="52" xfId="0" applyFont="1" applyFill="1" applyBorder="1" applyAlignment="1"/>
    <xf numFmtId="0" fontId="39" fillId="16" borderId="72" xfId="0" applyFont="1" applyFill="1" applyBorder="1" applyAlignment="1"/>
    <xf numFmtId="1" fontId="39" fillId="16" borderId="23" xfId="0" applyNumberFormat="1" applyFont="1" applyFill="1" applyBorder="1"/>
    <xf numFmtId="1" fontId="39" fillId="16" borderId="26" xfId="0" applyNumberFormat="1" applyFont="1" applyFill="1" applyBorder="1"/>
    <xf numFmtId="0" fontId="39" fillId="16" borderId="50" xfId="0" applyFont="1" applyFill="1" applyBorder="1" applyAlignment="1">
      <alignment wrapText="1"/>
    </xf>
    <xf numFmtId="0" fontId="39" fillId="16" borderId="52" xfId="0" applyFont="1" applyFill="1" applyBorder="1" applyAlignment="1">
      <alignment wrapText="1"/>
    </xf>
    <xf numFmtId="0" fontId="39" fillId="16" borderId="72" xfId="0" applyFont="1" applyFill="1" applyBorder="1" applyAlignment="1">
      <alignment wrapText="1"/>
    </xf>
    <xf numFmtId="0" fontId="45" fillId="0" borderId="95" xfId="1" applyFont="1" applyFill="1" applyBorder="1" applyAlignment="1">
      <alignment wrapText="1"/>
    </xf>
    <xf numFmtId="0" fontId="44" fillId="0" borderId="0" xfId="1" applyFont="1" applyFill="1" applyBorder="1" applyAlignment="1" applyProtection="1">
      <alignment vertical="top"/>
      <protection locked="0"/>
    </xf>
    <xf numFmtId="0" fontId="48" fillId="0" borderId="0" xfId="0" applyFont="1" applyFill="1" applyBorder="1" applyAlignment="1">
      <alignment horizontal="center" vertical="center"/>
    </xf>
    <xf numFmtId="0" fontId="38" fillId="0" borderId="0" xfId="0" applyFont="1" applyFill="1" applyBorder="1" applyAlignment="1">
      <alignment horizontal="center"/>
    </xf>
    <xf numFmtId="0" fontId="49" fillId="0" borderId="0" xfId="0" applyFont="1" applyFill="1" applyBorder="1" applyAlignment="1">
      <alignment horizontal="center" vertical="center"/>
    </xf>
    <xf numFmtId="0" fontId="50" fillId="0" borderId="0" xfId="0" applyFont="1" applyFill="1" applyBorder="1" applyAlignment="1">
      <alignment horizontal="center" vertical="center"/>
    </xf>
    <xf numFmtId="0" fontId="41" fillId="18" borderId="2" xfId="1" applyFont="1" applyFill="1" applyBorder="1" applyAlignment="1">
      <alignment horizontal="left" vertical="center" wrapText="1"/>
    </xf>
    <xf numFmtId="0" fontId="7" fillId="18" borderId="3" xfId="1" applyFill="1" applyBorder="1" applyAlignment="1">
      <alignment horizontal="left" vertical="center" wrapText="1"/>
    </xf>
    <xf numFmtId="0" fontId="7" fillId="18" borderId="4" xfId="1" applyFill="1" applyBorder="1" applyAlignment="1">
      <alignment horizontal="left" vertical="center" wrapText="1"/>
    </xf>
    <xf numFmtId="0" fontId="43" fillId="0" borderId="0" xfId="1" applyFont="1" applyFill="1" applyBorder="1" applyAlignment="1">
      <alignment horizontal="left" vertical="top" wrapText="1"/>
    </xf>
    <xf numFmtId="0" fontId="43" fillId="16" borderId="9" xfId="4" applyFont="1" applyFill="1" applyBorder="1" applyAlignment="1">
      <alignment vertical="center"/>
    </xf>
    <xf numFmtId="0" fontId="43" fillId="16" borderId="54" xfId="4" applyFont="1" applyFill="1" applyBorder="1" applyAlignment="1">
      <alignment vertical="center"/>
    </xf>
    <xf numFmtId="0" fontId="43" fillId="16" borderId="15" xfId="4" applyFont="1" applyFill="1" applyBorder="1" applyAlignment="1">
      <alignment vertical="center"/>
    </xf>
    <xf numFmtId="0" fontId="39" fillId="12" borderId="15" xfId="4" applyFont="1" applyFill="1" applyBorder="1" applyAlignment="1" applyProtection="1">
      <alignment horizontal="center" vertical="center"/>
      <protection locked="0"/>
    </xf>
    <xf numFmtId="0" fontId="39" fillId="12" borderId="10" xfId="4" applyFont="1" applyFill="1" applyBorder="1" applyAlignment="1" applyProtection="1">
      <alignment horizontal="center" vertical="center"/>
      <protection locked="0"/>
    </xf>
    <xf numFmtId="0" fontId="43" fillId="16" borderId="11" xfId="4" applyFont="1" applyFill="1" applyBorder="1" applyAlignment="1">
      <alignment vertical="center"/>
    </xf>
    <xf numFmtId="0" fontId="43" fillId="16" borderId="4" xfId="4" applyFont="1" applyFill="1" applyBorder="1" applyAlignment="1">
      <alignment vertical="center"/>
    </xf>
    <xf numFmtId="0" fontId="43" fillId="16" borderId="1" xfId="4" applyFont="1" applyFill="1" applyBorder="1" applyAlignment="1">
      <alignment vertical="center"/>
    </xf>
    <xf numFmtId="0" fontId="51" fillId="16" borderId="1" xfId="4" applyFont="1" applyFill="1" applyBorder="1" applyAlignment="1" applyProtection="1">
      <alignment horizontal="center" vertical="center"/>
      <protection locked="0"/>
    </xf>
    <xf numFmtId="0" fontId="51" fillId="16" borderId="12" xfId="4" applyFont="1" applyFill="1" applyBorder="1" applyAlignment="1" applyProtection="1">
      <alignment horizontal="center" vertical="center"/>
      <protection locked="0"/>
    </xf>
    <xf numFmtId="0" fontId="39" fillId="12" borderId="1" xfId="4" applyFont="1" applyFill="1" applyBorder="1" applyAlignment="1" applyProtection="1">
      <alignment horizontal="center" vertical="center"/>
      <protection locked="0"/>
    </xf>
    <xf numFmtId="0" fontId="39" fillId="12" borderId="12" xfId="4" applyFont="1" applyFill="1" applyBorder="1" applyAlignment="1" applyProtection="1">
      <alignment horizontal="center" vertical="center"/>
      <protection locked="0"/>
    </xf>
    <xf numFmtId="14" fontId="53" fillId="12" borderId="1" xfId="1" applyNumberFormat="1" applyFont="1" applyFill="1" applyBorder="1" applyAlignment="1" applyProtection="1">
      <alignment horizontal="center" vertical="center"/>
      <protection locked="0"/>
    </xf>
    <xf numFmtId="14" fontId="53" fillId="12" borderId="12" xfId="1" applyNumberFormat="1" applyFont="1" applyFill="1" applyBorder="1" applyAlignment="1" applyProtection="1">
      <alignment horizontal="center" vertical="center"/>
      <protection locked="0"/>
    </xf>
    <xf numFmtId="14" fontId="39" fillId="12" borderId="1" xfId="4" applyNumberFormat="1" applyFont="1" applyFill="1" applyBorder="1" applyAlignment="1" applyProtection="1">
      <alignment horizontal="center" vertical="center"/>
      <protection locked="0"/>
    </xf>
    <xf numFmtId="172" fontId="39" fillId="12" borderId="1" xfId="3" applyNumberFormat="1" applyFont="1" applyFill="1" applyBorder="1" applyAlignment="1" applyProtection="1">
      <alignment horizontal="center" vertical="center"/>
      <protection locked="0"/>
    </xf>
    <xf numFmtId="172" fontId="39" fillId="12" borderId="12" xfId="3" applyNumberFormat="1" applyFont="1" applyFill="1" applyBorder="1" applyAlignment="1" applyProtection="1">
      <alignment horizontal="center" vertical="center"/>
      <protection locked="0"/>
    </xf>
    <xf numFmtId="0" fontId="43" fillId="16" borderId="13" xfId="4" applyFont="1" applyFill="1" applyBorder="1" applyAlignment="1">
      <alignment vertical="center"/>
    </xf>
    <xf numFmtId="0" fontId="43" fillId="16" borderId="55" xfId="4" applyFont="1" applyFill="1" applyBorder="1" applyAlignment="1">
      <alignment vertical="center"/>
    </xf>
    <xf numFmtId="0" fontId="43" fillId="16" borderId="16" xfId="4" applyFont="1" applyFill="1" applyBorder="1" applyAlignment="1">
      <alignment vertical="center"/>
    </xf>
    <xf numFmtId="172" fontId="39" fillId="16" borderId="16" xfId="3" applyNumberFormat="1" applyFont="1" applyFill="1" applyBorder="1" applyAlignment="1" applyProtection="1">
      <alignment horizontal="center" vertical="center"/>
    </xf>
    <xf numFmtId="172" fontId="39" fillId="16" borderId="14" xfId="3" applyNumberFormat="1" applyFont="1" applyFill="1" applyBorder="1" applyAlignment="1" applyProtection="1">
      <alignment horizontal="center" vertical="center"/>
    </xf>
    <xf numFmtId="0" fontId="44" fillId="16" borderId="69" xfId="0" applyFont="1" applyFill="1" applyBorder="1" applyAlignment="1">
      <alignment horizontal="center" vertical="top"/>
    </xf>
    <xf numFmtId="0" fontId="44" fillId="16" borderId="70" xfId="0" applyFont="1" applyFill="1" applyBorder="1" applyAlignment="1">
      <alignment horizontal="center" vertical="top"/>
    </xf>
    <xf numFmtId="0" fontId="56" fillId="0" borderId="0" xfId="0" applyFont="1" applyFill="1" applyBorder="1" applyAlignment="1" applyProtection="1">
      <alignment horizontal="left"/>
    </xf>
    <xf numFmtId="0" fontId="58" fillId="17" borderId="1" xfId="0" applyFont="1" applyFill="1" applyBorder="1" applyAlignment="1" applyProtection="1">
      <alignment horizontal="left"/>
      <protection locked="0"/>
    </xf>
    <xf numFmtId="0" fontId="37" fillId="17" borderId="1" xfId="0" applyFont="1" applyFill="1" applyBorder="1" applyAlignment="1" applyProtection="1">
      <alignment horizontal="left"/>
    </xf>
    <xf numFmtId="0" fontId="37" fillId="0" borderId="1" xfId="0" applyFont="1" applyBorder="1" applyAlignment="1" applyProtection="1">
      <alignment horizontal="left"/>
    </xf>
    <xf numFmtId="0" fontId="37" fillId="17" borderId="2" xfId="0" applyFont="1" applyFill="1" applyBorder="1" applyAlignment="1" applyProtection="1">
      <alignment horizontal="left"/>
    </xf>
    <xf numFmtId="0" fontId="37" fillId="17" borderId="4" xfId="0" applyFont="1" applyFill="1" applyBorder="1" applyAlignment="1" applyProtection="1">
      <alignment horizontal="left"/>
    </xf>
    <xf numFmtId="0" fontId="58" fillId="15" borderId="1" xfId="0" applyFont="1" applyFill="1" applyBorder="1" applyAlignment="1" applyProtection="1">
      <alignment horizontal="left"/>
      <protection locked="0"/>
    </xf>
    <xf numFmtId="0" fontId="40" fillId="0" borderId="40" xfId="0" applyFont="1" applyFill="1" applyBorder="1" applyAlignment="1" applyProtection="1">
      <alignment horizontal="center"/>
    </xf>
    <xf numFmtId="0" fontId="40" fillId="0" borderId="41" xfId="0" applyFont="1" applyFill="1" applyBorder="1" applyAlignment="1" applyProtection="1">
      <alignment horizontal="center"/>
    </xf>
    <xf numFmtId="0" fontId="40" fillId="0" borderId="42" xfId="0" applyFont="1" applyFill="1" applyBorder="1" applyAlignment="1" applyProtection="1">
      <alignment horizontal="center"/>
    </xf>
    <xf numFmtId="0" fontId="40" fillId="0" borderId="40" xfId="0" applyFont="1" applyBorder="1" applyAlignment="1" applyProtection="1">
      <alignment horizontal="center"/>
    </xf>
    <xf numFmtId="0" fontId="40" fillId="0" borderId="41" xfId="0" applyFont="1" applyBorder="1" applyAlignment="1" applyProtection="1">
      <alignment horizontal="center"/>
    </xf>
    <xf numFmtId="0" fontId="40" fillId="0" borderId="42" xfId="0" applyFont="1" applyBorder="1" applyAlignment="1" applyProtection="1">
      <alignment horizontal="center"/>
    </xf>
    <xf numFmtId="0" fontId="40" fillId="0" borderId="11" xfId="9" applyFont="1" applyBorder="1" applyAlignment="1" applyProtection="1">
      <alignment horizontal="right" vertical="center"/>
    </xf>
    <xf numFmtId="0" fontId="40" fillId="0" borderId="1" xfId="9" applyFont="1" applyBorder="1" applyAlignment="1" applyProtection="1">
      <alignment horizontal="right" vertical="center"/>
    </xf>
    <xf numFmtId="0" fontId="44" fillId="0" borderId="11" xfId="4" applyFont="1" applyFill="1" applyBorder="1" applyAlignment="1" applyProtection="1">
      <alignment horizontal="right" vertical="center"/>
    </xf>
    <xf numFmtId="0" fontId="44" fillId="0" borderId="1" xfId="4" applyFont="1" applyFill="1" applyBorder="1" applyAlignment="1" applyProtection="1">
      <alignment horizontal="right" vertical="center"/>
    </xf>
    <xf numFmtId="0" fontId="39" fillId="0" borderId="99" xfId="9" applyFont="1" applyBorder="1" applyAlignment="1" applyProtection="1">
      <alignment horizontal="left" wrapText="1"/>
    </xf>
    <xf numFmtId="0" fontId="39" fillId="0" borderId="0" xfId="9" applyFont="1" applyBorder="1" applyAlignment="1" applyProtection="1">
      <alignment horizontal="left" wrapText="1"/>
    </xf>
    <xf numFmtId="0" fontId="39" fillId="0" borderId="100" xfId="9" applyFont="1" applyBorder="1" applyAlignment="1" applyProtection="1">
      <alignment horizontal="left" wrapText="1"/>
    </xf>
    <xf numFmtId="0" fontId="40" fillId="0" borderId="67" xfId="9" applyFont="1" applyBorder="1" applyAlignment="1" applyProtection="1">
      <alignment horizontal="right"/>
    </xf>
    <xf numFmtId="0" fontId="40" fillId="0" borderId="56" xfId="9" applyFont="1" applyBorder="1" applyAlignment="1" applyProtection="1">
      <alignment horizontal="right"/>
    </xf>
    <xf numFmtId="0" fontId="40" fillId="0" borderId="9" xfId="9" applyFont="1" applyBorder="1" applyAlignment="1" applyProtection="1">
      <alignment horizontal="right" vertical="center"/>
    </xf>
    <xf numFmtId="0" fontId="40" fillId="0" borderId="15" xfId="9" applyFont="1" applyBorder="1" applyAlignment="1" applyProtection="1">
      <alignment horizontal="right" vertical="center"/>
    </xf>
    <xf numFmtId="0" fontId="44" fillId="0" borderId="13" xfId="4" applyFont="1" applyFill="1" applyBorder="1" applyAlignment="1" applyProtection="1">
      <alignment horizontal="right" vertical="center"/>
    </xf>
    <xf numFmtId="0" fontId="44" fillId="0" borderId="16" xfId="4" applyFont="1" applyFill="1" applyBorder="1" applyAlignment="1" applyProtection="1">
      <alignment horizontal="right" vertical="center"/>
    </xf>
    <xf numFmtId="0" fontId="44" fillId="0" borderId="13" xfId="9" applyFont="1" applyBorder="1" applyAlignment="1" applyProtection="1">
      <alignment horizontal="left" vertical="center"/>
    </xf>
    <xf numFmtId="0" fontId="44" fillId="0" borderId="16" xfId="9" applyFont="1" applyBorder="1" applyAlignment="1" applyProtection="1">
      <alignment horizontal="left" vertical="center"/>
    </xf>
    <xf numFmtId="0" fontId="48" fillId="0" borderId="96" xfId="8" applyFont="1" applyFill="1" applyBorder="1" applyAlignment="1" applyProtection="1">
      <alignment horizontal="center" vertical="center"/>
    </xf>
    <xf numFmtId="0" fontId="48" fillId="0" borderId="97" xfId="8" applyFont="1" applyFill="1" applyBorder="1" applyAlignment="1" applyProtection="1">
      <alignment horizontal="center" vertical="center"/>
    </xf>
    <xf numFmtId="0" fontId="48" fillId="0" borderId="98" xfId="8" applyFont="1" applyFill="1" applyBorder="1" applyAlignment="1" applyProtection="1">
      <alignment horizontal="center" vertical="center"/>
    </xf>
    <xf numFmtId="0" fontId="38" fillId="0" borderId="99" xfId="8" applyFont="1" applyFill="1" applyBorder="1" applyAlignment="1" applyProtection="1">
      <alignment horizontal="center"/>
    </xf>
    <xf numFmtId="0" fontId="38" fillId="0" borderId="0" xfId="8" applyFont="1" applyFill="1" applyBorder="1" applyAlignment="1" applyProtection="1">
      <alignment horizontal="center"/>
    </xf>
    <xf numFmtId="0" fontId="38" fillId="0" borderId="100" xfId="8" applyFont="1" applyFill="1" applyBorder="1" applyAlignment="1" applyProtection="1">
      <alignment horizontal="center"/>
    </xf>
    <xf numFmtId="0" fontId="48" fillId="0" borderId="99" xfId="8" applyFont="1" applyFill="1" applyBorder="1" applyAlignment="1" applyProtection="1">
      <alignment horizontal="center" vertical="center"/>
    </xf>
    <xf numFmtId="0" fontId="48" fillId="0" borderId="0" xfId="8" applyFont="1" applyFill="1" applyBorder="1" applyAlignment="1" applyProtection="1">
      <alignment horizontal="center" vertical="center"/>
    </xf>
    <xf numFmtId="0" fontId="48" fillId="0" borderId="100" xfId="8" applyFont="1" applyFill="1" applyBorder="1" applyAlignment="1" applyProtection="1">
      <alignment horizontal="center" vertical="center"/>
    </xf>
    <xf numFmtId="0" fontId="49" fillId="0" borderId="99" xfId="8" applyFont="1" applyFill="1" applyBorder="1" applyAlignment="1" applyProtection="1">
      <alignment horizontal="center" vertical="center"/>
    </xf>
    <xf numFmtId="0" fontId="49" fillId="0" borderId="0" xfId="8" applyFont="1" applyFill="1" applyBorder="1" applyAlignment="1" applyProtection="1">
      <alignment horizontal="center" vertical="center"/>
    </xf>
    <xf numFmtId="0" fontId="49" fillId="0" borderId="100" xfId="8" applyFont="1" applyFill="1" applyBorder="1" applyAlignment="1" applyProtection="1">
      <alignment horizontal="center" vertical="center"/>
    </xf>
    <xf numFmtId="0" fontId="63" fillId="0" borderId="99" xfId="9" applyFont="1" applyBorder="1" applyAlignment="1" applyProtection="1">
      <alignment horizontal="center"/>
    </xf>
    <xf numFmtId="0" fontId="63" fillId="0" borderId="0" xfId="9" applyFont="1" applyBorder="1" applyAlignment="1" applyProtection="1">
      <alignment horizontal="center"/>
    </xf>
    <xf numFmtId="0" fontId="63" fillId="0" borderId="100" xfId="9" applyFont="1" applyBorder="1" applyAlignment="1" applyProtection="1">
      <alignment horizontal="center"/>
    </xf>
    <xf numFmtId="0" fontId="43" fillId="0" borderId="99" xfId="9" applyFont="1" applyBorder="1" applyAlignment="1" applyProtection="1">
      <alignment wrapText="1"/>
    </xf>
    <xf numFmtId="0" fontId="43" fillId="0" borderId="0" xfId="9" applyFont="1" applyBorder="1" applyAlignment="1" applyProtection="1">
      <alignment wrapText="1"/>
    </xf>
    <xf numFmtId="0" fontId="43" fillId="0" borderId="100" xfId="9" applyFont="1" applyBorder="1" applyAlignment="1" applyProtection="1">
      <alignment wrapText="1"/>
    </xf>
    <xf numFmtId="0" fontId="44" fillId="0" borderId="9" xfId="9" applyFont="1" applyBorder="1" applyAlignment="1" applyProtection="1">
      <alignment horizontal="left" vertical="center" wrapText="1"/>
    </xf>
    <xf numFmtId="0" fontId="44" fillId="0" borderId="15" xfId="9" applyFont="1" applyBorder="1" applyAlignment="1" applyProtection="1">
      <alignment horizontal="left" vertical="center"/>
    </xf>
    <xf numFmtId="0" fontId="40" fillId="0" borderId="11" xfId="9" applyFont="1" applyBorder="1" applyAlignment="1" applyProtection="1">
      <alignment horizontal="left" vertical="center"/>
    </xf>
    <xf numFmtId="0" fontId="40" fillId="0" borderId="1" xfId="9" applyFont="1" applyBorder="1" applyAlignment="1" applyProtection="1">
      <alignment horizontal="left" vertical="center"/>
    </xf>
    <xf numFmtId="0" fontId="44" fillId="0" borderId="11" xfId="4" applyFont="1" applyFill="1" applyBorder="1" applyAlignment="1" applyProtection="1">
      <alignment horizontal="right" vertical="center" wrapText="1"/>
    </xf>
    <xf numFmtId="0" fontId="44" fillId="0" borderId="1" xfId="4" applyFont="1" applyFill="1" applyBorder="1" applyAlignment="1" applyProtection="1">
      <alignment horizontal="right" vertical="center" wrapText="1"/>
    </xf>
    <xf numFmtId="0" fontId="39" fillId="16" borderId="1" xfId="0" applyFont="1" applyFill="1" applyBorder="1" applyAlignment="1">
      <alignment horizontal="right" vertical="center"/>
    </xf>
    <xf numFmtId="3" fontId="39" fillId="16" borderId="1" xfId="0" applyNumberFormat="1" applyFont="1" applyFill="1" applyBorder="1" applyAlignment="1">
      <alignment horizontal="center" vertical="center"/>
    </xf>
    <xf numFmtId="0" fontId="37" fillId="4" borderId="1" xfId="0" applyFont="1" applyFill="1" applyBorder="1" applyAlignment="1">
      <alignment horizontal="center" vertical="center"/>
    </xf>
    <xf numFmtId="0" fontId="39" fillId="16" borderId="1" xfId="0" applyFont="1" applyFill="1" applyBorder="1" applyAlignment="1">
      <alignment horizontal="right"/>
    </xf>
    <xf numFmtId="0" fontId="39" fillId="16" borderId="1" xfId="0" applyFont="1" applyFill="1" applyBorder="1" applyAlignment="1">
      <alignment horizontal="center" vertical="center"/>
    </xf>
    <xf numFmtId="172" fontId="39" fillId="16" borderId="1" xfId="0" applyNumberFormat="1" applyFont="1" applyFill="1" applyBorder="1" applyAlignment="1">
      <alignment horizontal="center" vertical="center"/>
    </xf>
    <xf numFmtId="0" fontId="39" fillId="16" borderId="1" xfId="0" applyFont="1" applyFill="1" applyBorder="1" applyAlignment="1">
      <alignment horizontal="right" vertical="center" wrapText="1"/>
    </xf>
    <xf numFmtId="44" fontId="39" fillId="16" borderId="2" xfId="0" applyNumberFormat="1" applyFont="1" applyFill="1" applyBorder="1" applyAlignment="1">
      <alignment horizontal="center" vertical="top" wrapText="1"/>
    </xf>
    <xf numFmtId="0" fontId="39" fillId="16" borderId="4" xfId="0" applyFont="1" applyFill="1" applyBorder="1" applyAlignment="1">
      <alignment horizontal="center" vertical="top" wrapText="1"/>
    </xf>
    <xf numFmtId="182" fontId="39" fillId="16" borderId="1" xfId="0" applyNumberFormat="1" applyFont="1" applyFill="1" applyBorder="1" applyAlignment="1">
      <alignment horizontal="center" vertical="center"/>
    </xf>
    <xf numFmtId="0" fontId="68" fillId="0" borderId="2" xfId="0" applyFont="1" applyBorder="1" applyAlignment="1">
      <alignment horizontal="left" vertical="center" wrapText="1"/>
    </xf>
    <xf numFmtId="0" fontId="68" fillId="0" borderId="4" xfId="0" applyFont="1" applyBorder="1" applyAlignment="1">
      <alignment horizontal="left" vertical="center" wrapText="1"/>
    </xf>
    <xf numFmtId="0" fontId="37" fillId="0" borderId="0" xfId="0" applyFont="1" applyFill="1" applyBorder="1" applyAlignment="1">
      <alignment horizontal="center" vertical="center"/>
    </xf>
    <xf numFmtId="0" fontId="58" fillId="0" borderId="0" xfId="0" applyFont="1" applyFill="1" applyBorder="1" applyAlignment="1">
      <alignment horizontal="center"/>
    </xf>
    <xf numFmtId="0" fontId="47" fillId="0" borderId="0" xfId="0" applyFont="1" applyFill="1" applyBorder="1" applyAlignment="1">
      <alignment horizontal="center" vertical="center"/>
    </xf>
    <xf numFmtId="0" fontId="39" fillId="0" borderId="0" xfId="0" applyFont="1" applyAlignment="1">
      <alignment horizontal="left" vertical="top" wrapText="1"/>
    </xf>
    <xf numFmtId="0" fontId="37" fillId="0" borderId="0" xfId="0" applyFont="1" applyFill="1" applyBorder="1" applyAlignment="1">
      <alignment horizontal="left" vertical="top"/>
    </xf>
    <xf numFmtId="0" fontId="67" fillId="4" borderId="2" xfId="0" applyFont="1" applyFill="1" applyBorder="1" applyAlignment="1">
      <alignment horizontal="center" vertical="center" wrapText="1"/>
    </xf>
    <xf numFmtId="0" fontId="67" fillId="4" borderId="4" xfId="0" applyFont="1" applyFill="1" applyBorder="1" applyAlignment="1">
      <alignment horizontal="center" vertical="center" wrapText="1"/>
    </xf>
    <xf numFmtId="0" fontId="40" fillId="4" borderId="1" xfId="0" applyFont="1" applyFill="1" applyBorder="1" applyAlignment="1">
      <alignment horizontal="center" vertical="center" wrapText="1"/>
    </xf>
    <xf numFmtId="0" fontId="39" fillId="0" borderId="1" xfId="0" applyFont="1" applyBorder="1" applyAlignment="1">
      <alignment horizontal="left" vertical="top" wrapText="1"/>
    </xf>
    <xf numFmtId="0" fontId="3" fillId="0" borderId="39" xfId="9" applyFont="1" applyBorder="1" applyAlignment="1">
      <alignment horizontal="left" vertical="top" wrapText="1"/>
    </xf>
    <xf numFmtId="0" fontId="3" fillId="0" borderId="52" xfId="9" applyFont="1" applyBorder="1" applyAlignment="1">
      <alignment horizontal="left" vertical="top" wrapText="1"/>
    </xf>
    <xf numFmtId="0" fontId="3" fillId="0" borderId="72" xfId="9" applyFont="1" applyBorder="1" applyAlignment="1">
      <alignment horizontal="left" vertical="top" wrapText="1"/>
    </xf>
    <xf numFmtId="0" fontId="4" fillId="0" borderId="17" xfId="9" applyFont="1" applyBorder="1" applyAlignment="1">
      <alignment horizontal="left" vertical="top" wrapText="1"/>
    </xf>
    <xf numFmtId="0" fontId="4" fillId="0" borderId="8" xfId="9" applyFont="1" applyBorder="1" applyAlignment="1">
      <alignment horizontal="left" vertical="top" wrapText="1"/>
    </xf>
    <xf numFmtId="0" fontId="4" fillId="0" borderId="26" xfId="9" applyFont="1" applyBorder="1" applyAlignment="1">
      <alignment horizontal="left" vertical="top" wrapText="1"/>
    </xf>
    <xf numFmtId="0" fontId="4" fillId="0" borderId="19" xfId="9" applyFont="1" applyBorder="1" applyAlignment="1">
      <alignment horizontal="left" vertical="top" wrapText="1"/>
    </xf>
    <xf numFmtId="0" fontId="4" fillId="0" borderId="7" xfId="9" applyFont="1" applyBorder="1" applyAlignment="1">
      <alignment horizontal="left" vertical="top" wrapText="1"/>
    </xf>
    <xf numFmtId="0" fontId="4" fillId="0" borderId="71" xfId="9" applyFont="1" applyBorder="1" applyAlignment="1">
      <alignment horizontal="left" vertical="top" wrapText="1"/>
    </xf>
    <xf numFmtId="0" fontId="4" fillId="0" borderId="2" xfId="9" applyFont="1" applyBorder="1" applyAlignment="1">
      <alignment horizontal="left" vertical="top" wrapText="1"/>
    </xf>
    <xf numFmtId="0" fontId="4" fillId="0" borderId="3" xfId="9" applyFont="1" applyBorder="1" applyAlignment="1">
      <alignment horizontal="left" vertical="top" wrapText="1"/>
    </xf>
    <xf numFmtId="0" fontId="4" fillId="0" borderId="23" xfId="9" applyFont="1" applyBorder="1" applyAlignment="1">
      <alignment horizontal="left" vertical="top" wrapText="1"/>
    </xf>
    <xf numFmtId="0" fontId="4" fillId="0" borderId="74" xfId="9" applyFont="1" applyBorder="1" applyAlignment="1">
      <alignment horizontal="left" vertical="top" wrapText="1"/>
    </xf>
    <xf numFmtId="0" fontId="4" fillId="0" borderId="0" xfId="9" applyFont="1" applyBorder="1" applyAlignment="1">
      <alignment horizontal="left" vertical="top" wrapText="1"/>
    </xf>
    <xf numFmtId="0" fontId="4" fillId="0" borderId="58" xfId="9" applyFont="1" applyBorder="1" applyAlignment="1">
      <alignment horizontal="left" vertical="top" wrapText="1"/>
    </xf>
    <xf numFmtId="0" fontId="4" fillId="0" borderId="17" xfId="9" applyFont="1" applyBorder="1" applyAlignment="1">
      <alignment vertical="center" wrapText="1"/>
    </xf>
    <xf numFmtId="0" fontId="4" fillId="0" borderId="8" xfId="9" applyFont="1" applyBorder="1" applyAlignment="1">
      <alignment vertical="center" wrapText="1"/>
    </xf>
    <xf numFmtId="0" fontId="4" fillId="0" borderId="26" xfId="9" applyFont="1" applyBorder="1" applyAlignment="1">
      <alignment vertical="center" wrapText="1"/>
    </xf>
    <xf numFmtId="0" fontId="4" fillId="0" borderId="74" xfId="9" applyFont="1" applyBorder="1" applyAlignment="1">
      <alignment vertical="center" wrapText="1"/>
    </xf>
    <xf numFmtId="0" fontId="4" fillId="0" borderId="0" xfId="9" applyFont="1" applyBorder="1" applyAlignment="1">
      <alignment vertical="center" wrapText="1"/>
    </xf>
    <xf numFmtId="0" fontId="4" fillId="0" borderId="58" xfId="9" applyFont="1" applyBorder="1" applyAlignment="1">
      <alignment vertical="center" wrapText="1"/>
    </xf>
    <xf numFmtId="0" fontId="4" fillId="0" borderId="19" xfId="9" applyFont="1" applyBorder="1" applyAlignment="1">
      <alignment vertical="center" wrapText="1"/>
    </xf>
    <xf numFmtId="0" fontId="4" fillId="0" borderId="7" xfId="9" applyFont="1" applyBorder="1" applyAlignment="1">
      <alignment vertical="center" wrapText="1"/>
    </xf>
    <xf numFmtId="0" fontId="4" fillId="0" borderId="71" xfId="9" applyFont="1" applyBorder="1" applyAlignment="1">
      <alignment vertical="center" wrapText="1"/>
    </xf>
    <xf numFmtId="0" fontId="5" fillId="2" borderId="49" xfId="9" applyFont="1" applyFill="1" applyBorder="1" applyAlignment="1">
      <alignment horizontal="center" vertical="center"/>
    </xf>
    <xf numFmtId="0" fontId="5" fillId="2" borderId="51" xfId="9" applyFont="1" applyFill="1" applyBorder="1" applyAlignment="1">
      <alignment horizontal="center" vertical="center"/>
    </xf>
    <xf numFmtId="0" fontId="5" fillId="2" borderId="57" xfId="9" applyFont="1" applyFill="1" applyBorder="1" applyAlignment="1">
      <alignment horizontal="center" vertical="center"/>
    </xf>
    <xf numFmtId="0" fontId="3" fillId="0" borderId="1" xfId="9" applyFont="1" applyBorder="1" applyAlignment="1">
      <alignment horizontal="left" vertical="top" wrapText="1"/>
    </xf>
    <xf numFmtId="0" fontId="3" fillId="0" borderId="12" xfId="9" applyFont="1" applyBorder="1" applyAlignment="1">
      <alignment horizontal="left" vertical="top" wrapText="1"/>
    </xf>
    <xf numFmtId="0" fontId="4" fillId="0" borderId="1" xfId="9" applyFont="1" applyBorder="1" applyAlignment="1">
      <alignment horizontal="left" vertical="top"/>
    </xf>
    <xf numFmtId="0" fontId="4" fillId="0" borderId="12" xfId="9" applyFont="1" applyBorder="1" applyAlignment="1">
      <alignment horizontal="left" vertical="top"/>
    </xf>
    <xf numFmtId="0" fontId="4" fillId="0" borderId="1" xfId="9" applyFont="1" applyBorder="1" applyAlignment="1">
      <alignment horizontal="left" vertical="top" wrapText="1"/>
    </xf>
    <xf numFmtId="0" fontId="4" fillId="0" borderId="12" xfId="9" applyFont="1" applyBorder="1" applyAlignment="1">
      <alignment horizontal="left" vertical="top" wrapText="1"/>
    </xf>
    <xf numFmtId="0" fontId="0" fillId="0" borderId="61" xfId="0" applyBorder="1" applyAlignment="1">
      <alignment horizontal="center" vertical="center"/>
    </xf>
    <xf numFmtId="0" fontId="0" fillId="0" borderId="76" xfId="0" applyBorder="1" applyAlignment="1">
      <alignment horizontal="center" vertical="center"/>
    </xf>
    <xf numFmtId="0" fontId="19" fillId="0" borderId="0" xfId="0" applyFont="1" applyFill="1" applyBorder="1" applyAlignment="1">
      <alignment horizontal="center" vertical="center"/>
    </xf>
    <xf numFmtId="0" fontId="15" fillId="0" borderId="0" xfId="0" applyFont="1" applyFill="1" applyBorder="1" applyAlignment="1">
      <alignment horizontal="center"/>
    </xf>
    <xf numFmtId="0" fontId="31" fillId="0" borderId="0" xfId="0" applyFont="1" applyFill="1" applyBorder="1" applyAlignment="1">
      <alignment horizontal="center" vertical="center"/>
    </xf>
    <xf numFmtId="0" fontId="34" fillId="0" borderId="0" xfId="0" applyFont="1" applyBorder="1" applyAlignment="1">
      <alignment horizontal="left"/>
    </xf>
    <xf numFmtId="0" fontId="7" fillId="0" borderId="62" xfId="1" applyFill="1" applyBorder="1" applyAlignment="1">
      <alignment horizontal="left" vertical="center" wrapText="1"/>
    </xf>
    <xf numFmtId="0" fontId="7" fillId="0" borderId="91" xfId="1" applyFill="1" applyBorder="1" applyAlignment="1">
      <alignment horizontal="left" vertical="center" wrapText="1"/>
    </xf>
    <xf numFmtId="0" fontId="7" fillId="0" borderId="45" xfId="1" applyFill="1" applyBorder="1" applyAlignment="1">
      <alignment horizontal="left" vertical="center" wrapText="1"/>
    </xf>
    <xf numFmtId="0" fontId="24" fillId="0" borderId="59" xfId="1" applyFont="1" applyBorder="1" applyAlignment="1">
      <alignment horizontal="center" vertical="center" wrapText="1"/>
    </xf>
    <xf numFmtId="0" fontId="24" fillId="0" borderId="62" xfId="1" applyFont="1" applyBorder="1" applyAlignment="1">
      <alignment horizontal="center" vertical="center" wrapText="1"/>
    </xf>
    <xf numFmtId="0" fontId="7" fillId="0" borderId="28" xfId="1" applyFill="1" applyBorder="1" applyAlignment="1">
      <alignment horizontal="left" vertical="center" wrapText="1"/>
    </xf>
    <xf numFmtId="0" fontId="7" fillId="0" borderId="33" xfId="1" applyFill="1" applyBorder="1" applyAlignment="1">
      <alignment horizontal="left" vertical="center" wrapText="1"/>
    </xf>
    <xf numFmtId="0" fontId="7" fillId="0" borderId="28" xfId="1" applyFill="1" applyBorder="1" applyAlignment="1" applyProtection="1">
      <alignment horizontal="left" vertical="center"/>
    </xf>
    <xf numFmtId="0" fontId="7" fillId="0" borderId="91" xfId="1" applyFill="1" applyBorder="1" applyAlignment="1" applyProtection="1">
      <alignment horizontal="left" vertical="center"/>
    </xf>
    <xf numFmtId="0" fontId="7" fillId="0" borderId="33" xfId="1" applyFill="1" applyBorder="1" applyAlignment="1" applyProtection="1">
      <alignment horizontal="left" vertical="center"/>
    </xf>
    <xf numFmtId="0" fontId="1" fillId="8" borderId="27" xfId="0" applyFont="1" applyFill="1" applyBorder="1" applyAlignment="1">
      <alignment horizontal="center" vertical="center"/>
    </xf>
    <xf numFmtId="0" fontId="1" fillId="8" borderId="6" xfId="0" applyFont="1" applyFill="1" applyBorder="1" applyAlignment="1">
      <alignment horizontal="center" vertical="center"/>
    </xf>
    <xf numFmtId="0" fontId="1" fillId="8" borderId="33" xfId="0" applyFont="1" applyFill="1" applyBorder="1" applyAlignment="1">
      <alignment horizontal="center" vertical="center"/>
    </xf>
    <xf numFmtId="0" fontId="0" fillId="8" borderId="46" xfId="0" applyFont="1" applyFill="1" applyBorder="1" applyAlignment="1">
      <alignment horizontal="center" vertical="center" wrapText="1"/>
    </xf>
    <xf numFmtId="0" fontId="0" fillId="8" borderId="47" xfId="0" applyFont="1" applyFill="1" applyBorder="1" applyAlignment="1">
      <alignment horizontal="center" vertical="center" wrapText="1"/>
    </xf>
    <xf numFmtId="0" fontId="0" fillId="8" borderId="48" xfId="0" applyFont="1" applyFill="1" applyBorder="1" applyAlignment="1">
      <alignment horizontal="center" vertical="center" wrapText="1"/>
    </xf>
    <xf numFmtId="0" fontId="9" fillId="0" borderId="62" xfId="0" applyFont="1" applyBorder="1" applyAlignment="1">
      <alignment horizontal="center" wrapText="1"/>
    </xf>
    <xf numFmtId="0" fontId="9" fillId="0" borderId="91" xfId="0" applyFont="1" applyBorder="1" applyAlignment="1">
      <alignment horizontal="center" wrapText="1"/>
    </xf>
    <xf numFmtId="0" fontId="7" fillId="0" borderId="91" xfId="1" applyBorder="1" applyAlignment="1">
      <alignment horizontal="center" vertical="top" wrapText="1"/>
    </xf>
    <xf numFmtId="0" fontId="7" fillId="0" borderId="45" xfId="1" applyBorder="1" applyAlignment="1">
      <alignment horizontal="center" vertical="top" wrapText="1"/>
    </xf>
    <xf numFmtId="0" fontId="7" fillId="0" borderId="28" xfId="1" applyBorder="1" applyAlignment="1">
      <alignment horizontal="center" vertical="center" wrapText="1"/>
    </xf>
    <xf numFmtId="0" fontId="7" fillId="0" borderId="91" xfId="1" applyBorder="1" applyAlignment="1">
      <alignment horizontal="center" vertical="center" wrapText="1"/>
    </xf>
    <xf numFmtId="0" fontId="7" fillId="0" borderId="45" xfId="1" applyBorder="1" applyAlignment="1">
      <alignment horizontal="center" vertical="center" wrapText="1"/>
    </xf>
    <xf numFmtId="0" fontId="0" fillId="0" borderId="21" xfId="0" applyFont="1" applyFill="1" applyBorder="1" applyAlignment="1" applyProtection="1">
      <alignment horizontal="left" vertical="center" wrapText="1"/>
    </xf>
    <xf numFmtId="0" fontId="0" fillId="0" borderId="27" xfId="0" applyFont="1" applyFill="1" applyBorder="1" applyAlignment="1" applyProtection="1">
      <alignment horizontal="left" vertical="center" wrapText="1"/>
    </xf>
    <xf numFmtId="0" fontId="1" fillId="8" borderId="9" xfId="0" applyFont="1" applyFill="1" applyBorder="1" applyAlignment="1">
      <alignment horizontal="center" vertical="center"/>
    </xf>
    <xf numFmtId="0" fontId="1" fillId="8" borderId="15" xfId="0" applyFont="1" applyFill="1" applyBorder="1" applyAlignment="1">
      <alignment horizontal="center" vertical="center"/>
    </xf>
    <xf numFmtId="0" fontId="1" fillId="8" borderId="10" xfId="0" applyFont="1" applyFill="1" applyBorder="1" applyAlignment="1">
      <alignment horizontal="center" vertical="center"/>
    </xf>
    <xf numFmtId="0" fontId="1" fillId="7" borderId="1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5" borderId="9" xfId="0" applyFont="1" applyFill="1" applyBorder="1" applyAlignment="1">
      <alignment horizontal="center" vertical="center"/>
    </xf>
    <xf numFmtId="0" fontId="1" fillId="5" borderId="15" xfId="0" applyFont="1" applyFill="1" applyBorder="1" applyAlignment="1">
      <alignment horizontal="center" vertical="center"/>
    </xf>
    <xf numFmtId="0" fontId="1" fillId="5" borderId="10" xfId="0" applyFont="1" applyFill="1" applyBorder="1" applyAlignment="1">
      <alignment horizontal="center" vertical="center"/>
    </xf>
    <xf numFmtId="0" fontId="1" fillId="6" borderId="9" xfId="0" applyFont="1" applyFill="1" applyBorder="1" applyAlignment="1">
      <alignment horizontal="center" vertical="center"/>
    </xf>
    <xf numFmtId="0" fontId="1" fillId="6" borderId="15" xfId="0" applyFont="1" applyFill="1" applyBorder="1" applyAlignment="1">
      <alignment horizontal="center" vertical="center"/>
    </xf>
    <xf numFmtId="0" fontId="1" fillId="6" borderId="10" xfId="0" applyFont="1" applyFill="1" applyBorder="1" applyAlignment="1">
      <alignment horizontal="center" vertical="center"/>
    </xf>
    <xf numFmtId="0" fontId="1" fillId="7" borderId="9"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7" fillId="0" borderId="28" xfId="1" applyBorder="1" applyAlignment="1">
      <alignment horizontal="left" vertical="center" wrapText="1"/>
    </xf>
    <xf numFmtId="0" fontId="7" fillId="0" borderId="91" xfId="1" applyBorder="1" applyAlignment="1">
      <alignment horizontal="left" vertical="center" wrapText="1"/>
    </xf>
    <xf numFmtId="0" fontId="7" fillId="0" borderId="45" xfId="1" applyBorder="1" applyAlignment="1">
      <alignment horizontal="left" vertical="center" wrapText="1"/>
    </xf>
    <xf numFmtId="0" fontId="7" fillId="0" borderId="62" xfId="1" applyBorder="1" applyAlignment="1">
      <alignment horizontal="left" vertical="center" wrapText="1"/>
    </xf>
    <xf numFmtId="0" fontId="0" fillId="0" borderId="59" xfId="0" applyFill="1" applyBorder="1" applyAlignment="1">
      <alignment horizontal="center" vertical="center" wrapText="1"/>
    </xf>
    <xf numFmtId="0" fontId="0" fillId="0" borderId="43" xfId="0" applyFill="1" applyBorder="1" applyAlignment="1">
      <alignment horizontal="center" vertical="center" wrapText="1"/>
    </xf>
    <xf numFmtId="2" fontId="9" fillId="0" borderId="60" xfId="0" applyNumberFormat="1" applyFont="1" applyFill="1" applyBorder="1" applyAlignment="1">
      <alignment horizontal="center" vertical="center"/>
    </xf>
    <xf numFmtId="2" fontId="9" fillId="0" borderId="44" xfId="0" applyNumberFormat="1" applyFont="1" applyFill="1" applyBorder="1" applyAlignment="1">
      <alignment horizontal="center" vertical="center"/>
    </xf>
    <xf numFmtId="0" fontId="1" fillId="8" borderId="24" xfId="0" applyFont="1" applyFill="1" applyBorder="1" applyAlignment="1" applyProtection="1">
      <alignment horizontal="center" vertical="center"/>
    </xf>
    <xf numFmtId="0" fontId="1" fillId="8" borderId="3" xfId="0" applyFont="1" applyFill="1" applyBorder="1" applyAlignment="1" applyProtection="1">
      <alignment horizontal="center" vertical="center"/>
    </xf>
    <xf numFmtId="0" fontId="1" fillId="8" borderId="23" xfId="0" applyFont="1" applyFill="1" applyBorder="1" applyAlignment="1" applyProtection="1">
      <alignment horizontal="center" vertical="center"/>
    </xf>
    <xf numFmtId="0" fontId="1" fillId="8" borderId="49" xfId="0" applyFont="1" applyFill="1" applyBorder="1" applyAlignment="1">
      <alignment horizontal="center" vertical="center"/>
    </xf>
    <xf numFmtId="0" fontId="1" fillId="8" borderId="51" xfId="0" applyFont="1" applyFill="1" applyBorder="1" applyAlignment="1">
      <alignment horizontal="center" vertical="center"/>
    </xf>
    <xf numFmtId="0" fontId="1" fillId="8" borderId="57" xfId="0" applyFont="1" applyFill="1" applyBorder="1" applyAlignment="1">
      <alignment horizontal="center" vertical="center"/>
    </xf>
    <xf numFmtId="0" fontId="1" fillId="8" borderId="25" xfId="0" applyFont="1" applyFill="1" applyBorder="1" applyAlignment="1" applyProtection="1">
      <alignment horizontal="center" vertical="center"/>
    </xf>
    <xf numFmtId="0" fontId="1" fillId="8" borderId="8" xfId="0" applyFont="1" applyFill="1" applyBorder="1" applyAlignment="1" applyProtection="1">
      <alignment horizontal="center" vertical="center"/>
    </xf>
    <xf numFmtId="0" fontId="1" fillId="8" borderId="26" xfId="0" applyFont="1" applyFill="1" applyBorder="1" applyAlignment="1" applyProtection="1">
      <alignment horizontal="center" vertical="center"/>
    </xf>
    <xf numFmtId="0" fontId="0" fillId="8" borderId="11" xfId="0" applyFill="1" applyBorder="1" applyAlignment="1">
      <alignment horizontal="center" vertical="center"/>
    </xf>
    <xf numFmtId="0" fontId="0" fillId="8" borderId="1" xfId="0" applyFill="1" applyBorder="1" applyAlignment="1">
      <alignment horizontal="center" vertical="center"/>
    </xf>
    <xf numFmtId="0" fontId="0" fillId="8" borderId="12" xfId="0" applyFill="1" applyBorder="1" applyAlignment="1">
      <alignment horizontal="center" vertical="center"/>
    </xf>
    <xf numFmtId="0" fontId="0" fillId="0" borderId="21" xfId="0" applyBorder="1" applyAlignment="1">
      <alignment horizontal="left" vertical="center" wrapText="1"/>
    </xf>
    <xf numFmtId="0" fontId="0" fillId="0" borderId="27" xfId="0" applyBorder="1" applyAlignment="1">
      <alignment horizontal="left" vertical="center" wrapText="1"/>
    </xf>
    <xf numFmtId="0" fontId="0" fillId="0" borderId="22" xfId="0" applyBorder="1" applyAlignment="1">
      <alignment horizontal="left" vertical="center" wrapText="1"/>
    </xf>
    <xf numFmtId="0" fontId="7" fillId="0" borderId="62" xfId="1" applyBorder="1" applyAlignment="1" applyProtection="1">
      <alignment horizontal="center" vertical="center" wrapText="1"/>
    </xf>
    <xf numFmtId="0" fontId="7" fillId="0" borderId="91" xfId="1" applyBorder="1" applyAlignment="1" applyProtection="1">
      <alignment horizontal="center" vertical="center" wrapText="1"/>
    </xf>
    <xf numFmtId="0" fontId="7" fillId="0" borderId="45" xfId="1" applyBorder="1" applyAlignment="1" applyProtection="1">
      <alignment horizontal="center" vertical="center" wrapText="1"/>
    </xf>
    <xf numFmtId="0" fontId="9" fillId="0" borderId="75" xfId="0" applyFont="1" applyBorder="1" applyAlignment="1">
      <alignment horizontal="center" wrapText="1"/>
    </xf>
    <xf numFmtId="0" fontId="9" fillId="0" borderId="95" xfId="0" applyFont="1" applyBorder="1" applyAlignment="1">
      <alignment horizontal="center" wrapText="1"/>
    </xf>
    <xf numFmtId="0" fontId="7" fillId="0" borderId="95" xfId="1" applyFont="1" applyFill="1" applyBorder="1" applyAlignment="1">
      <alignment horizontal="center" vertical="top"/>
    </xf>
    <xf numFmtId="0" fontId="7" fillId="0" borderId="65" xfId="1" applyFont="1" applyFill="1" applyBorder="1" applyAlignment="1">
      <alignment horizontal="center" vertical="top"/>
    </xf>
    <xf numFmtId="49" fontId="1" fillId="8" borderId="40" xfId="0" applyNumberFormat="1" applyFont="1" applyFill="1" applyBorder="1" applyAlignment="1">
      <alignment horizontal="center" vertical="center"/>
    </xf>
    <xf numFmtId="49" fontId="1" fillId="8" borderId="41" xfId="0" applyNumberFormat="1" applyFont="1" applyFill="1" applyBorder="1" applyAlignment="1">
      <alignment horizontal="center" vertical="center"/>
    </xf>
    <xf numFmtId="49" fontId="1" fillId="8" borderId="48" xfId="0" applyNumberFormat="1" applyFont="1" applyFill="1" applyBorder="1" applyAlignment="1">
      <alignment horizontal="center" vertical="center"/>
    </xf>
    <xf numFmtId="49" fontId="1" fillId="8" borderId="42" xfId="0" applyNumberFormat="1" applyFont="1" applyFill="1" applyBorder="1" applyAlignment="1">
      <alignment horizontal="center" vertical="center"/>
    </xf>
    <xf numFmtId="49" fontId="7" fillId="0" borderId="28" xfId="1" applyNumberFormat="1" applyBorder="1" applyAlignment="1">
      <alignment horizontal="left" vertical="center" wrapText="1"/>
    </xf>
    <xf numFmtId="49" fontId="7" fillId="0" borderId="91" xfId="1" applyNumberFormat="1" applyBorder="1" applyAlignment="1">
      <alignment horizontal="left" vertical="center" wrapText="1"/>
    </xf>
    <xf numFmtId="49" fontId="7" fillId="0" borderId="45" xfId="1" applyNumberFormat="1" applyBorder="1" applyAlignment="1">
      <alignment horizontal="left" vertical="center" wrapText="1"/>
    </xf>
    <xf numFmtId="0" fontId="7" fillId="0" borderId="33" xfId="1" applyBorder="1" applyAlignment="1">
      <alignment horizontal="left" vertical="center" wrapText="1"/>
    </xf>
    <xf numFmtId="0" fontId="7" fillId="0" borderId="28" xfId="1" applyBorder="1" applyAlignment="1">
      <alignment horizontal="left" vertical="center"/>
    </xf>
    <xf numFmtId="0" fontId="7" fillId="0" borderId="91" xfId="1" applyBorder="1" applyAlignment="1">
      <alignment horizontal="left" vertical="center"/>
    </xf>
    <xf numFmtId="0" fontId="7" fillId="0" borderId="33" xfId="1" applyBorder="1" applyAlignment="1">
      <alignment horizontal="left" vertical="center"/>
    </xf>
    <xf numFmtId="0" fontId="1" fillId="7" borderId="49" xfId="0" applyFont="1" applyFill="1" applyBorder="1" applyAlignment="1">
      <alignment horizontal="center" vertical="center" wrapText="1"/>
    </xf>
    <xf numFmtId="0" fontId="1" fillId="7" borderId="51" xfId="0" applyFont="1" applyFill="1" applyBorder="1" applyAlignment="1">
      <alignment horizontal="center" vertical="center" wrapText="1"/>
    </xf>
    <xf numFmtId="0" fontId="1" fillId="7" borderId="57" xfId="0" applyFont="1" applyFill="1" applyBorder="1" applyAlignment="1">
      <alignment horizontal="center" vertical="center" wrapText="1"/>
    </xf>
    <xf numFmtId="0" fontId="1" fillId="8" borderId="49" xfId="0" applyFont="1" applyFill="1" applyBorder="1" applyAlignment="1" applyProtection="1">
      <alignment horizontal="center" vertical="center"/>
    </xf>
    <xf numFmtId="0" fontId="1" fillId="8" borderId="51" xfId="0" applyFont="1" applyFill="1" applyBorder="1" applyAlignment="1" applyProtection="1">
      <alignment horizontal="center" vertical="center"/>
    </xf>
    <xf numFmtId="0" fontId="1" fillId="8" borderId="57" xfId="0" applyFont="1" applyFill="1" applyBorder="1" applyAlignment="1" applyProtection="1">
      <alignment horizontal="center" vertical="center"/>
    </xf>
    <xf numFmtId="0" fontId="0" fillId="0" borderId="0" xfId="0" applyFont="1" applyBorder="1" applyAlignment="1">
      <alignment horizontal="left"/>
    </xf>
    <xf numFmtId="0" fontId="1" fillId="11" borderId="9" xfId="0" applyFont="1" applyFill="1" applyBorder="1" applyAlignment="1">
      <alignment horizontal="center" vertical="center" wrapText="1"/>
    </xf>
    <xf numFmtId="0" fontId="1" fillId="11" borderId="15" xfId="0" applyFont="1" applyFill="1" applyBorder="1" applyAlignment="1">
      <alignment horizontal="center" vertical="center" wrapText="1"/>
    </xf>
    <xf numFmtId="0" fontId="1" fillId="11" borderId="10" xfId="0" applyFont="1" applyFill="1" applyBorder="1" applyAlignment="1">
      <alignment horizontal="center" vertical="center" wrapText="1"/>
    </xf>
    <xf numFmtId="0" fontId="7" fillId="0" borderId="33" xfId="1" applyBorder="1" applyAlignment="1">
      <alignment horizontal="center" vertical="center" wrapText="1"/>
    </xf>
    <xf numFmtId="0" fontId="0" fillId="0" borderId="75" xfId="0" applyFont="1" applyBorder="1" applyAlignment="1">
      <alignment horizontal="left" vertical="center" wrapText="1"/>
    </xf>
    <xf numFmtId="0" fontId="0" fillId="0" borderId="95" xfId="0" applyFont="1" applyBorder="1" applyAlignment="1">
      <alignment horizontal="left" vertical="center" wrapText="1"/>
    </xf>
    <xf numFmtId="0" fontId="0" fillId="0" borderId="11" xfId="0" applyBorder="1" applyAlignment="1">
      <alignment horizontal="left" vertical="center"/>
    </xf>
    <xf numFmtId="0" fontId="0" fillId="0" borderId="1" xfId="0" applyBorder="1" applyAlignment="1">
      <alignment horizontal="left" vertical="center"/>
    </xf>
    <xf numFmtId="0" fontId="9" fillId="0" borderId="0" xfId="0" applyFont="1" applyAlignment="1">
      <alignment horizontal="left" wrapText="1"/>
    </xf>
    <xf numFmtId="0" fontId="0" fillId="0" borderId="9" xfId="0" applyBorder="1" applyAlignment="1">
      <alignment horizontal="center" vertical="center"/>
    </xf>
    <xf numFmtId="0" fontId="0" fillId="0" borderId="15" xfId="0" applyBorder="1" applyAlignment="1">
      <alignment horizontal="center" vertical="center"/>
    </xf>
    <xf numFmtId="0" fontId="0" fillId="0" borderId="66" xfId="0" applyBorder="1" applyAlignment="1">
      <alignment horizontal="left"/>
    </xf>
    <xf numFmtId="0" fontId="0" fillId="0" borderId="0" xfId="0" applyBorder="1" applyAlignment="1">
      <alignment horizontal="left"/>
    </xf>
    <xf numFmtId="0" fontId="0" fillId="0" borderId="11" xfId="0" applyFill="1" applyBorder="1" applyAlignment="1">
      <alignment horizontal="left" vertical="center"/>
    </xf>
    <xf numFmtId="0" fontId="0" fillId="0" borderId="1" xfId="0" applyFill="1" applyBorder="1" applyAlignment="1">
      <alignment horizontal="left" vertical="center"/>
    </xf>
    <xf numFmtId="0" fontId="0" fillId="0" borderId="13" xfId="0" applyFill="1" applyBorder="1" applyAlignment="1">
      <alignment horizontal="left" vertical="center"/>
    </xf>
    <xf numFmtId="0" fontId="0" fillId="0" borderId="16" xfId="0" applyFill="1" applyBorder="1" applyAlignment="1">
      <alignment horizontal="left" vertical="center"/>
    </xf>
    <xf numFmtId="0" fontId="0" fillId="2" borderId="46" xfId="0" applyFill="1" applyBorder="1" applyAlignment="1">
      <alignment horizontal="center" vertical="center"/>
    </xf>
    <xf numFmtId="0" fontId="0" fillId="2" borderId="47" xfId="0" applyFill="1" applyBorder="1" applyAlignment="1">
      <alignment horizontal="center" vertical="center"/>
    </xf>
    <xf numFmtId="0" fontId="0" fillId="2" borderId="48" xfId="0" applyFill="1" applyBorder="1" applyAlignment="1">
      <alignment horizontal="center" vertical="center"/>
    </xf>
    <xf numFmtId="0" fontId="0" fillId="2" borderId="66" xfId="0" applyFill="1" applyBorder="1" applyAlignment="1">
      <alignment horizontal="center" vertical="center"/>
    </xf>
    <xf numFmtId="0" fontId="0" fillId="2" borderId="0" xfId="0" applyFill="1" applyBorder="1" applyAlignment="1">
      <alignment horizontal="center" vertical="center"/>
    </xf>
    <xf numFmtId="0" fontId="0" fillId="0" borderId="53" xfId="0" applyBorder="1" applyAlignment="1">
      <alignment horizontal="right"/>
    </xf>
    <xf numFmtId="0" fontId="0" fillId="0" borderId="7" xfId="0" applyBorder="1" applyAlignment="1">
      <alignment horizontal="right"/>
    </xf>
    <xf numFmtId="0" fontId="0" fillId="2" borderId="25" xfId="0" applyFill="1" applyBorder="1" applyAlignment="1">
      <alignment horizontal="center"/>
    </xf>
    <xf numFmtId="0" fontId="0" fillId="2" borderId="8" xfId="0" applyFill="1" applyBorder="1" applyAlignment="1">
      <alignment horizontal="center"/>
    </xf>
    <xf numFmtId="0" fontId="0" fillId="2" borderId="26" xfId="0" applyFill="1" applyBorder="1" applyAlignment="1">
      <alignment horizontal="center"/>
    </xf>
    <xf numFmtId="0" fontId="0" fillId="0" borderId="0" xfId="0" applyAlignment="1">
      <alignment horizontal="left" wrapText="1"/>
    </xf>
    <xf numFmtId="0" fontId="0" fillId="0" borderId="66" xfId="0" applyBorder="1" applyAlignment="1">
      <alignment horizontal="right"/>
    </xf>
    <xf numFmtId="0" fontId="0" fillId="0" borderId="0" xfId="0" applyBorder="1" applyAlignment="1">
      <alignment horizontal="right"/>
    </xf>
    <xf numFmtId="0" fontId="0" fillId="0" borderId="66" xfId="0" applyBorder="1" applyAlignment="1">
      <alignment horizontal="left" vertical="center" wrapText="1"/>
    </xf>
    <xf numFmtId="0" fontId="0" fillId="0" borderId="53" xfId="0" applyBorder="1" applyAlignment="1">
      <alignment horizontal="left" vertical="center" wrapText="1"/>
    </xf>
    <xf numFmtId="0" fontId="0" fillId="2" borderId="58" xfId="0" applyFill="1" applyBorder="1" applyAlignment="1">
      <alignment horizontal="center" vertical="center"/>
    </xf>
    <xf numFmtId="0" fontId="0" fillId="0" borderId="66" xfId="0" applyBorder="1" applyAlignment="1">
      <alignment horizontal="left" vertical="center"/>
    </xf>
    <xf numFmtId="0" fontId="0" fillId="0" borderId="0" xfId="0" applyBorder="1" applyAlignment="1">
      <alignment horizontal="left" vertical="center"/>
    </xf>
    <xf numFmtId="0" fontId="0" fillId="0" borderId="67" xfId="0" applyBorder="1" applyAlignment="1">
      <alignment horizontal="left" vertical="center"/>
    </xf>
    <xf numFmtId="0" fontId="0" fillId="0" borderId="56" xfId="0" applyBorder="1" applyAlignment="1">
      <alignment horizontal="left" vertical="center"/>
    </xf>
    <xf numFmtId="0" fontId="23" fillId="0" borderId="0" xfId="0" applyFont="1" applyBorder="1" applyAlignment="1">
      <alignment horizontal="left" wrapText="1"/>
    </xf>
    <xf numFmtId="0" fontId="0" fillId="0" borderId="0" xfId="0" applyAlignment="1">
      <alignment horizontal="left" vertical="center" wrapText="1"/>
    </xf>
    <xf numFmtId="2" fontId="0" fillId="17" borderId="63" xfId="0" applyNumberFormat="1" applyFill="1" applyBorder="1" applyAlignment="1">
      <alignment horizontal="center" vertical="center" wrapText="1"/>
    </xf>
    <xf numFmtId="2" fontId="0" fillId="17" borderId="42" xfId="0" applyNumberFormat="1" applyFill="1" applyBorder="1" applyAlignment="1">
      <alignment horizontal="center" vertical="center" wrapText="1"/>
    </xf>
    <xf numFmtId="0" fontId="0" fillId="0" borderId="9" xfId="0" applyFill="1" applyBorder="1" applyAlignment="1">
      <alignment horizontal="center" vertical="center" wrapText="1"/>
    </xf>
    <xf numFmtId="0" fontId="0" fillId="0" borderId="11" xfId="0" applyFill="1" applyBorder="1" applyAlignment="1">
      <alignment horizontal="center" vertical="center" wrapText="1"/>
    </xf>
    <xf numFmtId="2" fontId="0" fillId="9" borderId="17" xfId="0" applyNumberFormat="1" applyFill="1" applyBorder="1" applyAlignment="1">
      <alignment horizontal="center" vertical="center" wrapText="1"/>
    </xf>
    <xf numFmtId="2" fontId="0" fillId="9" borderId="26" xfId="0" applyNumberFormat="1" applyFill="1" applyBorder="1" applyAlignment="1">
      <alignment horizontal="center" vertical="center" wrapText="1"/>
    </xf>
    <xf numFmtId="0" fontId="0" fillId="0" borderId="15" xfId="0" applyBorder="1" applyAlignment="1">
      <alignment horizontal="center" vertical="center" wrapText="1"/>
    </xf>
    <xf numFmtId="0" fontId="0" fillId="0" borderId="10" xfId="0" applyBorder="1" applyAlignment="1">
      <alignment horizontal="center" vertical="center" wrapText="1"/>
    </xf>
    <xf numFmtId="2" fontId="0" fillId="9" borderId="1" xfId="0" applyNumberFormat="1" applyFill="1" applyBorder="1" applyAlignment="1">
      <alignment horizontal="center" vertical="center"/>
    </xf>
    <xf numFmtId="2" fontId="0" fillId="9" borderId="12" xfId="0" applyNumberFormat="1" applyFill="1" applyBorder="1" applyAlignment="1">
      <alignment horizontal="center" vertical="center"/>
    </xf>
    <xf numFmtId="2" fontId="0" fillId="9" borderId="1" xfId="0" applyNumberFormat="1" applyFill="1" applyBorder="1" applyAlignment="1">
      <alignment horizontal="center" vertical="center" wrapText="1"/>
    </xf>
    <xf numFmtId="2" fontId="0" fillId="9" borderId="12" xfId="0" applyNumberFormat="1" applyFill="1" applyBorder="1" applyAlignment="1">
      <alignment horizontal="center" vertical="center" wrapText="1"/>
    </xf>
    <xf numFmtId="2" fontId="0" fillId="9" borderId="63" xfId="0" applyNumberFormat="1" applyFill="1" applyBorder="1" applyAlignment="1">
      <alignment horizontal="center" vertical="center" wrapText="1"/>
    </xf>
    <xf numFmtId="2" fontId="0" fillId="9" borderId="42" xfId="0" applyNumberFormat="1" applyFill="1" applyBorder="1" applyAlignment="1">
      <alignment horizontal="center" vertical="center" wrapText="1"/>
    </xf>
    <xf numFmtId="0" fontId="0" fillId="0" borderId="15" xfId="0" applyFill="1" applyBorder="1" applyAlignment="1">
      <alignment horizontal="center" vertical="center" wrapText="1"/>
    </xf>
    <xf numFmtId="0" fontId="0" fillId="0" borderId="1" xfId="0" applyFill="1" applyBorder="1" applyAlignment="1">
      <alignment horizontal="center" vertical="center" wrapText="1"/>
    </xf>
    <xf numFmtId="0" fontId="23" fillId="0" borderId="47" xfId="0" applyFont="1" applyBorder="1" applyAlignment="1">
      <alignment horizontal="left" wrapText="1"/>
    </xf>
    <xf numFmtId="0" fontId="0" fillId="0" borderId="12" xfId="0" applyFill="1" applyBorder="1" applyAlignment="1">
      <alignment horizontal="left" vertical="center"/>
    </xf>
    <xf numFmtId="0" fontId="0" fillId="0" borderId="10" xfId="0" applyBorder="1" applyAlignment="1">
      <alignment horizontal="center" vertical="center"/>
    </xf>
    <xf numFmtId="0" fontId="0" fillId="0" borderId="0" xfId="0" applyAlignment="1">
      <alignment horizontal="center"/>
    </xf>
    <xf numFmtId="0" fontId="0" fillId="0" borderId="12" xfId="0" applyBorder="1" applyAlignment="1">
      <alignment horizontal="left" vertical="center"/>
    </xf>
    <xf numFmtId="0" fontId="0" fillId="0" borderId="0" xfId="0" applyBorder="1" applyAlignment="1">
      <alignment horizontal="left"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38" xfId="0" applyBorder="1" applyAlignment="1">
      <alignment horizontal="center" vertical="center" wrapText="1"/>
    </xf>
    <xf numFmtId="0" fontId="0" fillId="0" borderId="2" xfId="0" applyBorder="1" applyAlignment="1">
      <alignment horizontal="center" vertical="center" wrapText="1"/>
    </xf>
    <xf numFmtId="0" fontId="0" fillId="0" borderId="15" xfId="0" applyFont="1" applyBorder="1" applyAlignment="1">
      <alignment horizontal="center" vertical="center"/>
    </xf>
    <xf numFmtId="0" fontId="0" fillId="0" borderId="38" xfId="0" applyFont="1" applyBorder="1" applyAlignment="1">
      <alignment horizontal="center" vertical="center"/>
    </xf>
    <xf numFmtId="0" fontId="21" fillId="0" borderId="1" xfId="6" applyBorder="1" applyAlignment="1" applyProtection="1">
      <alignment horizontal="left" vertical="center"/>
    </xf>
    <xf numFmtId="0" fontId="21" fillId="0" borderId="12" xfId="6" applyBorder="1" applyAlignment="1" applyProtection="1">
      <alignment horizontal="left" vertical="center"/>
    </xf>
    <xf numFmtId="0" fontId="21" fillId="0" borderId="2" xfId="6" applyFill="1" applyBorder="1" applyAlignment="1" applyProtection="1">
      <alignment vertical="center" wrapText="1"/>
    </xf>
    <xf numFmtId="0" fontId="21" fillId="0" borderId="3" xfId="6" applyFill="1" applyBorder="1" applyAlignment="1" applyProtection="1">
      <alignment vertical="center" wrapText="1"/>
    </xf>
    <xf numFmtId="0" fontId="21" fillId="0" borderId="23" xfId="6" applyFill="1" applyBorder="1" applyAlignment="1" applyProtection="1">
      <alignment vertical="center" wrapText="1"/>
    </xf>
    <xf numFmtId="0" fontId="7" fillId="0" borderId="2" xfId="1" applyFill="1" applyBorder="1" applyAlignment="1" applyProtection="1">
      <alignment vertical="center" wrapText="1"/>
    </xf>
    <xf numFmtId="0" fontId="7" fillId="0" borderId="3" xfId="1" applyFill="1" applyBorder="1" applyAlignment="1" applyProtection="1">
      <alignment vertical="center" wrapText="1"/>
    </xf>
    <xf numFmtId="0" fontId="7" fillId="0" borderId="23" xfId="1" applyFill="1" applyBorder="1" applyAlignment="1" applyProtection="1">
      <alignment vertical="center" wrapText="1"/>
    </xf>
    <xf numFmtId="0" fontId="21" fillId="0" borderId="1" xfId="6" applyBorder="1" applyAlignment="1" applyProtection="1">
      <alignment horizontal="left" vertical="center" wrapText="1"/>
    </xf>
    <xf numFmtId="0" fontId="21" fillId="0" borderId="12" xfId="6" applyBorder="1" applyAlignment="1" applyProtection="1">
      <alignment horizontal="left" vertical="center" wrapText="1"/>
    </xf>
    <xf numFmtId="0" fontId="0" fillId="0" borderId="10"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23" xfId="0" applyFill="1" applyBorder="1" applyAlignment="1">
      <alignment horizontal="left" vertical="center"/>
    </xf>
    <xf numFmtId="0" fontId="21" fillId="0" borderId="1" xfId="6" applyFill="1" applyBorder="1" applyAlignment="1" applyProtection="1">
      <alignment horizontal="left" vertical="center" wrapText="1"/>
    </xf>
    <xf numFmtId="0" fontId="21" fillId="0" borderId="12" xfId="6" applyFill="1" applyBorder="1" applyAlignment="1" applyProtection="1">
      <alignment horizontal="left" vertical="center" wrapText="1"/>
    </xf>
    <xf numFmtId="0" fontId="21" fillId="0" borderId="2" xfId="6" applyFill="1" applyBorder="1" applyAlignment="1" applyProtection="1">
      <alignment horizontal="left" vertical="center" wrapText="1"/>
    </xf>
    <xf numFmtId="0" fontId="21" fillId="0" borderId="3" xfId="6" applyFill="1" applyBorder="1" applyAlignment="1" applyProtection="1">
      <alignment horizontal="left" vertical="center" wrapText="1"/>
    </xf>
    <xf numFmtId="0" fontId="21" fillId="0" borderId="23" xfId="6" applyFill="1" applyBorder="1" applyAlignment="1" applyProtection="1">
      <alignment horizontal="left" vertical="center" wrapText="1"/>
    </xf>
    <xf numFmtId="0" fontId="9" fillId="0" borderId="1" xfId="0" applyFont="1" applyFill="1" applyBorder="1" applyAlignment="1">
      <alignment horizontal="left" vertical="center"/>
    </xf>
    <xf numFmtId="0" fontId="9" fillId="0" borderId="12" xfId="0" applyFont="1" applyFill="1" applyBorder="1" applyAlignment="1">
      <alignment horizontal="left" vertical="center"/>
    </xf>
    <xf numFmtId="0" fontId="21" fillId="0" borderId="16" xfId="6" applyBorder="1" applyAlignment="1" applyProtection="1">
      <alignment horizontal="left" vertical="center"/>
    </xf>
    <xf numFmtId="0" fontId="21" fillId="0" borderId="14" xfId="6" applyBorder="1" applyAlignment="1" applyProtection="1">
      <alignment horizontal="left" vertical="center"/>
    </xf>
    <xf numFmtId="0" fontId="0" fillId="0" borderId="0" xfId="0" applyAlignment="1">
      <alignment horizontal="left" vertical="center"/>
    </xf>
    <xf numFmtId="0" fontId="0" fillId="0" borderId="0" xfId="0" applyFill="1" applyAlignment="1">
      <alignment horizontal="left" vertical="center"/>
    </xf>
    <xf numFmtId="0" fontId="26" fillId="0" borderId="1" xfId="0" applyFont="1" applyBorder="1" applyAlignment="1">
      <alignment horizontal="left" vertical="center"/>
    </xf>
    <xf numFmtId="0" fontId="26" fillId="0" borderId="12" xfId="0" applyFont="1" applyBorder="1" applyAlignment="1">
      <alignment horizontal="left"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23" xfId="0" applyFill="1" applyBorder="1" applyAlignment="1">
      <alignment horizontal="center" vertical="center"/>
    </xf>
    <xf numFmtId="0" fontId="7" fillId="0" borderId="1" xfId="1" applyBorder="1" applyAlignment="1" applyProtection="1">
      <alignment horizontal="left" vertical="center" wrapText="1"/>
    </xf>
    <xf numFmtId="0" fontId="7" fillId="0" borderId="12" xfId="1" applyBorder="1" applyAlignment="1" applyProtection="1">
      <alignment horizontal="left" vertical="center" wrapText="1"/>
    </xf>
    <xf numFmtId="2" fontId="0" fillId="9" borderId="13" xfId="0" applyNumberFormat="1" applyFill="1" applyBorder="1" applyAlignment="1">
      <alignment horizontal="center" vertical="center" wrapText="1"/>
    </xf>
    <xf numFmtId="2" fontId="0" fillId="9" borderId="14" xfId="0" applyNumberFormat="1" applyFill="1" applyBorder="1" applyAlignment="1">
      <alignment horizontal="center" vertical="center" wrapText="1"/>
    </xf>
    <xf numFmtId="2" fontId="0" fillId="9" borderId="55" xfId="0" applyNumberFormat="1" applyFill="1" applyBorder="1" applyAlignment="1">
      <alignment horizontal="center" vertical="center" wrapText="1"/>
    </xf>
    <xf numFmtId="0" fontId="1" fillId="0" borderId="29"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73" xfId="0" applyFont="1" applyBorder="1" applyAlignment="1">
      <alignment horizontal="center" vertical="center" wrapText="1"/>
    </xf>
    <xf numFmtId="2" fontId="0" fillId="9" borderId="9" xfId="0" applyNumberFormat="1" applyFill="1" applyBorder="1" applyAlignment="1">
      <alignment horizontal="center" vertical="center"/>
    </xf>
    <xf numFmtId="2" fontId="0" fillId="9" borderId="10" xfId="0" applyNumberFormat="1" applyFill="1" applyBorder="1" applyAlignment="1">
      <alignment horizontal="center" vertical="center"/>
    </xf>
    <xf numFmtId="2" fontId="0" fillId="9" borderId="54" xfId="0" applyNumberFormat="1" applyFill="1" applyBorder="1" applyAlignment="1">
      <alignment horizontal="center" vertical="center"/>
    </xf>
    <xf numFmtId="2" fontId="0" fillId="9" borderId="9" xfId="0" applyNumberFormat="1" applyFill="1" applyBorder="1" applyAlignment="1">
      <alignment horizontal="center" vertical="center" wrapText="1"/>
    </xf>
    <xf numFmtId="2" fontId="0" fillId="9" borderId="10" xfId="0" applyNumberFormat="1" applyFill="1" applyBorder="1" applyAlignment="1">
      <alignment horizontal="center" vertical="center" wrapText="1"/>
    </xf>
    <xf numFmtId="2" fontId="0" fillId="9" borderId="54" xfId="0" applyNumberFormat="1" applyFill="1" applyBorder="1" applyAlignment="1">
      <alignment horizontal="center" vertical="center" wrapText="1"/>
    </xf>
    <xf numFmtId="2" fontId="0" fillId="9" borderId="43" xfId="0" applyNumberFormat="1" applyFill="1" applyBorder="1" applyAlignment="1">
      <alignment horizontal="center" vertical="center" wrapText="1"/>
    </xf>
    <xf numFmtId="2" fontId="0" fillId="9" borderId="45" xfId="0" applyNumberFormat="1" applyFill="1" applyBorder="1" applyAlignment="1">
      <alignment horizontal="center" vertical="center" wrapText="1"/>
    </xf>
    <xf numFmtId="2" fontId="0" fillId="17" borderId="64" xfId="0" applyNumberFormat="1" applyFill="1" applyBorder="1" applyAlignment="1">
      <alignment horizontal="center" vertical="center" wrapText="1"/>
    </xf>
    <xf numFmtId="2" fontId="0" fillId="17" borderId="45" xfId="0" applyNumberFormat="1" applyFill="1" applyBorder="1" applyAlignment="1">
      <alignment horizontal="center" vertical="center" wrapText="1"/>
    </xf>
    <xf numFmtId="0" fontId="1" fillId="0" borderId="59" xfId="0" applyFont="1" applyBorder="1" applyAlignment="1">
      <alignment horizontal="center" vertical="center"/>
    </xf>
    <xf numFmtId="0" fontId="1" fillId="0" borderId="43" xfId="0" applyFont="1" applyBorder="1" applyAlignment="1">
      <alignment horizontal="center" vertical="center"/>
    </xf>
    <xf numFmtId="0" fontId="1" fillId="0" borderId="59"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21" fillId="0" borderId="2" xfId="6" applyBorder="1" applyAlignment="1" applyProtection="1">
      <alignment vertical="center" wrapText="1"/>
    </xf>
    <xf numFmtId="0" fontId="21" fillId="0" borderId="3" xfId="6" applyBorder="1" applyAlignment="1" applyProtection="1">
      <alignment vertical="center" wrapText="1"/>
    </xf>
    <xf numFmtId="0" fontId="21" fillId="0" borderId="23" xfId="6" applyBorder="1" applyAlignment="1" applyProtection="1">
      <alignment vertical="center" wrapText="1"/>
    </xf>
    <xf numFmtId="0" fontId="1" fillId="0" borderId="5"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0" xfId="0" applyFont="1" applyBorder="1" applyAlignment="1">
      <alignment horizontal="center" vertical="center"/>
    </xf>
    <xf numFmtId="0" fontId="1" fillId="0" borderId="38" xfId="0" applyFont="1" applyFill="1" applyBorder="1" applyAlignment="1">
      <alignment horizontal="center" vertical="center" wrapText="1"/>
    </xf>
    <xf numFmtId="0" fontId="1" fillId="0" borderId="39"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0" fillId="0" borderId="1" xfId="0" applyBorder="1"/>
    <xf numFmtId="0" fontId="0" fillId="0" borderId="12" xfId="0" applyBorder="1"/>
    <xf numFmtId="0" fontId="21" fillId="0" borderId="1" xfId="6" applyBorder="1" applyAlignment="1" applyProtection="1"/>
    <xf numFmtId="0" fontId="21" fillId="0" borderId="12" xfId="6" applyBorder="1" applyAlignment="1" applyProtection="1"/>
    <xf numFmtId="0" fontId="0" fillId="0" borderId="2" xfId="0" applyBorder="1" applyAlignment="1">
      <alignment horizontal="center" vertical="center"/>
    </xf>
    <xf numFmtId="0" fontId="0" fillId="0" borderId="3" xfId="0" applyBorder="1" applyAlignment="1">
      <alignment horizontal="center" vertical="center"/>
    </xf>
    <xf numFmtId="0" fontId="0" fillId="0" borderId="23" xfId="0" applyBorder="1" applyAlignment="1">
      <alignment horizontal="center" vertical="center"/>
    </xf>
    <xf numFmtId="0" fontId="21" fillId="0" borderId="2" xfId="6" applyBorder="1" applyAlignment="1" applyProtection="1">
      <alignment horizontal="left" vertical="center" wrapText="1"/>
    </xf>
    <xf numFmtId="0" fontId="21" fillId="0" borderId="3" xfId="6" applyBorder="1" applyAlignment="1" applyProtection="1">
      <alignment horizontal="left" vertical="center" wrapText="1"/>
    </xf>
    <xf numFmtId="0" fontId="21" fillId="0" borderId="23" xfId="6" applyBorder="1" applyAlignment="1" applyProtection="1">
      <alignment horizontal="left" vertical="center" wrapText="1"/>
    </xf>
    <xf numFmtId="0" fontId="21" fillId="0" borderId="2" xfId="6" applyBorder="1" applyAlignment="1" applyProtection="1">
      <alignment horizontal="left" vertical="center"/>
    </xf>
    <xf numFmtId="0" fontId="21" fillId="0" borderId="3" xfId="6" applyBorder="1" applyAlignment="1" applyProtection="1">
      <alignment horizontal="left" vertical="center"/>
    </xf>
    <xf numFmtId="0" fontId="21" fillId="0" borderId="23" xfId="6" applyBorder="1" applyAlignment="1" applyProtection="1">
      <alignment horizontal="left" vertical="center"/>
    </xf>
    <xf numFmtId="0" fontId="0" fillId="0" borderId="24" xfId="0" applyBorder="1" applyAlignment="1">
      <alignment horizontal="left" vertical="center" wrapText="1"/>
    </xf>
    <xf numFmtId="0" fontId="0" fillId="0" borderId="3" xfId="0" applyBorder="1" applyAlignment="1">
      <alignment horizontal="left" vertical="center" wrapText="1"/>
    </xf>
    <xf numFmtId="0" fontId="0" fillId="0" borderId="50" xfId="0" applyBorder="1" applyAlignment="1">
      <alignment horizontal="left" vertical="center" wrapText="1"/>
    </xf>
    <xf numFmtId="0" fontId="0" fillId="0" borderId="52" xfId="0" applyBorder="1" applyAlignment="1">
      <alignment horizontal="left" vertical="center" wrapText="1"/>
    </xf>
    <xf numFmtId="0" fontId="9" fillId="0" borderId="30" xfId="0" applyFont="1" applyBorder="1" applyAlignment="1">
      <alignment horizontal="left"/>
    </xf>
    <xf numFmtId="0" fontId="9" fillId="0" borderId="31" xfId="0" applyFont="1" applyBorder="1" applyAlignment="1">
      <alignment horizontal="left"/>
    </xf>
    <xf numFmtId="0" fontId="0" fillId="0" borderId="9" xfId="0" applyFont="1" applyBorder="1" applyAlignment="1">
      <alignment horizontal="center" vertical="center"/>
    </xf>
    <xf numFmtId="0" fontId="0" fillId="0" borderId="11" xfId="0" applyFont="1" applyBorder="1" applyAlignment="1">
      <alignment horizontal="center" vertical="center"/>
    </xf>
    <xf numFmtId="0" fontId="0" fillId="0" borderId="1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 xfId="0" applyFont="1" applyBorder="1" applyAlignment="1">
      <alignment horizontal="center"/>
    </xf>
    <xf numFmtId="0" fontId="0" fillId="0" borderId="59" xfId="0" applyBorder="1" applyAlignment="1" applyProtection="1">
      <alignment horizontal="center" vertical="center"/>
    </xf>
    <xf numFmtId="0" fontId="0" fillId="0" borderId="60" xfId="0" applyBorder="1" applyAlignment="1" applyProtection="1">
      <alignment horizontal="center" vertical="center"/>
    </xf>
    <xf numFmtId="0" fontId="0" fillId="0" borderId="62" xfId="0" applyBorder="1" applyAlignment="1" applyProtection="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59" xfId="0" applyBorder="1" applyAlignment="1">
      <alignment horizontal="center" wrapText="1"/>
    </xf>
    <xf numFmtId="0" fontId="0" fillId="0" borderId="60" xfId="0" applyBorder="1" applyAlignment="1">
      <alignment horizontal="center"/>
    </xf>
    <xf numFmtId="0" fontId="0" fillId="0" borderId="62" xfId="0" applyBorder="1" applyAlignment="1">
      <alignment horizontal="center"/>
    </xf>
    <xf numFmtId="0" fontId="0" fillId="0" borderId="10" xfId="0" applyFont="1" applyBorder="1" applyAlignment="1">
      <alignment horizontal="center" vertical="center"/>
    </xf>
    <xf numFmtId="0" fontId="1" fillId="0" borderId="2" xfId="0" applyFont="1" applyBorder="1" applyAlignment="1">
      <alignment horizontal="center"/>
    </xf>
    <xf numFmtId="0" fontId="1" fillId="0" borderId="4" xfId="0" applyFont="1" applyBorder="1" applyAlignment="1">
      <alignment horizontal="center"/>
    </xf>
    <xf numFmtId="0" fontId="1" fillId="0" borderId="2" xfId="0" applyFont="1" applyFill="1" applyBorder="1" applyAlignment="1">
      <alignment horizontal="center"/>
    </xf>
    <xf numFmtId="0" fontId="1" fillId="0" borderId="4" xfId="0" applyFont="1" applyFill="1" applyBorder="1" applyAlignment="1">
      <alignment horizontal="center"/>
    </xf>
    <xf numFmtId="0" fontId="6" fillId="0" borderId="2" xfId="0" applyFont="1" applyBorder="1" applyAlignment="1" applyProtection="1">
      <alignment horizontal="left"/>
    </xf>
    <xf numFmtId="0" fontId="6" fillId="0" borderId="4" xfId="0" applyFont="1" applyBorder="1" applyAlignment="1" applyProtection="1">
      <alignment horizontal="left"/>
    </xf>
    <xf numFmtId="0" fontId="6" fillId="0" borderId="1" xfId="0" applyFont="1" applyBorder="1" applyAlignment="1" applyProtection="1">
      <alignment horizontal="left"/>
    </xf>
    <xf numFmtId="0" fontId="1" fillId="0" borderId="9" xfId="0" applyFont="1" applyBorder="1" applyAlignment="1">
      <alignment horizontal="center"/>
    </xf>
    <xf numFmtId="0" fontId="1" fillId="0" borderId="15" xfId="0" applyFont="1" applyBorder="1" applyAlignment="1">
      <alignment horizontal="center"/>
    </xf>
    <xf numFmtId="0" fontId="1" fillId="0" borderId="10" xfId="0" applyFont="1" applyBorder="1" applyAlignment="1">
      <alignment horizontal="center"/>
    </xf>
    <xf numFmtId="0" fontId="1" fillId="0" borderId="40" xfId="0" applyFont="1" applyBorder="1" applyAlignment="1">
      <alignment horizontal="center"/>
    </xf>
    <xf numFmtId="0" fontId="1" fillId="0" borderId="41" xfId="0" applyFont="1" applyBorder="1" applyAlignment="1">
      <alignment horizontal="center"/>
    </xf>
    <xf numFmtId="0" fontId="1" fillId="0" borderId="42" xfId="0" applyFont="1" applyBorder="1" applyAlignment="1">
      <alignment horizontal="center"/>
    </xf>
    <xf numFmtId="0" fontId="0" fillId="0" borderId="9"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1" fillId="0" borderId="61" xfId="0" applyFont="1" applyBorder="1" applyAlignment="1">
      <alignment horizontal="center" vertical="center"/>
    </xf>
    <xf numFmtId="0" fontId="1" fillId="0" borderId="76" xfId="0" applyFont="1" applyBorder="1" applyAlignment="1">
      <alignment horizontal="center" vertical="center"/>
    </xf>
    <xf numFmtId="0" fontId="1" fillId="0" borderId="14" xfId="0" applyFont="1" applyFill="1" applyBorder="1" applyAlignment="1">
      <alignment horizontal="center" vertical="center" wrapText="1"/>
    </xf>
    <xf numFmtId="0" fontId="0" fillId="0" borderId="56" xfId="0" applyBorder="1" applyAlignment="1">
      <alignment horizontal="center"/>
    </xf>
    <xf numFmtId="0" fontId="1" fillId="0" borderId="16" xfId="0" applyFont="1" applyBorder="1" applyAlignment="1">
      <alignment horizontal="center" vertical="center"/>
    </xf>
    <xf numFmtId="0" fontId="1" fillId="0" borderId="14" xfId="0" applyFont="1" applyBorder="1" applyAlignment="1">
      <alignment horizontal="center" vertical="center"/>
    </xf>
    <xf numFmtId="0" fontId="0" fillId="0" borderId="6" xfId="0" applyBorder="1" applyAlignment="1">
      <alignment horizontal="center"/>
    </xf>
    <xf numFmtId="0" fontId="0" fillId="0" borderId="33" xfId="0" applyBorder="1" applyAlignment="1">
      <alignment horizontal="center"/>
    </xf>
    <xf numFmtId="0" fontId="0" fillId="0" borderId="1" xfId="0" applyBorder="1" applyAlignment="1">
      <alignment horizontal="center"/>
    </xf>
    <xf numFmtId="0" fontId="0" fillId="0" borderId="12" xfId="0" applyBorder="1" applyAlignment="1">
      <alignment horizontal="center"/>
    </xf>
    <xf numFmtId="0" fontId="0" fillId="0" borderId="16" xfId="0" applyBorder="1" applyAlignment="1">
      <alignment horizontal="center"/>
    </xf>
    <xf numFmtId="0" fontId="0" fillId="0" borderId="14" xfId="0" applyBorder="1" applyAlignment="1">
      <alignment horizontal="center"/>
    </xf>
    <xf numFmtId="0" fontId="9" fillId="0" borderId="1" xfId="0" applyFont="1" applyFill="1" applyBorder="1" applyAlignment="1">
      <alignment horizontal="center" vertical="center"/>
    </xf>
    <xf numFmtId="0" fontId="1" fillId="0" borderId="1" xfId="0" applyFont="1" applyFill="1" applyBorder="1" applyAlignment="1">
      <alignment horizontal="center"/>
    </xf>
    <xf numFmtId="0" fontId="0" fillId="0" borderId="4" xfId="0" applyBorder="1" applyAlignment="1">
      <alignment horizontal="center"/>
    </xf>
    <xf numFmtId="0" fontId="0" fillId="0" borderId="55"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23" xfId="0" applyBorder="1" applyAlignment="1">
      <alignment horizontal="center"/>
    </xf>
    <xf numFmtId="0" fontId="1" fillId="0" borderId="1" xfId="0" applyFont="1" applyBorder="1" applyAlignment="1">
      <alignment horizontal="center"/>
    </xf>
    <xf numFmtId="0" fontId="0" fillId="0" borderId="1" xfId="0" applyFill="1" applyBorder="1" applyAlignment="1">
      <alignment horizontal="left"/>
    </xf>
    <xf numFmtId="0" fontId="0" fillId="0" borderId="1" xfId="0" applyBorder="1" applyAlignment="1">
      <alignment horizontal="left"/>
    </xf>
    <xf numFmtId="0" fontId="0" fillId="0" borderId="1" xfId="0" applyFill="1" applyBorder="1" applyAlignment="1">
      <alignment horizontal="center"/>
    </xf>
    <xf numFmtId="0" fontId="0" fillId="0" borderId="20" xfId="0" applyBorder="1" applyAlignment="1">
      <alignment horizontal="center"/>
    </xf>
    <xf numFmtId="0" fontId="0" fillId="0" borderId="60" xfId="0" applyBorder="1" applyAlignment="1">
      <alignment horizontal="center" wrapText="1"/>
    </xf>
    <xf numFmtId="0" fontId="0" fillId="0" borderId="6" xfId="0" applyBorder="1" applyAlignment="1">
      <alignment horizontal="center" wrapText="1"/>
    </xf>
    <xf numFmtId="0" fontId="0" fillId="0" borderId="62" xfId="0" applyBorder="1" applyAlignment="1">
      <alignment horizontal="center" wrapText="1"/>
    </xf>
    <xf numFmtId="0" fontId="0" fillId="0" borderId="33" xfId="0" applyBorder="1" applyAlignment="1">
      <alignment horizontal="center" wrapText="1"/>
    </xf>
    <xf numFmtId="0" fontId="0" fillId="0" borderId="9" xfId="0" applyFont="1" applyFill="1" applyBorder="1" applyAlignment="1" applyProtection="1">
      <alignment horizontal="center" vertical="center" wrapText="1"/>
    </xf>
    <xf numFmtId="0" fontId="0" fillId="0" borderId="11" xfId="0" applyFont="1" applyFill="1" applyBorder="1" applyAlignment="1" applyProtection="1">
      <alignment horizontal="center" vertical="center" wrapText="1"/>
    </xf>
    <xf numFmtId="0" fontId="0" fillId="0" borderId="15"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0" fillId="0" borderId="27" xfId="0" applyBorder="1" applyAlignment="1" applyProtection="1">
      <alignment horizontal="center" vertical="center"/>
    </xf>
    <xf numFmtId="0" fontId="0" fillId="0" borderId="60"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15" xfId="0" applyBorder="1" applyAlignment="1">
      <alignment horizontal="center" wrapText="1"/>
    </xf>
    <xf numFmtId="0" fontId="0" fillId="0" borderId="1" xfId="0" applyBorder="1" applyAlignment="1">
      <alignment horizontal="center" wrapText="1"/>
    </xf>
    <xf numFmtId="0" fontId="0" fillId="0" borderId="10" xfId="0" applyBorder="1" applyAlignment="1">
      <alignment horizontal="center" wrapText="1"/>
    </xf>
    <xf numFmtId="0" fontId="0" fillId="0" borderId="12" xfId="0" applyBorder="1" applyAlignment="1">
      <alignment horizontal="center" wrapText="1"/>
    </xf>
    <xf numFmtId="0" fontId="1" fillId="0" borderId="7" xfId="0" applyFont="1" applyBorder="1" applyAlignment="1">
      <alignment horizontal="center"/>
    </xf>
    <xf numFmtId="0" fontId="0" fillId="0" borderId="46" xfId="0" applyBorder="1" applyAlignment="1">
      <alignment horizontal="center"/>
    </xf>
    <xf numFmtId="0" fontId="0" fillId="0" borderId="53" xfId="0" applyBorder="1" applyAlignment="1">
      <alignment horizontal="center"/>
    </xf>
    <xf numFmtId="0" fontId="0" fillId="9" borderId="1" xfId="0" applyFill="1" applyBorder="1" applyAlignment="1">
      <alignment horizontal="center" vertical="center" wrapText="1"/>
    </xf>
    <xf numFmtId="0" fontId="0" fillId="0" borderId="54" xfId="0" applyBorder="1" applyAlignment="1">
      <alignment horizontal="center" wrapText="1"/>
    </xf>
    <xf numFmtId="0" fontId="0" fillId="0" borderId="4" xfId="0" applyBorder="1" applyAlignment="1">
      <alignment horizontal="center" wrapText="1"/>
    </xf>
    <xf numFmtId="0" fontId="0" fillId="0" borderId="10" xfId="0" applyFont="1" applyFill="1" applyBorder="1" applyAlignment="1" applyProtection="1">
      <alignment horizontal="center" vertical="center" wrapText="1"/>
    </xf>
    <xf numFmtId="0" fontId="0" fillId="0" borderId="12" xfId="0" applyFont="1" applyFill="1" applyBorder="1" applyAlignment="1" applyProtection="1">
      <alignment horizontal="center" vertical="center" wrapText="1"/>
    </xf>
    <xf numFmtId="0" fontId="0" fillId="0" borderId="0" xfId="0" applyBorder="1" applyAlignment="1">
      <alignment horizontal="center"/>
    </xf>
    <xf numFmtId="0" fontId="0" fillId="0" borderId="34" xfId="0" applyBorder="1" applyAlignment="1">
      <alignment horizontal="center" wrapText="1"/>
    </xf>
    <xf numFmtId="0" fontId="0" fillId="0" borderId="35" xfId="0" applyBorder="1" applyAlignment="1">
      <alignment horizontal="center" wrapText="1"/>
    </xf>
    <xf numFmtId="0" fontId="0" fillId="0" borderId="6" xfId="0" applyBorder="1" applyAlignment="1">
      <alignment horizontal="left" wrapText="1"/>
    </xf>
    <xf numFmtId="0" fontId="0" fillId="0" borderId="33" xfId="0" applyBorder="1" applyAlignment="1">
      <alignment horizontal="left" wrapText="1"/>
    </xf>
    <xf numFmtId="0" fontId="0" fillId="0" borderId="1" xfId="0" applyBorder="1" applyAlignment="1">
      <alignment horizontal="left" wrapText="1"/>
    </xf>
    <xf numFmtId="0" fontId="0" fillId="0" borderId="12" xfId="0" applyBorder="1" applyAlignment="1">
      <alignment horizontal="left" wrapText="1"/>
    </xf>
    <xf numFmtId="0" fontId="0" fillId="0" borderId="16" xfId="0" applyBorder="1" applyAlignment="1">
      <alignment horizontal="left" wrapText="1"/>
    </xf>
    <xf numFmtId="0" fontId="0" fillId="0" borderId="14" xfId="0" applyBorder="1" applyAlignment="1">
      <alignment horizontal="left" wrapText="1"/>
    </xf>
    <xf numFmtId="0" fontId="13" fillId="0" borderId="49" xfId="0" applyFont="1" applyBorder="1" applyAlignment="1">
      <alignment horizontal="center"/>
    </xf>
    <xf numFmtId="0" fontId="13" fillId="0" borderId="51" xfId="0" applyFont="1" applyBorder="1" applyAlignment="1">
      <alignment horizontal="center"/>
    </xf>
    <xf numFmtId="0" fontId="13" fillId="0" borderId="57" xfId="0" applyFont="1" applyBorder="1" applyAlignment="1">
      <alignment horizont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74" xfId="0" applyBorder="1" applyAlignment="1">
      <alignment horizontal="center" vertical="center"/>
    </xf>
    <xf numFmtId="0" fontId="0" fillId="0" borderId="0" xfId="0" applyBorder="1" applyAlignment="1">
      <alignment horizontal="center" vertical="center"/>
    </xf>
    <xf numFmtId="0" fontId="0" fillId="0" borderId="58" xfId="0" applyBorder="1" applyAlignment="1">
      <alignment horizontal="center" vertical="center"/>
    </xf>
    <xf numFmtId="0" fontId="0" fillId="0" borderId="56" xfId="0" applyBorder="1" applyAlignment="1">
      <alignment horizontal="center" vertical="center"/>
    </xf>
    <xf numFmtId="0" fontId="0" fillId="0" borderId="68" xfId="0" applyBorder="1" applyAlignment="1">
      <alignment horizontal="center" vertical="center"/>
    </xf>
    <xf numFmtId="0" fontId="0" fillId="0" borderId="5" xfId="0" applyBorder="1" applyAlignment="1">
      <alignment horizontal="center"/>
    </xf>
    <xf numFmtId="0" fontId="0" fillId="0" borderId="28" xfId="0" applyBorder="1" applyAlignment="1">
      <alignment horizontal="center"/>
    </xf>
    <xf numFmtId="0" fontId="0" fillId="0" borderId="6" xfId="0" applyBorder="1" applyAlignment="1">
      <alignment horizontal="left"/>
    </xf>
    <xf numFmtId="0" fontId="0" fillId="0" borderId="33" xfId="0" applyBorder="1" applyAlignment="1">
      <alignment horizontal="left"/>
    </xf>
    <xf numFmtId="0" fontId="13" fillId="0" borderId="9" xfId="0" applyFont="1" applyBorder="1" applyAlignment="1">
      <alignment horizontal="center"/>
    </xf>
    <xf numFmtId="0" fontId="13" fillId="0" borderId="15" xfId="0" applyFont="1" applyBorder="1" applyAlignment="1">
      <alignment horizontal="center"/>
    </xf>
    <xf numFmtId="0" fontId="13" fillId="0" borderId="10" xfId="0" applyFont="1" applyBorder="1" applyAlignment="1">
      <alignment horizontal="center"/>
    </xf>
    <xf numFmtId="0" fontId="0" fillId="0" borderId="39" xfId="0" applyBorder="1" applyAlignment="1">
      <alignment horizontal="center"/>
    </xf>
    <xf numFmtId="0" fontId="0" fillId="0" borderId="52" xfId="0" applyBorder="1" applyAlignment="1">
      <alignment horizontal="center"/>
    </xf>
    <xf numFmtId="0" fontId="0" fillId="0" borderId="72" xfId="0" applyBorder="1" applyAlignment="1">
      <alignment horizontal="center"/>
    </xf>
    <xf numFmtId="0" fontId="0" fillId="0" borderId="12" xfId="0" applyBorder="1" applyAlignment="1">
      <alignment horizontal="left"/>
    </xf>
    <xf numFmtId="0" fontId="13" fillId="0" borderId="29" xfId="0" applyFont="1" applyBorder="1" applyAlignment="1">
      <alignment horizontal="center"/>
    </xf>
    <xf numFmtId="0" fontId="13" fillId="0" borderId="30" xfId="0" applyFont="1" applyBorder="1" applyAlignment="1">
      <alignment horizontal="center"/>
    </xf>
    <xf numFmtId="0" fontId="13" fillId="0" borderId="31" xfId="0" applyFont="1" applyBorder="1" applyAlignment="1">
      <alignment horizontal="center"/>
    </xf>
  </cellXfs>
  <cellStyles count="13">
    <cellStyle name="Comma" xfId="5" builtinId="3"/>
    <cellStyle name="Comma 2" xfId="12" xr:uid="{00000000-0005-0000-0000-000001000000}"/>
    <cellStyle name="Currency" xfId="3" builtinId="4"/>
    <cellStyle name="Hyperlink" xfId="1" builtinId="8"/>
    <cellStyle name="Hyperlink 2" xfId="2" xr:uid="{00000000-0005-0000-0000-000004000000}"/>
    <cellStyle name="Hyperlink 3" xfId="6" xr:uid="{00000000-0005-0000-0000-000005000000}"/>
    <cellStyle name="Hyperlink 4" xfId="11" xr:uid="{00000000-0005-0000-0000-000006000000}"/>
    <cellStyle name="Normal" xfId="0" builtinId="0"/>
    <cellStyle name="Normal 11" xfId="4" xr:uid="{00000000-0005-0000-0000-000008000000}"/>
    <cellStyle name="Normal 13" xfId="9" xr:uid="{00000000-0005-0000-0000-000009000000}"/>
    <cellStyle name="Normal 15" xfId="10" xr:uid="{00000000-0005-0000-0000-00000A000000}"/>
    <cellStyle name="Normal 16" xfId="8" xr:uid="{00000000-0005-0000-0000-00000B000000}"/>
    <cellStyle name="Normal 17" xfId="7" xr:uid="{00000000-0005-0000-0000-00000C000000}"/>
  </cellStyles>
  <dxfs count="2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FF0000"/>
        </patternFill>
      </fill>
    </dxf>
    <dxf>
      <fill>
        <patternFill>
          <bgColor theme="6" tint="0.79998168889431442"/>
        </patternFill>
      </fill>
    </dxf>
    <dxf>
      <fill>
        <patternFill>
          <bgColor theme="6" tint="0.79998168889431442"/>
        </patternFill>
      </fill>
    </dxf>
    <dxf>
      <fill>
        <patternFill patternType="none">
          <bgColor auto="1"/>
        </patternFill>
      </fill>
    </dxf>
    <dxf>
      <fill>
        <patternFill patternType="none">
          <bgColor auto="1"/>
        </patternFill>
      </fill>
    </dxf>
    <dxf>
      <fill>
        <patternFill>
          <bgColor theme="6" tint="0.79998168889431442"/>
        </patternFill>
      </fill>
    </dxf>
    <dxf>
      <fill>
        <patternFill patternType="none">
          <bgColor auto="1"/>
        </patternFill>
      </fill>
    </dxf>
    <dxf>
      <fill>
        <patternFill>
          <bgColor theme="6" tint="0.79998168889431442"/>
        </patternFill>
      </fill>
    </dxf>
    <dxf>
      <fill>
        <patternFill patternType="none">
          <bgColor auto="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patternType="none">
          <bgColor auto="1"/>
        </patternFill>
      </fill>
    </dxf>
    <dxf>
      <fill>
        <patternFill patternType="none">
          <bgColor auto="1"/>
        </patternFill>
      </fill>
    </dxf>
    <dxf>
      <fill>
        <patternFill>
          <bgColor theme="6" tint="0.79998168889431442"/>
        </patternFill>
      </fill>
    </dxf>
    <dxf>
      <fill>
        <patternFill patternType="none">
          <bgColor auto="1"/>
        </patternFill>
      </fill>
    </dxf>
    <dxf>
      <fill>
        <patternFill>
          <bgColor theme="6" tint="0.79998168889431442"/>
        </patternFill>
      </fill>
    </dxf>
    <dxf>
      <fill>
        <patternFill patternType="none">
          <bgColor auto="1"/>
        </patternFill>
      </fill>
    </dxf>
  </dxfs>
  <tableStyles count="0" defaultTableStyle="TableStyleMedium2" defaultPivotStyle="PivotStyleLight16"/>
  <colors>
    <mruColors>
      <color rgb="FFF6FE94"/>
      <color rgb="FF0000FF"/>
      <color rgb="FFF8FC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externalLink" Target="externalLinks/externalLink16.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externalLink" Target="externalLinks/externalLink17.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1" Type="http://schemas.openxmlformats.org/officeDocument/2006/relationships/image" Target="../media/image8.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1742098</xdr:colOff>
      <xdr:row>5</xdr:row>
      <xdr:rowOff>179615</xdr:rowOff>
    </xdr:to>
    <xdr:pic>
      <xdr:nvPicPr>
        <xdr:cNvPr id="2" name="Picture 1" descr="Logo: California Climate Investments- Cap and Trade Dollars at Work">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1743458" cy="13716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1410083</xdr:colOff>
      <xdr:row>5</xdr:row>
      <xdr:rowOff>216357</xdr:rowOff>
    </xdr:to>
    <xdr:pic>
      <xdr:nvPicPr>
        <xdr:cNvPr id="2" name="Picture 1" descr="CCI Logo">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43458" cy="13716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xdr:colOff>
      <xdr:row>0</xdr:row>
      <xdr:rowOff>0</xdr:rowOff>
    </xdr:from>
    <xdr:to>
      <xdr:col>1</xdr:col>
      <xdr:colOff>1419616</xdr:colOff>
      <xdr:row>6</xdr:row>
      <xdr:rowOff>38100</xdr:rowOff>
    </xdr:to>
    <xdr:pic>
      <xdr:nvPicPr>
        <xdr:cNvPr id="2" name="Picture 1" descr="CCI Logo">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 y="0"/>
          <a:ext cx="1705358" cy="13716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xdr:colOff>
      <xdr:row>0</xdr:row>
      <xdr:rowOff>0</xdr:rowOff>
    </xdr:from>
    <xdr:to>
      <xdr:col>0</xdr:col>
      <xdr:colOff>2020740</xdr:colOff>
      <xdr:row>7</xdr:row>
      <xdr:rowOff>19050</xdr:rowOff>
    </xdr:to>
    <xdr:pic>
      <xdr:nvPicPr>
        <xdr:cNvPr id="5" name="Picture 4" descr="CCI Logo">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 y="0"/>
          <a:ext cx="2020732" cy="16478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2373036</xdr:colOff>
      <xdr:row>8</xdr:row>
      <xdr:rowOff>28574</xdr:rowOff>
    </xdr:to>
    <xdr:pic>
      <xdr:nvPicPr>
        <xdr:cNvPr id="4" name="Picture 3" descr="CCI Logo">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0" y="0"/>
          <a:ext cx="2373036" cy="1866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xdr:colOff>
      <xdr:row>0</xdr:row>
      <xdr:rowOff>0</xdr:rowOff>
    </xdr:from>
    <xdr:to>
      <xdr:col>2</xdr:col>
      <xdr:colOff>1171966</xdr:colOff>
      <xdr:row>6</xdr:row>
      <xdr:rowOff>0</xdr:rowOff>
    </xdr:to>
    <xdr:pic>
      <xdr:nvPicPr>
        <xdr:cNvPr id="2" name="Picture 1" descr="CCI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8" y="0"/>
          <a:ext cx="1743458" cy="1371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95633</xdr:colOff>
      <xdr:row>6</xdr:row>
      <xdr:rowOff>0</xdr:rowOff>
    </xdr:to>
    <xdr:pic>
      <xdr:nvPicPr>
        <xdr:cNvPr id="4" name="Picture 3" descr="CCI Logo">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743458" cy="1381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142876</xdr:colOff>
      <xdr:row>6</xdr:row>
      <xdr:rowOff>59016</xdr:rowOff>
    </xdr:to>
    <xdr:pic>
      <xdr:nvPicPr>
        <xdr:cNvPr id="2" name="Picture 1" descr="CCI Logo">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 y="1"/>
          <a:ext cx="1866900" cy="14687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628650</xdr:colOff>
      <xdr:row>7</xdr:row>
      <xdr:rowOff>158096</xdr:rowOff>
    </xdr:to>
    <xdr:pic>
      <xdr:nvPicPr>
        <xdr:cNvPr id="2" name="Picture 1" descr="CCI Logo">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1"/>
          <a:ext cx="2295525" cy="18059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2333625</xdr:colOff>
      <xdr:row>7</xdr:row>
      <xdr:rowOff>188069</xdr:rowOff>
    </xdr:to>
    <xdr:pic>
      <xdr:nvPicPr>
        <xdr:cNvPr id="4" name="Picture 3" descr="CCI Logo">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2333625" cy="183589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1743458</xdr:colOff>
      <xdr:row>6</xdr:row>
      <xdr:rowOff>0</xdr:rowOff>
    </xdr:to>
    <xdr:pic>
      <xdr:nvPicPr>
        <xdr:cNvPr id="2" name="Picture 1" descr="CCI Logo">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743458" cy="1381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2</xdr:col>
      <xdr:colOff>475272</xdr:colOff>
      <xdr:row>5</xdr:row>
      <xdr:rowOff>179622</xdr:rowOff>
    </xdr:to>
    <xdr:pic>
      <xdr:nvPicPr>
        <xdr:cNvPr id="2" name="Picture 1" descr="CCI Logo">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0"/>
          <a:ext cx="1732572" cy="13716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8</xdr:colOff>
      <xdr:row>0</xdr:row>
      <xdr:rowOff>0</xdr:rowOff>
    </xdr:from>
    <xdr:to>
      <xdr:col>1</xdr:col>
      <xdr:colOff>1743466</xdr:colOff>
      <xdr:row>6</xdr:row>
      <xdr:rowOff>38100</xdr:rowOff>
    </xdr:to>
    <xdr:pic>
      <xdr:nvPicPr>
        <xdr:cNvPr id="2" name="Picture 1" descr="CCI Logo">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8" y="0"/>
          <a:ext cx="1743458" cy="1371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QCSISD\Div\CIA%20Section\CNRA%20-%20Urban%20Greening\FY%2017-18\QM\cnra_ug_calculator_16-17_draft_12-19-16_old.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X:\CIA%20Section\CalRecycle\CalRecycle%20FY%202017-18\QM\old\LSAD%20vs.%20HSAD%20Burdens%20and%20Benefits%20RH%20Review.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CIA%20Section\CalRecycle\CalRecycle%20FY%202016-17\QM\calrecycle_draftcalculator_15-16_051616_RH_LSAD%20Edit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X:\CIA%20Section\CalRecycle\CalRecycle%20FY%202017-18\QM\old\calrecycle_draftcalculator_15-16_051616_RH_LSAD%20Edit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mdipalma\AppData\Local\Microsoft\Windows\INetCache\Content.Outlook\5H5EMIOB\Revised%20FY%2017-18%20Funding%20Plan%20Quantification-10122017.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QISD\Div\CIB%20Benefits%20Section\State%20Agency%20Program%20FY%202018-19\TIRCP\QM\Draft\calsta_tircp_draftcalculator_18-19.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1B%20Bond\Emissions%20Estimates\Calculators\2010%20Updated%20Calculators\TruckCalculator\updatestarted04282011-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ryhuft\AppData\Roaming\Microsoft\Excel\calrecycle_finalerfs_draft_17-18-7%20(version%201).xlsb"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CIA%20Section\Agency%20Programs\CalRecycle\CalRecycle%20FY%202018-19\QM\Food%20Waste\Posted%20Versions\calrecycle_finalfoodcalc_18-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QCSISD\CIB%20Benefits%20Section\State%20Agency%20Program%20FY%202016-17\LCTOP\QM\caltrans_lctop_finalar_16-1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QCSISD\Cap%20and%20Trade\LCTOP\02%20Program\02%20FY15-16\04%20Forms\5%20LCTOP%20Allocation%20RequestI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ryhuft\Downloads\cdfa_ddrdp_finalcalculator_1-23-19%20(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CIA%20Section\CDFA%20-%20Digesters\FY%202018-19\QM%20development\Posted%20version\cdfa_ddrdp_finalcalculator_1-23-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ryhuft\Downloads\sgc_ahsc_finalrevisedcalc_16-17.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ryhuft\Downloads\cdfa_ammp_finalcalculator_2-8-19%20(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ryhuft\Downloads\cnra_ug_finalcalculator_version2_020419%20(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X:\CIA%20Section\CalRecycle\CalRecycle%20FY%202016-17\QM\LSAD%20vs.%20HSAD%20Burdens%20and%20Benefits%20RH%20Revi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Definitions"/>
      <sheetName val="Carbon &amp; Energy Savings (CTCC)"/>
      <sheetName val="Carbon &amp; Energy Savings (iTree)"/>
      <sheetName val="Wood Products"/>
      <sheetName val="Electricity"/>
      <sheetName val="New Bike-Ped Infrastructure"/>
      <sheetName val="GHG Summary"/>
      <sheetName val="ERFs &amp; Sources"/>
      <sheetName val="Infrastructure GHG Calculations"/>
      <sheetName val="Defaults"/>
      <sheetName val="Auto GHGs"/>
      <sheetName val="Bus EF"/>
      <sheetName val="LDH EF"/>
      <sheetName val="Definitions (2)"/>
      <sheetName val="GHG Summary (2)"/>
    </sheetNames>
    <sheetDataSet>
      <sheetData sheetId="0">
        <row r="28">
          <cell r="D28">
            <v>0</v>
          </cell>
        </row>
      </sheetData>
      <sheetData sheetId="1"/>
      <sheetData sheetId="2">
        <row r="16">
          <cell r="G16">
            <v>0</v>
          </cell>
        </row>
      </sheetData>
      <sheetData sheetId="3">
        <row r="15">
          <cell r="H15">
            <v>0</v>
          </cell>
        </row>
      </sheetData>
      <sheetData sheetId="4">
        <row r="16">
          <cell r="I16">
            <v>0</v>
          </cell>
        </row>
      </sheetData>
      <sheetData sheetId="5">
        <row r="16">
          <cell r="G16">
            <v>0</v>
          </cell>
        </row>
      </sheetData>
      <sheetData sheetId="6"/>
      <sheetData sheetId="7"/>
      <sheetData sheetId="8">
        <row r="13">
          <cell r="B13">
            <v>0.03</v>
          </cell>
        </row>
      </sheetData>
      <sheetData sheetId="9"/>
      <sheetData sheetId="10">
        <row r="2">
          <cell r="A2">
            <v>1971</v>
          </cell>
          <cell r="C2" t="str">
            <v>Alameda</v>
          </cell>
          <cell r="H2">
            <v>1E-3</v>
          </cell>
          <cell r="I2">
            <v>5.0000000000000001E-4</v>
          </cell>
        </row>
        <row r="3">
          <cell r="A3">
            <v>1972</v>
          </cell>
          <cell r="C3" t="str">
            <v>Alpine</v>
          </cell>
          <cell r="H3">
            <v>1.4E-3</v>
          </cell>
          <cell r="I3">
            <v>1E-3</v>
          </cell>
        </row>
        <row r="4">
          <cell r="A4">
            <v>1973</v>
          </cell>
          <cell r="B4">
            <v>2017</v>
          </cell>
          <cell r="C4" t="str">
            <v>Amador</v>
          </cell>
          <cell r="H4">
            <v>1.9E-3</v>
          </cell>
          <cell r="I4">
            <v>1.5E-3</v>
          </cell>
        </row>
        <row r="5">
          <cell r="A5">
            <v>1974</v>
          </cell>
          <cell r="B5">
            <v>2018</v>
          </cell>
          <cell r="C5" t="str">
            <v>Butte</v>
          </cell>
          <cell r="H5">
            <v>2E-3</v>
          </cell>
          <cell r="I5">
            <v>2E-3</v>
          </cell>
        </row>
        <row r="6">
          <cell r="A6">
            <v>1975</v>
          </cell>
          <cell r="B6">
            <v>2019</v>
          </cell>
          <cell r="C6" t="str">
            <v>Calaveras</v>
          </cell>
          <cell r="H6">
            <v>2.7000000000000001E-3</v>
          </cell>
          <cell r="I6">
            <v>3.0000000000000001E-3</v>
          </cell>
        </row>
        <row r="7">
          <cell r="A7">
            <v>1976</v>
          </cell>
          <cell r="B7">
            <v>2020</v>
          </cell>
          <cell r="C7" t="str">
            <v>Colusa</v>
          </cell>
          <cell r="H7">
            <v>2.8999999999999998E-3</v>
          </cell>
        </row>
        <row r="8">
          <cell r="A8">
            <v>1977</v>
          </cell>
          <cell r="B8">
            <v>2021</v>
          </cell>
          <cell r="C8" t="str">
            <v>Contra Costa</v>
          </cell>
          <cell r="H8">
            <v>3.8E-3</v>
          </cell>
        </row>
        <row r="9">
          <cell r="A9">
            <v>1978</v>
          </cell>
          <cell r="B9">
            <v>2022</v>
          </cell>
          <cell r="C9" t="str">
            <v>Del Norte</v>
          </cell>
          <cell r="H9">
            <v>5.1999999999999998E-3</v>
          </cell>
        </row>
        <row r="10">
          <cell r="A10">
            <v>1979</v>
          </cell>
          <cell r="B10">
            <v>2023</v>
          </cell>
          <cell r="C10" t="str">
            <v>El Dorado</v>
          </cell>
          <cell r="H10">
            <v>7.3000000000000001E-3</v>
          </cell>
        </row>
        <row r="11">
          <cell r="A11">
            <v>1980</v>
          </cell>
          <cell r="B11">
            <v>2024</v>
          </cell>
          <cell r="C11" t="str">
            <v>Fresno</v>
          </cell>
          <cell r="E11" t="str">
            <v>CNG</v>
          </cell>
          <cell r="H11">
            <v>7.7999999999999996E-3</v>
          </cell>
        </row>
        <row r="12">
          <cell r="A12">
            <v>1981</v>
          </cell>
          <cell r="B12">
            <v>2025</v>
          </cell>
          <cell r="C12" t="str">
            <v>Glenn</v>
          </cell>
          <cell r="E12" t="str">
            <v>Diesel</v>
          </cell>
          <cell r="H12">
            <v>1.04E-2</v>
          </cell>
        </row>
        <row r="13">
          <cell r="A13">
            <v>1982</v>
          </cell>
          <cell r="B13">
            <v>2026</v>
          </cell>
          <cell r="C13" t="str">
            <v>Humboldt</v>
          </cell>
          <cell r="E13" t="str">
            <v>Electric/BEV or PHEV</v>
          </cell>
          <cell r="H13">
            <v>1.09E-2</v>
          </cell>
        </row>
        <row r="14">
          <cell r="A14">
            <v>1983</v>
          </cell>
          <cell r="B14">
            <v>2027</v>
          </cell>
          <cell r="C14" t="str">
            <v>Imperial</v>
          </cell>
          <cell r="E14" t="str">
            <v>Electric (Heavy Rail)</v>
          </cell>
          <cell r="H14">
            <v>1.4500000000000001E-2</v>
          </cell>
        </row>
        <row r="15">
          <cell r="A15">
            <v>1984</v>
          </cell>
          <cell r="B15">
            <v>2028</v>
          </cell>
          <cell r="C15" t="str">
            <v>Inyo</v>
          </cell>
          <cell r="E15" t="str">
            <v>Electric (Light Rail)</v>
          </cell>
          <cell r="H15">
            <v>1.55E-2</v>
          </cell>
        </row>
        <row r="16">
          <cell r="A16">
            <v>1985</v>
          </cell>
          <cell r="B16">
            <v>2029</v>
          </cell>
          <cell r="C16" t="str">
            <v>Kern</v>
          </cell>
          <cell r="E16" t="str">
            <v>Electric (Trolley Bus, Cable Car, Street Car)</v>
          </cell>
          <cell r="H16">
            <v>2.07E-2</v>
          </cell>
        </row>
        <row r="17">
          <cell r="A17">
            <v>1986</v>
          </cell>
          <cell r="B17">
            <v>2030</v>
          </cell>
          <cell r="C17" t="str">
            <v>Kings</v>
          </cell>
          <cell r="E17" t="str">
            <v>Gasoline</v>
          </cell>
        </row>
        <row r="18">
          <cell r="A18">
            <v>1987</v>
          </cell>
          <cell r="B18">
            <v>2031</v>
          </cell>
          <cell r="C18" t="str">
            <v>Lake (County)</v>
          </cell>
          <cell r="E18" t="str">
            <v>Hydrogen Fuel Cell</v>
          </cell>
        </row>
        <row r="19">
          <cell r="A19">
            <v>1988</v>
          </cell>
          <cell r="B19">
            <v>2032</v>
          </cell>
          <cell r="C19" t="str">
            <v>Lassen</v>
          </cell>
          <cell r="E19" t="str">
            <v>Hydrogen Fuel Cell (SB 1505)</v>
          </cell>
        </row>
        <row r="20">
          <cell r="A20">
            <v>1989</v>
          </cell>
          <cell r="B20">
            <v>2033</v>
          </cell>
          <cell r="C20" t="str">
            <v>Los Angeles</v>
          </cell>
          <cell r="E20" t="str">
            <v>LNG</v>
          </cell>
        </row>
        <row r="21">
          <cell r="A21">
            <v>1990</v>
          </cell>
          <cell r="B21">
            <v>2034</v>
          </cell>
          <cell r="C21" t="str">
            <v>Madera</v>
          </cell>
          <cell r="E21" t="str">
            <v>Renewable Diesel</v>
          </cell>
        </row>
        <row r="22">
          <cell r="A22">
            <v>1991</v>
          </cell>
          <cell r="B22">
            <v>2035</v>
          </cell>
          <cell r="C22" t="str">
            <v>Marin</v>
          </cell>
        </row>
        <row r="23">
          <cell r="A23">
            <v>1992</v>
          </cell>
          <cell r="B23">
            <v>2036</v>
          </cell>
          <cell r="C23" t="str">
            <v>Mariposa</v>
          </cell>
        </row>
        <row r="24">
          <cell r="A24">
            <v>1993</v>
          </cell>
          <cell r="B24">
            <v>2037</v>
          </cell>
          <cell r="C24" t="str">
            <v>Mendocino</v>
          </cell>
        </row>
        <row r="25">
          <cell r="A25">
            <v>1994</v>
          </cell>
          <cell r="B25">
            <v>2038</v>
          </cell>
          <cell r="C25" t="str">
            <v>Merced</v>
          </cell>
        </row>
        <row r="26">
          <cell r="A26">
            <v>1995</v>
          </cell>
          <cell r="B26">
            <v>2039</v>
          </cell>
          <cell r="C26" t="str">
            <v>Modoc</v>
          </cell>
        </row>
        <row r="27">
          <cell r="A27">
            <v>1996</v>
          </cell>
          <cell r="B27">
            <v>2040</v>
          </cell>
          <cell r="C27" t="str">
            <v>Mono</v>
          </cell>
        </row>
        <row r="28">
          <cell r="A28">
            <v>1997</v>
          </cell>
          <cell r="B28">
            <v>2041</v>
          </cell>
          <cell r="C28" t="str">
            <v>Monterey</v>
          </cell>
        </row>
        <row r="29">
          <cell r="A29">
            <v>1998</v>
          </cell>
          <cell r="B29">
            <v>2042</v>
          </cell>
          <cell r="C29" t="str">
            <v>Napa</v>
          </cell>
        </row>
        <row r="30">
          <cell r="A30">
            <v>1999</v>
          </cell>
          <cell r="B30">
            <v>2043</v>
          </cell>
          <cell r="C30" t="str">
            <v>Nevada</v>
          </cell>
        </row>
        <row r="31">
          <cell r="A31">
            <v>2000</v>
          </cell>
          <cell r="B31">
            <v>2044</v>
          </cell>
          <cell r="C31" t="str">
            <v>Orange</v>
          </cell>
        </row>
        <row r="32">
          <cell r="A32">
            <v>2001</v>
          </cell>
          <cell r="B32">
            <v>2045</v>
          </cell>
          <cell r="C32" t="str">
            <v>Placer</v>
          </cell>
        </row>
        <row r="33">
          <cell r="A33">
            <v>2002</v>
          </cell>
          <cell r="B33">
            <v>2046</v>
          </cell>
          <cell r="C33" t="str">
            <v>Plumas</v>
          </cell>
        </row>
        <row r="34">
          <cell r="A34">
            <v>2003</v>
          </cell>
          <cell r="B34">
            <v>2047</v>
          </cell>
          <cell r="C34" t="str">
            <v>Riverside</v>
          </cell>
        </row>
        <row r="35">
          <cell r="A35">
            <v>2004</v>
          </cell>
          <cell r="B35">
            <v>2048</v>
          </cell>
          <cell r="C35" t="str">
            <v>Sacramento</v>
          </cell>
        </row>
        <row r="36">
          <cell r="A36">
            <v>2005</v>
          </cell>
          <cell r="B36">
            <v>2049</v>
          </cell>
          <cell r="C36" t="str">
            <v>San Benito</v>
          </cell>
        </row>
        <row r="37">
          <cell r="A37">
            <v>2006</v>
          </cell>
          <cell r="B37">
            <v>2050</v>
          </cell>
          <cell r="C37" t="str">
            <v>San Bernadino</v>
          </cell>
        </row>
        <row r="38">
          <cell r="A38">
            <v>2007</v>
          </cell>
          <cell r="C38" t="str">
            <v>San Diego (County)</v>
          </cell>
        </row>
        <row r="39">
          <cell r="A39">
            <v>2008</v>
          </cell>
          <cell r="C39" t="str">
            <v>San Francisco (County)</v>
          </cell>
        </row>
        <row r="40">
          <cell r="A40">
            <v>2009</v>
          </cell>
          <cell r="C40" t="str">
            <v>San Joaquin</v>
          </cell>
        </row>
        <row r="41">
          <cell r="A41">
            <v>2010</v>
          </cell>
          <cell r="C41" t="str">
            <v>San Luis Obispo</v>
          </cell>
        </row>
        <row r="42">
          <cell r="A42">
            <v>2011</v>
          </cell>
          <cell r="C42" t="str">
            <v>San Mateo</v>
          </cell>
        </row>
        <row r="43">
          <cell r="A43">
            <v>2012</v>
          </cell>
          <cell r="C43" t="str">
            <v>Santa Barbara</v>
          </cell>
        </row>
        <row r="44">
          <cell r="A44">
            <v>2013</v>
          </cell>
          <cell r="C44" t="str">
            <v>Santa Clara</v>
          </cell>
        </row>
        <row r="45">
          <cell r="A45">
            <v>2014</v>
          </cell>
          <cell r="C45" t="str">
            <v>Santa Cruz</v>
          </cell>
        </row>
        <row r="46">
          <cell r="A46">
            <v>2015</v>
          </cell>
          <cell r="C46" t="str">
            <v>Shasta</v>
          </cell>
        </row>
        <row r="47">
          <cell r="A47">
            <v>2015</v>
          </cell>
          <cell r="C47" t="str">
            <v>Sierra</v>
          </cell>
        </row>
        <row r="48">
          <cell r="A48">
            <v>2016</v>
          </cell>
          <cell r="C48" t="str">
            <v>Siskiyou</v>
          </cell>
        </row>
        <row r="49">
          <cell r="A49">
            <v>2017</v>
          </cell>
          <cell r="C49" t="str">
            <v>Solano</v>
          </cell>
        </row>
        <row r="50">
          <cell r="A50">
            <v>2018</v>
          </cell>
          <cell r="C50" t="str">
            <v>Sonoma</v>
          </cell>
        </row>
        <row r="51">
          <cell r="C51" t="str">
            <v>Stanislaus</v>
          </cell>
        </row>
        <row r="52">
          <cell r="C52" t="str">
            <v>Sutter</v>
          </cell>
        </row>
        <row r="53">
          <cell r="C53" t="str">
            <v>Tehama</v>
          </cell>
        </row>
        <row r="54">
          <cell r="C54" t="str">
            <v>Trinity</v>
          </cell>
        </row>
        <row r="55">
          <cell r="C55" t="str">
            <v>Tulare</v>
          </cell>
        </row>
        <row r="56">
          <cell r="C56" t="str">
            <v>Tuolumne</v>
          </cell>
        </row>
        <row r="57">
          <cell r="C57" t="str">
            <v>Ventura</v>
          </cell>
        </row>
        <row r="58">
          <cell r="C58" t="str">
            <v>Yolo</v>
          </cell>
        </row>
        <row r="59">
          <cell r="C59" t="str">
            <v>Yuba</v>
          </cell>
        </row>
      </sheetData>
      <sheetData sheetId="11"/>
      <sheetData sheetId="12"/>
      <sheetData sheetId="13"/>
      <sheetData sheetId="14"/>
      <sheetData sheetId="1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AD Avg ERF"/>
      <sheetName val="HSAD vs. LSAD"/>
      <sheetName val="LCFS Data"/>
      <sheetName val="Potential ERF"/>
      <sheetName val="Potential ERF (2)"/>
      <sheetName val="Potential ERF (3)"/>
      <sheetName val="Potential ERF (4)"/>
      <sheetName val="Potential ERF-LF"/>
      <sheetName val="Potential ERF-COM"/>
      <sheetName val="ERFs"/>
      <sheetName val="Sheet4"/>
      <sheetName val="Sheet5"/>
      <sheetName val="Sheet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85">
          <cell r="A85" t="str">
            <v>Commercial Refrigerator with solid doors</v>
          </cell>
        </row>
        <row r="87">
          <cell r="A87" t="str">
            <v>Commercial Refrigerator with transparent doors</v>
          </cell>
        </row>
        <row r="89">
          <cell r="A89" t="str">
            <v>Commercial Freezer with solid doors</v>
          </cell>
        </row>
        <row r="91">
          <cell r="A91" t="str">
            <v>Commercial Freezer with transparent doors</v>
          </cell>
        </row>
        <row r="93">
          <cell r="A93" t="str">
            <v>Commercial Refrigerator/freezer with solid doors</v>
          </cell>
        </row>
      </sheetData>
      <sheetData sheetId="10" refreshError="1"/>
      <sheetData sheetId="11" refreshError="1"/>
      <sheetData sheetId="1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Definitions"/>
      <sheetName val="FPG"/>
      <sheetName val="Compost"/>
      <sheetName val="HSAD"/>
      <sheetName val="LSAD"/>
      <sheetName val="LSAD v2"/>
      <sheetName val="Food Waste"/>
      <sheetName val="GHG Summary"/>
      <sheetName val="ERFs"/>
      <sheetName val="Sources"/>
      <sheetName val="Sheet1"/>
    </sheetNames>
    <sheetDataSet>
      <sheetData sheetId="0"/>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Definitions"/>
      <sheetName val="FPG"/>
      <sheetName val="Compost"/>
      <sheetName val="HSAD"/>
      <sheetName val="LSAD"/>
      <sheetName val="LSAD v2"/>
      <sheetName val="Food Waste"/>
      <sheetName val="GHG Summary"/>
      <sheetName val="ERFs"/>
      <sheetName val="Sources"/>
      <sheetName val="Sheet1"/>
    </sheetNames>
    <sheetDataSet>
      <sheetData sheetId="0"/>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CFS CI &amp; LHV"/>
      <sheetName val="FE &amp; VMT - 2017 MYs"/>
      <sheetName val="FE &amp; VMT - Alt. MYs"/>
      <sheetName val="FE"/>
      <sheetName val="LDA EF in 2018"/>
      <sheetName val="CVRP"/>
      <sheetName val="EFMP"/>
      <sheetName val="Finance"/>
      <sheetName val="Car Share"/>
      <sheetName val="LHD EF in 2020"/>
      <sheetName val="Ag Vanpools"/>
      <sheetName val="School Bus"/>
      <sheetName val="CHE Data"/>
      <sheetName val="HD EF in 2024"/>
      <sheetName val="HVIP"/>
      <sheetName val="Low NOx"/>
      <sheetName val="Off-Road VIP"/>
      <sheetName val="Truck Loan EF in 2018"/>
      <sheetName val="Truck Loan"/>
      <sheetName val="Drayage EF"/>
      <sheetName val="TRU Data"/>
      <sheetName val="ZE Warehouse"/>
      <sheetName val="AB 8"/>
      <sheetName val="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2">
          <cell r="AC12">
            <v>5.4943804395846528E-2</v>
          </cell>
          <cell r="AP12">
            <v>1.4075602093423536</v>
          </cell>
        </row>
        <row r="23">
          <cell r="AC23">
            <v>3.7063170623117085E-2</v>
          </cell>
          <cell r="AP23">
            <v>0.85785886287692181</v>
          </cell>
        </row>
        <row r="38">
          <cell r="AC38">
            <v>7.8878474498533968E-2</v>
          </cell>
          <cell r="AP38">
            <v>1.4309683890678466</v>
          </cell>
        </row>
        <row r="40">
          <cell r="AC40">
            <v>2.2808091459486299E-2</v>
          </cell>
          <cell r="AP40">
            <v>0.81398773379792799</v>
          </cell>
        </row>
      </sheetData>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Quantifiable Component 1"/>
      <sheetName val="Quantifiable Component 2"/>
      <sheetName val="Quantifiable Component 3"/>
      <sheetName val="Quantifiable Component 4"/>
      <sheetName val="Quantifiable Component 5"/>
      <sheetName val="Quantifiable Component 6"/>
      <sheetName val="GHG Summary"/>
      <sheetName val="Co-benefits Summary"/>
      <sheetName val="GHG Calcs"/>
      <sheetName val="Co-Benefit Calcs"/>
      <sheetName val="Defaults"/>
      <sheetName val="Auto GHG"/>
      <sheetName val="Auto C&amp;T EF"/>
      <sheetName val="EF Default Tables"/>
      <sheetName val="Fuel Consumption"/>
      <sheetName val="Bus C&amp;T EF"/>
      <sheetName val="Van C&amp;T EF"/>
      <sheetName val="Shuttle C&amp;T EF"/>
      <sheetName val="Over-Road Coach C&amp;T EF"/>
    </sheetNames>
    <sheetDataSet>
      <sheetData sheetId="0"/>
      <sheetData sheetId="1"/>
      <sheetData sheetId="2"/>
      <sheetData sheetId="3"/>
      <sheetData sheetId="4"/>
      <sheetData sheetId="5"/>
      <sheetData sheetId="6"/>
      <sheetData sheetId="7"/>
      <sheetData sheetId="8"/>
      <sheetData sheetId="9"/>
      <sheetData sheetId="10"/>
      <sheetData sheetId="11">
        <row r="2">
          <cell r="C2" t="str">
            <v>Air Basin</v>
          </cell>
          <cell r="F2" t="str">
            <v>Ferry</v>
          </cell>
          <cell r="G2" t="str">
            <v>Cut-A-Way</v>
          </cell>
        </row>
        <row r="3">
          <cell r="C3" t="str">
            <v>County</v>
          </cell>
          <cell r="F3" t="str">
            <v>Heavy Rail</v>
          </cell>
          <cell r="G3" t="str">
            <v>Ferry</v>
          </cell>
        </row>
        <row r="4">
          <cell r="F4" t="str">
            <v>Intercity/Express Bus (Long Distance)</v>
          </cell>
          <cell r="G4" t="str">
            <v>Heavy Rail</v>
          </cell>
        </row>
        <row r="5">
          <cell r="F5" t="str">
            <v>Light Rail</v>
          </cell>
          <cell r="G5" t="str">
            <v>Light Rail</v>
          </cell>
        </row>
        <row r="6">
          <cell r="F6" t="str">
            <v>Local/ Intercity Bus (Short Distances)</v>
          </cell>
          <cell r="G6" t="str">
            <v>Over-Road Coach</v>
          </cell>
        </row>
        <row r="7">
          <cell r="F7" t="str">
            <v>Multi-modal</v>
          </cell>
          <cell r="G7" t="str">
            <v>Streetcar</v>
          </cell>
        </row>
        <row r="8">
          <cell r="F8" t="str">
            <v>Shuttle</v>
          </cell>
          <cell r="G8" t="str">
            <v>Transit Bus</v>
          </cell>
        </row>
        <row r="9">
          <cell r="F9" t="str">
            <v>Streetcar</v>
          </cell>
          <cell r="G9" t="str">
            <v>Van</v>
          </cell>
        </row>
        <row r="10">
          <cell r="F10" t="str">
            <v>Vanpool</v>
          </cell>
        </row>
      </sheetData>
      <sheetData sheetId="12"/>
      <sheetData sheetId="13"/>
      <sheetData sheetId="14"/>
      <sheetData sheetId="15"/>
      <sheetData sheetId="16"/>
      <sheetData sheetId="17"/>
      <sheetData sheetId="18"/>
      <sheetData sheetId="1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Sample Inputs"/>
      <sheetName val="Input Data"/>
      <sheetName val="Benefits Summary"/>
      <sheetName val="V"/>
      <sheetName val="Calc Inputs"/>
      <sheetName val="Final Calculations"/>
      <sheetName val="3-Way-Truck8to8"/>
      <sheetName val="3-Way-TruckFinal"/>
      <sheetName val="3-Way-Truck8to8drayage"/>
      <sheetName val="3-Way-Truck7to7drayage"/>
      <sheetName val="3-Way-Truck7to7"/>
      <sheetName val="Final Calculationsclass7"/>
      <sheetName val="Final Calculationsclass8"/>
      <sheetName val="Baseline Calculations Class 8"/>
      <sheetName val="Baseline Cals Drayage Class8"/>
      <sheetName val="Baseline Calculations Class 7"/>
      <sheetName val="Baseline Cals Drayage Class7"/>
      <sheetName val="Funding Check"/>
      <sheetName val="HYBRID_Class8"/>
      <sheetName val="HYBRID_Class7"/>
      <sheetName val="DIESEL-LNG-CNG_Class8"/>
      <sheetName val="DIESEL-LNG-CNG_Class7"/>
      <sheetName val="RETROFITClass7"/>
      <sheetName val="RETROFITClass8"/>
      <sheetName val="2-truckfinal"/>
      <sheetName val="2-truck-newtruck7"/>
      <sheetName val="2-truck-newtruck8"/>
      <sheetName val="2-truckbaseline7"/>
      <sheetName val="2-truckbaselinedrayageclass7"/>
      <sheetName val="2-truckbaseline8"/>
      <sheetName val="2-truckbaselinedrayageclass8"/>
      <sheetName val="ER Diesel "/>
      <sheetName val="Valid Entri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4">
          <cell r="F4" t="str">
            <v>diesel</v>
          </cell>
        </row>
        <row r="5">
          <cell r="F5" t="str">
            <v>LNG/CNG</v>
          </cell>
        </row>
        <row r="6">
          <cell r="F6" t="str">
            <v>Hybrid</v>
          </cell>
        </row>
        <row r="7">
          <cell r="F7" t="str">
            <v>Electric</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FPG"/>
      <sheetName val="RERF"/>
      <sheetName val="Mattress"/>
      <sheetName val="Carpet"/>
      <sheetName val="Compost"/>
      <sheetName val="Standalone AD"/>
      <sheetName val="Co-Digestion"/>
      <sheetName val="Food"/>
      <sheetName val="Refrigeration"/>
      <sheetName val="Transportation"/>
      <sheetName val="Sheet1"/>
    </sheetNames>
    <sheetDataSet>
      <sheetData sheetId="0"/>
      <sheetData sheetId="1"/>
      <sheetData sheetId="2"/>
      <sheetData sheetId="3"/>
      <sheetData sheetId="4"/>
      <sheetData sheetId="5">
        <row r="13">
          <cell r="C13">
            <v>0.39</v>
          </cell>
        </row>
        <row r="22">
          <cell r="C22">
            <v>4.9000000000000002E-2</v>
          </cell>
        </row>
        <row r="23">
          <cell r="C23">
            <v>2.1000000000000001E-2</v>
          </cell>
        </row>
      </sheetData>
      <sheetData sheetId="6"/>
      <sheetData sheetId="7"/>
      <sheetData sheetId="8"/>
      <sheetData sheetId="9"/>
      <sheetData sheetId="10"/>
      <sheetData sheetId="1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Definitions"/>
      <sheetName val="Inputs"/>
      <sheetName val="GHG Summary"/>
      <sheetName val="Co-benefits Summary"/>
      <sheetName val="GHG ERFs"/>
      <sheetName val="Co-Ben ERFs"/>
      <sheetName val="Food Calcs"/>
      <sheetName val="Sheet1"/>
    </sheetNames>
    <sheetDataSet>
      <sheetData sheetId="0"/>
      <sheetData sheetId="1"/>
      <sheetData sheetId="2"/>
      <sheetData sheetId="3"/>
      <sheetData sheetId="4"/>
      <sheetData sheetId="5"/>
      <sheetData sheetId="6">
        <row r="79">
          <cell r="B79">
            <v>3594.7583641362667</v>
          </cell>
        </row>
        <row r="80">
          <cell r="B80">
            <v>2874.4214279702323</v>
          </cell>
        </row>
        <row r="81">
          <cell r="B81">
            <v>2178.3266002328628</v>
          </cell>
        </row>
        <row r="82">
          <cell r="B82">
            <v>2191.3752897976433</v>
          </cell>
        </row>
        <row r="83">
          <cell r="B83">
            <v>0</v>
          </cell>
        </row>
        <row r="84">
          <cell r="B84">
            <v>4611.1167921948027</v>
          </cell>
        </row>
        <row r="85">
          <cell r="B85">
            <v>3688.8934337558426</v>
          </cell>
        </row>
        <row r="86">
          <cell r="B86">
            <v>1942.6609164157019</v>
          </cell>
        </row>
        <row r="87">
          <cell r="B87">
            <v>6656.1770318500303</v>
          </cell>
        </row>
        <row r="88">
          <cell r="B88">
            <v>2803.0782081153902</v>
          </cell>
        </row>
      </sheetData>
      <sheetData sheetId="7"/>
      <sheetData sheetId="8">
        <row r="34">
          <cell r="B34" t="str">
            <v>GHG</v>
          </cell>
          <cell r="C34" t="str">
            <v>ROG</v>
          </cell>
          <cell r="D34" t="str">
            <v>NOx</v>
          </cell>
          <cell r="E34" t="str">
            <v>PM2.5</v>
          </cell>
          <cell r="F34" t="str">
            <v>Diesel PM</v>
          </cell>
          <cell r="G34" t="str">
            <v>Refrigerant Charge Size</v>
          </cell>
          <cell r="H34" t="str">
            <v>Refrigerant Leak Rate</v>
          </cell>
          <cell r="I34" t="str">
            <v>Fuel Cost</v>
          </cell>
        </row>
        <row r="35">
          <cell r="A35" t="str">
            <v xml:space="preserve">Van </v>
          </cell>
          <cell r="B35">
            <v>1038</v>
          </cell>
          <cell r="C35">
            <v>7.1000000000000004E-3</v>
          </cell>
          <cell r="D35">
            <v>4.5699999999999998E-2</v>
          </cell>
          <cell r="E35">
            <v>3.6200000000000003E-2</v>
          </cell>
          <cell r="F35">
            <v>0</v>
          </cell>
          <cell r="G35">
            <v>0</v>
          </cell>
          <cell r="H35">
            <v>0</v>
          </cell>
          <cell r="I35">
            <v>3594.7583641362667</v>
          </cell>
        </row>
        <row r="36">
          <cell r="A36" t="str">
            <v>Refrigerated Van</v>
          </cell>
          <cell r="B36">
            <v>1038</v>
          </cell>
          <cell r="C36">
            <v>7.1000000000000004E-3</v>
          </cell>
          <cell r="D36">
            <v>4.5699999999999998E-2</v>
          </cell>
          <cell r="E36">
            <v>3.6200000000000003E-2</v>
          </cell>
          <cell r="F36">
            <v>0</v>
          </cell>
          <cell r="G36">
            <v>4</v>
          </cell>
          <cell r="H36">
            <v>0.24</v>
          </cell>
          <cell r="I36">
            <v>3594.7583641362667</v>
          </cell>
        </row>
        <row r="37">
          <cell r="A37" t="str">
            <v>Hybrid Van</v>
          </cell>
          <cell r="B37">
            <v>830</v>
          </cell>
          <cell r="C37">
            <v>5.7000000000000002E-3</v>
          </cell>
          <cell r="D37">
            <v>3.6600000000000001E-2</v>
          </cell>
          <cell r="E37">
            <v>1.95E-2</v>
          </cell>
          <cell r="F37">
            <v>0</v>
          </cell>
          <cell r="G37">
            <v>0</v>
          </cell>
          <cell r="H37">
            <v>0</v>
          </cell>
          <cell r="I37">
            <v>2874.4214279702323</v>
          </cell>
        </row>
        <row r="38">
          <cell r="A38" t="str">
            <v>Refrigerated Hybrid Van</v>
          </cell>
          <cell r="B38">
            <v>830</v>
          </cell>
          <cell r="C38">
            <v>5.7000000000000002E-3</v>
          </cell>
          <cell r="D38">
            <v>3.6600000000000001E-2</v>
          </cell>
          <cell r="E38">
            <v>1.95E-2</v>
          </cell>
          <cell r="F38">
            <v>0</v>
          </cell>
          <cell r="G38">
            <v>4</v>
          </cell>
          <cell r="H38">
            <v>0.24</v>
          </cell>
          <cell r="I38">
            <v>2874.4214279702323</v>
          </cell>
        </row>
        <row r="39">
          <cell r="A39" t="str">
            <v>Plug-in Hybrid Van</v>
          </cell>
          <cell r="B39">
            <v>629</v>
          </cell>
          <cell r="C39">
            <v>3.3999999999999998E-3</v>
          </cell>
          <cell r="D39">
            <v>2.1999999999999999E-2</v>
          </cell>
          <cell r="E39">
            <v>1.9099999999999999E-2</v>
          </cell>
          <cell r="F39">
            <v>0</v>
          </cell>
          <cell r="G39">
            <v>0</v>
          </cell>
          <cell r="H39">
            <v>0</v>
          </cell>
          <cell r="I39">
            <v>2178.3266002328628</v>
          </cell>
        </row>
        <row r="40">
          <cell r="A40" t="str">
            <v>Refrigerated Plug-in Hybrid Van</v>
          </cell>
          <cell r="B40">
            <v>629</v>
          </cell>
          <cell r="C40">
            <v>3.3999999999999998E-3</v>
          </cell>
          <cell r="D40">
            <v>2.1999999999999999E-2</v>
          </cell>
          <cell r="E40">
            <v>1.9099999999999999E-2</v>
          </cell>
          <cell r="F40">
            <v>0</v>
          </cell>
          <cell r="G40">
            <v>4</v>
          </cell>
          <cell r="H40">
            <v>0.24</v>
          </cell>
          <cell r="I40">
            <v>2178.3266002328628</v>
          </cell>
        </row>
        <row r="41">
          <cell r="A41" t="str">
            <v>Battery Electric Van</v>
          </cell>
          <cell r="B41">
            <v>326</v>
          </cell>
          <cell r="C41">
            <v>0</v>
          </cell>
          <cell r="D41">
            <v>0</v>
          </cell>
          <cell r="E41">
            <v>1.84E-2</v>
          </cell>
          <cell r="F41">
            <v>0</v>
          </cell>
          <cell r="G41">
            <v>0</v>
          </cell>
          <cell r="H41">
            <v>0</v>
          </cell>
          <cell r="I41">
            <v>2191.3752897976433</v>
          </cell>
        </row>
        <row r="42">
          <cell r="A42" t="str">
            <v>Refrigerated Battery Electric Van</v>
          </cell>
          <cell r="B42">
            <v>326</v>
          </cell>
          <cell r="C42">
            <v>0</v>
          </cell>
          <cell r="D42">
            <v>0</v>
          </cell>
          <cell r="E42">
            <v>1.84E-2</v>
          </cell>
          <cell r="F42">
            <v>0</v>
          </cell>
          <cell r="G42">
            <v>4</v>
          </cell>
          <cell r="H42">
            <v>0.24</v>
          </cell>
          <cell r="I42">
            <v>2191.3752897976433</v>
          </cell>
        </row>
        <row r="43">
          <cell r="A43" t="str">
            <v>Fuel Cell Electric Van</v>
          </cell>
          <cell r="B43">
            <v>372</v>
          </cell>
          <cell r="C43">
            <v>0</v>
          </cell>
          <cell r="D43">
            <v>0</v>
          </cell>
          <cell r="E43">
            <v>1.84E-2</v>
          </cell>
          <cell r="F43">
            <v>0</v>
          </cell>
          <cell r="G43">
            <v>0</v>
          </cell>
          <cell r="H43">
            <v>0</v>
          </cell>
          <cell r="I43">
            <v>0</v>
          </cell>
        </row>
        <row r="44">
          <cell r="A44" t="str">
            <v>Refrigerated Fuel Cell Electric Van</v>
          </cell>
          <cell r="B44">
            <v>372</v>
          </cell>
          <cell r="C44">
            <v>0</v>
          </cell>
          <cell r="D44">
            <v>0</v>
          </cell>
          <cell r="E44">
            <v>1.84E-2</v>
          </cell>
          <cell r="F44">
            <v>0</v>
          </cell>
          <cell r="G44">
            <v>4</v>
          </cell>
          <cell r="H44">
            <v>0.24</v>
          </cell>
          <cell r="I44">
            <v>0</v>
          </cell>
        </row>
        <row r="45">
          <cell r="A45" t="str">
            <v>Box Truck</v>
          </cell>
          <cell r="B45">
            <v>1540</v>
          </cell>
          <cell r="C45">
            <v>3.7100000000000001E-2</v>
          </cell>
          <cell r="D45">
            <v>0.8579</v>
          </cell>
          <cell r="E45">
            <v>6.1600000000000002E-2</v>
          </cell>
          <cell r="F45">
            <v>2.8999999999999998E-3</v>
          </cell>
          <cell r="G45">
            <v>0</v>
          </cell>
          <cell r="H45">
            <v>0</v>
          </cell>
          <cell r="I45">
            <v>4611.1167921948027</v>
          </cell>
        </row>
        <row r="46">
          <cell r="A46" t="str">
            <v>Refrigerated Box Truck</v>
          </cell>
          <cell r="B46">
            <v>1540</v>
          </cell>
          <cell r="C46">
            <v>3.7100000000000001E-2</v>
          </cell>
          <cell r="D46">
            <v>0.8579</v>
          </cell>
          <cell r="E46">
            <v>6.1600000000000002E-2</v>
          </cell>
          <cell r="F46">
            <v>2.8999999999999998E-3</v>
          </cell>
          <cell r="G46">
            <v>12</v>
          </cell>
          <cell r="H46">
            <v>0.24</v>
          </cell>
          <cell r="I46">
            <v>4611.1167921948027</v>
          </cell>
        </row>
        <row r="47">
          <cell r="A47" t="str">
            <v>Hybrid Box Truck</v>
          </cell>
          <cell r="B47">
            <v>1232</v>
          </cell>
          <cell r="C47">
            <v>2.9700000000000001E-2</v>
          </cell>
          <cell r="D47">
            <v>0.68630000000000002</v>
          </cell>
          <cell r="E47">
            <v>3.3099999999999997E-2</v>
          </cell>
          <cell r="F47">
            <v>2.3E-3</v>
          </cell>
          <cell r="G47">
            <v>0</v>
          </cell>
          <cell r="H47">
            <v>0</v>
          </cell>
          <cell r="I47">
            <v>3688.8934337558426</v>
          </cell>
        </row>
        <row r="48">
          <cell r="A48" t="str">
            <v>Refrigerated Hybrid Box Truck</v>
          </cell>
          <cell r="B48">
            <v>1232</v>
          </cell>
          <cell r="C48">
            <v>2.9700000000000001E-2</v>
          </cell>
          <cell r="D48">
            <v>0.68630000000000002</v>
          </cell>
          <cell r="E48">
            <v>3.3099999999999997E-2</v>
          </cell>
          <cell r="F48">
            <v>2.3E-3</v>
          </cell>
          <cell r="G48">
            <v>12</v>
          </cell>
          <cell r="H48">
            <v>0.24</v>
          </cell>
          <cell r="I48">
            <v>3688.8934337558426</v>
          </cell>
        </row>
        <row r="49">
          <cell r="A49" t="str">
            <v>Battery Electric Box Truck</v>
          </cell>
          <cell r="B49">
            <v>289</v>
          </cell>
          <cell r="C49">
            <v>0</v>
          </cell>
          <cell r="D49">
            <v>0</v>
          </cell>
          <cell r="E49">
            <v>3.09E-2</v>
          </cell>
          <cell r="F49">
            <v>0</v>
          </cell>
          <cell r="G49">
            <v>0</v>
          </cell>
          <cell r="H49">
            <v>0</v>
          </cell>
          <cell r="I49">
            <v>1942.6609164157019</v>
          </cell>
        </row>
        <row r="50">
          <cell r="A50" t="str">
            <v>Refrigerated Battery Electric Box Truck</v>
          </cell>
          <cell r="B50">
            <v>289</v>
          </cell>
          <cell r="C50">
            <v>0</v>
          </cell>
          <cell r="D50">
            <v>0</v>
          </cell>
          <cell r="E50">
            <v>3.09E-2</v>
          </cell>
          <cell r="F50">
            <v>0</v>
          </cell>
          <cell r="G50">
            <v>12</v>
          </cell>
          <cell r="H50">
            <v>0.24</v>
          </cell>
          <cell r="I50">
            <v>1942.6609164157019</v>
          </cell>
        </row>
        <row r="51">
          <cell r="A51" t="str">
            <v>Heavy Duty Truck</v>
          </cell>
          <cell r="B51">
            <v>2223</v>
          </cell>
          <cell r="C51">
            <v>7.8899999999999998E-2</v>
          </cell>
          <cell r="D51">
            <v>1.431</v>
          </cell>
          <cell r="E51">
            <v>4.0800000000000003E-2</v>
          </cell>
          <cell r="F51">
            <v>5.4999999999999997E-3</v>
          </cell>
          <cell r="G51">
            <v>0</v>
          </cell>
          <cell r="H51">
            <v>0</v>
          </cell>
          <cell r="I51">
            <v>6656.1770318500303</v>
          </cell>
        </row>
        <row r="52">
          <cell r="A52" t="str">
            <v>Refrigerated Heavy Duty Truck</v>
          </cell>
          <cell r="B52">
            <v>2223</v>
          </cell>
          <cell r="C52">
            <v>7.8899999999999998E-2</v>
          </cell>
          <cell r="D52">
            <v>1.431</v>
          </cell>
          <cell r="E52">
            <v>4.0800000000000003E-2</v>
          </cell>
          <cell r="F52">
            <v>5.4999999999999997E-3</v>
          </cell>
          <cell r="G52">
            <v>22</v>
          </cell>
          <cell r="H52">
            <v>0.24</v>
          </cell>
          <cell r="I52">
            <v>6656.1770318500303</v>
          </cell>
        </row>
        <row r="53">
          <cell r="A53" t="str">
            <v>Battery Electric Heavy Duty Truck</v>
          </cell>
          <cell r="B53">
            <v>417</v>
          </cell>
          <cell r="C53">
            <v>0</v>
          </cell>
          <cell r="D53">
            <v>0</v>
          </cell>
          <cell r="E53">
            <v>2.2200000000000001E-2</v>
          </cell>
          <cell r="F53">
            <v>0</v>
          </cell>
          <cell r="G53">
            <v>0</v>
          </cell>
          <cell r="H53">
            <v>0</v>
          </cell>
          <cell r="I53">
            <v>2803.0782081153902</v>
          </cell>
        </row>
        <row r="54">
          <cell r="A54" t="str">
            <v>Refrigerated Battery Electric Heavy Duty Truck</v>
          </cell>
          <cell r="B54">
            <v>417</v>
          </cell>
          <cell r="C54">
            <v>0</v>
          </cell>
          <cell r="D54">
            <v>0</v>
          </cell>
          <cell r="E54">
            <v>2.2200000000000001E-2</v>
          </cell>
          <cell r="F54">
            <v>0</v>
          </cell>
          <cell r="G54">
            <v>22</v>
          </cell>
          <cell r="H54">
            <v>0.24</v>
          </cell>
          <cell r="I54">
            <v>2803.0782081153902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Request"/>
      <sheetName val="AA"/>
      <sheetName val="C&amp;A"/>
      <sheetName val="QM-Tool"/>
      <sheetName val="QM Sum"/>
      <sheetName val="Funding Plan"/>
      <sheetName val="AR_Sum"/>
      <sheetName val="AR tables"/>
      <sheetName val="EF Default Tables"/>
      <sheetName val="GHG Calcs"/>
      <sheetName val="Defaults"/>
      <sheetName val="Van"/>
      <sheetName val="Cut-A-Way"/>
      <sheetName val="Over-Road Coach"/>
      <sheetName val="Transit Bus"/>
      <sheetName val="Auto GHG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ow r="2">
          <cell r="B2">
            <v>2015</v>
          </cell>
          <cell r="C2" t="str">
            <v>Alameda</v>
          </cell>
          <cell r="D2" t="str">
            <v>Great Basin</v>
          </cell>
          <cell r="E2" t="str">
            <v>New/Expanded Service</v>
          </cell>
          <cell r="H2" t="str">
            <v>Implement new transit service</v>
          </cell>
          <cell r="S2" t="str">
            <v>Bike-share</v>
          </cell>
          <cell r="T2" t="str">
            <v>Cut-A-Way</v>
          </cell>
          <cell r="U2" t="str">
            <v>County</v>
          </cell>
          <cell r="W2" t="str">
            <v>Yes</v>
          </cell>
          <cell r="Y2" t="str">
            <v>Biodiesel (gal)</v>
          </cell>
          <cell r="Z2" t="str">
            <v>Vehicle Replacement</v>
          </cell>
        </row>
        <row r="3">
          <cell r="B3">
            <v>2016</v>
          </cell>
          <cell r="C3" t="str">
            <v>Alpine</v>
          </cell>
          <cell r="D3" t="str">
            <v>Lake County (Air Basin)</v>
          </cell>
          <cell r="E3" t="str">
            <v>Service Improvements</v>
          </cell>
          <cell r="H3" t="str">
            <v>Expand/Enhance transit service</v>
          </cell>
          <cell r="S3" t="str">
            <v>Ferry</v>
          </cell>
          <cell r="T3" t="str">
            <v>Ferry</v>
          </cell>
          <cell r="U3" t="str">
            <v>Air Basin</v>
          </cell>
          <cell r="W3" t="str">
            <v>No</v>
          </cell>
          <cell r="Y3" t="str">
            <v>CNG (ft3)</v>
          </cell>
          <cell r="Z3" t="str">
            <v>Not Applicable</v>
          </cell>
        </row>
        <row r="4">
          <cell r="B4">
            <v>2017</v>
          </cell>
          <cell r="C4" t="str">
            <v>Amador</v>
          </cell>
          <cell r="D4" t="str">
            <v>Lake Tahoe</v>
          </cell>
          <cell r="E4" t="str">
            <v>Capital Improvements</v>
          </cell>
          <cell r="H4" t="str">
            <v xml:space="preserve">Provide alternative transit options
</v>
          </cell>
          <cell r="S4" t="str">
            <v>Heavy Rail</v>
          </cell>
          <cell r="T4" t="str">
            <v>Heavy Rail</v>
          </cell>
          <cell r="Y4" t="str">
            <v>Diesel (gal)</v>
          </cell>
          <cell r="Z4" t="str">
            <v>Fuel Reductions</v>
          </cell>
        </row>
        <row r="5">
          <cell r="B5">
            <v>2018</v>
          </cell>
          <cell r="C5" t="str">
            <v>Butte</v>
          </cell>
          <cell r="D5" t="str">
            <v>Mojave Desert</v>
          </cell>
          <cell r="E5" t="str">
            <v>Cleaner Vehicles</v>
          </cell>
          <cell r="H5" t="str">
            <v xml:space="preserve">Transit vouchers
</v>
          </cell>
          <cell r="S5" t="str">
            <v>Intercity/Express Bus (Long Distance)</v>
          </cell>
          <cell r="T5" t="str">
            <v>Light Rail</v>
          </cell>
          <cell r="Y5" t="str">
            <v>Electric (KWh)</v>
          </cell>
        </row>
        <row r="6">
          <cell r="B6">
            <v>2019</v>
          </cell>
          <cell r="C6" t="str">
            <v>Calaveras</v>
          </cell>
          <cell r="D6" t="str">
            <v>Mountain Counties</v>
          </cell>
          <cell r="H6" t="str">
            <v>Network/fare integration</v>
          </cell>
          <cell r="S6" t="str">
            <v>Light Rail</v>
          </cell>
          <cell r="T6" t="str">
            <v>Over-Road Coach</v>
          </cell>
          <cell r="Y6" t="str">
            <v>Gasoline (gal)</v>
          </cell>
        </row>
        <row r="7">
          <cell r="B7">
            <v>2020</v>
          </cell>
          <cell r="C7" t="str">
            <v>Colusa</v>
          </cell>
          <cell r="D7" t="str">
            <v>North Central Coast</v>
          </cell>
          <cell r="S7" t="str">
            <v>Local/ Intercity Bus (Short Distances)</v>
          </cell>
          <cell r="T7" t="str">
            <v>Streetcar</v>
          </cell>
          <cell r="Y7" t="str">
            <v>Hydrogen Fuel Cell (kg)</v>
          </cell>
        </row>
        <row r="8">
          <cell r="B8">
            <v>2021</v>
          </cell>
          <cell r="C8" t="str">
            <v>Contra Costa</v>
          </cell>
          <cell r="D8" t="str">
            <v>North Coast</v>
          </cell>
          <cell r="H8" t="str">
            <v>Purchase zero-emission vehicle(s)</v>
          </cell>
          <cell r="S8" t="str">
            <v>Multi-modal</v>
          </cell>
          <cell r="T8" t="str">
            <v>Transit Bus</v>
          </cell>
          <cell r="Y8" t="str">
            <v>LNG (gal)</v>
          </cell>
        </row>
        <row r="9">
          <cell r="B9">
            <v>2022</v>
          </cell>
          <cell r="C9" t="str">
            <v>Del Norte</v>
          </cell>
          <cell r="D9" t="str">
            <v>Northeast Plateau</v>
          </cell>
          <cell r="H9" t="str">
            <v>Purchase replacement zero-emission/hybrid vehicle(s)</v>
          </cell>
          <cell r="S9" t="str">
            <v>Shuttle</v>
          </cell>
          <cell r="T9" t="str">
            <v>Van</v>
          </cell>
          <cell r="Y9" t="str">
            <v>Renewable Diesel (gal)</v>
          </cell>
        </row>
        <row r="10">
          <cell r="B10">
            <v>2023</v>
          </cell>
          <cell r="C10" t="str">
            <v>El Dorado</v>
          </cell>
          <cell r="D10" t="str">
            <v>Sacramento Valley</v>
          </cell>
          <cell r="H10" t="str">
            <v>Install new transit facilities</v>
          </cell>
          <cell r="S10" t="str">
            <v>Streetcar</v>
          </cell>
          <cell r="Y10" t="str">
            <v>Renewable Natural Gas (ft3)</v>
          </cell>
        </row>
        <row r="11">
          <cell r="B11">
            <v>2024</v>
          </cell>
          <cell r="C11" t="str">
            <v>Fresno</v>
          </cell>
          <cell r="D11" t="str">
            <v>Salton Sea</v>
          </cell>
          <cell r="H11" t="str">
            <v>Upgrade transit facilities</v>
          </cell>
          <cell r="S11" t="str">
            <v>Vanpool</v>
          </cell>
        </row>
        <row r="12">
          <cell r="A12">
            <v>2022</v>
          </cell>
          <cell r="B12">
            <v>2025</v>
          </cell>
          <cell r="C12" t="str">
            <v>Glenn</v>
          </cell>
          <cell r="D12" t="str">
            <v>San Diego (Air Basin)</v>
          </cell>
          <cell r="H12" t="str">
            <v>Upgrade transit vehicle(s)</v>
          </cell>
        </row>
        <row r="13">
          <cell r="A13">
            <v>2021</v>
          </cell>
          <cell r="B13">
            <v>2026</v>
          </cell>
          <cell r="C13" t="str">
            <v>Humboldt</v>
          </cell>
          <cell r="D13" t="str">
            <v>San Francisco Bay Area</v>
          </cell>
        </row>
        <row r="14">
          <cell r="A14">
            <v>2020</v>
          </cell>
          <cell r="B14">
            <v>2027</v>
          </cell>
          <cell r="C14" t="str">
            <v>Imperial</v>
          </cell>
          <cell r="D14" t="str">
            <v>San Joaquin Valley</v>
          </cell>
        </row>
        <row r="15">
          <cell r="A15">
            <v>2019</v>
          </cell>
          <cell r="B15">
            <v>2028</v>
          </cell>
          <cell r="C15" t="str">
            <v>Inyo</v>
          </cell>
          <cell r="D15" t="str">
            <v>South Central Coast</v>
          </cell>
        </row>
        <row r="16">
          <cell r="A16">
            <v>2018</v>
          </cell>
          <cell r="B16">
            <v>2029</v>
          </cell>
          <cell r="C16" t="str">
            <v>Kern</v>
          </cell>
          <cell r="D16" t="str">
            <v>South Coast</v>
          </cell>
        </row>
        <row r="17">
          <cell r="A17">
            <v>2017</v>
          </cell>
          <cell r="B17">
            <v>2030</v>
          </cell>
          <cell r="C17" t="str">
            <v>Kings</v>
          </cell>
        </row>
        <row r="18">
          <cell r="A18">
            <v>2016</v>
          </cell>
          <cell r="B18">
            <v>2031</v>
          </cell>
          <cell r="C18" t="str">
            <v>Lake (County)</v>
          </cell>
        </row>
        <row r="19">
          <cell r="A19">
            <v>2015</v>
          </cell>
          <cell r="B19">
            <v>2032</v>
          </cell>
          <cell r="C19" t="str">
            <v>Lassen</v>
          </cell>
        </row>
        <row r="20">
          <cell r="A20">
            <v>2014</v>
          </cell>
          <cell r="B20">
            <v>2033</v>
          </cell>
          <cell r="C20" t="str">
            <v>Los Angeles</v>
          </cell>
        </row>
        <row r="21">
          <cell r="A21">
            <v>2013</v>
          </cell>
          <cell r="B21">
            <v>2034</v>
          </cell>
          <cell r="C21" t="str">
            <v>Madera</v>
          </cell>
        </row>
        <row r="22">
          <cell r="A22">
            <v>2012</v>
          </cell>
          <cell r="B22">
            <v>2035</v>
          </cell>
          <cell r="C22" t="str">
            <v>Marin</v>
          </cell>
        </row>
        <row r="23">
          <cell r="A23">
            <v>2011</v>
          </cell>
          <cell r="B23">
            <v>2036</v>
          </cell>
          <cell r="C23" t="str">
            <v>Mariposa</v>
          </cell>
        </row>
        <row r="24">
          <cell r="A24">
            <v>2010</v>
          </cell>
          <cell r="B24">
            <v>2037</v>
          </cell>
          <cell r="C24" t="str">
            <v>Mendocino</v>
          </cell>
        </row>
        <row r="25">
          <cell r="A25">
            <v>2009</v>
          </cell>
          <cell r="B25">
            <v>2038</v>
          </cell>
          <cell r="C25" t="str">
            <v>Merced</v>
          </cell>
        </row>
        <row r="26">
          <cell r="A26">
            <v>2008</v>
          </cell>
          <cell r="B26">
            <v>2039</v>
          </cell>
          <cell r="C26" t="str">
            <v>Modoc</v>
          </cell>
        </row>
        <row r="27">
          <cell r="A27">
            <v>2007</v>
          </cell>
          <cell r="B27">
            <v>2040</v>
          </cell>
          <cell r="C27" t="str">
            <v>Mono</v>
          </cell>
        </row>
        <row r="28">
          <cell r="A28">
            <v>2006</v>
          </cell>
          <cell r="B28">
            <v>2041</v>
          </cell>
          <cell r="C28" t="str">
            <v>Monterey</v>
          </cell>
        </row>
        <row r="29">
          <cell r="A29">
            <v>2005</v>
          </cell>
          <cell r="B29">
            <v>2042</v>
          </cell>
          <cell r="C29" t="str">
            <v>Napa</v>
          </cell>
        </row>
        <row r="30">
          <cell r="A30">
            <v>2004</v>
          </cell>
          <cell r="B30">
            <v>2043</v>
          </cell>
          <cell r="C30" t="str">
            <v>Nevada</v>
          </cell>
        </row>
        <row r="31">
          <cell r="A31">
            <v>2003</v>
          </cell>
          <cell r="B31">
            <v>2044</v>
          </cell>
          <cell r="C31" t="str">
            <v>Orange</v>
          </cell>
        </row>
        <row r="32">
          <cell r="A32">
            <v>2002</v>
          </cell>
          <cell r="B32">
            <v>2045</v>
          </cell>
          <cell r="C32" t="str">
            <v>Placer</v>
          </cell>
        </row>
        <row r="33">
          <cell r="A33">
            <v>2001</v>
          </cell>
          <cell r="B33">
            <v>2046</v>
          </cell>
          <cell r="C33" t="str">
            <v>Plumas</v>
          </cell>
        </row>
        <row r="34">
          <cell r="A34">
            <v>2000</v>
          </cell>
          <cell r="B34">
            <v>2047</v>
          </cell>
          <cell r="C34" t="str">
            <v>Riverside</v>
          </cell>
        </row>
        <row r="35">
          <cell r="A35">
            <v>1999</v>
          </cell>
          <cell r="B35">
            <v>2048</v>
          </cell>
          <cell r="C35" t="str">
            <v>Sacramento</v>
          </cell>
        </row>
        <row r="36">
          <cell r="A36">
            <v>1998</v>
          </cell>
          <cell r="B36">
            <v>2049</v>
          </cell>
          <cell r="C36" t="str">
            <v>San Benito</v>
          </cell>
        </row>
        <row r="37">
          <cell r="A37">
            <v>1997</v>
          </cell>
          <cell r="B37">
            <v>2050</v>
          </cell>
          <cell r="C37" t="str">
            <v>San Bernardino</v>
          </cell>
        </row>
        <row r="38">
          <cell r="A38">
            <v>1996</v>
          </cell>
          <cell r="C38" t="str">
            <v>San Diego (County)</v>
          </cell>
        </row>
        <row r="39">
          <cell r="A39">
            <v>1995</v>
          </cell>
          <cell r="C39" t="str">
            <v>San Francisco (County)</v>
          </cell>
        </row>
        <row r="40">
          <cell r="A40">
            <v>1994</v>
          </cell>
          <cell r="C40" t="str">
            <v>San Joaquin</v>
          </cell>
        </row>
        <row r="41">
          <cell r="A41">
            <v>1993</v>
          </cell>
          <cell r="C41" t="str">
            <v>San Luis Obispo</v>
          </cell>
        </row>
        <row r="42">
          <cell r="A42">
            <v>1992</v>
          </cell>
          <cell r="C42" t="str">
            <v>San Mateo</v>
          </cell>
        </row>
        <row r="43">
          <cell r="A43">
            <v>1991</v>
          </cell>
          <cell r="C43" t="str">
            <v>Santa Barbara</v>
          </cell>
        </row>
        <row r="44">
          <cell r="A44">
            <v>1990</v>
          </cell>
          <cell r="C44" t="str">
            <v>Santa Clara</v>
          </cell>
        </row>
        <row r="45">
          <cell r="A45">
            <v>1989</v>
          </cell>
          <cell r="C45" t="str">
            <v>Santa Cruz</v>
          </cell>
        </row>
        <row r="46">
          <cell r="A46">
            <v>1988</v>
          </cell>
          <cell r="C46" t="str">
            <v>Shasta</v>
          </cell>
        </row>
        <row r="47">
          <cell r="A47">
            <v>1987</v>
          </cell>
          <cell r="C47" t="str">
            <v>Sierra</v>
          </cell>
        </row>
        <row r="48">
          <cell r="A48">
            <v>1986</v>
          </cell>
          <cell r="C48" t="str">
            <v>Siskiyou</v>
          </cell>
        </row>
        <row r="49">
          <cell r="A49">
            <v>1985</v>
          </cell>
          <cell r="C49" t="str">
            <v>Solano</v>
          </cell>
        </row>
        <row r="50">
          <cell r="A50">
            <v>1984</v>
          </cell>
          <cell r="C50" t="str">
            <v>Sonoma</v>
          </cell>
        </row>
        <row r="51">
          <cell r="A51">
            <v>1983</v>
          </cell>
          <cell r="C51" t="str">
            <v>Stanislaus</v>
          </cell>
        </row>
        <row r="52">
          <cell r="A52">
            <v>1982</v>
          </cell>
          <cell r="C52" t="str">
            <v>Sutter</v>
          </cell>
        </row>
        <row r="53">
          <cell r="A53">
            <v>1981</v>
          </cell>
          <cell r="C53" t="str">
            <v>Tehama</v>
          </cell>
        </row>
        <row r="54">
          <cell r="A54">
            <v>1980</v>
          </cell>
          <cell r="C54" t="str">
            <v>Trinity</v>
          </cell>
        </row>
        <row r="55">
          <cell r="A55">
            <v>1979</v>
          </cell>
          <cell r="C55" t="str">
            <v>Tulare</v>
          </cell>
        </row>
        <row r="56">
          <cell r="A56">
            <v>1978</v>
          </cell>
          <cell r="C56" t="str">
            <v>Tuolumne</v>
          </cell>
        </row>
        <row r="57">
          <cell r="A57">
            <v>1977</v>
          </cell>
          <cell r="C57" t="str">
            <v>Ventura</v>
          </cell>
        </row>
        <row r="58">
          <cell r="A58">
            <v>1976</v>
          </cell>
          <cell r="C58" t="str">
            <v>Yolo</v>
          </cell>
        </row>
        <row r="59">
          <cell r="A59">
            <v>1975</v>
          </cell>
          <cell r="C59" t="str">
            <v>Yuba</v>
          </cell>
        </row>
        <row r="60">
          <cell r="A60">
            <v>1974</v>
          </cell>
        </row>
      </sheetData>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Allocation-Request"/>
      <sheetName val="Attchment A"/>
      <sheetName val="Attchment B"/>
      <sheetName val="Sheet2"/>
    </sheetNames>
    <sheetDataSet>
      <sheetData sheetId="0"/>
      <sheetData sheetId="1"/>
      <sheetData sheetId="2"/>
      <sheetData sheetId="3"/>
      <sheetData sheetId="4">
        <row r="3">
          <cell r="A3" t="str">
            <v xml:space="preserve">A1: Implement new transit service </v>
          </cell>
        </row>
        <row r="4">
          <cell r="A4" t="str">
            <v>A2: Expand/Enhance transit service</v>
          </cell>
        </row>
        <row r="5">
          <cell r="A5" t="str">
            <v>A3: Provide alternative transit options</v>
          </cell>
        </row>
        <row r="6">
          <cell r="A6" t="str">
            <v>A4: Network/fare integration</v>
          </cell>
        </row>
        <row r="7">
          <cell r="A7" t="str">
            <v>A5: Free or reduced-fare transit vouchers</v>
          </cell>
        </row>
        <row r="8">
          <cell r="A8" t="str">
            <v>Ai: Purchase, operate and maintain zero-emission or hybrid vehicles and equipment</v>
          </cell>
        </row>
        <row r="9">
          <cell r="A9" t="str">
            <v>Aii: Install infrastructure to support zero-emission or plug-in hybid vehicles and equipment</v>
          </cell>
        </row>
        <row r="10">
          <cell r="A10" t="str">
            <v>Aiii: Install infrastructure to support natural gas or other low carbon alternative fuels</v>
          </cell>
        </row>
        <row r="11">
          <cell r="A11" t="str">
            <v xml:space="preserve">Aiv: Install renewable energy at transit facilities </v>
          </cell>
        </row>
        <row r="12">
          <cell r="A12" t="str">
            <v>B1: Install new stops/stations for local bus, intercity rail, commuter bus or rail service</v>
          </cell>
        </row>
        <row r="13">
          <cell r="A13" t="str">
            <v xml:space="preserve">B2: Install new transit stop/station that connect to bike paths/pedestrian path </v>
          </cell>
        </row>
        <row r="14">
          <cell r="A14" t="str">
            <v>B3: Upgrade transit stops/stations to support active transportation and encourages ridership</v>
          </cell>
        </row>
        <row r="15">
          <cell r="A15" t="str">
            <v>B4: Upgrade transit vehicles to support active transportation and encourage ridership</v>
          </cell>
        </row>
        <row r="16">
          <cell r="A16" t="str">
            <v>Bi: Install renewable energy at transit facilities</v>
          </cell>
        </row>
        <row r="17">
          <cell r="A17" t="str">
            <v>Bii: Maintenance or operations to support expanded transit facilities and enhancements</v>
          </cell>
        </row>
        <row r="20">
          <cell r="A20" t="str">
            <v>LCTP 1A: Project provides incentives for vehicles or equipment to those with a physical address in a disadvantaged community.</v>
          </cell>
        </row>
        <row r="21">
          <cell r="A21" t="str">
            <v>LCTP 1B: Project provides incentives for vehicles or equipment that will be domiciled in a disadvantaged community.</v>
          </cell>
        </row>
        <row r="22">
          <cell r="A22" t="str">
            <v>LCTP 1C: Project provides incentives for vehicles or equipment that reduce air pollution on fixed routes that are primarily within a disadvantaged community or vehicles that serve transit stations or stops in a disadvantaged community.</v>
          </cell>
        </row>
        <row r="23">
          <cell r="A23" t="str">
            <v>LCTP 1D: Project provides greater mobility and increased access to clean transportation for disadvantaged community residents by placing services in a disadvantaged community, including ride-sharing, car-sharing, or other advanced technology mobility options.</v>
          </cell>
        </row>
        <row r="24">
          <cell r="A24" t="str">
            <v>LCTP 2A: Project provides incentives for vehicles or equipment to those with a physical address in a ZIP code that contains a disadvantaged community census tract.</v>
          </cell>
        </row>
        <row r="25">
          <cell r="A25" t="str">
            <v>LCTP 2B: Project provides incentives for freight vehicles or equipment that primarily serve freight hubs** located in a ZIP code that contains a disadvantaged community census tract, as identified in Table 2.A-1,  Appendix 2.A,  of Volume 2 of the Funding Guidelines.</v>
          </cell>
        </row>
        <row r="26">
          <cell r="A26" t="str">
            <v>LCTP 2C:  Project provides greater mobility and increased access to clean transportation for disadvantaged community residents by placing services that are accessible by walking within ½ mile of a disadvantaged community, including ride-sharing, car-sharing, or other advanced technology mobility options.</v>
          </cell>
        </row>
        <row r="27">
          <cell r="A27" t="str">
            <v>TP 1A: Project provides improved transit or intercity rail service for stations or stops in a disadvantaged community.</v>
          </cell>
        </row>
        <row r="28">
          <cell r="A28" t="str">
            <v>TP 1B:  Project provides transit incentives to residents with a physical address in a disadvantaged community.</v>
          </cell>
        </row>
        <row r="29">
          <cell r="A29" t="str">
            <v>TP 1C: Project improves transit connectivity at stations or stops in a disadvantaged community.</v>
          </cell>
        </row>
        <row r="30">
          <cell r="A30" t="str">
            <v>TP 1D: Project improves connectivity between travel modes for vehicles or equipment that service stations or stops in a disadvantaged community.</v>
          </cell>
        </row>
        <row r="31">
          <cell r="A31" t="str">
            <v>TP 1E: Project creates or improves infrastructure or equipment that reduces air pollution at a station, stop or transit facility in a disadvantaged community.</v>
          </cell>
        </row>
        <row r="32">
          <cell r="A32" t="str">
            <v>TP 1F: Project creates or improves infrastructure or equipment that reduces air pollution on regular routes that are primarily within a disadvantaged community.</v>
          </cell>
        </row>
        <row r="33">
          <cell r="A33" t="str">
            <v>TP 1G: Project provides greater mobility and increased access to clean transportation for disadvantaged community residents by placing services in a disadvantaged community, including ride-sharing, car-sharing, or other advanced technology mobility options associated with transit.</v>
          </cell>
        </row>
        <row r="34">
          <cell r="A34" t="str">
            <v>TP 1H: Project improves transit stations or stops in a disadvantaged community to increase safety and comfort.</v>
          </cell>
        </row>
        <row r="35">
          <cell r="A35" t="str">
            <v>TP 2A: Project provides improved local bus transit service for riders using stations or stops that are accessible by walking within ½ mile of a DAC.</v>
          </cell>
        </row>
        <row r="36">
          <cell r="A36" t="str">
            <v>TP 2B: Project improves local bus transit connectivity for riders using stations  or stops that are accessible by walking within ½ mile of a disadvantaged community.</v>
          </cell>
        </row>
        <row r="37">
          <cell r="A37" t="str">
            <v>TP 2C: Project provides improved intercity rail (and related feeder bus service), commuter bus or rail transit service for riders using stations or stops in a ZIP code that contains a disadvantaged community census tract or within ½ mile of a disadvantaged community.</v>
          </cell>
        </row>
        <row r="38">
          <cell r="A38" t="str">
            <v>TP 2D: Project provides improved intercity rail (and related feeder bus service), commuter bus or rail transit connectivity for riders using stations or stops in a ZIP code that contains a disadvantaged community census tract or within ½ mile of a disadvantaged community.</v>
          </cell>
        </row>
        <row r="39">
          <cell r="A39" t="str">
            <v>TP 2E: Project will increase intercity rail (and related feeder bus service), commuter bus or rail transit ridership, with at least 25 percent of new riders from disadvantaged communities.</v>
          </cell>
        </row>
        <row r="40">
          <cell r="A40" t="str">
            <v>TP 2F: Project provides greater mobility and increased access to clean transportation for disadvantaged community residents by placing services that are accessible by walking within ½ mile of a disadvantaged community, including ride-sharing, car-sharing, or other advanced technology mobility options associated with transit.</v>
          </cell>
        </row>
        <row r="41">
          <cell r="A41" t="str">
            <v xml:space="preserve">TP 2G: Project improves transit stations or stops that are accessible by walking within ½ mile of a disadvantaged community, to increase safety and comfort. </v>
          </cell>
        </row>
        <row r="42">
          <cell r="A42" t="str">
            <v>TP 2H: Project includes recruitment, agreements, policies or other approaches that are consistent with federal and state law and result in at least 25 percent of project work hours performed by residents of a disadvantaged community.</v>
          </cell>
        </row>
        <row r="43">
          <cell r="A43" t="str">
            <v>TP 2I: Project includes recruitment, agreements, policies or other approaches that are consistent with federal and state law and result in at least 10 percent of project work hours performed by residents of a disadvantaged community participating in job training programs which lead to industry-recognized credentials or certifications.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Project Info"/>
      <sheetName val="Project Data Inputs"/>
      <sheetName val="Boiler Worksheet"/>
      <sheetName val="GHG Summary"/>
      <sheetName val="Co-benefit Summary"/>
      <sheetName val="Documentation"/>
      <sheetName val="Definitions"/>
      <sheetName val="For Technical Reviewers"/>
      <sheetName val="Temperature Data"/>
      <sheetName val="Baseline CH4 Calcs"/>
      <sheetName val="CH4 Other Practices"/>
      <sheetName val="CO2 Other Sources"/>
      <sheetName val="Project CH4 Emissions"/>
      <sheetName val="Co-ben Calcs"/>
      <sheetName val="Co-benefits ERF"/>
      <sheetName val="Other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refreshError="1"/>
      <sheetData sheetId="16">
        <row r="2">
          <cell r="A2" t="str">
            <v>Alameda</v>
          </cell>
          <cell r="C2" t="str">
            <v>pasture / dirt</v>
          </cell>
          <cell r="F2" t="str">
            <v>Diesel (Distillate No. 1 or 2, gal.)</v>
          </cell>
        </row>
        <row r="3">
          <cell r="A3" t="str">
            <v>Alpine</v>
          </cell>
          <cell r="C3" t="str">
            <v>daily spread</v>
          </cell>
          <cell r="F3" t="str">
            <v>Gasoline (gallons)</v>
          </cell>
        </row>
        <row r="4">
          <cell r="A4" t="str">
            <v>Amador</v>
          </cell>
          <cell r="C4" t="str">
            <v>solid storage</v>
          </cell>
          <cell r="F4" t="str">
            <v>Natural Gas (MMBtu)</v>
          </cell>
        </row>
        <row r="5">
          <cell r="A5" t="str">
            <v>Butte</v>
          </cell>
          <cell r="C5" t="str">
            <v>dry lot</v>
          </cell>
          <cell r="F5" t="str">
            <v>Natural Gas (scf)</v>
          </cell>
        </row>
        <row r="6">
          <cell r="A6" t="str">
            <v>Calaveras</v>
          </cell>
          <cell r="C6" t="str">
            <v>liquid slurry (with natural crust cover)</v>
          </cell>
        </row>
        <row r="7">
          <cell r="A7" t="str">
            <v xml:space="preserve">Colusa </v>
          </cell>
          <cell r="C7" t="str">
            <v>liquid slurry (without natural crust cover)</v>
          </cell>
        </row>
        <row r="8">
          <cell r="A8" t="str">
            <v xml:space="preserve">Contra Costa </v>
          </cell>
          <cell r="C8" t="str">
            <v>pit storage below animal confinements (&lt; 1 month)</v>
          </cell>
        </row>
        <row r="9">
          <cell r="A9" t="str">
            <v xml:space="preserve">Del Norte </v>
          </cell>
          <cell r="C9" t="str">
            <v>pit storage below animal confinements (&gt;1 month)</v>
          </cell>
        </row>
        <row r="10">
          <cell r="A10" t="str">
            <v xml:space="preserve">El Dorado </v>
          </cell>
          <cell r="C10" t="str">
            <v>cattle and swine deep bedding (&lt;1 month)</v>
          </cell>
        </row>
        <row r="11">
          <cell r="A11" t="str">
            <v xml:space="preserve">Fresno </v>
          </cell>
          <cell r="C11" t="str">
            <v>cattle and swine deep bedding (&gt;1 month)</v>
          </cell>
        </row>
        <row r="12">
          <cell r="A12" t="str">
            <v xml:space="preserve">Glenn </v>
          </cell>
          <cell r="C12" t="str">
            <v xml:space="preserve">composting - in vessel </v>
          </cell>
        </row>
        <row r="13">
          <cell r="A13" t="str">
            <v xml:space="preserve">Humboldt </v>
          </cell>
          <cell r="C13" t="str">
            <v>composting - aerated static pile</v>
          </cell>
        </row>
        <row r="14">
          <cell r="A14" t="str">
            <v xml:space="preserve">Imperial </v>
          </cell>
          <cell r="C14" t="str">
            <v>composting - intensive windrow</v>
          </cell>
        </row>
        <row r="15">
          <cell r="A15" t="str">
            <v xml:space="preserve">Inyo </v>
          </cell>
          <cell r="C15" t="str">
            <v>composting - passive windrow</v>
          </cell>
        </row>
        <row r="16">
          <cell r="A16" t="str">
            <v>Kern</v>
          </cell>
        </row>
        <row r="17">
          <cell r="A17" t="str">
            <v>Kings</v>
          </cell>
          <cell r="E17">
            <v>0</v>
          </cell>
          <cell r="J17" t="str">
            <v>Covered Lagoon</v>
          </cell>
        </row>
        <row r="18">
          <cell r="A18" t="str">
            <v xml:space="preserve">Lake </v>
          </cell>
          <cell r="E18">
            <v>0.05</v>
          </cell>
          <cell r="J18" t="str">
            <v>Complete mix, plug flow, or fixed film digester</v>
          </cell>
        </row>
        <row r="19">
          <cell r="A19" t="str">
            <v xml:space="preserve">Lassen </v>
          </cell>
          <cell r="E19">
            <v>0.1</v>
          </cell>
        </row>
        <row r="20">
          <cell r="A20" t="str">
            <v xml:space="preserve">Los Angeles </v>
          </cell>
          <cell r="E20">
            <v>0.15</v>
          </cell>
        </row>
        <row r="21">
          <cell r="A21" t="str">
            <v xml:space="preserve">Madera </v>
          </cell>
          <cell r="E21">
            <v>0.2</v>
          </cell>
        </row>
        <row r="22">
          <cell r="A22" t="str">
            <v xml:space="preserve">Marin </v>
          </cell>
          <cell r="E22">
            <v>0.25</v>
          </cell>
        </row>
        <row r="23">
          <cell r="A23" t="str">
            <v xml:space="preserve">Mariposa </v>
          </cell>
          <cell r="E23">
            <v>0.3</v>
          </cell>
          <cell r="J23" t="str">
            <v>New source</v>
          </cell>
        </row>
        <row r="24">
          <cell r="A24" t="str">
            <v xml:space="preserve">Mendocino </v>
          </cell>
          <cell r="E24">
            <v>0.35</v>
          </cell>
          <cell r="J24" t="str">
            <v>Decrease</v>
          </cell>
        </row>
        <row r="25">
          <cell r="A25" t="str">
            <v xml:space="preserve">Merced </v>
          </cell>
          <cell r="E25">
            <v>0.4</v>
          </cell>
          <cell r="J25" t="str">
            <v>No change</v>
          </cell>
        </row>
        <row r="26">
          <cell r="A26" t="str">
            <v xml:space="preserve">Modoc </v>
          </cell>
          <cell r="E26">
            <v>0.45</v>
          </cell>
          <cell r="J26" t="str">
            <v>Increase</v>
          </cell>
        </row>
        <row r="27">
          <cell r="A27" t="str">
            <v xml:space="preserve">Mono </v>
          </cell>
          <cell r="E27">
            <v>0.5</v>
          </cell>
        </row>
        <row r="28">
          <cell r="A28" t="str">
            <v xml:space="preserve">Monterey </v>
          </cell>
          <cell r="E28">
            <v>0.55000000000000004</v>
          </cell>
          <cell r="J28" t="str">
            <v>Yes</v>
          </cell>
        </row>
        <row r="29">
          <cell r="A29" t="str">
            <v xml:space="preserve">Napa </v>
          </cell>
          <cell r="E29">
            <v>0.6</v>
          </cell>
          <cell r="J29" t="str">
            <v>No</v>
          </cell>
        </row>
        <row r="30">
          <cell r="A30" t="str">
            <v xml:space="preserve">Nevada </v>
          </cell>
          <cell r="E30">
            <v>0.65</v>
          </cell>
        </row>
        <row r="31">
          <cell r="A31" t="str">
            <v xml:space="preserve">Orange </v>
          </cell>
          <cell r="E31">
            <v>0.7</v>
          </cell>
          <cell r="J31" t="str">
            <v>No Solid Separation</v>
          </cell>
        </row>
        <row r="32">
          <cell r="A32" t="str">
            <v>Placer</v>
          </cell>
          <cell r="E32">
            <v>0.75</v>
          </cell>
          <cell r="J32" t="str">
            <v>Weeping Wall</v>
          </cell>
        </row>
        <row r="33">
          <cell r="A33" t="str">
            <v xml:space="preserve">Plumas </v>
          </cell>
          <cell r="E33">
            <v>0.8</v>
          </cell>
          <cell r="J33" t="str">
            <v>Stationary Screen</v>
          </cell>
        </row>
        <row r="34">
          <cell r="A34" t="str">
            <v xml:space="preserve">Riverside </v>
          </cell>
          <cell r="E34">
            <v>0.85</v>
          </cell>
          <cell r="J34" t="str">
            <v>Vibrating Screen</v>
          </cell>
        </row>
        <row r="35">
          <cell r="A35" t="str">
            <v>Sacramento</v>
          </cell>
          <cell r="E35">
            <v>0.9</v>
          </cell>
          <cell r="J35" t="str">
            <v>Screw Press</v>
          </cell>
        </row>
        <row r="36">
          <cell r="A36" t="str">
            <v>San Benito</v>
          </cell>
          <cell r="E36">
            <v>0.95</v>
          </cell>
          <cell r="J36" t="str">
            <v>Centrifuge</v>
          </cell>
        </row>
        <row r="37">
          <cell r="A37" t="str">
            <v>San Bernardino</v>
          </cell>
          <cell r="E37">
            <v>1</v>
          </cell>
          <cell r="J37" t="str">
            <v>Roller Drum</v>
          </cell>
        </row>
        <row r="38">
          <cell r="A38" t="str">
            <v xml:space="preserve">San Diego </v>
          </cell>
          <cell r="J38" t="str">
            <v>Belt Press/Screen</v>
          </cell>
        </row>
        <row r="39">
          <cell r="A39" t="str">
            <v xml:space="preserve">San Francisco </v>
          </cell>
        </row>
        <row r="40">
          <cell r="A40" t="str">
            <v xml:space="preserve">San Joaquin </v>
          </cell>
        </row>
        <row r="41">
          <cell r="A41" t="str">
            <v>San Luis Obispo</v>
          </cell>
        </row>
        <row r="42">
          <cell r="A42" t="str">
            <v xml:space="preserve">San Mateo </v>
          </cell>
        </row>
        <row r="43">
          <cell r="A43" t="str">
            <v xml:space="preserve">Santa Barbara </v>
          </cell>
        </row>
        <row r="44">
          <cell r="A44" t="str">
            <v xml:space="preserve">Santa Clara </v>
          </cell>
        </row>
        <row r="45">
          <cell r="A45" t="str">
            <v>Santa Cruz</v>
          </cell>
        </row>
        <row r="46">
          <cell r="A46" t="str">
            <v xml:space="preserve">Shasta </v>
          </cell>
        </row>
        <row r="47">
          <cell r="A47" t="str">
            <v xml:space="preserve">Sierra </v>
          </cell>
        </row>
        <row r="48">
          <cell r="A48" t="str">
            <v xml:space="preserve">Siskiyou </v>
          </cell>
        </row>
        <row r="49">
          <cell r="A49" t="str">
            <v xml:space="preserve">Solano </v>
          </cell>
        </row>
        <row r="50">
          <cell r="A50" t="str">
            <v xml:space="preserve">Sonoma </v>
          </cell>
        </row>
        <row r="51">
          <cell r="A51" t="str">
            <v xml:space="preserve">Stanislaus </v>
          </cell>
        </row>
        <row r="52">
          <cell r="A52" t="str">
            <v xml:space="preserve">Sutter </v>
          </cell>
        </row>
        <row r="53">
          <cell r="A53" t="str">
            <v>Tehama</v>
          </cell>
        </row>
        <row r="54">
          <cell r="A54" t="str">
            <v>Trinity</v>
          </cell>
        </row>
        <row r="55">
          <cell r="A55" t="str">
            <v>Tulare</v>
          </cell>
        </row>
        <row r="56">
          <cell r="A56" t="str">
            <v>Tuolumne</v>
          </cell>
        </row>
        <row r="57">
          <cell r="A57" t="str">
            <v>Ventura</v>
          </cell>
        </row>
        <row r="58">
          <cell r="A58" t="str">
            <v>Yolo</v>
          </cell>
        </row>
        <row r="59">
          <cell r="A59" t="str">
            <v>Yuba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Project Info"/>
      <sheetName val="Project Data Inputs"/>
      <sheetName val="Boiler Worksheet"/>
      <sheetName val="GHG Summary"/>
      <sheetName val="Co-benefit Summary"/>
      <sheetName val="Documentation"/>
      <sheetName val="Definitions"/>
      <sheetName val="For Technical Reviewers"/>
      <sheetName val="Temperature Data"/>
      <sheetName val="Baseline CH4 Calcs"/>
      <sheetName val="CH4 Other Practices"/>
      <sheetName val="CO2 Other Sources"/>
      <sheetName val="Project CH4 Emissions"/>
      <sheetName val="Co-ben Calcs"/>
      <sheetName val="Co-benefits ERF"/>
      <sheetName val="Other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2">
          <cell r="A2" t="str">
            <v>Alameda</v>
          </cell>
          <cell r="C2" t="str">
            <v>pasture / dirt</v>
          </cell>
          <cell r="F2" t="str">
            <v>Diesel (Distillate No. 1 or 2, gal.)</v>
          </cell>
        </row>
        <row r="3">
          <cell r="A3" t="str">
            <v>Alpine</v>
          </cell>
          <cell r="C3" t="str">
            <v>daily spread</v>
          </cell>
          <cell r="F3" t="str">
            <v>Gasoline (gallons)</v>
          </cell>
        </row>
        <row r="4">
          <cell r="A4" t="str">
            <v>Amador</v>
          </cell>
          <cell r="C4" t="str">
            <v>solid storage</v>
          </cell>
          <cell r="F4" t="str">
            <v>Natural Gas (MMBtu)</v>
          </cell>
        </row>
        <row r="5">
          <cell r="A5" t="str">
            <v>Butte</v>
          </cell>
          <cell r="C5" t="str">
            <v>dry lot</v>
          </cell>
          <cell r="F5" t="str">
            <v>Natural Gas (scf)</v>
          </cell>
        </row>
        <row r="6">
          <cell r="A6" t="str">
            <v>Calaveras</v>
          </cell>
          <cell r="C6" t="str">
            <v>liquid slurry (with natural crust cover)</v>
          </cell>
        </row>
        <row r="7">
          <cell r="A7" t="str">
            <v xml:space="preserve">Colusa </v>
          </cell>
          <cell r="C7" t="str">
            <v>liquid slurry (without natural crust cover)</v>
          </cell>
        </row>
        <row r="8">
          <cell r="A8" t="str">
            <v xml:space="preserve">Contra Costa </v>
          </cell>
          <cell r="C8" t="str">
            <v>pit storage below animal confinements (&lt; 1 month)</v>
          </cell>
        </row>
        <row r="9">
          <cell r="A9" t="str">
            <v xml:space="preserve">Del Norte </v>
          </cell>
          <cell r="C9" t="str">
            <v>pit storage below animal confinements (&gt;1 month)</v>
          </cell>
        </row>
        <row r="10">
          <cell r="A10" t="str">
            <v xml:space="preserve">El Dorado </v>
          </cell>
          <cell r="C10" t="str">
            <v>cattle and swine deep bedding (&lt;1 month)</v>
          </cell>
        </row>
        <row r="11">
          <cell r="A11" t="str">
            <v xml:space="preserve">Fresno </v>
          </cell>
          <cell r="C11" t="str">
            <v>cattle and swine deep bedding (&gt;1 month)</v>
          </cell>
        </row>
        <row r="12">
          <cell r="A12" t="str">
            <v xml:space="preserve">Glenn </v>
          </cell>
          <cell r="C12" t="str">
            <v xml:space="preserve">composting - in vessel </v>
          </cell>
        </row>
        <row r="13">
          <cell r="A13" t="str">
            <v xml:space="preserve">Humboldt </v>
          </cell>
          <cell r="C13" t="str">
            <v>composting - aerated static pile</v>
          </cell>
        </row>
        <row r="14">
          <cell r="A14" t="str">
            <v xml:space="preserve">Imperial </v>
          </cell>
          <cell r="C14" t="str">
            <v>composting - intensive windrow</v>
          </cell>
        </row>
        <row r="15">
          <cell r="A15" t="str">
            <v xml:space="preserve">Inyo </v>
          </cell>
          <cell r="C15" t="str">
            <v>composting - passive windrow</v>
          </cell>
        </row>
        <row r="16">
          <cell r="A16" t="str">
            <v>Kern</v>
          </cell>
        </row>
        <row r="17">
          <cell r="A17" t="str">
            <v>Kings</v>
          </cell>
          <cell r="E17">
            <v>0</v>
          </cell>
          <cell r="J17" t="str">
            <v>Covered Lagoon</v>
          </cell>
        </row>
        <row r="18">
          <cell r="A18" t="str">
            <v xml:space="preserve">Lake </v>
          </cell>
          <cell r="E18">
            <v>0.05</v>
          </cell>
          <cell r="J18" t="str">
            <v>Complete mix, plug flow, or fixed film digester</v>
          </cell>
        </row>
        <row r="19">
          <cell r="A19" t="str">
            <v xml:space="preserve">Lassen </v>
          </cell>
          <cell r="E19">
            <v>0.1</v>
          </cell>
        </row>
        <row r="20">
          <cell r="A20" t="str">
            <v xml:space="preserve">Los Angeles </v>
          </cell>
          <cell r="E20">
            <v>0.15</v>
          </cell>
        </row>
        <row r="21">
          <cell r="A21" t="str">
            <v xml:space="preserve">Madera </v>
          </cell>
          <cell r="E21">
            <v>0.2</v>
          </cell>
        </row>
        <row r="22">
          <cell r="A22" t="str">
            <v xml:space="preserve">Marin </v>
          </cell>
          <cell r="E22">
            <v>0.25</v>
          </cell>
        </row>
        <row r="23">
          <cell r="A23" t="str">
            <v xml:space="preserve">Mariposa </v>
          </cell>
          <cell r="E23">
            <v>0.3</v>
          </cell>
          <cell r="J23" t="str">
            <v>New source</v>
          </cell>
        </row>
        <row r="24">
          <cell r="A24" t="str">
            <v xml:space="preserve">Mendocino </v>
          </cell>
          <cell r="E24">
            <v>0.35</v>
          </cell>
          <cell r="J24" t="str">
            <v>Decrease</v>
          </cell>
        </row>
        <row r="25">
          <cell r="A25" t="str">
            <v xml:space="preserve">Merced </v>
          </cell>
          <cell r="E25">
            <v>0.4</v>
          </cell>
          <cell r="J25" t="str">
            <v>No change</v>
          </cell>
        </row>
        <row r="26">
          <cell r="A26" t="str">
            <v xml:space="preserve">Modoc </v>
          </cell>
          <cell r="E26">
            <v>0.45</v>
          </cell>
          <cell r="J26" t="str">
            <v>Increase</v>
          </cell>
        </row>
        <row r="27">
          <cell r="A27" t="str">
            <v xml:space="preserve">Mono </v>
          </cell>
          <cell r="E27">
            <v>0.5</v>
          </cell>
        </row>
        <row r="28">
          <cell r="A28" t="str">
            <v xml:space="preserve">Monterey </v>
          </cell>
          <cell r="E28">
            <v>0.55000000000000004</v>
          </cell>
          <cell r="J28" t="str">
            <v>Yes</v>
          </cell>
        </row>
        <row r="29">
          <cell r="A29" t="str">
            <v xml:space="preserve">Napa </v>
          </cell>
          <cell r="E29">
            <v>0.6</v>
          </cell>
          <cell r="J29" t="str">
            <v>No</v>
          </cell>
        </row>
        <row r="30">
          <cell r="A30" t="str">
            <v xml:space="preserve">Nevada </v>
          </cell>
          <cell r="E30">
            <v>0.65</v>
          </cell>
        </row>
        <row r="31">
          <cell r="A31" t="str">
            <v xml:space="preserve">Orange </v>
          </cell>
          <cell r="E31">
            <v>0.7</v>
          </cell>
          <cell r="J31" t="str">
            <v>No Solid Separation</v>
          </cell>
        </row>
        <row r="32">
          <cell r="A32" t="str">
            <v>Placer</v>
          </cell>
          <cell r="E32">
            <v>0.75</v>
          </cell>
          <cell r="J32" t="str">
            <v>Weeping Wall</v>
          </cell>
        </row>
        <row r="33">
          <cell r="A33" t="str">
            <v xml:space="preserve">Plumas </v>
          </cell>
          <cell r="E33">
            <v>0.8</v>
          </cell>
          <cell r="J33" t="str">
            <v>Stationary Screen</v>
          </cell>
        </row>
        <row r="34">
          <cell r="A34" t="str">
            <v xml:space="preserve">Riverside </v>
          </cell>
          <cell r="E34">
            <v>0.85</v>
          </cell>
          <cell r="J34" t="str">
            <v>Vibrating Screen</v>
          </cell>
        </row>
        <row r="35">
          <cell r="A35" t="str">
            <v>Sacramento</v>
          </cell>
          <cell r="E35">
            <v>0.9</v>
          </cell>
          <cell r="J35" t="str">
            <v>Screw Press</v>
          </cell>
        </row>
        <row r="36">
          <cell r="A36" t="str">
            <v>San Benito</v>
          </cell>
          <cell r="E36">
            <v>0.95</v>
          </cell>
          <cell r="J36" t="str">
            <v>Centrifuge</v>
          </cell>
        </row>
        <row r="37">
          <cell r="A37" t="str">
            <v>San Bernardino</v>
          </cell>
          <cell r="E37">
            <v>1</v>
          </cell>
          <cell r="J37" t="str">
            <v>Roller Drum</v>
          </cell>
        </row>
        <row r="38">
          <cell r="A38" t="str">
            <v xml:space="preserve">San Diego </v>
          </cell>
          <cell r="J38" t="str">
            <v>Belt Press/Screen</v>
          </cell>
        </row>
        <row r="39">
          <cell r="A39" t="str">
            <v xml:space="preserve">San Francisco </v>
          </cell>
        </row>
        <row r="40">
          <cell r="A40" t="str">
            <v xml:space="preserve">San Joaquin </v>
          </cell>
        </row>
        <row r="41">
          <cell r="A41" t="str">
            <v>San Luis Obispo</v>
          </cell>
        </row>
        <row r="42">
          <cell r="A42" t="str">
            <v xml:space="preserve">San Mateo </v>
          </cell>
        </row>
        <row r="43">
          <cell r="A43" t="str">
            <v xml:space="preserve">Santa Barbara </v>
          </cell>
        </row>
        <row r="44">
          <cell r="A44" t="str">
            <v xml:space="preserve">Santa Clara </v>
          </cell>
        </row>
        <row r="45">
          <cell r="A45" t="str">
            <v>Santa Cruz</v>
          </cell>
        </row>
        <row r="46">
          <cell r="A46" t="str">
            <v xml:space="preserve">Shasta </v>
          </cell>
        </row>
        <row r="47">
          <cell r="A47" t="str">
            <v xml:space="preserve">Sierra </v>
          </cell>
        </row>
        <row r="48">
          <cell r="A48" t="str">
            <v xml:space="preserve">Siskiyou </v>
          </cell>
        </row>
        <row r="49">
          <cell r="A49" t="str">
            <v xml:space="preserve">Solano </v>
          </cell>
        </row>
        <row r="50">
          <cell r="A50" t="str">
            <v xml:space="preserve">Sonoma </v>
          </cell>
        </row>
        <row r="51">
          <cell r="A51" t="str">
            <v xml:space="preserve">Stanislaus </v>
          </cell>
        </row>
        <row r="52">
          <cell r="A52" t="str">
            <v xml:space="preserve">Sutter </v>
          </cell>
        </row>
        <row r="53">
          <cell r="A53" t="str">
            <v>Tehama</v>
          </cell>
        </row>
        <row r="54">
          <cell r="A54" t="str">
            <v>Trinity</v>
          </cell>
        </row>
        <row r="55">
          <cell r="A55" t="str">
            <v>Tulare</v>
          </cell>
        </row>
        <row r="56">
          <cell r="A56" t="str">
            <v>Tuolumne</v>
          </cell>
        </row>
        <row r="57">
          <cell r="A57" t="str">
            <v>Ventura</v>
          </cell>
        </row>
        <row r="58">
          <cell r="A58" t="str">
            <v>Yolo</v>
          </cell>
        </row>
        <row r="59">
          <cell r="A59" t="str">
            <v>Yuba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CalEEMod Steps 4-6"/>
      <sheetName val="TAC Inputs"/>
      <sheetName val="GHG Summary"/>
      <sheetName val="Co-Benefits Summary"/>
      <sheetName val="Definitions"/>
      <sheetName val="GHG Calculations"/>
      <sheetName val="Criteria &amp; Toxics Calculations"/>
      <sheetName val="Defaults"/>
      <sheetName val="Auto GHGs"/>
      <sheetName val="Auto Criteria &amp; Toxics"/>
      <sheetName val="Cut-A-Way"/>
      <sheetName val="Van"/>
      <sheetName val="Transit Bus"/>
      <sheetName val="Train-criteria &amp; toxics"/>
      <sheetName val="Ferry-criteria &amp; toxics"/>
    </sheetNames>
    <sheetDataSet>
      <sheetData sheetId="0"/>
      <sheetData sheetId="1">
        <row r="49">
          <cell r="D49"/>
        </row>
      </sheetData>
      <sheetData sheetId="2">
        <row r="29">
          <cell r="T29">
            <v>0</v>
          </cell>
        </row>
      </sheetData>
      <sheetData sheetId="3"/>
      <sheetData sheetId="4"/>
      <sheetData sheetId="5"/>
      <sheetData sheetId="6"/>
      <sheetData sheetId="7"/>
      <sheetData sheetId="8">
        <row r="2">
          <cell r="A2">
            <v>2019</v>
          </cell>
        </row>
      </sheetData>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Definitions"/>
      <sheetName val="Project Info"/>
      <sheetName val="Project Data Inputs"/>
      <sheetName val="GHG Summary"/>
      <sheetName val="Co-benefits Summary"/>
      <sheetName val="Documentation"/>
      <sheetName val="For Technical Reviewers"/>
      <sheetName val="Temperature Data"/>
      <sheetName val="CH4 Calcs"/>
      <sheetName val="CH4 Other Practices"/>
      <sheetName val="CO2 Other Sources"/>
      <sheetName val="other metrics"/>
      <sheetName val="Other "/>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ow r="42">
          <cell r="A42" t="str">
            <v>Lactating Dairy Cows (freestall)</v>
          </cell>
        </row>
        <row r="43">
          <cell r="A43" t="str">
            <v>Lactating Dairy Cows (open lot)</v>
          </cell>
        </row>
        <row r="44">
          <cell r="A44" t="str">
            <v xml:space="preserve">Cattle: dry cows </v>
          </cell>
        </row>
        <row r="45">
          <cell r="A45" t="str">
            <v>Cattle: heifers (on feed)</v>
          </cell>
        </row>
        <row r="46">
          <cell r="A46" t="str">
            <v>Cattle: bulls</v>
          </cell>
        </row>
        <row r="47">
          <cell r="A47" t="str">
            <v>Cattle: calves (grazing)</v>
          </cell>
        </row>
        <row r="48">
          <cell r="A48" t="str">
            <v>Cattle: cows (grazing)</v>
          </cell>
        </row>
        <row r="49">
          <cell r="A49" t="str">
            <v>Cattle: heifers (grazing)</v>
          </cell>
        </row>
        <row r="50">
          <cell r="A50" t="str">
            <v>Swine: nursery swine</v>
          </cell>
        </row>
        <row r="51">
          <cell r="A51" t="str">
            <v>Swine: grow/finish swine</v>
          </cell>
        </row>
        <row r="52">
          <cell r="A52" t="str">
            <v>Swine: breeding swine</v>
          </cell>
        </row>
        <row r="53">
          <cell r="A53" t="str">
            <v>Sheep</v>
          </cell>
        </row>
        <row r="54">
          <cell r="A54" t="str">
            <v>Goats</v>
          </cell>
        </row>
        <row r="55">
          <cell r="A55" t="str">
            <v>Horses</v>
          </cell>
        </row>
        <row r="56">
          <cell r="A56" t="str">
            <v>Poultry: Layer Hens</v>
          </cell>
        </row>
        <row r="57">
          <cell r="A57" t="str">
            <v>Poultry: Other Chickens</v>
          </cell>
        </row>
        <row r="58">
          <cell r="A58" t="str">
            <v>Poultry: Pullets</v>
          </cell>
        </row>
        <row r="59">
          <cell r="A59" t="str">
            <v>Poultry: Broilers</v>
          </cell>
        </row>
        <row r="60">
          <cell r="A60" t="str">
            <v>Poultry: Turkeys</v>
          </cell>
        </row>
      </sheetData>
      <sheetData sheetId="10"/>
      <sheetData sheetId="11"/>
      <sheetData sheetId="12" refreshError="1"/>
      <sheetData sheetId="13">
        <row r="2">
          <cell r="F2" t="str">
            <v>Diesel (Distillate No. 1 or 2, gal.)</v>
          </cell>
        </row>
        <row r="18">
          <cell r="C18" t="str">
            <v>Flush</v>
          </cell>
        </row>
        <row r="19">
          <cell r="C19" t="str">
            <v>Partial scrape / partial flush / vacuum truck</v>
          </cell>
          <cell r="E19">
            <v>0.1</v>
          </cell>
        </row>
        <row r="20">
          <cell r="C20" t="str">
            <v>Scrape / vacuum truck</v>
          </cell>
          <cell r="E20">
            <v>0.15</v>
          </cell>
        </row>
        <row r="21">
          <cell r="C21" t="str">
            <v>Compost bedded pack barn</v>
          </cell>
          <cell r="E21">
            <v>0.2</v>
          </cell>
        </row>
        <row r="22">
          <cell r="C22" t="str">
            <v>Pit storage below animal confinements</v>
          </cell>
          <cell r="E22">
            <v>0.25</v>
          </cell>
        </row>
        <row r="23">
          <cell r="E23">
            <v>0.3</v>
          </cell>
        </row>
        <row r="24">
          <cell r="E24">
            <v>0.35</v>
          </cell>
        </row>
        <row r="25">
          <cell r="E25">
            <v>0.4</v>
          </cell>
          <cell r="J25" t="str">
            <v>none</v>
          </cell>
        </row>
        <row r="26">
          <cell r="E26">
            <v>0.45</v>
          </cell>
          <cell r="J26" t="str">
            <v>weeping wall</v>
          </cell>
        </row>
        <row r="27">
          <cell r="E27">
            <v>0.5</v>
          </cell>
          <cell r="J27" t="str">
            <v>stationary screen</v>
          </cell>
        </row>
        <row r="28">
          <cell r="E28">
            <v>0.55000000000000004</v>
          </cell>
          <cell r="J28" t="str">
            <v>vibrating screen</v>
          </cell>
        </row>
        <row r="29">
          <cell r="E29">
            <v>0.6</v>
          </cell>
          <cell r="J29" t="str">
            <v>screw press</v>
          </cell>
        </row>
        <row r="30">
          <cell r="E30">
            <v>0.65</v>
          </cell>
          <cell r="J30" t="str">
            <v>centrifuge</v>
          </cell>
        </row>
        <row r="31">
          <cell r="E31">
            <v>0.7</v>
          </cell>
          <cell r="J31" t="str">
            <v>roller drum</v>
          </cell>
        </row>
        <row r="32">
          <cell r="E32">
            <v>0.75</v>
          </cell>
          <cell r="J32" t="str">
            <v>belt press/screen</v>
          </cell>
          <cell r="K32">
            <v>0</v>
          </cell>
        </row>
        <row r="33">
          <cell r="E33">
            <v>0.8</v>
          </cell>
          <cell r="K33">
            <v>0.5</v>
          </cell>
        </row>
        <row r="34">
          <cell r="E34">
            <v>0.85</v>
          </cell>
          <cell r="K34">
            <v>1</v>
          </cell>
        </row>
        <row r="35">
          <cell r="E35">
            <v>0.9</v>
          </cell>
          <cell r="K35">
            <v>1.5</v>
          </cell>
        </row>
        <row r="36">
          <cell r="E36">
            <v>0.95</v>
          </cell>
          <cell r="K36">
            <v>2</v>
          </cell>
        </row>
        <row r="37">
          <cell r="E37">
            <v>1</v>
          </cell>
          <cell r="K37">
            <v>2.5</v>
          </cell>
        </row>
        <row r="38">
          <cell r="K38">
            <v>3</v>
          </cell>
        </row>
        <row r="39">
          <cell r="K39">
            <v>3.5</v>
          </cell>
        </row>
        <row r="40">
          <cell r="K40">
            <v>4</v>
          </cell>
        </row>
        <row r="41">
          <cell r="K41">
            <v>4.5</v>
          </cell>
        </row>
        <row r="42">
          <cell r="K42">
            <v>5</v>
          </cell>
        </row>
        <row r="43">
          <cell r="K43">
            <v>5.5</v>
          </cell>
        </row>
        <row r="44">
          <cell r="K44">
            <v>6</v>
          </cell>
        </row>
        <row r="45">
          <cell r="C45" t="str">
            <v>1a - Pasture based management - conversion to pasture management or increased time at pasture</v>
          </cell>
          <cell r="K45">
            <v>6.5</v>
          </cell>
        </row>
        <row r="46">
          <cell r="C46" t="str">
            <v>2a - Installation of compost bedded pack barn</v>
          </cell>
          <cell r="K46">
            <v>7</v>
          </cell>
        </row>
        <row r="47">
          <cell r="C47" t="str">
            <v>2b - Installation of slatted floor pit storage manure collection cleaned out at least monthly</v>
          </cell>
          <cell r="K47">
            <v>7.5</v>
          </cell>
        </row>
        <row r="48">
          <cell r="C48" t="str">
            <v>3a - Solid separation with open solar drying</v>
          </cell>
          <cell r="K48">
            <v>8</v>
          </cell>
        </row>
        <row r="49">
          <cell r="C49" t="str">
            <v>3b - Solid separation with closed solar drying</v>
          </cell>
          <cell r="K49">
            <v>8.5</v>
          </cell>
        </row>
        <row r="50">
          <cell r="C50" t="str">
            <v>3c - Solid separation with forced evaporation drying</v>
          </cell>
          <cell r="K50">
            <v>9</v>
          </cell>
        </row>
        <row r="51">
          <cell r="C51" t="str">
            <v>3d - Solid separation with daily spread</v>
          </cell>
          <cell r="K51">
            <v>9.5</v>
          </cell>
        </row>
        <row r="52">
          <cell r="C52" t="str">
            <v>3e - Solid separation with solid storage</v>
          </cell>
          <cell r="K52">
            <v>10</v>
          </cell>
        </row>
        <row r="53">
          <cell r="C53" t="str">
            <v>3f - Solid separation with composting (in vessel or aerated static pile)</v>
          </cell>
          <cell r="K53">
            <v>10.5</v>
          </cell>
        </row>
        <row r="54">
          <cell r="C54" t="str">
            <v>3g - Solid separation with composting (passive or intensive windrow)</v>
          </cell>
          <cell r="K54">
            <v>11</v>
          </cell>
        </row>
        <row r="55">
          <cell r="C55" t="str">
            <v>4a - Scrape conversion with open solar drying</v>
          </cell>
          <cell r="K55">
            <v>11.5</v>
          </cell>
        </row>
        <row r="56">
          <cell r="C56" t="str">
            <v>4b - Scrape conversion with closed solar drying</v>
          </cell>
          <cell r="K56">
            <v>12</v>
          </cell>
        </row>
        <row r="57">
          <cell r="C57" t="str">
            <v>4c - Scrape conversion with forced evaporation drying</v>
          </cell>
        </row>
        <row r="58">
          <cell r="C58" t="str">
            <v>4d - Scrape conversion with daily spread</v>
          </cell>
        </row>
        <row r="59">
          <cell r="C59" t="str">
            <v>4e - Scrape conversion with solid storage</v>
          </cell>
        </row>
        <row r="60">
          <cell r="C60" t="str">
            <v>4f - Scrape conversion with  composting (in vessel or aerated static pile)</v>
          </cell>
        </row>
        <row r="61">
          <cell r="C61" t="str">
            <v>4g - Scrape conversion with composting (passive or intensive windrow)</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Project Info"/>
      <sheetName val="Tree Planting-ITP"/>
      <sheetName val="Tree Planting-ITS"/>
      <sheetName val="New Bike-Ped Infrastructure"/>
      <sheetName val="GHG Summary"/>
      <sheetName val="Co-benefit Summary"/>
      <sheetName val="Definitions"/>
      <sheetName val="Documentation"/>
      <sheetName val="ERF"/>
      <sheetName val="Infrastructure GHG Calculations"/>
      <sheetName val="Criteria &amp; Toxics Calculations"/>
      <sheetName val="Passenger Auto GHG"/>
      <sheetName val="Passenger Auto Criteria &amp; Toxic"/>
      <sheetName val="Bike-Ped Matrix"/>
      <sheetName val="Defaul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ow r="11">
          <cell r="C11" t="str">
            <v>Alameda</v>
          </cell>
        </row>
        <row r="12">
          <cell r="C12" t="str">
            <v>Alpine</v>
          </cell>
        </row>
        <row r="13">
          <cell r="C13" t="str">
            <v>Amador</v>
          </cell>
        </row>
        <row r="14">
          <cell r="C14" t="str">
            <v>Butte</v>
          </cell>
        </row>
        <row r="15">
          <cell r="C15" t="str">
            <v>Calaveras</v>
          </cell>
        </row>
        <row r="16">
          <cell r="C16" t="str">
            <v>Colusa</v>
          </cell>
        </row>
        <row r="17">
          <cell r="C17" t="str">
            <v>Contra Costa</v>
          </cell>
        </row>
        <row r="18">
          <cell r="C18" t="str">
            <v>Del Norte</v>
          </cell>
        </row>
        <row r="19">
          <cell r="C19" t="str">
            <v>El Dorado</v>
          </cell>
        </row>
        <row r="20">
          <cell r="C20" t="str">
            <v>Fresno</v>
          </cell>
        </row>
        <row r="21">
          <cell r="C21" t="str">
            <v>Glenn</v>
          </cell>
        </row>
        <row r="22">
          <cell r="C22" t="str">
            <v>Humboldt</v>
          </cell>
          <cell r="K22" t="str">
            <v>Yes</v>
          </cell>
        </row>
        <row r="23">
          <cell r="C23" t="str">
            <v>Imperial</v>
          </cell>
          <cell r="K23" t="str">
            <v>No</v>
          </cell>
        </row>
        <row r="24">
          <cell r="C24" t="str">
            <v>Inyo</v>
          </cell>
        </row>
        <row r="25">
          <cell r="C25" t="str">
            <v>Kern</v>
          </cell>
        </row>
        <row r="26">
          <cell r="C26" t="str">
            <v>Kings</v>
          </cell>
          <cell r="K26" t="str">
            <v>$0 to $273.74</v>
          </cell>
        </row>
        <row r="27">
          <cell r="C27" t="str">
            <v>Lake</v>
          </cell>
          <cell r="K27" t="str">
            <v>$273.75 to $543.84</v>
          </cell>
        </row>
        <row r="28">
          <cell r="C28" t="str">
            <v>Lassen</v>
          </cell>
          <cell r="K28" t="str">
            <v>$543.85 to $1,087.69</v>
          </cell>
        </row>
        <row r="29">
          <cell r="C29" t="str">
            <v>Los Angeles</v>
          </cell>
          <cell r="K29" t="str">
            <v>$1,087.70 to $2,175.39</v>
          </cell>
        </row>
        <row r="30">
          <cell r="C30" t="str">
            <v>Madera</v>
          </cell>
          <cell r="K30" t="str">
            <v>$2,175.40 or greater</v>
          </cell>
        </row>
        <row r="31">
          <cell r="C31" t="str">
            <v>Marin</v>
          </cell>
        </row>
        <row r="32">
          <cell r="C32" t="str">
            <v>Mariposa</v>
          </cell>
        </row>
        <row r="33">
          <cell r="C33" t="str">
            <v>Mendocino</v>
          </cell>
        </row>
        <row r="34">
          <cell r="C34" t="str">
            <v>Merced</v>
          </cell>
        </row>
        <row r="35">
          <cell r="C35" t="str">
            <v>Modoc</v>
          </cell>
        </row>
        <row r="36">
          <cell r="C36" t="str">
            <v>Mono</v>
          </cell>
        </row>
        <row r="37">
          <cell r="C37" t="str">
            <v>Monterey</v>
          </cell>
        </row>
        <row r="38">
          <cell r="C38" t="str">
            <v>Napa</v>
          </cell>
        </row>
        <row r="39">
          <cell r="C39" t="str">
            <v>Nevada</v>
          </cell>
        </row>
        <row r="40">
          <cell r="C40" t="str">
            <v>Orange</v>
          </cell>
        </row>
        <row r="41">
          <cell r="C41" t="str">
            <v>Placer</v>
          </cell>
        </row>
        <row r="42">
          <cell r="C42" t="str">
            <v>Plumas</v>
          </cell>
        </row>
        <row r="43">
          <cell r="C43" t="str">
            <v>Riverside</v>
          </cell>
        </row>
        <row r="44">
          <cell r="C44" t="str">
            <v>Sacramento</v>
          </cell>
        </row>
        <row r="45">
          <cell r="C45" t="str">
            <v>San Benito</v>
          </cell>
        </row>
        <row r="46">
          <cell r="C46" t="str">
            <v>San Bernardino</v>
          </cell>
        </row>
        <row r="47">
          <cell r="C47" t="str">
            <v>San Diego</v>
          </cell>
        </row>
        <row r="48">
          <cell r="C48" t="str">
            <v>San Francisco</v>
          </cell>
        </row>
        <row r="49">
          <cell r="C49" t="str">
            <v>San Joaquin</v>
          </cell>
        </row>
        <row r="50">
          <cell r="C50" t="str">
            <v>San Luis Obispo</v>
          </cell>
        </row>
        <row r="51">
          <cell r="C51" t="str">
            <v>San Mateo</v>
          </cell>
        </row>
        <row r="52">
          <cell r="C52" t="str">
            <v>Santa Barbara</v>
          </cell>
        </row>
        <row r="53">
          <cell r="C53" t="str">
            <v>Santa Clara</v>
          </cell>
        </row>
        <row r="54">
          <cell r="C54" t="str">
            <v>Santa Cruz</v>
          </cell>
        </row>
        <row r="55">
          <cell r="C55" t="str">
            <v>Shasta</v>
          </cell>
        </row>
        <row r="56">
          <cell r="C56" t="str">
            <v>Sierra</v>
          </cell>
        </row>
        <row r="57">
          <cell r="C57" t="str">
            <v>Siskiyou</v>
          </cell>
        </row>
        <row r="58">
          <cell r="C58" t="str">
            <v>Solano</v>
          </cell>
        </row>
        <row r="59">
          <cell r="C59" t="str">
            <v>Sonoma</v>
          </cell>
        </row>
        <row r="60">
          <cell r="C60" t="str">
            <v>Stanislaus</v>
          </cell>
        </row>
        <row r="61">
          <cell r="C61" t="str">
            <v>Sutter</v>
          </cell>
        </row>
        <row r="62">
          <cell r="C62" t="str">
            <v>Tehama</v>
          </cell>
        </row>
        <row r="63">
          <cell r="C63" t="str">
            <v>Trinity</v>
          </cell>
        </row>
        <row r="64">
          <cell r="C64" t="str">
            <v>Tulare</v>
          </cell>
        </row>
        <row r="65">
          <cell r="C65" t="str">
            <v>Tuolumne</v>
          </cell>
        </row>
        <row r="66">
          <cell r="C66" t="str">
            <v>Ventura</v>
          </cell>
        </row>
        <row r="67">
          <cell r="C67" t="str">
            <v>Yolo</v>
          </cell>
        </row>
        <row r="68">
          <cell r="C68" t="str">
            <v>Yuba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AD Avg ERF"/>
      <sheetName val="HSAD vs. LSAD"/>
      <sheetName val="LCFS Data"/>
      <sheetName val="Potential ERF"/>
      <sheetName val="Potential ERF (2)"/>
      <sheetName val="Potential ERF (3)"/>
      <sheetName val="Potential ERF (4)"/>
      <sheetName val="Potential ERF-LF"/>
      <sheetName val="Potential ERF-COM"/>
      <sheetName val="ERFs"/>
      <sheetName val="Sheet4"/>
      <sheetName val="Sheet5"/>
      <sheetName val="Sheet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85">
          <cell r="A85" t="str">
            <v>Commercial Refrigerator with solid doors</v>
          </cell>
        </row>
        <row r="87">
          <cell r="A87" t="str">
            <v>Commercial Refrigerator with transparent doors</v>
          </cell>
        </row>
        <row r="89">
          <cell r="A89" t="str">
            <v>Commercial Freezer with solid doors</v>
          </cell>
        </row>
        <row r="91">
          <cell r="A91" t="str">
            <v>Commercial Freezer with transparent doors</v>
          </cell>
        </row>
        <row r="93">
          <cell r="A93" t="str">
            <v>Commercial Refrigerator/freezer with solid doors</v>
          </cell>
        </row>
      </sheetData>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rb.ca.gov/cci-resources" TargetMode="External"/><Relationship Id="rId7" Type="http://schemas.openxmlformats.org/officeDocument/2006/relationships/printerSettings" Target="../printerSettings/printerSettings1.bin"/><Relationship Id="rId2" Type="http://schemas.openxmlformats.org/officeDocument/2006/relationships/hyperlink" Target="mailto:GGRFProgram@arb.ca.gov" TargetMode="External"/><Relationship Id="rId1" Type="http://schemas.openxmlformats.org/officeDocument/2006/relationships/hyperlink" Target="http://www.arb.ca.gov/cci-cobenefits" TargetMode="External"/><Relationship Id="rId6" Type="http://schemas.openxmlformats.org/officeDocument/2006/relationships/hyperlink" Target="http://www.arb.ca.gov/cc/capandtrade/auctionproceeds/calrecycle_organics_finaluserguide_6-15-20.pdf" TargetMode="External"/><Relationship Id="rId5" Type="http://schemas.openxmlformats.org/officeDocument/2006/relationships/hyperlink" Target="mailto:GHGReductions@CalRecycle.ca.gov" TargetMode="External"/><Relationship Id="rId4" Type="http://schemas.openxmlformats.org/officeDocument/2006/relationships/hyperlink" Target="http://www.caclimateinvestments.ca.gov/" TargetMode="External"/><Relationship Id="rId9" Type="http://schemas.openxmlformats.org/officeDocument/2006/relationships/image" Target="../media/image1.png"/></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hyperlink" Target="https://www.arb.ca.gov/cc/waste/cerffinal.pdf" TargetMode="External"/><Relationship Id="rId13" Type="http://schemas.openxmlformats.org/officeDocument/2006/relationships/hyperlink" Target="https://www.arb.ca.gov/fuels/lcfs/121514wastewater.pdf" TargetMode="External"/><Relationship Id="rId18" Type="http://schemas.openxmlformats.org/officeDocument/2006/relationships/hyperlink" Target="https://ww2.arb.ca.gov/our-work/programs/refrigerant-management-program" TargetMode="External"/><Relationship Id="rId26" Type="http://schemas.openxmlformats.org/officeDocument/2006/relationships/printerSettings" Target="../printerSettings/printerSettings12.bin"/><Relationship Id="rId3" Type="http://schemas.openxmlformats.org/officeDocument/2006/relationships/hyperlink" Target="https://www.arb.ca.gov/fuels/lcfs/121514hsad.pdf" TargetMode="External"/><Relationship Id="rId21" Type="http://schemas.openxmlformats.org/officeDocument/2006/relationships/hyperlink" Target="https://www.arb.ca.gov/cc/inventory/slcp/doc/hfc_inventory_tsd_20160411.pdf" TargetMode="External"/><Relationship Id="rId7" Type="http://schemas.openxmlformats.org/officeDocument/2006/relationships/hyperlink" Target="https://www.arb.ca.gov/cc/waste/cerffinal.pdf" TargetMode="External"/><Relationship Id="rId12" Type="http://schemas.openxmlformats.org/officeDocument/2006/relationships/hyperlink" Target="https://www.arb.ca.gov/fuels/lcfs/121514wastewater.pdf" TargetMode="External"/><Relationship Id="rId17" Type="http://schemas.openxmlformats.org/officeDocument/2006/relationships/hyperlink" Target="https://ww2.arb.ca.gov/our-work/programs/refrigerant-management-program" TargetMode="External"/><Relationship Id="rId25" Type="http://schemas.openxmlformats.org/officeDocument/2006/relationships/hyperlink" Target="https://ww2.arb.ca.gov/resources/documents/cci-quantification-benefits-and-reporting-materials" TargetMode="External"/><Relationship Id="rId2" Type="http://schemas.openxmlformats.org/officeDocument/2006/relationships/hyperlink" Target="https://www.arb.ca.gov/emfac/2014/" TargetMode="External"/><Relationship Id="rId16" Type="http://schemas.openxmlformats.org/officeDocument/2006/relationships/hyperlink" Target="https://ww2.arb.ca.gov/our-work/programs/refrigerant-management-program" TargetMode="External"/><Relationship Id="rId20" Type="http://schemas.openxmlformats.org/officeDocument/2006/relationships/hyperlink" Target="https://www.arb.ca.gov/regact/2015/lcfs2015/lcfsfinalregorder.pdf" TargetMode="External"/><Relationship Id="rId1" Type="http://schemas.openxmlformats.org/officeDocument/2006/relationships/hyperlink" Target="http://www.arb.ca.gov/cci-resources." TargetMode="External"/><Relationship Id="rId6" Type="http://schemas.openxmlformats.org/officeDocument/2006/relationships/hyperlink" Target="https://www.arb.ca.gov/cc/waste/cerffinal.pdf" TargetMode="External"/><Relationship Id="rId11" Type="http://schemas.openxmlformats.org/officeDocument/2006/relationships/hyperlink" Target="https://www.arb.ca.gov/fuels/lcfs/121514wastewater.pdf" TargetMode="External"/><Relationship Id="rId24" Type="http://schemas.openxmlformats.org/officeDocument/2006/relationships/hyperlink" Target="http://www.cleanmetrics.com/pages/ClimateChangeImpactofUSFoodWaste.pdf" TargetMode="External"/><Relationship Id="rId5" Type="http://schemas.openxmlformats.org/officeDocument/2006/relationships/hyperlink" Target="https://www.arb.ca.gov/fuels/lcfs/121514hsad.pdf" TargetMode="External"/><Relationship Id="rId15" Type="http://schemas.openxmlformats.org/officeDocument/2006/relationships/hyperlink" Target="https://www.arb.ca.gov/fuels/lcfs/121514wastewater.pdf" TargetMode="External"/><Relationship Id="rId23" Type="http://schemas.openxmlformats.org/officeDocument/2006/relationships/hyperlink" Target="https://www.govinfo.gov/content/pkg/CFR-2013-title10-vol3/pdf/CFR-2013-title10-vol3-sec431-66.pdf" TargetMode="External"/><Relationship Id="rId10" Type="http://schemas.openxmlformats.org/officeDocument/2006/relationships/hyperlink" Target="https://www.arb.ca.gov/fuels/lcfs/121514wastewater.pdf" TargetMode="External"/><Relationship Id="rId19" Type="http://schemas.openxmlformats.org/officeDocument/2006/relationships/hyperlink" Target="https://www.fhwa.dot.gov/policyinformation/statistics/2014/vm1.cfm" TargetMode="External"/><Relationship Id="rId4" Type="http://schemas.openxmlformats.org/officeDocument/2006/relationships/hyperlink" Target="https://www.arb.ca.gov/fuels/lcfs/121514hsad.pdf" TargetMode="External"/><Relationship Id="rId9" Type="http://schemas.openxmlformats.org/officeDocument/2006/relationships/hyperlink" Target="https://www.arb.ca.gov/fuels/lcfs/121514hsad.pdf" TargetMode="External"/><Relationship Id="rId14" Type="http://schemas.openxmlformats.org/officeDocument/2006/relationships/hyperlink" Target="https://www.arb.ca.gov/fuels/lcfs/121514wastewater.pdf" TargetMode="External"/><Relationship Id="rId22" Type="http://schemas.openxmlformats.org/officeDocument/2006/relationships/hyperlink" Target="https://www.arb.ca.gov/cc/inventory/slcp/doc/hfc_inventory_tsd_20160411.pdf" TargetMode="External"/><Relationship Id="rId27"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8" Type="http://schemas.openxmlformats.org/officeDocument/2006/relationships/hyperlink" Target="https://www3.epa.gov/ttnchie1/ap42/ch02/final/c02s04.pdf" TargetMode="External"/><Relationship Id="rId13" Type="http://schemas.openxmlformats.org/officeDocument/2006/relationships/hyperlink" Target="https://www.arb.ca.gov/fuels/lcfs/121514wastewater.pdf" TargetMode="External"/><Relationship Id="rId18" Type="http://schemas.openxmlformats.org/officeDocument/2006/relationships/hyperlink" Target="https://www.arb.ca.gov/fuels/multimedia/meetings/DMETierIReport_Feb2015.pdf" TargetMode="External"/><Relationship Id="rId3" Type="http://schemas.openxmlformats.org/officeDocument/2006/relationships/hyperlink" Target="https://www.arb.ca.gov/ei/areasrc/Composting%20Emissions%20Inventory%20Methodology%20Final%20Combined.pdf" TargetMode="External"/><Relationship Id="rId21" Type="http://schemas.openxmlformats.org/officeDocument/2006/relationships/drawing" Target="../drawings/drawing13.xml"/><Relationship Id="rId7" Type="http://schemas.openxmlformats.org/officeDocument/2006/relationships/hyperlink" Target="https://www.arb.ca.gov/cc/waste/cerffinal.htm" TargetMode="External"/><Relationship Id="rId12" Type="http://schemas.openxmlformats.org/officeDocument/2006/relationships/hyperlink" Target="https://www.arb.ca.gov/fuels/lcfs/121514wastewater.pdf" TargetMode="External"/><Relationship Id="rId17" Type="http://schemas.openxmlformats.org/officeDocument/2006/relationships/hyperlink" Target="https://www.arb.ca.gov/fuels/lcfs/ca-greet/ca-greet.htm" TargetMode="External"/><Relationship Id="rId2" Type="http://schemas.openxmlformats.org/officeDocument/2006/relationships/hyperlink" Target="https://www.arb.ca.gov/ei/areasrc/Composting%20Emissions%20Inventory%20Methodology%20Final%20Combined.pdf" TargetMode="External"/><Relationship Id="rId16" Type="http://schemas.openxmlformats.org/officeDocument/2006/relationships/hyperlink" Target="http://www.cleanmetrics.com/pages/ClimateChangeImpactofUSFoodWaste.pdf" TargetMode="External"/><Relationship Id="rId20" Type="http://schemas.openxmlformats.org/officeDocument/2006/relationships/printerSettings" Target="../printerSettings/printerSettings13.bin"/><Relationship Id="rId1" Type="http://schemas.openxmlformats.org/officeDocument/2006/relationships/hyperlink" Target="http://www.arb.ca.gov/cc/capandtrade/auctionproceeds/quantification.htm" TargetMode="External"/><Relationship Id="rId6" Type="http://schemas.openxmlformats.org/officeDocument/2006/relationships/hyperlink" Target="https://www.arb.ca.gov/app/emsinv/2017/emssumcat_query.php?F_YR=2012&amp;F_DIV=-4&amp;F_SEASON=A&amp;SP=SIP105ADJ&amp;F_AREA=CA" TargetMode="External"/><Relationship Id="rId11" Type="http://schemas.openxmlformats.org/officeDocument/2006/relationships/hyperlink" Target="http://www.arb.ca.gov/orion" TargetMode="External"/><Relationship Id="rId5" Type="http://schemas.openxmlformats.org/officeDocument/2006/relationships/hyperlink" Target="https://www.arb.ca.gov/cc/capandtrade/auctionproceeds/final_energyfuelcost_am.pdf" TargetMode="External"/><Relationship Id="rId15" Type="http://schemas.openxmlformats.org/officeDocument/2006/relationships/hyperlink" Target="https://www.arb.ca.gov/fuels/lcfs/121514hsad.pdf" TargetMode="External"/><Relationship Id="rId10" Type="http://schemas.openxmlformats.org/officeDocument/2006/relationships/hyperlink" Target="https://www.arb.ca.gov/fuels/lcfs/ca-greet/ca-greet.htm" TargetMode="External"/><Relationship Id="rId19" Type="http://schemas.openxmlformats.org/officeDocument/2006/relationships/hyperlink" Target="https://www.arb.ca.gov/cc/capandtrade/auctionproceeds/final_energyfuelcost_am.pdf" TargetMode="External"/><Relationship Id="rId4" Type="http://schemas.openxmlformats.org/officeDocument/2006/relationships/hyperlink" Target="https://www.arb.ca.gov/cc/capandtrade/auctionproceeds/final_soil_am.pdf" TargetMode="External"/><Relationship Id="rId9" Type="http://schemas.openxmlformats.org/officeDocument/2006/relationships/hyperlink" Target="https://www3.epa.gov/ttnchie1/ap42/ch01/final/c01s04.pdf" TargetMode="External"/><Relationship Id="rId14" Type="http://schemas.openxmlformats.org/officeDocument/2006/relationships/hyperlink" Target="https://www.arb.ca.gov/fuels/lcfs/121514hsad.pdf"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www.arb.ca.gov/cc/waste/cerffinal.pdf" TargetMode="External"/><Relationship Id="rId2" Type="http://schemas.openxmlformats.org/officeDocument/2006/relationships/hyperlink" Target="http://www.climateactionreserve.org/wp-content/uploads/2009/10/Organic_Waste_Digestion_Project_Protocol_Version2.1.pdf" TargetMode="External"/><Relationship Id="rId1" Type="http://schemas.openxmlformats.org/officeDocument/2006/relationships/hyperlink" Target="http://www.valleyair.org/Grant_Programs/TAP/documents/C-15636-ACP/C-15636_ACP_FinalReport.pdf" TargetMode="External"/><Relationship Id="rId5" Type="http://schemas.openxmlformats.org/officeDocument/2006/relationships/printerSettings" Target="../printerSettings/printerSettings14.bin"/><Relationship Id="rId4" Type="http://schemas.openxmlformats.org/officeDocument/2006/relationships/hyperlink" Target="http://www.arb.ca.gov/cc/waste/cerffinal.pdf"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www.arb.ca.gov/regact/2015/lcfs2015/lcfsfinalregorder.pdf" TargetMode="External"/><Relationship Id="rId13" Type="http://schemas.openxmlformats.org/officeDocument/2006/relationships/hyperlink" Target="https://www.epa.gov/sites/production/files/2015-12/documents/emission-factors_nov_2015.pdf" TargetMode="External"/><Relationship Id="rId3" Type="http://schemas.openxmlformats.org/officeDocument/2006/relationships/hyperlink" Target="http://www.arb.ca.gov/cc/inventory/data/tables/ghg_inventory_by_sector_00-12_sum_2014-03-24.pdf" TargetMode="External"/><Relationship Id="rId7" Type="http://schemas.openxmlformats.org/officeDocument/2006/relationships/hyperlink" Target="https://www.arb.ca.gov/regact/2009/lcfs09/finalfro.pdf" TargetMode="External"/><Relationship Id="rId12" Type="http://schemas.openxmlformats.org/officeDocument/2006/relationships/hyperlink" Target="http://www.arb.ca.gov/fuels/lcfs/121514hsad.pdf" TargetMode="External"/><Relationship Id="rId17" Type="http://schemas.openxmlformats.org/officeDocument/2006/relationships/printerSettings" Target="../printerSettings/printerSettings15.bin"/><Relationship Id="rId2" Type="http://schemas.openxmlformats.org/officeDocument/2006/relationships/hyperlink" Target="http://www.arb.ca.gov/fuels/lcfs/121514hsad.pdf" TargetMode="External"/><Relationship Id="rId16" Type="http://schemas.openxmlformats.org/officeDocument/2006/relationships/hyperlink" Target="http://www.climateactionreserve.org/wp-content/uploads/2009/10/Organic_Waste_Digestion_Project_Protocol_Version2.1.pdf" TargetMode="External"/><Relationship Id="rId1" Type="http://schemas.openxmlformats.org/officeDocument/2006/relationships/hyperlink" Target="http://www.climateactionreserve.org/wp-content/uploads/2009/10/Organic_Waste_Digestion_Project_Protocol_Version2.1.pdf" TargetMode="External"/><Relationship Id="rId6" Type="http://schemas.openxmlformats.org/officeDocument/2006/relationships/hyperlink" Target="http://www.arb.ca.gov/regact/2015/lcfs2015/fsorlcfs.pdf" TargetMode="External"/><Relationship Id="rId11" Type="http://schemas.openxmlformats.org/officeDocument/2006/relationships/hyperlink" Target="http://www.arb.ca.gov/cc/waste/cerffinal.pdf" TargetMode="External"/><Relationship Id="rId5" Type="http://schemas.openxmlformats.org/officeDocument/2006/relationships/hyperlink" Target="http://cdn.intechopen.com/pdfs-wm/45114.pdf" TargetMode="External"/><Relationship Id="rId15" Type="http://schemas.openxmlformats.org/officeDocument/2006/relationships/hyperlink" Target="http://www.arb.ca.gov/regact/2015/lcfs2015/lcfsfinalregorder.pdf" TargetMode="External"/><Relationship Id="rId10" Type="http://schemas.openxmlformats.org/officeDocument/2006/relationships/hyperlink" Target="http://www.arb.ca.gov/cc/waste/cerffinal.pdf" TargetMode="External"/><Relationship Id="rId4" Type="http://schemas.openxmlformats.org/officeDocument/2006/relationships/hyperlink" Target="http://www.arb.ca.gov/fuels/lcfs/121514wastewater.pdf" TargetMode="External"/><Relationship Id="rId9" Type="http://schemas.openxmlformats.org/officeDocument/2006/relationships/hyperlink" Target="http://www.arb.ca.gov/cc/inventory/data/data.htm" TargetMode="External"/><Relationship Id="rId14" Type="http://schemas.openxmlformats.org/officeDocument/2006/relationships/hyperlink" Target="http://www.arb.ca.gov/regact/2009/lcfs09/finalfro.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www.epa.gov/sites/production/files/2015-12/documents/emission-factors_nov_2015.pdf" TargetMode="External"/><Relationship Id="rId13" Type="http://schemas.openxmlformats.org/officeDocument/2006/relationships/hyperlink" Target="http://www.arb.ca.gov/fuels/lcfs/121514wastewater.pdf" TargetMode="External"/><Relationship Id="rId18" Type="http://schemas.openxmlformats.org/officeDocument/2006/relationships/hyperlink" Target="http://www.arb.ca.gov/regact/2009/lcfs09/finalfro.pdf" TargetMode="External"/><Relationship Id="rId3" Type="http://schemas.openxmlformats.org/officeDocument/2006/relationships/hyperlink" Target="http://cdn.intechopen.com/pdfs-wm/45114.pdf" TargetMode="External"/><Relationship Id="rId21" Type="http://schemas.openxmlformats.org/officeDocument/2006/relationships/hyperlink" Target="http://www.arb.ca.gov/fuels/lcfs/121514wastewater.pdf" TargetMode="External"/><Relationship Id="rId7" Type="http://schemas.openxmlformats.org/officeDocument/2006/relationships/hyperlink" Target="http://www.arb.ca.gov/cc/inventory/data/data.htm" TargetMode="External"/><Relationship Id="rId12" Type="http://schemas.openxmlformats.org/officeDocument/2006/relationships/hyperlink" Target="http://www.arb.ca.gov/fuels/lcfs/121514wastewater.pdf" TargetMode="External"/><Relationship Id="rId17" Type="http://schemas.openxmlformats.org/officeDocument/2006/relationships/hyperlink" Target="http://www.arb.ca.gov/cc/waste/cerffinal.pdf" TargetMode="External"/><Relationship Id="rId2" Type="http://schemas.openxmlformats.org/officeDocument/2006/relationships/hyperlink" Target="http://www.arb.ca.gov/cc/inventory/data/tables/ghg_inventory_by_sector_00-12_sum_2014-03-24.pdf" TargetMode="External"/><Relationship Id="rId16" Type="http://schemas.openxmlformats.org/officeDocument/2006/relationships/hyperlink" Target="http://www.arb.ca.gov/cc/waste/cerffinal.pdf" TargetMode="External"/><Relationship Id="rId20" Type="http://schemas.openxmlformats.org/officeDocument/2006/relationships/hyperlink" Target="http://www.arb.ca.gov/fuels/lcfs/121514wastewater.pdf" TargetMode="External"/><Relationship Id="rId1" Type="http://schemas.openxmlformats.org/officeDocument/2006/relationships/hyperlink" Target="http://www.climateactionreserve.org/wp-content/uploads/2009/10/Organic_Waste_Digestion_Project_Protocol_Version2.1.pdf" TargetMode="External"/><Relationship Id="rId6" Type="http://schemas.openxmlformats.org/officeDocument/2006/relationships/hyperlink" Target="https://www.arb.ca.gov/regact/2015/lcfs2015/lcfsfinalregorder.pdf" TargetMode="External"/><Relationship Id="rId11" Type="http://schemas.openxmlformats.org/officeDocument/2006/relationships/hyperlink" Target="http://nepis.epa.gov/Adobe/PDF/P100LDEL.pdf" TargetMode="External"/><Relationship Id="rId5" Type="http://schemas.openxmlformats.org/officeDocument/2006/relationships/hyperlink" Target="https://www.arb.ca.gov/regact/2009/lcfs09/finalfro.pdf" TargetMode="External"/><Relationship Id="rId15" Type="http://schemas.openxmlformats.org/officeDocument/2006/relationships/hyperlink" Target="http://www.arb.ca.gov/fuels/lcfs/121514wastewater.pdf" TargetMode="External"/><Relationship Id="rId23" Type="http://schemas.openxmlformats.org/officeDocument/2006/relationships/printerSettings" Target="../printerSettings/printerSettings16.bin"/><Relationship Id="rId10" Type="http://schemas.openxmlformats.org/officeDocument/2006/relationships/hyperlink" Target="http://www.arb.ca.gov/fuels/lcfs/121514wastewater.pdf" TargetMode="External"/><Relationship Id="rId19" Type="http://schemas.openxmlformats.org/officeDocument/2006/relationships/hyperlink" Target="http://www.arb.ca.gov/regact/2015/lcfs2015/lcfsfinalregorder.pdf" TargetMode="External"/><Relationship Id="rId4" Type="http://schemas.openxmlformats.org/officeDocument/2006/relationships/hyperlink" Target="http://www.arb.ca.gov/regact/2015/lcfs2015/fsorlcfs.pdf" TargetMode="External"/><Relationship Id="rId9" Type="http://schemas.openxmlformats.org/officeDocument/2006/relationships/hyperlink" Target="http://www.arb.ca.gov/fuels/lcfs/121514wastewater.pdf" TargetMode="External"/><Relationship Id="rId14" Type="http://schemas.openxmlformats.org/officeDocument/2006/relationships/hyperlink" Target="http://www.arb.ca.gov/fuels/lcfs/121514wastewater.pdf" TargetMode="External"/><Relationship Id="rId22" Type="http://schemas.openxmlformats.org/officeDocument/2006/relationships/hyperlink" Target="http://www.climateactionreserve.org/wp-content/uploads/2009/10/Organic_Waste_Digestion_Project_Protocol_Version2.1.pdf"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www.cleanmetrics.com/pages/ClimateChangeImpactofUSFoodWaste.pdf" TargetMode="External"/><Relationship Id="rId2" Type="http://schemas.openxmlformats.org/officeDocument/2006/relationships/hyperlink" Target="http://www.arb.ca.gov/cc/waste/cerffinal.pdf" TargetMode="External"/><Relationship Id="rId1" Type="http://schemas.openxmlformats.org/officeDocument/2006/relationships/hyperlink" Target="http://www.cleanmetrics.com/pages/ClimateChangeImpactofUSFoodWaste.pdf" TargetMode="External"/><Relationship Id="rId4"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arb.ca.gov/fuels/lcfs/121514hsad.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rb.ca.gov/cc/capandtrade/auctionproceeds/calrecycle_organics_finaluserguide_6-15-20.pdf" TargetMode="Externa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www.arb.ca.gov/fuels/lcfs/121514wastewater.pdf"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rb.ca.gov/cc/capandtrade/auctionproceeds/calrecycle_organics_finaluserguide_6-15-20.pdf"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arb.ca.gov/cc/capandtrade/auctionproceeds/calrecycle_organics_finaluserguide_6-15-20.pdf" TargetMode="External"/><Relationship Id="rId1" Type="http://schemas.openxmlformats.org/officeDocument/2006/relationships/hyperlink" Target="http://www.arb.ca.gov/cc/capandtrade/auctionproceeds/calrecycle_organics_draftuserguide_7-16-19.pdf"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rb.ca.gov/cc/capandtrade/auctionproceeds/calrecycle_organics_finaluserguide_6-15-20.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rb.ca.gov/cc/capandtrade/auctionproceeds/calrecycle_organics_finaluserguide_6-15-20.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arb.ca.gov/cc/capandtrade/auctionproceeds/calrecycle_organics_finaluserguide_6-15-20.pdf"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arb.ca.gov/cc/capandtrade/auctionproceeds/calrecycle_organics_finaluserguide_6-15-20.pdf" TargetMode="External"/><Relationship Id="rId1" Type="http://schemas.openxmlformats.org/officeDocument/2006/relationships/hyperlink" Target="https://planting.itreetools.org/"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7C80"/>
  </sheetPr>
  <dimension ref="B1:H25"/>
  <sheetViews>
    <sheetView showGridLines="0" tabSelected="1" zoomScaleNormal="100" workbookViewId="0">
      <selection activeCell="B9" sqref="B9"/>
    </sheetView>
  </sheetViews>
  <sheetFormatPr defaultColWidth="9.15234375" defaultRowHeight="14.15" x14ac:dyDescent="0.35"/>
  <cols>
    <col min="1" max="1" width="2.84375" style="827" customWidth="1"/>
    <col min="2" max="2" width="146.3828125" style="827" customWidth="1"/>
    <col min="3" max="3" width="2.84375" style="827" customWidth="1"/>
    <col min="4" max="16384" width="9.15234375" style="827"/>
  </cols>
  <sheetData>
    <row r="1" spans="2:2" ht="18" x14ac:dyDescent="0.35">
      <c r="B1" s="826" t="s">
        <v>411</v>
      </c>
    </row>
    <row r="2" spans="2:2" ht="18" x14ac:dyDescent="0.35">
      <c r="B2" s="826"/>
    </row>
    <row r="3" spans="2:2" ht="18" x14ac:dyDescent="0.35">
      <c r="B3" s="826" t="s">
        <v>1083</v>
      </c>
    </row>
    <row r="4" spans="2:2" ht="18" x14ac:dyDescent="0.35">
      <c r="B4" s="849" t="s">
        <v>1116</v>
      </c>
    </row>
    <row r="5" spans="2:2" ht="18" x14ac:dyDescent="0.35">
      <c r="B5" s="826"/>
    </row>
    <row r="6" spans="2:2" ht="18" x14ac:dyDescent="0.35">
      <c r="B6" s="826" t="s">
        <v>1084</v>
      </c>
    </row>
    <row r="7" spans="2:2" ht="15.45" x14ac:dyDescent="0.4">
      <c r="B7" s="828"/>
    </row>
    <row r="8" spans="2:2" ht="15.9" thickBot="1" x14ac:dyDescent="0.45">
      <c r="B8" s="829" t="s">
        <v>414</v>
      </c>
    </row>
    <row r="9" spans="2:2" ht="84.75" customHeight="1" x14ac:dyDescent="0.35">
      <c r="B9" s="848" t="s">
        <v>1132</v>
      </c>
    </row>
    <row r="10" spans="2:2" ht="15.45" x14ac:dyDescent="0.4">
      <c r="B10" s="830" t="s">
        <v>1017</v>
      </c>
    </row>
    <row r="11" spans="2:2" ht="15.45" x14ac:dyDescent="0.4">
      <c r="B11" s="831"/>
    </row>
    <row r="12" spans="2:2" ht="59.6" customHeight="1" x14ac:dyDescent="0.4">
      <c r="B12" s="832" t="s">
        <v>1133</v>
      </c>
    </row>
    <row r="13" spans="2:2" ht="15.45" x14ac:dyDescent="0.4">
      <c r="B13" s="830" t="s">
        <v>1016</v>
      </c>
    </row>
    <row r="14" spans="2:2" ht="15.45" x14ac:dyDescent="0.4">
      <c r="B14" s="832"/>
    </row>
    <row r="15" spans="2:2" ht="15.45" x14ac:dyDescent="0.4">
      <c r="B15" s="1050" t="s">
        <v>1129</v>
      </c>
    </row>
    <row r="16" spans="2:2" x14ac:dyDescent="0.35">
      <c r="B16" s="1069" t="s">
        <v>1134</v>
      </c>
    </row>
    <row r="17" spans="2:8" ht="15.45" x14ac:dyDescent="0.4">
      <c r="B17" s="831"/>
    </row>
    <row r="18" spans="2:8" ht="15.45" x14ac:dyDescent="0.4">
      <c r="B18" s="833" t="s">
        <v>415</v>
      </c>
    </row>
    <row r="19" spans="2:8" ht="15.9" thickBot="1" x14ac:dyDescent="0.45">
      <c r="B19" s="831" t="s">
        <v>1085</v>
      </c>
    </row>
    <row r="20" spans="2:8" ht="15.45" x14ac:dyDescent="0.4">
      <c r="B20" s="834" t="s">
        <v>4</v>
      </c>
      <c r="D20" s="835" t="s">
        <v>421</v>
      </c>
      <c r="E20" s="836"/>
      <c r="F20" s="836"/>
      <c r="G20" s="836"/>
      <c r="H20" s="837"/>
    </row>
    <row r="21" spans="2:8" ht="15.45" x14ac:dyDescent="0.4">
      <c r="B21" s="831" t="s">
        <v>1130</v>
      </c>
      <c r="D21" s="1041" t="s">
        <v>422</v>
      </c>
      <c r="E21" s="838" t="s">
        <v>1086</v>
      </c>
      <c r="F21" s="838"/>
      <c r="G21" s="838"/>
      <c r="H21" s="839"/>
    </row>
    <row r="22" spans="2:8" ht="15.45" x14ac:dyDescent="0.4">
      <c r="B22" s="847" t="s">
        <v>5</v>
      </c>
      <c r="D22" s="840" t="s">
        <v>424</v>
      </c>
      <c r="E22" s="838" t="s">
        <v>1087</v>
      </c>
      <c r="F22" s="838"/>
      <c r="G22" s="838"/>
      <c r="H22" s="839"/>
    </row>
    <row r="23" spans="2:8" ht="15.45" x14ac:dyDescent="0.4">
      <c r="B23" s="831" t="s">
        <v>1088</v>
      </c>
      <c r="D23" s="841" t="s">
        <v>426</v>
      </c>
      <c r="E23" s="838" t="s">
        <v>1089</v>
      </c>
      <c r="F23" s="838"/>
      <c r="G23" s="838"/>
      <c r="H23" s="839"/>
    </row>
    <row r="24" spans="2:8" ht="15.9" thickBot="1" x14ac:dyDescent="0.45">
      <c r="B24" s="842" t="s">
        <v>1090</v>
      </c>
      <c r="D24" s="843" t="s">
        <v>428</v>
      </c>
      <c r="E24" s="844" t="s">
        <v>1091</v>
      </c>
      <c r="F24" s="844"/>
      <c r="G24" s="844"/>
      <c r="H24" s="845"/>
    </row>
    <row r="25" spans="2:8" ht="15.45" x14ac:dyDescent="0.4">
      <c r="B25" s="828"/>
      <c r="D25" s="846" t="s">
        <v>432</v>
      </c>
    </row>
  </sheetData>
  <sheetProtection algorithmName="SHA-512" hashValue="RF69OnW4dv/g77Q87B+B1qdnHd08aQHb/m8DFkx8gePfvCyEj0ZTyODOcVpA+abMy8/36nE8JTuIFIMgBhjgTA==" saltValue="7fZPadc+3hUh7NpBMz+dVA==" spinCount="100000" sheet="1" objects="1" scenarios="1"/>
  <hyperlinks>
    <hyperlink ref="B13" r:id="rId1" tooltip="California Climate Investments co-benefits webpage" xr:uid="{00000000-0004-0000-0000-000000000000}"/>
    <hyperlink ref="B20" r:id="rId2" tooltip="California Climate Investments program email" xr:uid="{00000000-0004-0000-0000-000001000000}"/>
    <hyperlink ref="B10" r:id="rId3" tooltip="California Climate Investments resources webpage" xr:uid="{00000000-0004-0000-0000-000004000000}"/>
    <hyperlink ref="B24" r:id="rId4" tooltip="California Climate Investments program webpage" xr:uid="{00000000-0004-0000-0000-000005000000}"/>
    <hyperlink ref="B22" r:id="rId5" tooltip="Email to CalRecycle Staff" xr:uid="{00000000-0004-0000-0000-000006000000}"/>
    <hyperlink ref="B16" r:id="rId6" xr:uid="{00000000-0004-0000-0000-000007000000}"/>
  </hyperlinks>
  <pageMargins left="0.7" right="0.7" top="0.75" bottom="0.75" header="0.3" footer="0.3"/>
  <pageSetup orientation="portrait" r:id="rId7"/>
  <drawing r:id="rId8"/>
  <picture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pageSetUpPr fitToPage="1"/>
  </sheetPr>
  <dimension ref="A1:P36"/>
  <sheetViews>
    <sheetView showGridLines="0" topLeftCell="A4" zoomScaleNormal="100" workbookViewId="0">
      <selection activeCell="G18" sqref="G18"/>
    </sheetView>
  </sheetViews>
  <sheetFormatPr defaultColWidth="9.15234375" defaultRowHeight="14.15" x14ac:dyDescent="0.35"/>
  <cols>
    <col min="1" max="1" width="5" style="1002" customWidth="1"/>
    <col min="2" max="2" width="72" style="1002" customWidth="1"/>
    <col min="3" max="3" width="17.15234375" style="1002" customWidth="1"/>
    <col min="4" max="4" width="19.3828125" style="1002" customWidth="1"/>
    <col min="5" max="5" width="14.15234375" style="1002" customWidth="1"/>
    <col min="6" max="6" width="12.84375" style="1002" customWidth="1"/>
    <col min="7" max="7" width="12.15234375" style="1002" customWidth="1"/>
    <col min="8" max="8" width="12.69140625" style="1002" bestFit="1" customWidth="1"/>
    <col min="9" max="16384" width="9.15234375" style="1002"/>
  </cols>
  <sheetData>
    <row r="1" spans="1:16" ht="20.149999999999999" x14ac:dyDescent="0.35">
      <c r="B1" s="1071" t="s">
        <v>411</v>
      </c>
      <c r="C1" s="1071"/>
      <c r="D1" s="1071"/>
      <c r="E1" s="1071"/>
      <c r="F1" s="1071"/>
    </row>
    <row r="2" spans="1:16" x14ac:dyDescent="0.35">
      <c r="B2" s="1072"/>
      <c r="C2" s="1072"/>
      <c r="D2" s="1072"/>
      <c r="E2" s="1072"/>
      <c r="F2" s="1072"/>
    </row>
    <row r="3" spans="1:16" ht="20.149999999999999" x14ac:dyDescent="0.35">
      <c r="B3" s="1071" t="s">
        <v>1083</v>
      </c>
      <c r="C3" s="1071"/>
      <c r="D3" s="1071"/>
      <c r="E3" s="1071"/>
      <c r="F3" s="1071"/>
    </row>
    <row r="4" spans="1:16" ht="20.149999999999999" x14ac:dyDescent="0.35">
      <c r="B4" s="1073" t="s">
        <v>1116</v>
      </c>
      <c r="C4" s="1073"/>
      <c r="D4" s="1073"/>
      <c r="E4" s="1073"/>
      <c r="F4" s="1073"/>
    </row>
    <row r="5" spans="1:16" x14ac:dyDescent="0.35">
      <c r="B5" s="1072"/>
      <c r="C5" s="1072"/>
      <c r="D5" s="1072"/>
      <c r="E5" s="1072"/>
      <c r="F5" s="1072"/>
    </row>
    <row r="6" spans="1:16" ht="20.149999999999999" x14ac:dyDescent="0.35">
      <c r="B6" s="1071" t="s">
        <v>413</v>
      </c>
      <c r="C6" s="1071"/>
      <c r="D6" s="1071"/>
      <c r="E6" s="1071"/>
      <c r="F6" s="1071"/>
    </row>
    <row r="7" spans="1:16" x14ac:dyDescent="0.35">
      <c r="B7" s="1003"/>
      <c r="C7" s="1003"/>
      <c r="D7" s="1003"/>
    </row>
    <row r="8" spans="1:16" ht="15.9" thickBot="1" x14ac:dyDescent="0.45">
      <c r="B8" s="1004" t="s">
        <v>887</v>
      </c>
      <c r="C8" s="1005"/>
      <c r="D8" s="1005"/>
      <c r="E8" s="1006"/>
      <c r="F8" s="1006"/>
      <c r="G8" s="1006"/>
      <c r="H8" s="1006"/>
      <c r="I8" s="1006"/>
      <c r="J8" s="1006"/>
      <c r="K8" s="1006"/>
      <c r="L8" s="1006"/>
      <c r="M8" s="1006"/>
    </row>
    <row r="9" spans="1:16" ht="15.45" x14ac:dyDescent="0.4">
      <c r="A9" s="1007"/>
      <c r="B9" s="1008" t="s">
        <v>909</v>
      </c>
      <c r="C9" s="1009">
        <f>-'Standalone AD Calcs'!B44+-'Co-Digestion Calcs'!B44</f>
        <v>0</v>
      </c>
      <c r="D9" s="1010" t="s">
        <v>888</v>
      </c>
      <c r="E9" s="828" t="s">
        <v>889</v>
      </c>
      <c r="F9" s="1006"/>
      <c r="G9" s="1006"/>
      <c r="H9" s="1006"/>
      <c r="I9" s="1006"/>
      <c r="J9" s="1006"/>
      <c r="K9" s="1006"/>
      <c r="L9" s="1006"/>
      <c r="M9" s="1006"/>
      <c r="N9" s="1006"/>
      <c r="O9" s="1006"/>
      <c r="P9" s="1006"/>
    </row>
    <row r="10" spans="1:16" ht="15.45" x14ac:dyDescent="0.4">
      <c r="A10" s="1007"/>
      <c r="B10" s="1011" t="s">
        <v>909</v>
      </c>
      <c r="C10" s="1012">
        <f>-'Standalone AD Calcs'!B35+-'Co-Digestion Calcs'!B35+'Tree Planting'!K67</f>
        <v>0</v>
      </c>
      <c r="D10" s="1013" t="s">
        <v>812</v>
      </c>
      <c r="E10" s="828" t="s">
        <v>889</v>
      </c>
      <c r="F10" s="1006"/>
      <c r="G10" s="1006"/>
      <c r="H10" s="1006"/>
      <c r="I10" s="1006"/>
      <c r="J10" s="1006"/>
      <c r="K10" s="1006"/>
      <c r="L10" s="1006"/>
      <c r="M10" s="1006"/>
      <c r="N10" s="1006"/>
      <c r="O10" s="1006"/>
      <c r="P10" s="1006"/>
    </row>
    <row r="11" spans="1:16" ht="15.45" x14ac:dyDescent="0.4">
      <c r="A11" s="1007"/>
      <c r="B11" s="1011" t="s">
        <v>909</v>
      </c>
      <c r="C11" s="1012">
        <f>'Tree Planting'!K68</f>
        <v>0</v>
      </c>
      <c r="D11" s="1013" t="s">
        <v>1075</v>
      </c>
      <c r="E11" s="828"/>
      <c r="F11" s="1006"/>
      <c r="G11" s="1006"/>
      <c r="H11" s="1006"/>
      <c r="I11" s="1006"/>
      <c r="J11" s="1006"/>
      <c r="K11" s="1006"/>
      <c r="L11" s="1006"/>
      <c r="M11" s="1006"/>
      <c r="N11" s="1006"/>
      <c r="O11" s="1006"/>
      <c r="P11" s="1006"/>
    </row>
    <row r="12" spans="1:16" ht="15.9" thickBot="1" x14ac:dyDescent="0.45">
      <c r="A12" s="1007"/>
      <c r="B12" s="1014" t="s">
        <v>910</v>
      </c>
      <c r="C12" s="1015">
        <f>C9*'Co-Ben ERFs'!B135+'Co-benefit Summary'!C10*'Co-Ben ERFs'!B138+'Food Calcs'!R36</f>
        <v>0</v>
      </c>
      <c r="D12" s="1016" t="s">
        <v>890</v>
      </c>
      <c r="E12" s="828" t="s">
        <v>891</v>
      </c>
      <c r="F12" s="1006"/>
      <c r="G12" s="1006"/>
      <c r="H12" s="1006"/>
      <c r="I12" s="1006"/>
      <c r="J12" s="1006"/>
      <c r="K12" s="1006"/>
      <c r="L12" s="1006"/>
      <c r="M12" s="1006"/>
      <c r="N12" s="1006"/>
      <c r="O12" s="1006"/>
      <c r="P12" s="1006"/>
    </row>
    <row r="13" spans="1:16" ht="15.45" x14ac:dyDescent="0.4">
      <c r="A13" s="1007"/>
      <c r="B13" s="1017" t="s">
        <v>911</v>
      </c>
      <c r="C13" s="1018">
        <f>'Standalone AD Calcs'!I26+'Co-Digestion Calcs'!I26</f>
        <v>0</v>
      </c>
      <c r="D13" s="1019" t="s">
        <v>888</v>
      </c>
      <c r="E13" s="1006"/>
      <c r="F13" s="1006"/>
      <c r="G13" s="1006"/>
      <c r="H13" s="1006"/>
      <c r="I13" s="1006"/>
      <c r="J13" s="1006"/>
      <c r="K13" s="1006"/>
      <c r="L13" s="1006"/>
      <c r="M13" s="1006"/>
      <c r="N13" s="1006"/>
      <c r="O13" s="1006"/>
      <c r="P13" s="1006"/>
    </row>
    <row r="14" spans="1:16" ht="15.45" x14ac:dyDescent="0.4">
      <c r="A14" s="1007"/>
      <c r="B14" s="1017" t="s">
        <v>911</v>
      </c>
      <c r="C14" s="1020">
        <f>'Standalone AD Calcs'!H26+'Co-Digestion Calcs'!H26</f>
        <v>0</v>
      </c>
      <c r="D14" s="1021" t="s">
        <v>899</v>
      </c>
      <c r="E14" s="1006"/>
      <c r="F14" s="1006"/>
      <c r="G14" s="1006"/>
      <c r="H14" s="1006"/>
      <c r="I14" s="1006"/>
      <c r="J14" s="1006"/>
      <c r="K14" s="1006"/>
      <c r="L14" s="1006"/>
      <c r="M14" s="1006"/>
      <c r="N14" s="1006"/>
      <c r="O14" s="1006"/>
      <c r="P14" s="1006"/>
    </row>
    <row r="15" spans="1:16" ht="15.9" thickBot="1" x14ac:dyDescent="0.45">
      <c r="A15" s="1007"/>
      <c r="B15" s="1022" t="s">
        <v>912</v>
      </c>
      <c r="C15" s="1023">
        <f>'Standalone AD Calcs'!B34+'Co-Digestion Calcs'!B34</f>
        <v>0</v>
      </c>
      <c r="D15" s="1024" t="s">
        <v>812</v>
      </c>
      <c r="E15" s="1006"/>
      <c r="F15" s="1006"/>
      <c r="G15" s="1006"/>
      <c r="H15" s="1006"/>
      <c r="I15" s="1006"/>
      <c r="J15" s="1006"/>
      <c r="K15" s="1006"/>
      <c r="L15" s="1006"/>
      <c r="M15" s="1006"/>
      <c r="N15" s="1006"/>
      <c r="O15" s="1006"/>
      <c r="P15" s="1006"/>
    </row>
    <row r="16" spans="1:16" ht="15.45" x14ac:dyDescent="0.4">
      <c r="B16" s="1025" t="s">
        <v>892</v>
      </c>
      <c r="C16" s="1025"/>
      <c r="D16" s="1025"/>
      <c r="E16" s="1006"/>
      <c r="F16" s="1006"/>
      <c r="G16" s="1006"/>
      <c r="H16" s="1006"/>
      <c r="I16" s="1006"/>
      <c r="J16" s="1006"/>
      <c r="K16" s="1006"/>
      <c r="L16" s="1006"/>
      <c r="M16" s="1006"/>
      <c r="N16" s="1006"/>
      <c r="O16" s="1006"/>
      <c r="P16" s="1006"/>
    </row>
    <row r="17" spans="1:16" ht="15.45" x14ac:dyDescent="0.4">
      <c r="B17" s="1006"/>
      <c r="C17" s="1006"/>
      <c r="D17" s="1006"/>
      <c r="E17" s="1006"/>
      <c r="F17" s="1006"/>
      <c r="G17" s="1006"/>
      <c r="H17" s="1006"/>
      <c r="I17" s="1006"/>
      <c r="J17" s="1006"/>
      <c r="K17" s="1006"/>
      <c r="L17" s="1006"/>
      <c r="M17" s="1006"/>
      <c r="N17" s="1006"/>
      <c r="O17" s="1006"/>
      <c r="P17" s="1006"/>
    </row>
    <row r="18" spans="1:16" ht="15.9" thickBot="1" x14ac:dyDescent="0.45">
      <c r="B18" s="1004" t="s">
        <v>893</v>
      </c>
      <c r="C18" s="1005" t="s">
        <v>879</v>
      </c>
      <c r="D18" s="1005" t="s">
        <v>880</v>
      </c>
      <c r="E18" s="1005" t="s">
        <v>881</v>
      </c>
      <c r="F18" s="1005"/>
      <c r="G18" s="1006"/>
      <c r="H18" s="1006"/>
      <c r="I18" s="1006"/>
      <c r="J18" s="1006"/>
      <c r="K18" s="1006"/>
      <c r="L18" s="1006"/>
      <c r="M18" s="1006"/>
      <c r="N18" s="1006"/>
      <c r="O18" s="1006"/>
      <c r="P18" s="1006"/>
    </row>
    <row r="19" spans="1:16" ht="15.45" x14ac:dyDescent="0.4">
      <c r="A19" s="1007"/>
      <c r="B19" s="1026" t="s">
        <v>905</v>
      </c>
      <c r="C19" s="1009">
        <f>'Standalone AD Calcs'!B63+'Co-Digestion Calcs'!B64+'Tree Planting'!K65</f>
        <v>0</v>
      </c>
      <c r="D19" s="1009">
        <f>'Composting Calcs'!Z15+'Standalone AD Calcs'!B57+'Co-Digestion Calcs'!B58+'Food Calcs'!N36+'Community Compost Calcs'!M10</f>
        <v>0</v>
      </c>
      <c r="E19" s="1009">
        <f>SUM(C19:D19)</f>
        <v>0</v>
      </c>
      <c r="F19" s="1010" t="s">
        <v>215</v>
      </c>
      <c r="G19" s="1027"/>
      <c r="H19" s="1006"/>
      <c r="I19" s="1006"/>
      <c r="J19" s="1006"/>
      <c r="K19" s="1006"/>
      <c r="L19" s="1006"/>
      <c r="M19" s="1006"/>
      <c r="N19" s="1006"/>
      <c r="O19" s="1006"/>
      <c r="P19" s="1006"/>
    </row>
    <row r="20" spans="1:16" ht="15.45" x14ac:dyDescent="0.4">
      <c r="A20" s="1007"/>
      <c r="B20" s="1028" t="s">
        <v>906</v>
      </c>
      <c r="C20" s="1012">
        <f>'Standalone AD Calcs'!C63+'Co-Digestion Calcs'!C64+'Tree Planting'!K64</f>
        <v>0</v>
      </c>
      <c r="D20" s="1012">
        <f>'Composting Calcs'!AA15+'Standalone AD Calcs'!C57+'Co-Digestion Calcs'!C58+'Food Calcs'!O36+'Community Compost Calcs'!N10</f>
        <v>0</v>
      </c>
      <c r="E20" s="1012">
        <f>SUM(C20:D20)</f>
        <v>0</v>
      </c>
      <c r="F20" s="1013" t="s">
        <v>215</v>
      </c>
      <c r="G20" s="1027"/>
      <c r="H20" s="1006"/>
      <c r="I20" s="1006"/>
      <c r="J20" s="1006"/>
      <c r="K20" s="1006"/>
      <c r="L20" s="1006"/>
      <c r="M20" s="1006"/>
      <c r="N20" s="1006"/>
      <c r="O20" s="1006"/>
      <c r="P20" s="1006"/>
    </row>
    <row r="21" spans="1:16" ht="15.45" x14ac:dyDescent="0.4">
      <c r="A21" s="1007"/>
      <c r="B21" s="1028" t="s">
        <v>907</v>
      </c>
      <c r="C21" s="1012">
        <f>'Standalone AD Calcs'!D63+'Co-Digestion Calcs'!D64+'Tree Planting'!K63</f>
        <v>0</v>
      </c>
      <c r="D21" s="1012">
        <f>'Composting Calcs'!AB15+'Standalone AD Calcs'!D57+'Co-Digestion Calcs'!D58+'Food Calcs'!P36+'Community Compost Calcs'!O10</f>
        <v>0</v>
      </c>
      <c r="E21" s="1012">
        <f>SUM(C21:D21)</f>
        <v>0</v>
      </c>
      <c r="F21" s="1013" t="s">
        <v>215</v>
      </c>
      <c r="G21" s="1027"/>
      <c r="H21" s="1006"/>
      <c r="I21" s="1006"/>
      <c r="J21" s="1006"/>
      <c r="K21" s="1006"/>
      <c r="L21" s="1006"/>
      <c r="M21" s="1006"/>
      <c r="N21" s="1006"/>
      <c r="O21" s="1006"/>
      <c r="P21" s="1006"/>
    </row>
    <row r="22" spans="1:16" ht="15.9" thickBot="1" x14ac:dyDescent="0.45">
      <c r="A22" s="1007"/>
      <c r="B22" s="1029" t="s">
        <v>908</v>
      </c>
      <c r="C22" s="1030">
        <f>'Standalone AD Calcs'!E63+'Co-Digestion Calcs'!E64</f>
        <v>0</v>
      </c>
      <c r="D22" s="1030">
        <f>'Standalone AD Calcs'!E57+'Co-Digestion Calcs'!E58+'Food Calcs'!Q36</f>
        <v>0</v>
      </c>
      <c r="E22" s="1030">
        <f>SUM(C22:D22)</f>
        <v>0</v>
      </c>
      <c r="F22" s="1031" t="s">
        <v>215</v>
      </c>
      <c r="G22" s="1027"/>
      <c r="H22" s="1006"/>
      <c r="I22" s="1006"/>
      <c r="J22" s="1006"/>
      <c r="K22" s="1006"/>
      <c r="L22" s="1006"/>
      <c r="M22" s="1006"/>
      <c r="N22" s="1006"/>
      <c r="O22" s="1006"/>
      <c r="P22" s="1006"/>
    </row>
    <row r="23" spans="1:16" ht="15.45" x14ac:dyDescent="0.4">
      <c r="B23" s="1025"/>
      <c r="C23" s="1025"/>
      <c r="D23" s="1025"/>
      <c r="E23" s="1025"/>
      <c r="F23" s="1025"/>
      <c r="G23" s="1006"/>
      <c r="H23" s="1006"/>
      <c r="I23" s="1006"/>
      <c r="J23" s="1006"/>
      <c r="K23" s="1006"/>
      <c r="L23" s="1006"/>
      <c r="M23" s="1006"/>
      <c r="N23" s="1006"/>
      <c r="O23" s="1006"/>
      <c r="P23" s="1006"/>
    </row>
    <row r="24" spans="1:16" ht="15.9" thickBot="1" x14ac:dyDescent="0.45">
      <c r="B24" s="1032" t="s">
        <v>882</v>
      </c>
      <c r="C24" s="828"/>
      <c r="D24" s="828"/>
      <c r="E24" s="828"/>
      <c r="F24" s="828"/>
      <c r="G24" s="828"/>
      <c r="H24" s="828"/>
      <c r="I24" s="828"/>
      <c r="J24" s="828"/>
      <c r="K24" s="828"/>
      <c r="L24" s="1006"/>
      <c r="M24" s="1006"/>
      <c r="N24" s="1006"/>
      <c r="O24" s="1006"/>
      <c r="P24" s="1006"/>
    </row>
    <row r="25" spans="1:16" ht="15.45" x14ac:dyDescent="0.4">
      <c r="A25" s="1007"/>
      <c r="B25" s="1057" t="s">
        <v>883</v>
      </c>
      <c r="C25" s="1058"/>
      <c r="D25" s="1059"/>
      <c r="E25" s="1053">
        <f>SUM('Composting Calcs'!F15,'Standalone AD Calcs'!G26,'Co-Digestion Calcs'!G26)*'Co-Ben ERFs'!B92*'Co-Ben ERFs'!B90</f>
        <v>0</v>
      </c>
      <c r="F25" s="1033" t="s">
        <v>894</v>
      </c>
      <c r="G25" s="828"/>
      <c r="H25" s="828"/>
      <c r="I25" s="828"/>
      <c r="J25" s="828"/>
      <c r="K25" s="828"/>
      <c r="L25" s="1006"/>
      <c r="M25" s="1006"/>
      <c r="N25" s="1006"/>
      <c r="O25" s="1006"/>
      <c r="P25" s="1006"/>
    </row>
    <row r="26" spans="1:16" ht="15.45" x14ac:dyDescent="0.4">
      <c r="A26" s="1007"/>
      <c r="B26" s="1051" t="s">
        <v>884</v>
      </c>
      <c r="C26" s="1052"/>
      <c r="D26" s="1060"/>
      <c r="E26" s="1064">
        <f>(E25*'Co-Ben ERFs'!B89)/('Co-Ben ERFs'!B91*'Co-Ben ERFs'!B93)</f>
        <v>0</v>
      </c>
      <c r="F26" s="1033" t="s">
        <v>885</v>
      </c>
      <c r="G26" s="828"/>
      <c r="H26" s="828"/>
      <c r="I26" s="828"/>
      <c r="J26" s="828"/>
      <c r="K26" s="828"/>
      <c r="L26" s="1006"/>
      <c r="M26" s="1006"/>
      <c r="N26" s="1006"/>
      <c r="O26" s="1006"/>
      <c r="P26" s="1006"/>
    </row>
    <row r="27" spans="1:16" ht="15.45" x14ac:dyDescent="0.4">
      <c r="A27" s="1007"/>
      <c r="B27" s="1051" t="s">
        <v>1080</v>
      </c>
      <c r="C27" s="1052"/>
      <c r="D27" s="1060"/>
      <c r="E27" s="1065">
        <f>'Tree Planting'!D58</f>
        <v>0</v>
      </c>
      <c r="F27" s="1033" t="s">
        <v>1081</v>
      </c>
      <c r="G27" s="828"/>
      <c r="H27" s="828"/>
      <c r="I27" s="828"/>
      <c r="J27" s="828"/>
      <c r="K27" s="828"/>
      <c r="L27" s="1006"/>
      <c r="M27" s="1006"/>
      <c r="N27" s="1006"/>
      <c r="O27" s="1006"/>
      <c r="P27" s="1006"/>
    </row>
    <row r="28" spans="1:16" ht="15.9" thickBot="1" x14ac:dyDescent="0.45">
      <c r="A28" s="1007"/>
      <c r="B28" s="1066" t="s">
        <v>1076</v>
      </c>
      <c r="C28" s="1067"/>
      <c r="D28" s="1068"/>
      <c r="E28" s="1056">
        <f>'Tree Planting'!K66</f>
        <v>0</v>
      </c>
      <c r="F28" s="1033" t="s">
        <v>1082</v>
      </c>
      <c r="G28" s="828"/>
      <c r="H28" s="828"/>
      <c r="I28" s="828"/>
      <c r="J28" s="828"/>
      <c r="K28" s="828"/>
      <c r="L28" s="1006"/>
      <c r="M28" s="1006"/>
      <c r="N28" s="1006"/>
      <c r="O28" s="1006"/>
      <c r="P28" s="1006"/>
    </row>
    <row r="29" spans="1:16" ht="15.45" x14ac:dyDescent="0.4">
      <c r="B29" s="828" t="s">
        <v>886</v>
      </c>
      <c r="C29" s="828"/>
      <c r="D29" s="828"/>
      <c r="E29" s="828"/>
      <c r="F29" s="828"/>
      <c r="G29" s="828"/>
      <c r="H29" s="828"/>
      <c r="I29" s="828"/>
      <c r="J29" s="828"/>
      <c r="K29" s="828"/>
      <c r="L29" s="1006"/>
      <c r="M29" s="1006"/>
    </row>
    <row r="30" spans="1:16" ht="15.45" x14ac:dyDescent="0.4">
      <c r="B30" s="828"/>
      <c r="C30" s="828"/>
      <c r="D30" s="828"/>
      <c r="E30" s="828"/>
      <c r="F30" s="828"/>
      <c r="G30" s="828"/>
      <c r="H30" s="828"/>
      <c r="I30" s="828"/>
      <c r="J30" s="828"/>
      <c r="K30" s="828"/>
      <c r="L30" s="1006"/>
      <c r="M30" s="1006"/>
    </row>
    <row r="31" spans="1:16" ht="15.9" thickBot="1" x14ac:dyDescent="0.45">
      <c r="B31" s="1032" t="s">
        <v>895</v>
      </c>
      <c r="C31" s="828"/>
      <c r="D31" s="828"/>
      <c r="E31" s="828"/>
      <c r="F31" s="828"/>
    </row>
    <row r="32" spans="1:16" ht="15.45" x14ac:dyDescent="0.4">
      <c r="A32" s="1007"/>
      <c r="B32" s="1057" t="s">
        <v>896</v>
      </c>
      <c r="C32" s="1058"/>
      <c r="D32" s="1059"/>
      <c r="E32" s="1053">
        <f>'Food Calcs'!B36</f>
        <v>0</v>
      </c>
      <c r="F32" s="1033" t="s">
        <v>897</v>
      </c>
    </row>
    <row r="33" spans="1:6" ht="15.45" x14ac:dyDescent="0.4">
      <c r="A33" s="1007"/>
      <c r="B33" s="1051" t="s">
        <v>41</v>
      </c>
      <c r="C33" s="1052"/>
      <c r="D33" s="1060"/>
      <c r="E33" s="1054">
        <f>'Food Calcs'!C36</f>
        <v>0</v>
      </c>
      <c r="F33" s="1033" t="s">
        <v>897</v>
      </c>
    </row>
    <row r="34" spans="1:6" ht="15.45" x14ac:dyDescent="0.4">
      <c r="A34" s="1007"/>
      <c r="B34" s="1051" t="s">
        <v>898</v>
      </c>
      <c r="C34" s="1052"/>
      <c r="D34" s="1060"/>
      <c r="E34" s="1055">
        <f>SUM('Composting Calcs'!F15,'Standalone AD Calcs'!C23,'Co-Digestion Calcs'!C23,'Food Calcs'!B36,'Community Compost Calcs'!C10)</f>
        <v>0</v>
      </c>
      <c r="F34" s="1033" t="s">
        <v>897</v>
      </c>
    </row>
    <row r="35" spans="1:6" ht="15.9" thickBot="1" x14ac:dyDescent="0.45">
      <c r="A35" s="1007"/>
      <c r="B35" s="1061" t="s">
        <v>1018</v>
      </c>
      <c r="C35" s="1062"/>
      <c r="D35" s="1063"/>
      <c r="E35" s="1056">
        <f>-SUM('Food Calcs'!C16:C21)*'Food Calcs'!S37</f>
        <v>0</v>
      </c>
      <c r="F35" s="866" t="s">
        <v>974</v>
      </c>
    </row>
    <row r="36" spans="1:6" x14ac:dyDescent="0.35">
      <c r="B36" s="1034"/>
      <c r="C36" s="1034"/>
      <c r="D36" s="1034"/>
      <c r="E36" s="1034"/>
    </row>
  </sheetData>
  <sheetProtection algorithmName="SHA-512" hashValue="SqVyT5DYbmDMyrZcdbYQIJ+h96ceJsmjX1MfPEGDQUa/597w7NLYkmog4cuHrdCAbZYJ2HfQFJBTmsj2zcF7LA==" saltValue="2i3EDUtaOftF/UKZuPh+8Q==" spinCount="100000" sheet="1" objects="1" scenarios="1"/>
  <mergeCells count="6">
    <mergeCell ref="B6:F6"/>
    <mergeCell ref="B1:F1"/>
    <mergeCell ref="B2:F2"/>
    <mergeCell ref="B3:F3"/>
    <mergeCell ref="B4:F4"/>
    <mergeCell ref="B5:F5"/>
  </mergeCells>
  <pageMargins left="0.7" right="0.7" top="0.75" bottom="0.75" header="0.3" footer="0.3"/>
  <pageSetup scale="51" fitToHeight="0" orientation="landscape" r:id="rId1"/>
  <headerFooter>
    <oddHeader>&amp;C&amp;G</oddHeader>
    <oddFooter>&amp;LDRAFT January XX, 2019&amp;CPage &amp;P of &amp;N&amp;RCo-benefit Summary Tab</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66"/>
    <pageSetUpPr fitToPage="1"/>
  </sheetPr>
  <dimension ref="A1:L106"/>
  <sheetViews>
    <sheetView showGridLines="0" zoomScaleNormal="100" zoomScalePageLayoutView="70" workbookViewId="0">
      <selection activeCell="A12" sqref="A12"/>
    </sheetView>
  </sheetViews>
  <sheetFormatPr defaultColWidth="9.15234375" defaultRowHeight="14.15" x14ac:dyDescent="0.35"/>
  <cols>
    <col min="1" max="1" width="4.3046875" style="850" customWidth="1"/>
    <col min="2" max="2" width="31.15234375" style="850" customWidth="1"/>
    <col min="3" max="3" width="52" style="850" customWidth="1"/>
    <col min="4" max="4" width="15.3828125" style="850" customWidth="1"/>
    <col min="5" max="6" width="33.3046875" style="850" customWidth="1"/>
    <col min="7" max="7" width="6.69140625" style="850" customWidth="1"/>
    <col min="8" max="8" width="9.15234375" style="850" customWidth="1"/>
    <col min="9" max="9" width="34.53515625" style="850" bestFit="1" customWidth="1"/>
    <col min="10" max="10" width="19.3828125" style="850" customWidth="1"/>
    <col min="11" max="11" width="16.84375" style="850" customWidth="1"/>
    <col min="12" max="12" width="14.15234375" style="850" customWidth="1"/>
    <col min="13" max="13" width="31.69140625" style="850" customWidth="1"/>
    <col min="14" max="16384" width="9.15234375" style="850"/>
  </cols>
  <sheetData>
    <row r="1" spans="1:12" ht="18.75" customHeight="1" x14ac:dyDescent="0.35">
      <c r="A1" s="1167" t="s">
        <v>411</v>
      </c>
      <c r="B1" s="1167"/>
      <c r="C1" s="1167"/>
      <c r="D1" s="1167"/>
      <c r="E1" s="1167"/>
      <c r="F1" s="1167"/>
    </row>
    <row r="2" spans="1:12" ht="15" customHeight="1" x14ac:dyDescent="0.45">
      <c r="A2" s="1168"/>
      <c r="B2" s="1168"/>
      <c r="C2" s="1168"/>
      <c r="D2" s="1168"/>
      <c r="E2" s="1168"/>
      <c r="F2" s="1168"/>
    </row>
    <row r="3" spans="1:12" ht="18.75" customHeight="1" x14ac:dyDescent="0.35">
      <c r="A3" s="1167" t="s">
        <v>412</v>
      </c>
      <c r="B3" s="1167"/>
      <c r="C3" s="1167"/>
      <c r="D3" s="1167"/>
      <c r="E3" s="1167"/>
      <c r="F3" s="1167"/>
    </row>
    <row r="4" spans="1:12" ht="18.75" customHeight="1" x14ac:dyDescent="0.35">
      <c r="A4" s="1169" t="s">
        <v>447</v>
      </c>
      <c r="B4" s="1169"/>
      <c r="C4" s="1169"/>
      <c r="D4" s="1169"/>
      <c r="E4" s="1169"/>
      <c r="F4" s="1169"/>
    </row>
    <row r="5" spans="1:12" ht="15" customHeight="1" x14ac:dyDescent="0.45">
      <c r="A5" s="1168"/>
      <c r="B5" s="1168"/>
      <c r="C5" s="1168"/>
      <c r="D5" s="1168"/>
      <c r="E5" s="1168"/>
      <c r="F5" s="1168"/>
    </row>
    <row r="6" spans="1:12" ht="18.75" customHeight="1" x14ac:dyDescent="0.35">
      <c r="A6" s="1167" t="s">
        <v>413</v>
      </c>
      <c r="B6" s="1167"/>
      <c r="C6" s="1167"/>
      <c r="D6" s="1167"/>
      <c r="E6" s="1167"/>
      <c r="F6" s="1167"/>
    </row>
    <row r="7" spans="1:12" ht="15" customHeight="1" x14ac:dyDescent="0.45">
      <c r="A7" s="1168"/>
      <c r="B7" s="1168"/>
      <c r="C7" s="1168"/>
      <c r="D7" s="1168"/>
      <c r="E7" s="1168"/>
      <c r="F7" s="1168"/>
    </row>
    <row r="8" spans="1:12" ht="15" customHeight="1" x14ac:dyDescent="0.35">
      <c r="A8" s="1170" t="s">
        <v>1128</v>
      </c>
      <c r="B8" s="1170"/>
      <c r="C8" s="1170"/>
      <c r="D8" s="1170"/>
      <c r="E8" s="1170"/>
      <c r="F8" s="1170"/>
    </row>
    <row r="9" spans="1:12" ht="15" customHeight="1" x14ac:dyDescent="0.35">
      <c r="A9" s="1170"/>
      <c r="B9" s="1170"/>
      <c r="C9" s="1170"/>
      <c r="D9" s="1170"/>
      <c r="E9" s="1170"/>
      <c r="F9" s="1170"/>
    </row>
    <row r="10" spans="1:12" ht="15" customHeight="1" x14ac:dyDescent="0.35">
      <c r="A10" s="1170"/>
      <c r="B10" s="1170"/>
      <c r="C10" s="1170"/>
      <c r="D10" s="1170"/>
      <c r="E10" s="1170"/>
      <c r="F10" s="1170"/>
    </row>
    <row r="11" spans="1:12" ht="30.75" customHeight="1" x14ac:dyDescent="0.35">
      <c r="A11" s="1170"/>
      <c r="B11" s="1170"/>
      <c r="C11" s="1170"/>
      <c r="D11" s="1170"/>
      <c r="E11" s="1170"/>
      <c r="F11" s="1170"/>
    </row>
    <row r="12" spans="1:12" ht="15" customHeight="1" x14ac:dyDescent="0.35">
      <c r="A12" s="998"/>
      <c r="B12" s="998"/>
      <c r="C12" s="998"/>
      <c r="D12" s="998"/>
      <c r="E12" s="998"/>
      <c r="F12" s="998"/>
    </row>
    <row r="13" spans="1:12" ht="18" customHeight="1" x14ac:dyDescent="0.35">
      <c r="A13" s="1171" t="s">
        <v>438</v>
      </c>
      <c r="B13" s="1171"/>
      <c r="C13" s="1171"/>
      <c r="D13" s="1171"/>
      <c r="E13" s="1171"/>
      <c r="F13" s="1171"/>
    </row>
    <row r="14" spans="1:12" ht="15" customHeight="1" x14ac:dyDescent="0.35">
      <c r="A14" s="1170" t="s">
        <v>439</v>
      </c>
      <c r="B14" s="1170"/>
      <c r="C14" s="1170"/>
      <c r="D14" s="1170"/>
      <c r="E14" s="1170"/>
      <c r="F14" s="1170"/>
    </row>
    <row r="15" spans="1:12" ht="15" customHeight="1" x14ac:dyDescent="0.35">
      <c r="A15" s="1035"/>
      <c r="B15" s="1035"/>
      <c r="C15" s="1035"/>
      <c r="D15" s="1035"/>
      <c r="E15" s="1035"/>
      <c r="F15" s="1035"/>
    </row>
    <row r="16" spans="1:12" ht="15" customHeight="1" x14ac:dyDescent="0.4">
      <c r="A16" s="1036"/>
      <c r="B16" s="1172" t="s">
        <v>440</v>
      </c>
      <c r="C16" s="1173"/>
      <c r="D16" s="1036" t="s">
        <v>441</v>
      </c>
      <c r="G16" s="855"/>
      <c r="H16" s="855"/>
      <c r="I16" s="855"/>
      <c r="J16" s="855"/>
      <c r="K16" s="855"/>
      <c r="L16" s="855"/>
    </row>
    <row r="17" spans="1:12" ht="31.5" customHeight="1" x14ac:dyDescent="0.4">
      <c r="A17" s="1037">
        <v>1</v>
      </c>
      <c r="B17" s="1165" t="s">
        <v>442</v>
      </c>
      <c r="C17" s="1166"/>
      <c r="D17" s="1038"/>
      <c r="G17" s="855"/>
      <c r="H17" s="855"/>
      <c r="I17" s="855"/>
      <c r="J17" s="855"/>
      <c r="K17" s="855"/>
      <c r="L17" s="855"/>
    </row>
    <row r="18" spans="1:12" ht="45.75" customHeight="1" x14ac:dyDescent="0.4">
      <c r="A18" s="1037">
        <v>2</v>
      </c>
      <c r="B18" s="1165" t="s">
        <v>1112</v>
      </c>
      <c r="C18" s="1166"/>
      <c r="D18" s="1038"/>
      <c r="G18" s="855"/>
      <c r="H18" s="855"/>
      <c r="I18" s="855"/>
      <c r="J18" s="855"/>
      <c r="K18" s="855"/>
      <c r="L18" s="855"/>
    </row>
    <row r="19" spans="1:12" ht="47.25" customHeight="1" x14ac:dyDescent="0.4">
      <c r="A19" s="1037">
        <v>3</v>
      </c>
      <c r="B19" s="1165" t="s">
        <v>1113</v>
      </c>
      <c r="C19" s="1166"/>
      <c r="D19" s="1038"/>
      <c r="E19" s="851"/>
      <c r="F19" s="1001"/>
      <c r="G19" s="855"/>
      <c r="H19" s="855"/>
      <c r="I19" s="855"/>
      <c r="J19" s="855"/>
      <c r="K19" s="855"/>
      <c r="L19" s="855"/>
    </row>
    <row r="20" spans="1:12" ht="65.25" customHeight="1" x14ac:dyDescent="0.4">
      <c r="A20" s="1037">
        <v>4</v>
      </c>
      <c r="B20" s="1165" t="s">
        <v>958</v>
      </c>
      <c r="C20" s="1166"/>
      <c r="D20" s="1038"/>
      <c r="E20" s="995"/>
      <c r="F20" s="995"/>
      <c r="G20" s="855"/>
      <c r="H20" s="855"/>
      <c r="I20" s="855"/>
      <c r="J20" s="855"/>
      <c r="K20" s="855"/>
      <c r="L20" s="855"/>
    </row>
    <row r="21" spans="1:12" ht="15" customHeight="1" x14ac:dyDescent="0.4">
      <c r="A21" s="995"/>
      <c r="B21" s="995"/>
      <c r="C21" s="995"/>
      <c r="D21" s="995"/>
      <c r="E21" s="995"/>
      <c r="F21" s="995"/>
      <c r="G21" s="855"/>
      <c r="H21" s="855"/>
      <c r="I21" s="855"/>
      <c r="J21" s="855"/>
      <c r="K21" s="855"/>
      <c r="L21" s="855"/>
    </row>
    <row r="22" spans="1:12" ht="15" customHeight="1" x14ac:dyDescent="0.4">
      <c r="A22" s="995"/>
      <c r="B22" s="995"/>
      <c r="C22" s="995"/>
      <c r="D22" s="995"/>
      <c r="E22" s="995"/>
      <c r="F22" s="995"/>
      <c r="G22" s="855"/>
      <c r="H22" s="855"/>
      <c r="I22" s="855"/>
      <c r="J22" s="855"/>
      <c r="K22" s="855"/>
      <c r="L22" s="855"/>
    </row>
    <row r="23" spans="1:12" ht="18" customHeight="1" x14ac:dyDescent="0.35">
      <c r="A23" s="1171" t="s">
        <v>443</v>
      </c>
      <c r="B23" s="1171"/>
      <c r="C23" s="1171"/>
      <c r="D23" s="1171"/>
      <c r="E23" s="1171"/>
      <c r="F23" s="1171"/>
    </row>
    <row r="24" spans="1:12" ht="15" customHeight="1" x14ac:dyDescent="0.35">
      <c r="A24" s="1170" t="s">
        <v>1114</v>
      </c>
      <c r="B24" s="1170"/>
      <c r="C24" s="1170"/>
      <c r="D24" s="1170"/>
      <c r="E24" s="1170"/>
      <c r="F24" s="1170"/>
    </row>
    <row r="25" spans="1:12" ht="15" customHeight="1" x14ac:dyDescent="0.4">
      <c r="A25" s="1170"/>
      <c r="B25" s="1170"/>
      <c r="C25" s="1170"/>
      <c r="D25" s="1170"/>
      <c r="E25" s="1170"/>
      <c r="F25" s="1170"/>
      <c r="G25" s="855"/>
      <c r="H25" s="855"/>
      <c r="I25" s="855"/>
      <c r="J25" s="855"/>
      <c r="K25" s="855"/>
      <c r="L25" s="855"/>
    </row>
    <row r="26" spans="1:12" ht="15" customHeight="1" x14ac:dyDescent="0.4">
      <c r="A26" s="995"/>
      <c r="B26" s="995"/>
      <c r="C26" s="995"/>
      <c r="D26" s="995"/>
      <c r="E26" s="995"/>
      <c r="F26" s="995"/>
      <c r="G26" s="855"/>
      <c r="H26" s="855"/>
      <c r="I26" s="855"/>
      <c r="J26" s="855"/>
      <c r="K26" s="855"/>
      <c r="L26" s="855"/>
    </row>
    <row r="27" spans="1:12" ht="33.75" customHeight="1" x14ac:dyDescent="0.4">
      <c r="A27" s="995"/>
      <c r="B27" s="1039" t="s">
        <v>1115</v>
      </c>
      <c r="C27" s="1174" t="s">
        <v>444</v>
      </c>
      <c r="D27" s="1174"/>
      <c r="E27" s="1036" t="s">
        <v>441</v>
      </c>
      <c r="F27" s="995"/>
      <c r="G27" s="855"/>
      <c r="H27" s="855"/>
      <c r="I27" s="855"/>
      <c r="J27" s="855"/>
      <c r="K27" s="855"/>
      <c r="L27" s="855"/>
    </row>
    <row r="28" spans="1:12" ht="48" customHeight="1" x14ac:dyDescent="0.4">
      <c r="A28" s="995"/>
      <c r="B28" s="1040" t="s">
        <v>445</v>
      </c>
      <c r="C28" s="1175" t="s">
        <v>446</v>
      </c>
      <c r="D28" s="1175"/>
      <c r="E28" s="1038"/>
      <c r="F28" s="995"/>
      <c r="G28" s="855"/>
      <c r="H28" s="855"/>
      <c r="I28" s="855"/>
      <c r="J28" s="855"/>
      <c r="K28" s="855"/>
      <c r="L28" s="855"/>
    </row>
    <row r="29" spans="1:12" ht="81" customHeight="1" x14ac:dyDescent="0.4">
      <c r="A29" s="996"/>
      <c r="B29" s="998"/>
      <c r="C29" s="998"/>
      <c r="D29" s="998"/>
      <c r="E29" s="998"/>
      <c r="F29" s="996"/>
      <c r="G29" s="855"/>
      <c r="H29" s="855"/>
      <c r="I29" s="855"/>
      <c r="J29" s="855"/>
      <c r="K29" s="855"/>
      <c r="L29" s="855"/>
    </row>
    <row r="30" spans="1:12" ht="54" customHeight="1" x14ac:dyDescent="0.4">
      <c r="A30" s="997"/>
      <c r="B30" s="998"/>
      <c r="C30" s="998"/>
      <c r="D30" s="998"/>
      <c r="E30" s="998"/>
      <c r="F30" s="997"/>
      <c r="G30" s="855"/>
      <c r="H30" s="855"/>
      <c r="I30" s="855"/>
      <c r="J30" s="855"/>
      <c r="K30" s="855"/>
      <c r="L30" s="855"/>
    </row>
    <row r="31" spans="1:12" ht="80.25" customHeight="1" x14ac:dyDescent="0.4">
      <c r="A31" s="998"/>
      <c r="F31" s="998"/>
      <c r="G31" s="855"/>
      <c r="H31" s="855"/>
      <c r="I31" s="855"/>
      <c r="J31" s="855"/>
      <c r="K31" s="855"/>
      <c r="L31" s="855"/>
    </row>
    <row r="32" spans="1:12" ht="51" customHeight="1" x14ac:dyDescent="0.4">
      <c r="A32" s="998"/>
      <c r="F32" s="998"/>
      <c r="G32" s="855"/>
      <c r="H32" s="855"/>
      <c r="I32" s="855"/>
      <c r="J32" s="855"/>
      <c r="K32" s="855"/>
      <c r="L32" s="855"/>
    </row>
    <row r="33" spans="1:12" ht="34.5" customHeight="1" x14ac:dyDescent="0.4">
      <c r="A33" s="998"/>
      <c r="F33" s="998"/>
      <c r="G33" s="855"/>
      <c r="H33" s="855"/>
      <c r="I33" s="855"/>
      <c r="J33" s="855"/>
      <c r="K33" s="855"/>
      <c r="L33" s="855"/>
    </row>
    <row r="34" spans="1:12" ht="15" customHeight="1" x14ac:dyDescent="0.4">
      <c r="A34" s="998"/>
      <c r="F34" s="998"/>
      <c r="G34" s="855"/>
      <c r="H34" s="855"/>
      <c r="I34" s="855"/>
      <c r="J34" s="855"/>
      <c r="K34" s="855"/>
      <c r="L34" s="855"/>
    </row>
    <row r="35" spans="1:12" ht="15" customHeight="1" x14ac:dyDescent="0.4">
      <c r="A35" s="998"/>
      <c r="F35" s="998"/>
      <c r="G35" s="855"/>
      <c r="H35" s="855"/>
      <c r="I35" s="855"/>
      <c r="J35" s="855"/>
      <c r="K35" s="855"/>
      <c r="L35" s="855"/>
    </row>
    <row r="36" spans="1:12" ht="15.45" x14ac:dyDescent="0.4">
      <c r="G36" s="855"/>
      <c r="H36" s="855"/>
      <c r="I36" s="855"/>
      <c r="J36" s="855"/>
      <c r="K36" s="855"/>
      <c r="L36" s="855"/>
    </row>
    <row r="37" spans="1:12" ht="15.45" x14ac:dyDescent="0.4">
      <c r="G37" s="855"/>
      <c r="H37" s="855"/>
      <c r="I37" s="855"/>
      <c r="J37" s="855"/>
      <c r="K37" s="855"/>
      <c r="L37" s="855"/>
    </row>
    <row r="38" spans="1:12" ht="15.45" x14ac:dyDescent="0.4">
      <c r="G38" s="855"/>
      <c r="H38" s="855"/>
      <c r="I38" s="855"/>
      <c r="J38" s="855"/>
      <c r="K38" s="855"/>
      <c r="L38" s="855"/>
    </row>
    <row r="39" spans="1:12" ht="15.45" x14ac:dyDescent="0.4">
      <c r="G39" s="855"/>
      <c r="H39" s="855"/>
      <c r="I39" s="855"/>
      <c r="J39" s="855"/>
      <c r="K39" s="855"/>
      <c r="L39" s="855"/>
    </row>
    <row r="40" spans="1:12" ht="15.45" x14ac:dyDescent="0.4">
      <c r="G40" s="855"/>
      <c r="H40" s="855"/>
      <c r="I40" s="855"/>
      <c r="J40" s="855"/>
      <c r="K40" s="855"/>
      <c r="L40" s="855"/>
    </row>
    <row r="41" spans="1:12" ht="15.45" x14ac:dyDescent="0.4">
      <c r="G41" s="855"/>
      <c r="H41" s="855"/>
      <c r="I41" s="855"/>
      <c r="J41" s="855"/>
      <c r="K41" s="855"/>
      <c r="L41" s="855"/>
    </row>
    <row r="42" spans="1:12" ht="15.45" x14ac:dyDescent="0.4">
      <c r="G42" s="855"/>
      <c r="H42" s="855"/>
      <c r="I42" s="855"/>
      <c r="J42" s="855"/>
      <c r="K42" s="855"/>
      <c r="L42" s="855"/>
    </row>
    <row r="43" spans="1:12" ht="15.45" x14ac:dyDescent="0.4">
      <c r="G43" s="855"/>
      <c r="H43" s="855"/>
      <c r="I43" s="855"/>
      <c r="J43" s="855"/>
      <c r="K43" s="855"/>
      <c r="L43" s="855"/>
    </row>
    <row r="44" spans="1:12" ht="15.45" x14ac:dyDescent="0.4">
      <c r="G44" s="855"/>
      <c r="H44" s="855"/>
      <c r="I44" s="855"/>
      <c r="J44" s="855"/>
      <c r="K44" s="855"/>
      <c r="L44" s="855"/>
    </row>
    <row r="45" spans="1:12" ht="15.45" x14ac:dyDescent="0.4">
      <c r="G45" s="855"/>
      <c r="H45" s="855"/>
      <c r="I45" s="855"/>
      <c r="J45" s="855"/>
      <c r="K45" s="855"/>
      <c r="L45" s="855"/>
    </row>
    <row r="46" spans="1:12" ht="15.45" x14ac:dyDescent="0.4">
      <c r="G46" s="855"/>
      <c r="H46" s="855"/>
      <c r="I46" s="855"/>
      <c r="J46" s="855"/>
      <c r="K46" s="855"/>
      <c r="L46" s="855"/>
    </row>
    <row r="47" spans="1:12" ht="15.45" x14ac:dyDescent="0.4">
      <c r="G47" s="855"/>
      <c r="H47" s="855"/>
      <c r="I47" s="855"/>
      <c r="J47" s="855"/>
      <c r="K47" s="855"/>
      <c r="L47" s="855"/>
    </row>
    <row r="48" spans="1:12" ht="15.45" x14ac:dyDescent="0.4">
      <c r="G48" s="855"/>
      <c r="H48" s="855"/>
      <c r="I48" s="855"/>
      <c r="J48" s="855"/>
      <c r="K48" s="855"/>
      <c r="L48" s="855"/>
    </row>
    <row r="49" spans="7:12" ht="15.45" x14ac:dyDescent="0.4">
      <c r="G49" s="855"/>
      <c r="H49" s="855"/>
      <c r="I49" s="855"/>
      <c r="J49" s="855"/>
      <c r="K49" s="855"/>
      <c r="L49" s="855"/>
    </row>
    <row r="50" spans="7:12" ht="15.45" x14ac:dyDescent="0.4">
      <c r="G50" s="855"/>
      <c r="H50" s="855"/>
      <c r="I50" s="855"/>
      <c r="J50" s="855"/>
      <c r="K50" s="855"/>
      <c r="L50" s="855"/>
    </row>
    <row r="51" spans="7:12" ht="15.45" x14ac:dyDescent="0.4">
      <c r="G51" s="855"/>
      <c r="H51" s="855"/>
      <c r="I51" s="855"/>
      <c r="J51" s="855"/>
      <c r="K51" s="855"/>
      <c r="L51" s="855"/>
    </row>
    <row r="52" spans="7:12" ht="15.45" x14ac:dyDescent="0.4">
      <c r="G52" s="855"/>
      <c r="H52" s="855"/>
      <c r="I52" s="855"/>
      <c r="J52" s="855"/>
      <c r="K52" s="855"/>
      <c r="L52" s="855"/>
    </row>
    <row r="53" spans="7:12" ht="15.45" x14ac:dyDescent="0.4">
      <c r="G53" s="855"/>
      <c r="H53" s="855"/>
      <c r="I53" s="855"/>
      <c r="J53" s="855"/>
      <c r="K53" s="855"/>
      <c r="L53" s="855"/>
    </row>
    <row r="54" spans="7:12" ht="15.45" x14ac:dyDescent="0.4">
      <c r="G54" s="855"/>
      <c r="H54" s="855"/>
      <c r="I54" s="855"/>
      <c r="J54" s="855"/>
      <c r="K54" s="855"/>
      <c r="L54" s="855"/>
    </row>
    <row r="55" spans="7:12" ht="15.45" x14ac:dyDescent="0.4">
      <c r="G55" s="855"/>
      <c r="H55" s="855"/>
      <c r="I55" s="855"/>
      <c r="J55" s="855"/>
      <c r="K55" s="855"/>
      <c r="L55" s="855"/>
    </row>
    <row r="56" spans="7:12" ht="15.45" x14ac:dyDescent="0.4">
      <c r="G56" s="855"/>
      <c r="H56" s="855"/>
      <c r="I56" s="855"/>
      <c r="J56" s="855"/>
      <c r="K56" s="855"/>
      <c r="L56" s="855"/>
    </row>
    <row r="57" spans="7:12" ht="15.45" x14ac:dyDescent="0.4">
      <c r="G57" s="855"/>
      <c r="H57" s="855"/>
      <c r="I57" s="855"/>
      <c r="J57" s="855"/>
      <c r="K57" s="855"/>
      <c r="L57" s="855"/>
    </row>
    <row r="58" spans="7:12" ht="15.45" x14ac:dyDescent="0.4">
      <c r="G58" s="855"/>
      <c r="H58" s="855"/>
      <c r="I58" s="855"/>
      <c r="J58" s="855"/>
      <c r="K58" s="855"/>
      <c r="L58" s="855"/>
    </row>
    <row r="59" spans="7:12" ht="15.45" x14ac:dyDescent="0.4">
      <c r="G59" s="855"/>
      <c r="H59" s="855"/>
      <c r="I59" s="855"/>
      <c r="J59" s="855"/>
      <c r="K59" s="855"/>
      <c r="L59" s="855"/>
    </row>
    <row r="60" spans="7:12" ht="15.45" x14ac:dyDescent="0.4">
      <c r="G60" s="855"/>
      <c r="H60" s="855"/>
      <c r="I60" s="855"/>
      <c r="J60" s="855"/>
      <c r="K60" s="855"/>
      <c r="L60" s="855"/>
    </row>
    <row r="61" spans="7:12" ht="15.45" x14ac:dyDescent="0.4">
      <c r="G61" s="855"/>
      <c r="H61" s="855"/>
      <c r="I61" s="855"/>
      <c r="J61" s="855"/>
      <c r="K61" s="855"/>
      <c r="L61" s="855"/>
    </row>
    <row r="62" spans="7:12" ht="15.45" x14ac:dyDescent="0.4">
      <c r="G62" s="855"/>
      <c r="H62" s="855"/>
      <c r="I62" s="855"/>
      <c r="J62" s="855"/>
      <c r="K62" s="855"/>
      <c r="L62" s="855"/>
    </row>
    <row r="63" spans="7:12" ht="15.45" x14ac:dyDescent="0.4">
      <c r="G63" s="855"/>
      <c r="H63" s="855"/>
      <c r="I63" s="855"/>
      <c r="J63" s="855"/>
      <c r="K63" s="855"/>
      <c r="L63" s="855"/>
    </row>
    <row r="64" spans="7:12" ht="15.45" x14ac:dyDescent="0.4">
      <c r="G64" s="855"/>
      <c r="H64" s="855"/>
      <c r="I64" s="855"/>
      <c r="J64" s="855"/>
      <c r="K64" s="855"/>
      <c r="L64" s="855"/>
    </row>
    <row r="65" spans="7:12" ht="15.45" x14ac:dyDescent="0.4">
      <c r="G65" s="855"/>
      <c r="H65" s="855"/>
      <c r="I65" s="855"/>
      <c r="J65" s="855"/>
      <c r="K65" s="855"/>
      <c r="L65" s="855"/>
    </row>
    <row r="66" spans="7:12" ht="15.45" x14ac:dyDescent="0.4">
      <c r="G66" s="855"/>
      <c r="H66" s="855"/>
      <c r="I66" s="855"/>
      <c r="J66" s="855"/>
      <c r="K66" s="855"/>
      <c r="L66" s="855"/>
    </row>
    <row r="67" spans="7:12" ht="15.45" x14ac:dyDescent="0.4">
      <c r="G67" s="855"/>
      <c r="H67" s="855"/>
      <c r="I67" s="855"/>
      <c r="J67" s="855"/>
      <c r="K67" s="855"/>
      <c r="L67" s="855"/>
    </row>
    <row r="68" spans="7:12" ht="15.45" x14ac:dyDescent="0.4">
      <c r="G68" s="855"/>
      <c r="H68" s="855"/>
      <c r="I68" s="855"/>
      <c r="J68" s="855"/>
      <c r="K68" s="855"/>
      <c r="L68" s="855"/>
    </row>
    <row r="69" spans="7:12" ht="15.45" x14ac:dyDescent="0.4">
      <c r="G69" s="855"/>
      <c r="H69" s="855"/>
      <c r="I69" s="855"/>
      <c r="J69" s="855"/>
      <c r="K69" s="855"/>
      <c r="L69" s="855"/>
    </row>
    <row r="70" spans="7:12" ht="15.45" x14ac:dyDescent="0.4">
      <c r="G70" s="855"/>
      <c r="H70" s="855"/>
      <c r="I70" s="855"/>
      <c r="J70" s="855"/>
      <c r="K70" s="855"/>
      <c r="L70" s="855"/>
    </row>
    <row r="71" spans="7:12" ht="15.45" x14ac:dyDescent="0.4">
      <c r="G71" s="855"/>
      <c r="H71" s="855"/>
      <c r="I71" s="855"/>
      <c r="J71" s="855"/>
      <c r="K71" s="855"/>
      <c r="L71" s="855"/>
    </row>
    <row r="72" spans="7:12" ht="15.45" x14ac:dyDescent="0.4">
      <c r="G72" s="855"/>
      <c r="H72" s="855"/>
      <c r="I72" s="855"/>
      <c r="J72" s="855"/>
      <c r="K72" s="855"/>
      <c r="L72" s="855"/>
    </row>
    <row r="73" spans="7:12" ht="15.45" x14ac:dyDescent="0.4">
      <c r="G73" s="855"/>
      <c r="H73" s="855"/>
      <c r="I73" s="855"/>
      <c r="J73" s="855"/>
      <c r="K73" s="855"/>
      <c r="L73" s="855"/>
    </row>
    <row r="74" spans="7:12" ht="15.45" x14ac:dyDescent="0.4">
      <c r="G74" s="855"/>
      <c r="H74" s="855"/>
      <c r="I74" s="855"/>
      <c r="J74" s="855"/>
      <c r="K74" s="855"/>
      <c r="L74" s="855"/>
    </row>
    <row r="75" spans="7:12" ht="15.45" x14ac:dyDescent="0.4">
      <c r="G75" s="855"/>
      <c r="H75" s="855"/>
      <c r="I75" s="855"/>
      <c r="J75" s="855"/>
      <c r="K75" s="855"/>
      <c r="L75" s="855"/>
    </row>
    <row r="76" spans="7:12" ht="15.45" x14ac:dyDescent="0.4">
      <c r="G76" s="855"/>
      <c r="H76" s="855"/>
      <c r="I76" s="855"/>
      <c r="J76" s="855"/>
      <c r="K76" s="855"/>
      <c r="L76" s="855"/>
    </row>
    <row r="77" spans="7:12" ht="15.45" x14ac:dyDescent="0.4">
      <c r="G77" s="855"/>
      <c r="H77" s="855"/>
      <c r="I77" s="855"/>
      <c r="J77" s="855"/>
      <c r="K77" s="855"/>
      <c r="L77" s="855"/>
    </row>
    <row r="78" spans="7:12" ht="15.45" x14ac:dyDescent="0.4">
      <c r="G78" s="855"/>
      <c r="H78" s="855"/>
      <c r="I78" s="855"/>
      <c r="J78" s="855"/>
      <c r="K78" s="855"/>
      <c r="L78" s="855"/>
    </row>
    <row r="79" spans="7:12" ht="15.45" x14ac:dyDescent="0.4">
      <c r="G79" s="855"/>
      <c r="H79" s="855"/>
      <c r="I79" s="855"/>
      <c r="J79" s="855"/>
      <c r="K79" s="855"/>
      <c r="L79" s="855"/>
    </row>
    <row r="80" spans="7:12" ht="15.45" x14ac:dyDescent="0.4">
      <c r="G80" s="855"/>
      <c r="H80" s="855"/>
      <c r="I80" s="855"/>
      <c r="J80" s="855"/>
      <c r="K80" s="855"/>
      <c r="L80" s="855"/>
    </row>
    <row r="81" spans="7:12" ht="15.45" x14ac:dyDescent="0.4">
      <c r="G81" s="855"/>
      <c r="H81" s="855"/>
      <c r="I81" s="855"/>
      <c r="J81" s="855"/>
      <c r="K81" s="855"/>
      <c r="L81" s="855"/>
    </row>
    <row r="82" spans="7:12" ht="15.45" x14ac:dyDescent="0.4">
      <c r="G82" s="855"/>
      <c r="H82" s="855"/>
      <c r="I82" s="855"/>
      <c r="J82" s="855"/>
      <c r="K82" s="855"/>
      <c r="L82" s="855"/>
    </row>
    <row r="83" spans="7:12" ht="15.45" x14ac:dyDescent="0.4">
      <c r="G83" s="855"/>
      <c r="H83" s="855"/>
      <c r="I83" s="855"/>
      <c r="J83" s="855"/>
      <c r="K83" s="855"/>
      <c r="L83" s="855"/>
    </row>
    <row r="84" spans="7:12" ht="15.45" x14ac:dyDescent="0.4">
      <c r="G84" s="855"/>
      <c r="H84" s="855"/>
      <c r="I84" s="855"/>
      <c r="J84" s="855"/>
      <c r="K84" s="855"/>
      <c r="L84" s="855"/>
    </row>
    <row r="85" spans="7:12" ht="15.45" x14ac:dyDescent="0.4">
      <c r="G85" s="855"/>
      <c r="H85" s="855"/>
      <c r="I85" s="855"/>
      <c r="J85" s="855"/>
      <c r="K85" s="855"/>
      <c r="L85" s="855"/>
    </row>
    <row r="86" spans="7:12" ht="15.45" x14ac:dyDescent="0.4">
      <c r="G86" s="855"/>
      <c r="H86" s="855"/>
      <c r="I86" s="855"/>
      <c r="J86" s="855"/>
      <c r="K86" s="855"/>
      <c r="L86" s="855"/>
    </row>
    <row r="87" spans="7:12" ht="15.45" x14ac:dyDescent="0.4">
      <c r="G87" s="855"/>
      <c r="H87" s="855"/>
      <c r="I87" s="855"/>
      <c r="J87" s="855"/>
      <c r="K87" s="855"/>
      <c r="L87" s="855"/>
    </row>
    <row r="88" spans="7:12" ht="15.45" x14ac:dyDescent="0.4">
      <c r="G88" s="855"/>
      <c r="H88" s="855"/>
      <c r="I88" s="855"/>
      <c r="J88" s="855"/>
      <c r="K88" s="855"/>
      <c r="L88" s="855"/>
    </row>
    <row r="89" spans="7:12" ht="15.45" x14ac:dyDescent="0.4">
      <c r="G89" s="855"/>
      <c r="H89" s="855"/>
      <c r="I89" s="855"/>
      <c r="J89" s="855"/>
      <c r="K89" s="855"/>
      <c r="L89" s="855"/>
    </row>
    <row r="90" spans="7:12" ht="15.45" x14ac:dyDescent="0.4">
      <c r="G90" s="855"/>
      <c r="H90" s="855"/>
      <c r="I90" s="855"/>
      <c r="J90" s="855"/>
      <c r="K90" s="855"/>
      <c r="L90" s="855"/>
    </row>
    <row r="91" spans="7:12" ht="15.45" x14ac:dyDescent="0.4">
      <c r="G91" s="855"/>
      <c r="H91" s="855"/>
      <c r="I91" s="855"/>
      <c r="J91" s="855"/>
      <c r="K91" s="855"/>
      <c r="L91" s="855"/>
    </row>
    <row r="92" spans="7:12" ht="15.45" x14ac:dyDescent="0.4">
      <c r="G92" s="855"/>
      <c r="H92" s="855"/>
      <c r="I92" s="855"/>
      <c r="J92" s="855"/>
      <c r="K92" s="855"/>
      <c r="L92" s="855"/>
    </row>
    <row r="93" spans="7:12" ht="15.45" x14ac:dyDescent="0.4">
      <c r="G93" s="855"/>
      <c r="H93" s="855"/>
      <c r="I93" s="855"/>
      <c r="J93" s="855"/>
      <c r="K93" s="855"/>
      <c r="L93" s="855"/>
    </row>
    <row r="94" spans="7:12" ht="15.45" x14ac:dyDescent="0.4">
      <c r="G94" s="855"/>
      <c r="H94" s="855"/>
      <c r="I94" s="855"/>
      <c r="J94" s="855"/>
      <c r="K94" s="855"/>
      <c r="L94" s="855"/>
    </row>
    <row r="95" spans="7:12" ht="15.45" x14ac:dyDescent="0.4">
      <c r="G95" s="855"/>
      <c r="H95" s="855"/>
      <c r="I95" s="855"/>
      <c r="J95" s="855"/>
      <c r="K95" s="855"/>
      <c r="L95" s="855"/>
    </row>
    <row r="96" spans="7:12" ht="15.45" x14ac:dyDescent="0.4">
      <c r="G96" s="855"/>
      <c r="H96" s="855"/>
      <c r="I96" s="855"/>
      <c r="J96" s="855"/>
      <c r="K96" s="855"/>
      <c r="L96" s="855"/>
    </row>
    <row r="97" spans="7:12" ht="15.45" x14ac:dyDescent="0.4">
      <c r="G97" s="855"/>
      <c r="H97" s="855"/>
      <c r="I97" s="855"/>
      <c r="J97" s="855"/>
      <c r="K97" s="855"/>
      <c r="L97" s="855"/>
    </row>
    <row r="98" spans="7:12" ht="15.45" x14ac:dyDescent="0.4">
      <c r="G98" s="855"/>
      <c r="H98" s="855"/>
      <c r="I98" s="855"/>
      <c r="J98" s="855"/>
      <c r="K98" s="855"/>
      <c r="L98" s="855"/>
    </row>
    <row r="99" spans="7:12" ht="15.45" x14ac:dyDescent="0.4">
      <c r="G99" s="855"/>
      <c r="H99" s="855"/>
      <c r="I99" s="855"/>
      <c r="J99" s="855"/>
      <c r="K99" s="855"/>
      <c r="L99" s="855"/>
    </row>
    <row r="100" spans="7:12" ht="15.45" x14ac:dyDescent="0.4">
      <c r="G100" s="855"/>
      <c r="H100" s="855"/>
      <c r="I100" s="855"/>
      <c r="J100" s="855"/>
      <c r="K100" s="855"/>
      <c r="L100" s="855"/>
    </row>
    <row r="101" spans="7:12" ht="15.45" x14ac:dyDescent="0.4">
      <c r="G101" s="855"/>
      <c r="H101" s="855"/>
      <c r="I101" s="855"/>
      <c r="J101" s="855"/>
      <c r="K101" s="855"/>
      <c r="L101" s="855"/>
    </row>
    <row r="102" spans="7:12" ht="15.45" x14ac:dyDescent="0.4">
      <c r="G102" s="855"/>
      <c r="H102" s="855"/>
      <c r="I102" s="855"/>
      <c r="J102" s="855"/>
      <c r="K102" s="855"/>
      <c r="L102" s="855"/>
    </row>
    <row r="103" spans="7:12" ht="15.45" x14ac:dyDescent="0.4">
      <c r="G103" s="855"/>
      <c r="H103" s="855"/>
      <c r="I103" s="855"/>
      <c r="J103" s="855"/>
      <c r="K103" s="855"/>
      <c r="L103" s="855"/>
    </row>
    <row r="104" spans="7:12" ht="15.45" x14ac:dyDescent="0.4">
      <c r="G104" s="855"/>
      <c r="H104" s="855"/>
      <c r="I104" s="855"/>
      <c r="J104" s="855"/>
      <c r="K104" s="855"/>
      <c r="L104" s="855"/>
    </row>
    <row r="105" spans="7:12" ht="15.45" x14ac:dyDescent="0.4">
      <c r="G105" s="855"/>
      <c r="H105" s="855"/>
      <c r="I105" s="855"/>
      <c r="J105" s="855"/>
      <c r="K105" s="855"/>
      <c r="L105" s="855"/>
    </row>
    <row r="106" spans="7:12" ht="15.45" x14ac:dyDescent="0.4">
      <c r="G106" s="855"/>
      <c r="H106" s="855"/>
      <c r="I106" s="855"/>
      <c r="J106" s="855"/>
      <c r="K106" s="855"/>
      <c r="L106" s="855"/>
    </row>
  </sheetData>
  <sheetProtection algorithmName="SHA-512" hashValue="Q4siLgQLPLJDtZQVfdxbCOnTaVqRsEGan+9uvyX8FAJ9ToLraubN5Yg3u8jsExHfGYe/RbEvV/tmeu9r2BFdOA==" saltValue="I6lEWV0Vzbik21zM/ktbew==" spinCount="100000" sheet="1" objects="1" scenarios="1"/>
  <mergeCells count="19">
    <mergeCell ref="C27:D27"/>
    <mergeCell ref="C28:D28"/>
    <mergeCell ref="B18:C18"/>
    <mergeCell ref="B19:C19"/>
    <mergeCell ref="B20:C20"/>
    <mergeCell ref="A23:F23"/>
    <mergeCell ref="A24:F25"/>
    <mergeCell ref="B17:C17"/>
    <mergeCell ref="A1:F1"/>
    <mergeCell ref="A2:F2"/>
    <mergeCell ref="A3:F3"/>
    <mergeCell ref="A4:F4"/>
    <mergeCell ref="A5:F5"/>
    <mergeCell ref="A6:F6"/>
    <mergeCell ref="A7:F7"/>
    <mergeCell ref="A8:F11"/>
    <mergeCell ref="A13:F13"/>
    <mergeCell ref="A14:F14"/>
    <mergeCell ref="B16:C16"/>
  </mergeCells>
  <pageMargins left="0.7" right="0.7" top="0.98479166666666662" bottom="0.75" header="0.3" footer="0.3"/>
  <pageSetup scale="72" fitToHeight="0" orientation="landscape" r:id="rId1"/>
  <headerFooter>
    <oddHeader>&amp;C&amp;G</oddHeader>
    <oddFooter>&amp;L&amp;"Arial,Regular"&amp;12&amp;K000000DRAFT January XX, 2019&amp;C&amp;"Arial,Regular"&amp;12Page &amp;P of &amp;N&amp;R&amp;"Arial,Regular"&amp;12&amp;K000000&amp;A</oddFooter>
  </headerFooter>
  <rowBreaks count="1" manualBreakCount="1">
    <brk id="22" max="16383" man="1"/>
  </rowBreaks>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Misc!$C$15:$C$16</xm:f>
          </x14:formula1>
          <xm:sqref>D17:D20 E28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231"/>
  <sheetViews>
    <sheetView showGridLines="0" topLeftCell="A79" zoomScaleNormal="100" workbookViewId="0">
      <selection activeCell="C224" sqref="C224:N226"/>
    </sheetView>
  </sheetViews>
  <sheetFormatPr defaultRowHeight="14.6" x14ac:dyDescent="0.4"/>
  <cols>
    <col min="1" max="1" width="42.69140625" customWidth="1"/>
    <col min="2" max="2" width="25.69140625" customWidth="1"/>
    <col min="3" max="3" width="29.3046875" customWidth="1"/>
    <col min="4" max="4" width="75.84375" customWidth="1"/>
  </cols>
  <sheetData>
    <row r="1" spans="1:6" ht="17.600000000000001" x14ac:dyDescent="0.4">
      <c r="A1" s="1211" t="s">
        <v>411</v>
      </c>
      <c r="B1" s="1211"/>
      <c r="C1" s="1211"/>
      <c r="D1" s="1211"/>
      <c r="E1" s="1211"/>
      <c r="F1" s="1211"/>
    </row>
    <row r="2" spans="1:6" ht="18.45" x14ac:dyDescent="0.5">
      <c r="A2" s="1212"/>
      <c r="B2" s="1212"/>
      <c r="C2" s="1212"/>
      <c r="D2" s="1212"/>
      <c r="E2" s="1212"/>
      <c r="F2" s="1212"/>
    </row>
    <row r="3" spans="1:6" ht="17.600000000000001" x14ac:dyDescent="0.4">
      <c r="A3" s="1211" t="s">
        <v>412</v>
      </c>
      <c r="B3" s="1211"/>
      <c r="C3" s="1211"/>
      <c r="D3" s="1211"/>
      <c r="E3" s="1211"/>
      <c r="F3" s="1211"/>
    </row>
    <row r="4" spans="1:6" ht="17.600000000000001" x14ac:dyDescent="0.4">
      <c r="A4" s="1213" t="s">
        <v>447</v>
      </c>
      <c r="B4" s="1213"/>
      <c r="C4" s="1213"/>
      <c r="D4" s="1213"/>
      <c r="E4" s="1213"/>
      <c r="F4" s="1213"/>
    </row>
    <row r="5" spans="1:6" ht="18.45" x14ac:dyDescent="0.5">
      <c r="A5" s="1212"/>
      <c r="B5" s="1212"/>
      <c r="C5" s="1212"/>
      <c r="D5" s="1212"/>
      <c r="E5" s="1212"/>
      <c r="F5" s="1212"/>
    </row>
    <row r="6" spans="1:6" ht="17.600000000000001" x14ac:dyDescent="0.4">
      <c r="A6" s="1211" t="s">
        <v>413</v>
      </c>
      <c r="B6" s="1211"/>
      <c r="C6" s="1211"/>
      <c r="D6" s="1211"/>
      <c r="E6" s="1211"/>
      <c r="F6" s="1211"/>
    </row>
    <row r="7" spans="1:6" ht="18.45" x14ac:dyDescent="0.5">
      <c r="C7" s="2"/>
    </row>
    <row r="9" spans="1:6" ht="17.600000000000001" x14ac:dyDescent="0.4">
      <c r="A9" s="762" t="s">
        <v>37</v>
      </c>
      <c r="B9" s="763"/>
      <c r="C9" s="763"/>
      <c r="D9" s="763"/>
    </row>
    <row r="10" spans="1:6" s="6" customFormat="1" x14ac:dyDescent="0.4">
      <c r="A10" s="1214" t="s">
        <v>75</v>
      </c>
      <c r="B10" s="1214"/>
      <c r="C10" s="1214"/>
      <c r="D10" s="1214"/>
    </row>
    <row r="11" spans="1:6" s="6" customFormat="1" ht="15" thickBot="1" x14ac:dyDescent="0.45">
      <c r="A11" s="764" t="s">
        <v>1011</v>
      </c>
      <c r="B11" s="765"/>
      <c r="C11" s="765"/>
      <c r="D11" s="765"/>
    </row>
    <row r="12" spans="1:6" ht="18" customHeight="1" x14ac:dyDescent="0.4">
      <c r="A12" s="1246" t="s">
        <v>9</v>
      </c>
      <c r="B12" s="1247"/>
      <c r="C12" s="1247"/>
      <c r="D12" s="1248"/>
    </row>
    <row r="13" spans="1:6" ht="18" customHeight="1" x14ac:dyDescent="0.4">
      <c r="A13" s="3" t="s">
        <v>19</v>
      </c>
      <c r="B13" s="27" t="s">
        <v>15</v>
      </c>
      <c r="C13" s="28" t="s">
        <v>13</v>
      </c>
      <c r="D13" s="29" t="s">
        <v>125</v>
      </c>
    </row>
    <row r="14" spans="1:6" ht="33" customHeight="1" x14ac:dyDescent="0.4">
      <c r="A14" s="10" t="s">
        <v>20</v>
      </c>
      <c r="B14" s="9">
        <f>'Compost ERF'!C9</f>
        <v>0.32</v>
      </c>
      <c r="C14" s="19" t="s">
        <v>33</v>
      </c>
      <c r="D14" s="1255" t="s">
        <v>1002</v>
      </c>
    </row>
    <row r="15" spans="1:6" ht="33" customHeight="1" x14ac:dyDescent="0.4">
      <c r="A15" s="10" t="s">
        <v>21</v>
      </c>
      <c r="B15" s="9">
        <f>'Compost ERF'!C10</f>
        <v>0.14000000000000001</v>
      </c>
      <c r="C15" s="19" t="s">
        <v>33</v>
      </c>
      <c r="D15" s="1256"/>
    </row>
    <row r="16" spans="1:6" ht="33" customHeight="1" x14ac:dyDescent="0.4">
      <c r="A16" s="10" t="s">
        <v>24</v>
      </c>
      <c r="B16" s="22">
        <f>'Compost ERF'!C11</f>
        <v>0.36</v>
      </c>
      <c r="C16" s="19" t="s">
        <v>33</v>
      </c>
      <c r="D16" s="1256"/>
    </row>
    <row r="17" spans="1:4" ht="33" customHeight="1" x14ac:dyDescent="0.4">
      <c r="A17" s="10" t="s">
        <v>25</v>
      </c>
      <c r="B17" s="22">
        <f>'Compost ERF'!C12</f>
        <v>0.18</v>
      </c>
      <c r="C17" s="19" t="s">
        <v>33</v>
      </c>
      <c r="D17" s="1256"/>
    </row>
    <row r="18" spans="1:4" ht="33" customHeight="1" x14ac:dyDescent="0.4">
      <c r="A18" s="12" t="s">
        <v>43</v>
      </c>
      <c r="B18" s="22">
        <f>'Compost ERF'!C13</f>
        <v>0.39</v>
      </c>
      <c r="C18" s="19" t="s">
        <v>33</v>
      </c>
      <c r="D18" s="1256"/>
    </row>
    <row r="19" spans="1:4" ht="33" customHeight="1" thickBot="1" x14ac:dyDescent="0.45">
      <c r="A19" s="30" t="s">
        <v>44</v>
      </c>
      <c r="B19" s="21">
        <f>'Compost ERF'!C14</f>
        <v>0.21</v>
      </c>
      <c r="C19" s="47" t="s">
        <v>33</v>
      </c>
      <c r="D19" s="1257"/>
    </row>
    <row r="20" spans="1:4" x14ac:dyDescent="0.4">
      <c r="A20" s="26"/>
      <c r="B20" s="26"/>
      <c r="C20" s="26"/>
      <c r="D20" s="26"/>
    </row>
    <row r="21" spans="1:4" ht="15" thickBot="1" x14ac:dyDescent="0.45">
      <c r="A21" s="26"/>
      <c r="B21" s="26"/>
      <c r="C21" s="26"/>
      <c r="D21" s="26"/>
    </row>
    <row r="22" spans="1:4" ht="18" customHeight="1" x14ac:dyDescent="0.4">
      <c r="A22" s="1249" t="s">
        <v>133</v>
      </c>
      <c r="B22" s="1250"/>
      <c r="C22" s="1250"/>
      <c r="D22" s="1251"/>
    </row>
    <row r="23" spans="1:4" ht="18" customHeight="1" thickBot="1" x14ac:dyDescent="0.45">
      <c r="A23" s="464" t="s">
        <v>10</v>
      </c>
      <c r="B23" s="465" t="s">
        <v>15</v>
      </c>
      <c r="C23" s="466" t="s">
        <v>13</v>
      </c>
      <c r="D23" s="467" t="s">
        <v>125</v>
      </c>
    </row>
    <row r="24" spans="1:4" ht="33" customHeight="1" x14ac:dyDescent="0.4">
      <c r="A24" s="468" t="s">
        <v>794</v>
      </c>
      <c r="B24" s="433">
        <f>'Standalone AD ERF'!D10</f>
        <v>0.32</v>
      </c>
      <c r="C24" s="116" t="s">
        <v>33</v>
      </c>
      <c r="D24" s="1258" t="s">
        <v>123</v>
      </c>
    </row>
    <row r="25" spans="1:4" ht="33" customHeight="1" x14ac:dyDescent="0.4">
      <c r="A25" s="11" t="s">
        <v>797</v>
      </c>
      <c r="B25" s="555">
        <f>'Standalone AD ERF'!B10</f>
        <v>0.39</v>
      </c>
      <c r="C25" s="19" t="s">
        <v>33</v>
      </c>
      <c r="D25" s="1256"/>
    </row>
    <row r="26" spans="1:4" ht="33" customHeight="1" thickBot="1" x14ac:dyDescent="0.45">
      <c r="A26" s="24" t="s">
        <v>800</v>
      </c>
      <c r="B26" s="556">
        <f>'Standalone AD ERF'!F10</f>
        <v>0.36</v>
      </c>
      <c r="C26" s="19" t="s">
        <v>33</v>
      </c>
      <c r="D26" s="1257"/>
    </row>
    <row r="27" spans="1:4" ht="33" customHeight="1" x14ac:dyDescent="0.4">
      <c r="A27" s="468" t="s">
        <v>795</v>
      </c>
      <c r="B27" s="433">
        <f>'Standalone AD ERF'!D11</f>
        <v>0.17</v>
      </c>
      <c r="C27" s="481" t="s">
        <v>33</v>
      </c>
      <c r="D27" s="1258" t="s">
        <v>123</v>
      </c>
    </row>
    <row r="28" spans="1:4" ht="33" customHeight="1" x14ac:dyDescent="0.4">
      <c r="A28" s="13" t="s">
        <v>798</v>
      </c>
      <c r="B28" s="557">
        <f>'Standalone AD ERF'!B11</f>
        <v>0.24</v>
      </c>
      <c r="C28" s="19" t="s">
        <v>33</v>
      </c>
      <c r="D28" s="1256"/>
    </row>
    <row r="29" spans="1:4" ht="33" customHeight="1" thickBot="1" x14ac:dyDescent="0.45">
      <c r="A29" s="469" t="s">
        <v>801</v>
      </c>
      <c r="B29" s="558">
        <f>'Standalone AD ERF'!F11</f>
        <v>0.21</v>
      </c>
      <c r="C29" s="47" t="s">
        <v>33</v>
      </c>
      <c r="D29" s="1257"/>
    </row>
    <row r="30" spans="1:4" ht="33" customHeight="1" x14ac:dyDescent="0.4">
      <c r="A30" s="470" t="s">
        <v>796</v>
      </c>
      <c r="B30" s="433">
        <f>'Standalone AD ERF'!D12</f>
        <v>0.23</v>
      </c>
      <c r="C30" s="471" t="s">
        <v>33</v>
      </c>
      <c r="D30" s="1258" t="s">
        <v>123</v>
      </c>
    </row>
    <row r="31" spans="1:4" ht="33" customHeight="1" x14ac:dyDescent="0.4">
      <c r="A31" s="77" t="s">
        <v>799</v>
      </c>
      <c r="B31" s="557">
        <f>'Standalone AD ERF'!B12</f>
        <v>0.28999999999999998</v>
      </c>
      <c r="C31" s="67" t="s">
        <v>33</v>
      </c>
      <c r="D31" s="1256"/>
    </row>
    <row r="32" spans="1:4" ht="33" customHeight="1" thickBot="1" x14ac:dyDescent="0.45">
      <c r="A32" s="477" t="s">
        <v>802</v>
      </c>
      <c r="B32" s="577">
        <f>'Standalone AD ERF'!F12</f>
        <v>0.27</v>
      </c>
      <c r="C32" s="57" t="s">
        <v>33</v>
      </c>
      <c r="D32" s="1256"/>
    </row>
    <row r="33" spans="1:4" ht="42.75" customHeight="1" x14ac:dyDescent="0.4">
      <c r="A33" s="1259" t="s">
        <v>131</v>
      </c>
      <c r="B33" s="1261">
        <f>'Standalone AD ERF'!B13</f>
        <v>0.28000000000000003</v>
      </c>
      <c r="C33" s="1209" t="s">
        <v>33</v>
      </c>
      <c r="D33" s="761" t="s">
        <v>1003</v>
      </c>
    </row>
    <row r="34" spans="1:4" ht="48.75" customHeight="1" thickBot="1" x14ac:dyDescent="0.45">
      <c r="A34" s="1260"/>
      <c r="B34" s="1262"/>
      <c r="C34" s="1210"/>
      <c r="D34" s="748" t="s">
        <v>1004</v>
      </c>
    </row>
    <row r="35" spans="1:4" ht="15" thickBot="1" x14ac:dyDescent="0.45">
      <c r="A35" s="25"/>
      <c r="B35" s="34"/>
      <c r="C35" s="35"/>
      <c r="D35" s="25"/>
    </row>
    <row r="36" spans="1:4" ht="18" customHeight="1" x14ac:dyDescent="0.4">
      <c r="A36" s="1252" t="s">
        <v>136</v>
      </c>
      <c r="B36" s="1253"/>
      <c r="C36" s="1253"/>
      <c r="D36" s="1254"/>
    </row>
    <row r="37" spans="1:4" ht="18" customHeight="1" x14ac:dyDescent="0.4">
      <c r="A37" s="51" t="s">
        <v>14</v>
      </c>
      <c r="B37" s="82" t="s">
        <v>12</v>
      </c>
      <c r="C37" s="52" t="s">
        <v>13</v>
      </c>
      <c r="D37" s="53" t="s">
        <v>125</v>
      </c>
    </row>
    <row r="38" spans="1:4" ht="29.6" thickBot="1" x14ac:dyDescent="0.45">
      <c r="A38" s="55" t="s">
        <v>137</v>
      </c>
      <c r="B38" s="56">
        <f>'Co-Digestion ERF'!B16</f>
        <v>0.39</v>
      </c>
      <c r="C38" s="47" t="s">
        <v>33</v>
      </c>
      <c r="D38" s="747" t="s">
        <v>1001</v>
      </c>
    </row>
    <row r="39" spans="1:4" ht="18" customHeight="1" x14ac:dyDescent="0.4">
      <c r="A39" s="1243" t="s">
        <v>126</v>
      </c>
      <c r="B39" s="1244"/>
      <c r="C39" s="1244"/>
      <c r="D39" s="1245"/>
    </row>
    <row r="40" spans="1:4" ht="33" customHeight="1" x14ac:dyDescent="0.4">
      <c r="A40" s="44" t="s">
        <v>834</v>
      </c>
      <c r="B40" s="83">
        <f>'Co-Digestion ERF'!D10</f>
        <v>0.28000000000000003</v>
      </c>
      <c r="C40" s="5" t="s">
        <v>40</v>
      </c>
      <c r="D40" s="1220" t="s">
        <v>130</v>
      </c>
    </row>
    <row r="41" spans="1:4" ht="33" customHeight="1" x14ac:dyDescent="0.4">
      <c r="A41" s="44" t="s">
        <v>835</v>
      </c>
      <c r="B41" s="84">
        <f>'Co-Digestion ERF'!D12</f>
        <v>0.15</v>
      </c>
      <c r="C41" s="5" t="s">
        <v>40</v>
      </c>
      <c r="D41" s="1216"/>
    </row>
    <row r="42" spans="1:4" ht="33" customHeight="1" x14ac:dyDescent="0.4">
      <c r="A42" s="44" t="s">
        <v>846</v>
      </c>
      <c r="B42" s="84">
        <f>'Co-Digestion ERF'!D14</f>
        <v>0.23</v>
      </c>
      <c r="C42" s="5" t="s">
        <v>40</v>
      </c>
      <c r="D42" s="1221"/>
    </row>
    <row r="43" spans="1:4" ht="18" customHeight="1" x14ac:dyDescent="0.4">
      <c r="A43" s="1243" t="s">
        <v>127</v>
      </c>
      <c r="B43" s="1244"/>
      <c r="C43" s="1244"/>
      <c r="D43" s="1245"/>
    </row>
    <row r="44" spans="1:4" ht="33" customHeight="1" x14ac:dyDescent="0.4">
      <c r="A44" s="44" t="s">
        <v>836</v>
      </c>
      <c r="B44" s="84">
        <f>'Co-Digestion ERF'!D11</f>
        <v>0.26</v>
      </c>
      <c r="C44" s="5" t="s">
        <v>40</v>
      </c>
      <c r="D44" s="1220" t="s">
        <v>130</v>
      </c>
    </row>
    <row r="45" spans="1:4" ht="33" customHeight="1" x14ac:dyDescent="0.4">
      <c r="A45" s="44" t="s">
        <v>837</v>
      </c>
      <c r="B45" s="84">
        <f>'Co-Digestion ERF'!D13</f>
        <v>0.28000000000000003</v>
      </c>
      <c r="C45" s="5" t="s">
        <v>40</v>
      </c>
      <c r="D45" s="1216"/>
    </row>
    <row r="46" spans="1:4" ht="33" customHeight="1" x14ac:dyDescent="0.4">
      <c r="A46" s="44" t="s">
        <v>847</v>
      </c>
      <c r="B46" s="84">
        <f>'Co-Digestion ERF'!D15</f>
        <v>0.34</v>
      </c>
      <c r="C46" s="5" t="s">
        <v>40</v>
      </c>
      <c r="D46" s="1221"/>
    </row>
    <row r="47" spans="1:4" ht="18" customHeight="1" x14ac:dyDescent="0.4">
      <c r="A47" s="1243" t="s">
        <v>128</v>
      </c>
      <c r="B47" s="1244"/>
      <c r="C47" s="1244"/>
      <c r="D47" s="1245"/>
    </row>
    <row r="48" spans="1:4" ht="33" customHeight="1" x14ac:dyDescent="0.4">
      <c r="A48" s="23" t="s">
        <v>838</v>
      </c>
      <c r="B48" s="84">
        <f>'Co-Digestion ERF'!B10</f>
        <v>0.3</v>
      </c>
      <c r="C48" s="40" t="s">
        <v>40</v>
      </c>
      <c r="D48" s="1220" t="s">
        <v>130</v>
      </c>
    </row>
    <row r="49" spans="1:4" ht="33" customHeight="1" x14ac:dyDescent="0.4">
      <c r="A49" s="23" t="s">
        <v>839</v>
      </c>
      <c r="B49" s="84">
        <f>'Co-Digestion ERF'!B12</f>
        <v>0.2</v>
      </c>
      <c r="C49" s="40" t="s">
        <v>40</v>
      </c>
      <c r="D49" s="1216"/>
    </row>
    <row r="50" spans="1:4" ht="33" customHeight="1" x14ac:dyDescent="0.4">
      <c r="A50" s="23" t="s">
        <v>848</v>
      </c>
      <c r="B50" s="84">
        <f>'Co-Digestion ERF'!B14</f>
        <v>0.28000000000000003</v>
      </c>
      <c r="C50" s="40" t="s">
        <v>40</v>
      </c>
      <c r="D50" s="1221"/>
    </row>
    <row r="51" spans="1:4" ht="18" customHeight="1" x14ac:dyDescent="0.4">
      <c r="A51" s="1243" t="s">
        <v>129</v>
      </c>
      <c r="B51" s="1244"/>
      <c r="C51" s="1244"/>
      <c r="D51" s="1245"/>
    </row>
    <row r="52" spans="1:4" ht="33" customHeight="1" x14ac:dyDescent="0.4">
      <c r="A52" s="23" t="s">
        <v>840</v>
      </c>
      <c r="B52" s="84">
        <f>'Co-Digestion ERF'!B11</f>
        <v>0.27</v>
      </c>
      <c r="C52" s="40" t="s">
        <v>40</v>
      </c>
      <c r="D52" s="1220" t="s">
        <v>130</v>
      </c>
    </row>
    <row r="53" spans="1:4" ht="33" customHeight="1" x14ac:dyDescent="0.4">
      <c r="A53" s="23" t="s">
        <v>841</v>
      </c>
      <c r="B53" s="84">
        <f>'Co-Digestion ERF'!B13</f>
        <v>0.33</v>
      </c>
      <c r="C53" s="40" t="s">
        <v>40</v>
      </c>
      <c r="D53" s="1216"/>
    </row>
    <row r="54" spans="1:4" ht="33" customHeight="1" thickBot="1" x14ac:dyDescent="0.45">
      <c r="A54" s="71" t="s">
        <v>849</v>
      </c>
      <c r="B54" s="429">
        <f>'Co-Digestion ERF'!B15</f>
        <v>0.4</v>
      </c>
      <c r="C54" s="72" t="s">
        <v>40</v>
      </c>
      <c r="D54" s="1217"/>
    </row>
    <row r="55" spans="1:4" ht="18" customHeight="1" x14ac:dyDescent="0.4">
      <c r="A55" s="1243" t="s">
        <v>726</v>
      </c>
      <c r="B55" s="1244"/>
      <c r="C55" s="1244"/>
      <c r="D55" s="1245"/>
    </row>
    <row r="56" spans="1:4" ht="33" customHeight="1" x14ac:dyDescent="0.4">
      <c r="A56" s="23" t="s">
        <v>842</v>
      </c>
      <c r="B56" s="84">
        <f>'Co-Digestion ERF'!F10</f>
        <v>0.28999999999999998</v>
      </c>
      <c r="C56" s="40" t="s">
        <v>40</v>
      </c>
      <c r="D56" s="1220" t="s">
        <v>130</v>
      </c>
    </row>
    <row r="57" spans="1:4" ht="33" customHeight="1" x14ac:dyDescent="0.4">
      <c r="A57" s="23" t="s">
        <v>843</v>
      </c>
      <c r="B57" s="84">
        <f>'Co-Digestion ERF'!F12</f>
        <v>0.18</v>
      </c>
      <c r="C57" s="40" t="s">
        <v>40</v>
      </c>
      <c r="D57" s="1216"/>
    </row>
    <row r="58" spans="1:4" ht="33" customHeight="1" x14ac:dyDescent="0.4">
      <c r="A58" s="23" t="s">
        <v>850</v>
      </c>
      <c r="B58" s="84">
        <f>'Co-Digestion ERF'!F14</f>
        <v>0.26</v>
      </c>
      <c r="C58" s="40" t="s">
        <v>40</v>
      </c>
      <c r="D58" s="1221"/>
    </row>
    <row r="59" spans="1:4" ht="18" customHeight="1" x14ac:dyDescent="0.4">
      <c r="A59" s="1243" t="s">
        <v>727</v>
      </c>
      <c r="B59" s="1244"/>
      <c r="C59" s="1244"/>
      <c r="D59" s="1245"/>
    </row>
    <row r="60" spans="1:4" ht="33" customHeight="1" x14ac:dyDescent="0.4">
      <c r="A60" s="23" t="s">
        <v>844</v>
      </c>
      <c r="B60" s="84">
        <f>'Co-Digestion ERF'!F11</f>
        <v>0.27</v>
      </c>
      <c r="C60" s="40" t="s">
        <v>40</v>
      </c>
      <c r="D60" s="1220" t="s">
        <v>130</v>
      </c>
    </row>
    <row r="61" spans="1:4" ht="33" customHeight="1" x14ac:dyDescent="0.4">
      <c r="A61" s="23" t="s">
        <v>845</v>
      </c>
      <c r="B61" s="84">
        <f>'Co-Digestion ERF'!F13</f>
        <v>0.31</v>
      </c>
      <c r="C61" s="40" t="s">
        <v>40</v>
      </c>
      <c r="D61" s="1216"/>
    </row>
    <row r="62" spans="1:4" ht="33" customHeight="1" thickBot="1" x14ac:dyDescent="0.45">
      <c r="A62" s="71" t="s">
        <v>851</v>
      </c>
      <c r="B62" s="429">
        <f>'Co-Digestion ERF'!F15</f>
        <v>0.38</v>
      </c>
      <c r="C62" s="72" t="s">
        <v>40</v>
      </c>
      <c r="D62" s="1217"/>
    </row>
    <row r="63" spans="1:4" x14ac:dyDescent="0.4">
      <c r="A63" s="35"/>
      <c r="B63" s="35"/>
      <c r="C63" s="35"/>
      <c r="D63" s="26"/>
    </row>
    <row r="64" spans="1:4" ht="15" thickBot="1" x14ac:dyDescent="0.45">
      <c r="A64" s="26"/>
      <c r="B64" s="26"/>
      <c r="C64" s="26"/>
      <c r="D64" s="26"/>
    </row>
    <row r="65" spans="1:4" ht="18" customHeight="1" x14ac:dyDescent="0.4">
      <c r="A65" s="1240" t="s">
        <v>36</v>
      </c>
      <c r="B65" s="1241"/>
      <c r="C65" s="1241"/>
      <c r="D65" s="1242"/>
    </row>
    <row r="66" spans="1:4" ht="18" customHeight="1" x14ac:dyDescent="0.4">
      <c r="A66" s="8"/>
      <c r="B66" s="36" t="s">
        <v>15</v>
      </c>
      <c r="C66" s="37" t="s">
        <v>13</v>
      </c>
      <c r="D66" s="38" t="s">
        <v>125</v>
      </c>
    </row>
    <row r="67" spans="1:4" ht="18" customHeight="1" x14ac:dyDescent="0.4">
      <c r="A67" s="10" t="s">
        <v>64</v>
      </c>
      <c r="B67" s="22">
        <f>'Food ERF'!D8</f>
        <v>1.78</v>
      </c>
      <c r="C67" s="19" t="s">
        <v>33</v>
      </c>
      <c r="D67" s="754" t="s">
        <v>124</v>
      </c>
    </row>
    <row r="68" spans="1:4" ht="18" customHeight="1" x14ac:dyDescent="0.4">
      <c r="A68" s="1263" t="s">
        <v>45</v>
      </c>
      <c r="B68" s="1264"/>
      <c r="C68" s="1264"/>
      <c r="D68" s="1265"/>
    </row>
    <row r="69" spans="1:4" ht="18" customHeight="1" x14ac:dyDescent="0.4">
      <c r="A69" s="1269" t="s">
        <v>58</v>
      </c>
      <c r="B69" s="1270"/>
      <c r="C69" s="1270"/>
      <c r="D69" s="1271"/>
    </row>
    <row r="70" spans="1:4" ht="18" customHeight="1" x14ac:dyDescent="0.4">
      <c r="A70" s="1238" t="s">
        <v>120</v>
      </c>
      <c r="B70" s="66">
        <v>8.4600000000000009</v>
      </c>
      <c r="C70" s="67" t="s">
        <v>61</v>
      </c>
      <c r="D70" s="1222" t="s">
        <v>67</v>
      </c>
    </row>
    <row r="71" spans="1:4" ht="18" customHeight="1" x14ac:dyDescent="0.4">
      <c r="A71" s="1239"/>
      <c r="B71" s="66">
        <v>335.7</v>
      </c>
      <c r="C71" s="67" t="s">
        <v>62</v>
      </c>
      <c r="D71" s="1223"/>
    </row>
    <row r="72" spans="1:4" ht="18" customHeight="1" x14ac:dyDescent="0.4">
      <c r="A72" s="1238" t="s">
        <v>121</v>
      </c>
      <c r="B72" s="66">
        <v>7.85</v>
      </c>
      <c r="C72" s="67" t="s">
        <v>60</v>
      </c>
      <c r="D72" s="1223"/>
    </row>
    <row r="73" spans="1:4" ht="18" customHeight="1" x14ac:dyDescent="0.4">
      <c r="A73" s="1239"/>
      <c r="B73" s="66">
        <v>172.3</v>
      </c>
      <c r="C73" s="67" t="s">
        <v>59</v>
      </c>
      <c r="D73" s="1223"/>
    </row>
    <row r="74" spans="1:4" ht="18" customHeight="1" x14ac:dyDescent="0.4">
      <c r="A74" s="1238" t="s">
        <v>122</v>
      </c>
      <c r="B74" s="66">
        <v>7.28</v>
      </c>
      <c r="C74" s="67" t="s">
        <v>60</v>
      </c>
      <c r="D74" s="1223"/>
    </row>
    <row r="75" spans="1:4" ht="18" customHeight="1" x14ac:dyDescent="0.4">
      <c r="A75" s="1239"/>
      <c r="B75" s="66">
        <v>206.7</v>
      </c>
      <c r="C75" s="67" t="s">
        <v>59</v>
      </c>
      <c r="D75" s="1223"/>
    </row>
    <row r="76" spans="1:4" ht="18" customHeight="1" x14ac:dyDescent="0.4">
      <c r="A76" s="1275" t="s">
        <v>115</v>
      </c>
      <c r="B76" s="42">
        <v>36.5</v>
      </c>
      <c r="C76" s="19" t="s">
        <v>61</v>
      </c>
      <c r="D76" s="1223"/>
    </row>
    <row r="77" spans="1:4" ht="18" customHeight="1" x14ac:dyDescent="0.4">
      <c r="A77" s="1276"/>
      <c r="B77" s="42">
        <v>744.6</v>
      </c>
      <c r="C77" s="19" t="s">
        <v>62</v>
      </c>
      <c r="D77" s="1223"/>
    </row>
    <row r="78" spans="1:4" ht="18" customHeight="1" x14ac:dyDescent="0.4">
      <c r="A78" s="1275" t="s">
        <v>116</v>
      </c>
      <c r="B78" s="42">
        <v>43.8</v>
      </c>
      <c r="C78" s="19" t="s">
        <v>60</v>
      </c>
      <c r="D78" s="1223"/>
    </row>
    <row r="79" spans="1:4" ht="18" customHeight="1" x14ac:dyDescent="0.4">
      <c r="A79" s="1276"/>
      <c r="B79" s="42">
        <v>1219.0999999999999</v>
      </c>
      <c r="C79" s="19" t="s">
        <v>59</v>
      </c>
      <c r="D79" s="1223"/>
    </row>
    <row r="80" spans="1:4" ht="18" customHeight="1" x14ac:dyDescent="0.4">
      <c r="A80" s="1275" t="s">
        <v>117</v>
      </c>
      <c r="B80" s="42">
        <v>146</v>
      </c>
      <c r="C80" s="19" t="s">
        <v>60</v>
      </c>
      <c r="D80" s="1223"/>
    </row>
    <row r="81" spans="1:4" ht="18" customHeight="1" x14ac:dyDescent="0.4">
      <c r="A81" s="1276"/>
      <c r="B81" s="42">
        <v>503.7</v>
      </c>
      <c r="C81" s="19" t="s">
        <v>59</v>
      </c>
      <c r="D81" s="1223"/>
    </row>
    <row r="82" spans="1:4" ht="18" customHeight="1" x14ac:dyDescent="0.4">
      <c r="A82" s="1275" t="s">
        <v>118</v>
      </c>
      <c r="B82" s="42">
        <v>273.75</v>
      </c>
      <c r="C82" s="19" t="s">
        <v>60</v>
      </c>
      <c r="D82" s="1223"/>
    </row>
    <row r="83" spans="1:4" ht="18" customHeight="1" x14ac:dyDescent="0.4">
      <c r="A83" s="1276"/>
      <c r="B83" s="42">
        <v>1496.5</v>
      </c>
      <c r="C83" s="19" t="s">
        <v>59</v>
      </c>
      <c r="D83" s="1223"/>
    </row>
    <row r="84" spans="1:4" ht="18" customHeight="1" x14ac:dyDescent="0.4">
      <c r="A84" s="1275" t="s">
        <v>119</v>
      </c>
      <c r="B84" s="42">
        <v>98.55</v>
      </c>
      <c r="C84" s="19" t="s">
        <v>60</v>
      </c>
      <c r="D84" s="1223"/>
    </row>
    <row r="85" spans="1:4" ht="18" customHeight="1" x14ac:dyDescent="0.4">
      <c r="A85" s="1277"/>
      <c r="B85" s="42">
        <v>-259.14999999999998</v>
      </c>
      <c r="C85" s="19" t="s">
        <v>59</v>
      </c>
      <c r="D85" s="1223"/>
    </row>
    <row r="86" spans="1:4" ht="18" customHeight="1" x14ac:dyDescent="0.4">
      <c r="A86" s="1276"/>
      <c r="B86" s="42">
        <v>255.5</v>
      </c>
      <c r="C86" s="19" t="s">
        <v>63</v>
      </c>
      <c r="D86" s="1224"/>
    </row>
    <row r="87" spans="1:4" ht="18" customHeight="1" x14ac:dyDescent="0.4">
      <c r="A87" s="43" t="s">
        <v>32</v>
      </c>
      <c r="B87" s="554">
        <v>2.2790000000000001E-4</v>
      </c>
      <c r="C87" s="39" t="s">
        <v>34</v>
      </c>
      <c r="D87" s="755" t="s">
        <v>964</v>
      </c>
    </row>
    <row r="88" spans="1:4" ht="18" customHeight="1" x14ac:dyDescent="0.4">
      <c r="A88" s="1272" t="s">
        <v>65</v>
      </c>
      <c r="B88" s="1273"/>
      <c r="C88" s="1273"/>
      <c r="D88" s="1274"/>
    </row>
    <row r="89" spans="1:4" x14ac:dyDescent="0.4">
      <c r="A89" s="430" t="s">
        <v>189</v>
      </c>
      <c r="B89" s="431">
        <f>0.281*B91+0.542*B92+0.177*B94</f>
        <v>3327.7550000000001</v>
      </c>
      <c r="C89" s="57" t="s">
        <v>57</v>
      </c>
      <c r="D89" s="749" t="s">
        <v>965</v>
      </c>
    </row>
    <row r="90" spans="1:4" x14ac:dyDescent="0.4">
      <c r="A90" s="79" t="s">
        <v>73</v>
      </c>
      <c r="B90" s="48">
        <v>1430</v>
      </c>
      <c r="C90" s="41" t="s">
        <v>57</v>
      </c>
      <c r="D90" s="749" t="s">
        <v>967</v>
      </c>
    </row>
    <row r="91" spans="1:4" ht="18" customHeight="1" x14ac:dyDescent="0.4">
      <c r="A91" s="78" t="s">
        <v>71</v>
      </c>
      <c r="B91" s="48">
        <v>1810</v>
      </c>
      <c r="C91" s="41" t="s">
        <v>57</v>
      </c>
      <c r="D91" s="1235" t="s">
        <v>966</v>
      </c>
    </row>
    <row r="92" spans="1:4" ht="18" customHeight="1" x14ac:dyDescent="0.4">
      <c r="A92" s="79" t="s">
        <v>51</v>
      </c>
      <c r="B92" s="49">
        <v>3900</v>
      </c>
      <c r="C92" s="57" t="s">
        <v>57</v>
      </c>
      <c r="D92" s="1236"/>
    </row>
    <row r="93" spans="1:4" ht="18" customHeight="1" x14ac:dyDescent="0.4">
      <c r="A93" s="80" t="s">
        <v>77</v>
      </c>
      <c r="B93" s="59">
        <v>2107</v>
      </c>
      <c r="C93" s="57" t="s">
        <v>57</v>
      </c>
      <c r="D93" s="1236"/>
    </row>
    <row r="94" spans="1:4" ht="18" customHeight="1" x14ac:dyDescent="0.4">
      <c r="A94" s="79" t="s">
        <v>56</v>
      </c>
      <c r="B94" s="49">
        <v>3985</v>
      </c>
      <c r="C94" s="57" t="s">
        <v>57</v>
      </c>
      <c r="D94" s="1236"/>
    </row>
    <row r="95" spans="1:4" ht="18" customHeight="1" x14ac:dyDescent="0.4">
      <c r="A95" s="81" t="s">
        <v>69</v>
      </c>
      <c r="B95" s="49">
        <v>4750</v>
      </c>
      <c r="C95" s="57" t="s">
        <v>57</v>
      </c>
      <c r="D95" s="1236"/>
    </row>
    <row r="96" spans="1:4" ht="18" customHeight="1" x14ac:dyDescent="0.4">
      <c r="A96" s="81" t="s">
        <v>70</v>
      </c>
      <c r="B96" s="49">
        <v>10900</v>
      </c>
      <c r="C96" s="57" t="s">
        <v>57</v>
      </c>
      <c r="D96" s="1236"/>
    </row>
    <row r="97" spans="1:4" ht="18" customHeight="1" x14ac:dyDescent="0.4">
      <c r="A97" s="81" t="s">
        <v>164</v>
      </c>
      <c r="B97" s="49">
        <v>14400</v>
      </c>
      <c r="C97" s="57" t="s">
        <v>57</v>
      </c>
      <c r="D97" s="1236"/>
    </row>
    <row r="98" spans="1:4" ht="18" customHeight="1" x14ac:dyDescent="0.4">
      <c r="A98" s="81" t="s">
        <v>159</v>
      </c>
      <c r="B98" s="49">
        <v>7140</v>
      </c>
      <c r="C98" s="57" t="s">
        <v>57</v>
      </c>
      <c r="D98" s="1236"/>
    </row>
    <row r="99" spans="1:4" ht="18" customHeight="1" x14ac:dyDescent="0.4">
      <c r="A99" s="81" t="s">
        <v>78</v>
      </c>
      <c r="B99" s="49">
        <v>7390</v>
      </c>
      <c r="C99" s="57" t="s">
        <v>57</v>
      </c>
      <c r="D99" s="1236"/>
    </row>
    <row r="100" spans="1:4" ht="18" customHeight="1" x14ac:dyDescent="0.4">
      <c r="A100" s="81" t="s">
        <v>82</v>
      </c>
      <c r="B100" s="49">
        <v>14800</v>
      </c>
      <c r="C100" s="57" t="s">
        <v>57</v>
      </c>
      <c r="D100" s="1236"/>
    </row>
    <row r="101" spans="1:4" ht="18" customHeight="1" x14ac:dyDescent="0.4">
      <c r="A101" s="81" t="s">
        <v>144</v>
      </c>
      <c r="B101" s="49">
        <v>675</v>
      </c>
      <c r="C101" s="57" t="s">
        <v>57</v>
      </c>
      <c r="D101" s="1236"/>
    </row>
    <row r="102" spans="1:4" ht="18" customHeight="1" x14ac:dyDescent="0.4">
      <c r="A102" s="81" t="s">
        <v>79</v>
      </c>
      <c r="B102" s="49">
        <v>6130</v>
      </c>
      <c r="C102" s="57" t="s">
        <v>57</v>
      </c>
      <c r="D102" s="1236"/>
    </row>
    <row r="103" spans="1:4" ht="18" customHeight="1" x14ac:dyDescent="0.4">
      <c r="A103" s="81" t="s">
        <v>162</v>
      </c>
      <c r="B103" s="49">
        <v>10000</v>
      </c>
      <c r="C103" s="57" t="s">
        <v>57</v>
      </c>
      <c r="D103" s="1236"/>
    </row>
    <row r="104" spans="1:4" ht="18" customHeight="1" x14ac:dyDescent="0.4">
      <c r="A104" s="81" t="s">
        <v>160</v>
      </c>
      <c r="B104" s="49">
        <v>7370</v>
      </c>
      <c r="C104" s="57" t="s">
        <v>57</v>
      </c>
      <c r="D104" s="1236"/>
    </row>
    <row r="105" spans="1:4" ht="18" customHeight="1" x14ac:dyDescent="0.4">
      <c r="A105" s="81" t="s">
        <v>163</v>
      </c>
      <c r="B105" s="49">
        <v>12200</v>
      </c>
      <c r="C105" s="57" t="s">
        <v>57</v>
      </c>
      <c r="D105" s="1236"/>
    </row>
    <row r="106" spans="1:4" ht="18" customHeight="1" x14ac:dyDescent="0.4">
      <c r="A106" s="79" t="s">
        <v>72</v>
      </c>
      <c r="B106" s="49">
        <v>77</v>
      </c>
      <c r="C106" s="57" t="s">
        <v>57</v>
      </c>
      <c r="D106" s="1236"/>
    </row>
    <row r="107" spans="1:4" ht="18" customHeight="1" x14ac:dyDescent="0.4">
      <c r="A107" s="79" t="s">
        <v>143</v>
      </c>
      <c r="B107" s="49">
        <v>609</v>
      </c>
      <c r="C107" s="57" t="s">
        <v>57</v>
      </c>
      <c r="D107" s="1236"/>
    </row>
    <row r="108" spans="1:4" ht="18" customHeight="1" x14ac:dyDescent="0.4">
      <c r="A108" s="79" t="s">
        <v>156</v>
      </c>
      <c r="B108" s="49">
        <v>3500</v>
      </c>
      <c r="C108" s="57" t="s">
        <v>57</v>
      </c>
      <c r="D108" s="1236"/>
    </row>
    <row r="109" spans="1:4" ht="18" customHeight="1" x14ac:dyDescent="0.4">
      <c r="A109" s="79" t="s">
        <v>145</v>
      </c>
      <c r="B109" s="49">
        <v>725</v>
      </c>
      <c r="C109" s="57" t="s">
        <v>57</v>
      </c>
      <c r="D109" s="1236"/>
    </row>
    <row r="110" spans="1:4" ht="18" customHeight="1" x14ac:dyDescent="0.4">
      <c r="A110" s="79" t="s">
        <v>152</v>
      </c>
      <c r="B110" s="49">
        <v>2310</v>
      </c>
      <c r="C110" s="57" t="s">
        <v>57</v>
      </c>
      <c r="D110" s="1236"/>
    </row>
    <row r="111" spans="1:4" ht="18" customHeight="1" x14ac:dyDescent="0.4">
      <c r="A111" s="79" t="s">
        <v>83</v>
      </c>
      <c r="B111" s="49">
        <v>4470</v>
      </c>
      <c r="C111" s="57" t="s">
        <v>57</v>
      </c>
      <c r="D111" s="1236"/>
    </row>
    <row r="112" spans="1:4" ht="18" customHeight="1" x14ac:dyDescent="0.4">
      <c r="A112" s="79" t="s">
        <v>142</v>
      </c>
      <c r="B112" s="49">
        <v>124</v>
      </c>
      <c r="C112" s="57" t="s">
        <v>57</v>
      </c>
      <c r="D112" s="1236"/>
    </row>
    <row r="113" spans="1:4" ht="18" customHeight="1" x14ac:dyDescent="0.4">
      <c r="A113" s="79" t="s">
        <v>141</v>
      </c>
      <c r="B113" s="49">
        <v>12</v>
      </c>
      <c r="C113" s="57" t="s">
        <v>57</v>
      </c>
      <c r="D113" s="1236"/>
    </row>
    <row r="114" spans="1:4" ht="18" customHeight="1" x14ac:dyDescent="0.4">
      <c r="A114" s="79" t="s">
        <v>139</v>
      </c>
      <c r="B114" s="49">
        <v>6</v>
      </c>
      <c r="C114" s="57" t="s">
        <v>57</v>
      </c>
      <c r="D114" s="1236"/>
    </row>
    <row r="115" spans="1:4" ht="18" customHeight="1" x14ac:dyDescent="0.4">
      <c r="A115" s="79" t="s">
        <v>161</v>
      </c>
      <c r="B115" s="49">
        <v>8830</v>
      </c>
      <c r="C115" s="57" t="s">
        <v>57</v>
      </c>
      <c r="D115" s="1236"/>
    </row>
    <row r="116" spans="1:4" ht="18" customHeight="1" x14ac:dyDescent="0.4">
      <c r="A116" s="79" t="s">
        <v>81</v>
      </c>
      <c r="B116" s="49">
        <v>122</v>
      </c>
      <c r="C116" s="57" t="s">
        <v>57</v>
      </c>
      <c r="D116" s="1236"/>
    </row>
    <row r="117" spans="1:4" ht="18" customHeight="1" x14ac:dyDescent="0.4">
      <c r="A117" s="79" t="s">
        <v>80</v>
      </c>
      <c r="B117" s="49">
        <v>595</v>
      </c>
      <c r="C117" s="57" t="s">
        <v>57</v>
      </c>
      <c r="D117" s="1236"/>
    </row>
    <row r="118" spans="1:4" ht="18" customHeight="1" x14ac:dyDescent="0.4">
      <c r="A118" s="79" t="s">
        <v>155</v>
      </c>
      <c r="B118" s="49">
        <v>3220</v>
      </c>
      <c r="C118" s="57" t="s">
        <v>57</v>
      </c>
      <c r="D118" s="1236"/>
    </row>
    <row r="119" spans="1:4" ht="18" customHeight="1" x14ac:dyDescent="0.4">
      <c r="A119" s="79" t="s">
        <v>74</v>
      </c>
      <c r="B119" s="49">
        <v>9810</v>
      </c>
      <c r="C119" s="57" t="s">
        <v>57</v>
      </c>
      <c r="D119" s="1236"/>
    </row>
    <row r="120" spans="1:4" ht="18" customHeight="1" x14ac:dyDescent="0.4">
      <c r="A120" s="79" t="s">
        <v>84</v>
      </c>
      <c r="B120" s="49">
        <v>1030</v>
      </c>
      <c r="C120" s="57" t="s">
        <v>57</v>
      </c>
      <c r="D120" s="1236"/>
    </row>
    <row r="121" spans="1:4" ht="18" customHeight="1" x14ac:dyDescent="0.4">
      <c r="A121" s="79" t="s">
        <v>132</v>
      </c>
      <c r="B121" s="49">
        <v>4</v>
      </c>
      <c r="C121" s="57" t="s">
        <v>57</v>
      </c>
      <c r="D121" s="1236"/>
    </row>
    <row r="122" spans="1:4" ht="18" customHeight="1" x14ac:dyDescent="0.4">
      <c r="A122" s="79" t="s">
        <v>146</v>
      </c>
      <c r="B122" s="49">
        <v>794</v>
      </c>
      <c r="C122" s="57" t="s">
        <v>57</v>
      </c>
      <c r="D122" s="1236"/>
    </row>
    <row r="123" spans="1:4" ht="18" customHeight="1" x14ac:dyDescent="0.4">
      <c r="A123" s="79" t="s">
        <v>50</v>
      </c>
      <c r="B123" s="49">
        <v>1182</v>
      </c>
      <c r="C123" s="57" t="s">
        <v>57</v>
      </c>
      <c r="D123" s="1236"/>
    </row>
    <row r="124" spans="1:4" ht="18" customHeight="1" x14ac:dyDescent="0.4">
      <c r="A124" s="79" t="s">
        <v>96</v>
      </c>
      <c r="B124" s="49">
        <v>1288</v>
      </c>
      <c r="C124" s="57" t="s">
        <v>57</v>
      </c>
      <c r="D124" s="1236"/>
    </row>
    <row r="125" spans="1:4" ht="18" customHeight="1" x14ac:dyDescent="0.4">
      <c r="A125" s="79" t="s">
        <v>98</v>
      </c>
      <c r="B125" s="49">
        <v>2788</v>
      </c>
      <c r="C125" s="57" t="s">
        <v>57</v>
      </c>
      <c r="D125" s="1236"/>
    </row>
    <row r="126" spans="1:4" ht="18" customHeight="1" x14ac:dyDescent="0.4">
      <c r="A126" s="79" t="s">
        <v>97</v>
      </c>
      <c r="B126" s="49">
        <v>2416</v>
      </c>
      <c r="C126" s="57" t="s">
        <v>57</v>
      </c>
      <c r="D126" s="1236"/>
    </row>
    <row r="127" spans="1:4" ht="18" customHeight="1" x14ac:dyDescent="0.4">
      <c r="A127" s="79" t="s">
        <v>157</v>
      </c>
      <c r="B127" s="49">
        <v>4458</v>
      </c>
      <c r="C127" s="57" t="s">
        <v>57</v>
      </c>
      <c r="D127" s="1236"/>
    </row>
    <row r="128" spans="1:4" ht="18" customHeight="1" x14ac:dyDescent="0.4">
      <c r="A128" s="79" t="s">
        <v>99</v>
      </c>
      <c r="B128" s="49">
        <v>1943</v>
      </c>
      <c r="C128" s="57" t="s">
        <v>57</v>
      </c>
      <c r="D128" s="1236"/>
    </row>
    <row r="129" spans="1:4" ht="18" customHeight="1" x14ac:dyDescent="0.4">
      <c r="A129" s="79" t="s">
        <v>52</v>
      </c>
      <c r="B129" s="49">
        <v>1774</v>
      </c>
      <c r="C129" s="57" t="s">
        <v>57</v>
      </c>
      <c r="D129" s="1236"/>
    </row>
    <row r="130" spans="1:4" ht="18" customHeight="1" x14ac:dyDescent="0.4">
      <c r="A130" s="79" t="s">
        <v>85</v>
      </c>
      <c r="B130" s="49">
        <v>1825</v>
      </c>
      <c r="C130" s="57" t="s">
        <v>57</v>
      </c>
      <c r="D130" s="1236"/>
    </row>
    <row r="131" spans="1:4" ht="18" customHeight="1" x14ac:dyDescent="0.4">
      <c r="A131" s="79" t="s">
        <v>86</v>
      </c>
      <c r="B131" s="49">
        <v>3432</v>
      </c>
      <c r="C131" s="57" t="s">
        <v>57</v>
      </c>
      <c r="D131" s="1236"/>
    </row>
    <row r="132" spans="1:4" ht="18" customHeight="1" x14ac:dyDescent="0.4">
      <c r="A132" s="79" t="s">
        <v>87</v>
      </c>
      <c r="B132" s="49">
        <v>1585</v>
      </c>
      <c r="C132" s="57" t="s">
        <v>57</v>
      </c>
      <c r="D132" s="1236"/>
    </row>
    <row r="133" spans="1:4" ht="18" customHeight="1" x14ac:dyDescent="0.4">
      <c r="A133" s="79" t="s">
        <v>53</v>
      </c>
      <c r="B133" s="49">
        <v>2088</v>
      </c>
      <c r="C133" s="57" t="s">
        <v>57</v>
      </c>
      <c r="D133" s="1236"/>
    </row>
    <row r="134" spans="1:4" ht="18" customHeight="1" x14ac:dyDescent="0.4">
      <c r="A134" s="79" t="s">
        <v>150</v>
      </c>
      <c r="B134" s="49">
        <v>2053</v>
      </c>
      <c r="C134" s="57" t="s">
        <v>57</v>
      </c>
      <c r="D134" s="1236"/>
    </row>
    <row r="135" spans="1:4" ht="18" customHeight="1" x14ac:dyDescent="0.4">
      <c r="A135" s="79" t="s">
        <v>147</v>
      </c>
      <c r="B135" s="49">
        <v>1478</v>
      </c>
      <c r="C135" s="57" t="s">
        <v>57</v>
      </c>
      <c r="D135" s="1236"/>
    </row>
    <row r="136" spans="1:4" ht="18" customHeight="1" x14ac:dyDescent="0.4">
      <c r="A136" s="79" t="s">
        <v>88</v>
      </c>
      <c r="B136" s="49">
        <v>1362</v>
      </c>
      <c r="C136" s="57" t="s">
        <v>57</v>
      </c>
      <c r="D136" s="1236"/>
    </row>
    <row r="137" spans="1:4" ht="18" customHeight="1" x14ac:dyDescent="0.4">
      <c r="A137" s="79" t="s">
        <v>89</v>
      </c>
      <c r="B137" s="49">
        <v>1084</v>
      </c>
      <c r="C137" s="57" t="s">
        <v>57</v>
      </c>
      <c r="D137" s="1236"/>
    </row>
    <row r="138" spans="1:4" ht="18" customHeight="1" x14ac:dyDescent="0.4">
      <c r="A138" s="79" t="s">
        <v>90</v>
      </c>
      <c r="B138" s="49">
        <v>2346</v>
      </c>
      <c r="C138" s="57" t="s">
        <v>57</v>
      </c>
      <c r="D138" s="1236"/>
    </row>
    <row r="139" spans="1:4" ht="18" customHeight="1" x14ac:dyDescent="0.4">
      <c r="A139" s="79" t="s">
        <v>154</v>
      </c>
      <c r="B139" s="49">
        <v>2631</v>
      </c>
      <c r="C139" s="57" t="s">
        <v>57</v>
      </c>
      <c r="D139" s="1236"/>
    </row>
    <row r="140" spans="1:4" ht="18" customHeight="1" x14ac:dyDescent="0.4">
      <c r="A140" s="79" t="s">
        <v>91</v>
      </c>
      <c r="B140" s="49">
        <v>3143</v>
      </c>
      <c r="C140" s="57" t="s">
        <v>57</v>
      </c>
      <c r="D140" s="1236"/>
    </row>
    <row r="141" spans="1:4" ht="18" customHeight="1" x14ac:dyDescent="0.4">
      <c r="A141" s="79" t="s">
        <v>92</v>
      </c>
      <c r="B141" s="49">
        <v>2526</v>
      </c>
      <c r="C141" s="57" t="s">
        <v>57</v>
      </c>
      <c r="D141" s="1236"/>
    </row>
    <row r="142" spans="1:4" ht="18" customHeight="1" x14ac:dyDescent="0.4">
      <c r="A142" s="79" t="s">
        <v>93</v>
      </c>
      <c r="B142" s="49">
        <v>3085</v>
      </c>
      <c r="C142" s="57" t="s">
        <v>57</v>
      </c>
      <c r="D142" s="1236"/>
    </row>
    <row r="143" spans="1:4" ht="18" customHeight="1" x14ac:dyDescent="0.4">
      <c r="A143" s="79" t="s">
        <v>94</v>
      </c>
      <c r="B143" s="49">
        <v>2729</v>
      </c>
      <c r="C143" s="57" t="s">
        <v>57</v>
      </c>
      <c r="D143" s="1236"/>
    </row>
    <row r="144" spans="1:4" ht="18" customHeight="1" x14ac:dyDescent="0.4">
      <c r="A144" s="79" t="s">
        <v>151</v>
      </c>
      <c r="B144" s="49">
        <v>2280</v>
      </c>
      <c r="C144" s="57" t="s">
        <v>57</v>
      </c>
      <c r="D144" s="1236"/>
    </row>
    <row r="145" spans="1:4" ht="18" customHeight="1" x14ac:dyDescent="0.4">
      <c r="A145" s="79" t="s">
        <v>153</v>
      </c>
      <c r="B145" s="49">
        <v>2440</v>
      </c>
      <c r="C145" s="57" t="s">
        <v>57</v>
      </c>
      <c r="D145" s="1236"/>
    </row>
    <row r="146" spans="1:4" ht="18" customHeight="1" x14ac:dyDescent="0.4">
      <c r="A146" s="79" t="s">
        <v>95</v>
      </c>
      <c r="B146" s="49">
        <v>2138</v>
      </c>
      <c r="C146" s="57" t="s">
        <v>57</v>
      </c>
      <c r="D146" s="1236"/>
    </row>
    <row r="147" spans="1:4" ht="18" customHeight="1" x14ac:dyDescent="0.4">
      <c r="A147" s="79" t="s">
        <v>100</v>
      </c>
      <c r="B147" s="49">
        <v>2070</v>
      </c>
      <c r="C147" s="57" t="s">
        <v>57</v>
      </c>
      <c r="D147" s="1236"/>
    </row>
    <row r="148" spans="1:4" ht="18" customHeight="1" x14ac:dyDescent="0.4">
      <c r="A148" s="79" t="s">
        <v>149</v>
      </c>
      <c r="B148" s="49">
        <v>1805</v>
      </c>
      <c r="C148" s="57" t="s">
        <v>57</v>
      </c>
      <c r="D148" s="1236"/>
    </row>
    <row r="149" spans="1:4" ht="18" customHeight="1" x14ac:dyDescent="0.4">
      <c r="A149" s="79" t="s">
        <v>101</v>
      </c>
      <c r="B149" s="49">
        <v>2265</v>
      </c>
      <c r="C149" s="57" t="s">
        <v>57</v>
      </c>
      <c r="D149" s="1236"/>
    </row>
    <row r="150" spans="1:4" ht="18" customHeight="1" x14ac:dyDescent="0.4">
      <c r="A150" s="79" t="s">
        <v>102</v>
      </c>
      <c r="B150" s="49">
        <v>1386</v>
      </c>
      <c r="C150" s="57" t="s">
        <v>57</v>
      </c>
      <c r="D150" s="1236"/>
    </row>
    <row r="151" spans="1:4" ht="18" customHeight="1" x14ac:dyDescent="0.4">
      <c r="A151" s="79" t="s">
        <v>166</v>
      </c>
      <c r="B151" s="49">
        <v>1397</v>
      </c>
      <c r="C151" s="57" t="s">
        <v>57</v>
      </c>
      <c r="D151" s="1236"/>
    </row>
    <row r="152" spans="1:4" ht="18" customHeight="1" x14ac:dyDescent="0.4">
      <c r="A152" s="79" t="s">
        <v>54</v>
      </c>
      <c r="B152" s="49">
        <v>8077</v>
      </c>
      <c r="C152" s="57" t="s">
        <v>57</v>
      </c>
      <c r="D152" s="1236"/>
    </row>
    <row r="153" spans="1:4" ht="18" customHeight="1" x14ac:dyDescent="0.4">
      <c r="A153" s="79" t="s">
        <v>55</v>
      </c>
      <c r="B153" s="49">
        <v>4656.72</v>
      </c>
      <c r="C153" s="57" t="s">
        <v>57</v>
      </c>
      <c r="D153" s="1236"/>
    </row>
    <row r="154" spans="1:4" ht="18" customHeight="1" x14ac:dyDescent="0.4">
      <c r="A154" s="79" t="s">
        <v>165</v>
      </c>
      <c r="B154" s="49">
        <v>14560</v>
      </c>
      <c r="C154" s="57" t="s">
        <v>57</v>
      </c>
      <c r="D154" s="1236"/>
    </row>
    <row r="155" spans="1:4" ht="18" customHeight="1" x14ac:dyDescent="0.4">
      <c r="A155" s="79" t="s">
        <v>103</v>
      </c>
      <c r="B155" s="49">
        <v>13396</v>
      </c>
      <c r="C155" s="57" t="s">
        <v>57</v>
      </c>
      <c r="D155" s="1236"/>
    </row>
    <row r="156" spans="1:4" ht="18" customHeight="1" x14ac:dyDescent="0.4">
      <c r="A156" s="79" t="s">
        <v>138</v>
      </c>
      <c r="B156" s="49">
        <v>5</v>
      </c>
      <c r="C156" s="57" t="s">
        <v>57</v>
      </c>
      <c r="D156" s="1236"/>
    </row>
    <row r="157" spans="1:4" ht="18" customHeight="1" x14ac:dyDescent="0.4">
      <c r="A157" s="79" t="s">
        <v>140</v>
      </c>
      <c r="B157" s="49">
        <v>11</v>
      </c>
      <c r="C157" s="57" t="s">
        <v>57</v>
      </c>
      <c r="D157" s="1236"/>
    </row>
    <row r="158" spans="1:4" ht="18" customHeight="1" x14ac:dyDescent="0.4">
      <c r="A158" s="79" t="s">
        <v>104</v>
      </c>
      <c r="B158" s="60">
        <v>0</v>
      </c>
      <c r="C158" s="57" t="s">
        <v>57</v>
      </c>
      <c r="D158" s="1236"/>
    </row>
    <row r="159" spans="1:4" ht="18" customHeight="1" x14ac:dyDescent="0.4">
      <c r="A159" s="79" t="s">
        <v>105</v>
      </c>
      <c r="B159" s="60">
        <v>1</v>
      </c>
      <c r="C159" s="57" t="s">
        <v>57</v>
      </c>
      <c r="D159" s="1236"/>
    </row>
    <row r="160" spans="1:4" ht="18" customHeight="1" x14ac:dyDescent="0.4">
      <c r="A160" s="79" t="s">
        <v>148</v>
      </c>
      <c r="B160" s="60">
        <v>1640</v>
      </c>
      <c r="C160" s="57" t="s">
        <v>57</v>
      </c>
      <c r="D160" s="1236"/>
    </row>
    <row r="161" spans="1:4" ht="18" customHeight="1" x14ac:dyDescent="0.4">
      <c r="A161" s="79" t="s">
        <v>158</v>
      </c>
      <c r="B161" s="60">
        <v>6427</v>
      </c>
      <c r="C161" s="57" t="s">
        <v>57</v>
      </c>
      <c r="D161" s="1236"/>
    </row>
    <row r="162" spans="1:4" ht="18" customHeight="1" x14ac:dyDescent="0.4">
      <c r="A162" s="79" t="s">
        <v>106</v>
      </c>
      <c r="B162" s="60">
        <v>1809</v>
      </c>
      <c r="C162" s="57" t="s">
        <v>57</v>
      </c>
      <c r="D162" s="1236"/>
    </row>
    <row r="163" spans="1:4" ht="18" customHeight="1" thickBot="1" x14ac:dyDescent="0.45">
      <c r="A163" s="81" t="s">
        <v>107</v>
      </c>
      <c r="B163" s="49">
        <v>3805</v>
      </c>
      <c r="C163" s="57" t="s">
        <v>57</v>
      </c>
      <c r="D163" s="1237"/>
    </row>
    <row r="164" spans="1:4" ht="18" customHeight="1" x14ac:dyDescent="0.4">
      <c r="A164" s="1266" t="s">
        <v>66</v>
      </c>
      <c r="B164" s="1267"/>
      <c r="C164" s="1267"/>
      <c r="D164" s="1268"/>
    </row>
    <row r="165" spans="1:4" ht="18" customHeight="1" x14ac:dyDescent="0.4">
      <c r="A165" s="599"/>
      <c r="B165" s="37" t="s">
        <v>108</v>
      </c>
      <c r="C165" s="37" t="s">
        <v>13</v>
      </c>
      <c r="D165" s="600" t="s">
        <v>125</v>
      </c>
    </row>
    <row r="166" spans="1:4" ht="33" customHeight="1" x14ac:dyDescent="0.4">
      <c r="A166" s="63" t="s">
        <v>120</v>
      </c>
      <c r="B166" s="64">
        <v>0.01</v>
      </c>
      <c r="C166" s="65" t="s">
        <v>109</v>
      </c>
      <c r="D166" s="1220" t="s">
        <v>1000</v>
      </c>
    </row>
    <row r="167" spans="1:4" ht="33" customHeight="1" x14ac:dyDescent="0.4">
      <c r="A167" s="63" t="s">
        <v>121</v>
      </c>
      <c r="B167" s="64">
        <v>0.01</v>
      </c>
      <c r="C167" s="65" t="s">
        <v>109</v>
      </c>
      <c r="D167" s="1216"/>
    </row>
    <row r="168" spans="1:4" ht="33" customHeight="1" x14ac:dyDescent="0.4">
      <c r="A168" s="63" t="s">
        <v>122</v>
      </c>
      <c r="B168" s="64">
        <v>0.01</v>
      </c>
      <c r="C168" s="65" t="s">
        <v>109</v>
      </c>
      <c r="D168" s="1216"/>
    </row>
    <row r="169" spans="1:4" ht="33" customHeight="1" x14ac:dyDescent="0.4">
      <c r="A169" s="44" t="s">
        <v>111</v>
      </c>
      <c r="B169" s="61">
        <v>0.15</v>
      </c>
      <c r="C169" s="62" t="s">
        <v>109</v>
      </c>
      <c r="D169" s="1216"/>
    </row>
    <row r="170" spans="1:4" ht="33" customHeight="1" x14ac:dyDescent="0.4">
      <c r="A170" s="44" t="s">
        <v>112</v>
      </c>
      <c r="B170" s="61">
        <v>0.15</v>
      </c>
      <c r="C170" s="62" t="s">
        <v>109</v>
      </c>
      <c r="D170" s="1216"/>
    </row>
    <row r="171" spans="1:4" ht="33" customHeight="1" x14ac:dyDescent="0.4">
      <c r="A171" s="44" t="s">
        <v>113</v>
      </c>
      <c r="B171" s="61">
        <v>0.17599999999999999</v>
      </c>
      <c r="C171" s="62" t="s">
        <v>109</v>
      </c>
      <c r="D171" s="1216"/>
    </row>
    <row r="172" spans="1:4" ht="33" customHeight="1" x14ac:dyDescent="0.4">
      <c r="A172" s="44" t="s">
        <v>114</v>
      </c>
      <c r="B172" s="127">
        <v>0.16600000000000001</v>
      </c>
      <c r="C172" s="62" t="s">
        <v>109</v>
      </c>
      <c r="D172" s="1216"/>
    </row>
    <row r="173" spans="1:4" ht="33" customHeight="1" thickBot="1" x14ac:dyDescent="0.45">
      <c r="A173" s="435" t="s">
        <v>226</v>
      </c>
      <c r="B173" s="650">
        <v>0.24</v>
      </c>
      <c r="C173" s="436" t="s">
        <v>109</v>
      </c>
      <c r="D173" s="1217"/>
    </row>
    <row r="174" spans="1:4" ht="15" thickBot="1" x14ac:dyDescent="0.45">
      <c r="A174" s="1228" t="s">
        <v>214</v>
      </c>
      <c r="B174" s="1229"/>
      <c r="C174" s="1229"/>
      <c r="D174" s="1230"/>
    </row>
    <row r="175" spans="1:4" ht="33" customHeight="1" x14ac:dyDescent="0.4">
      <c r="A175" s="432" t="s">
        <v>216</v>
      </c>
      <c r="B175" s="433">
        <v>0.34</v>
      </c>
      <c r="C175" s="434" t="s">
        <v>215</v>
      </c>
      <c r="D175" s="1215" t="s">
        <v>1000</v>
      </c>
    </row>
    <row r="176" spans="1:4" ht="33" customHeight="1" x14ac:dyDescent="0.4">
      <c r="A176" s="44" t="s">
        <v>217</v>
      </c>
      <c r="B176" s="22">
        <v>7.1</v>
      </c>
      <c r="C176" s="62" t="s">
        <v>215</v>
      </c>
      <c r="D176" s="1216"/>
    </row>
    <row r="177" spans="1:4" ht="33" customHeight="1" x14ac:dyDescent="0.4">
      <c r="A177" s="44" t="s">
        <v>218</v>
      </c>
      <c r="B177" s="22">
        <v>31.4</v>
      </c>
      <c r="C177" s="62" t="s">
        <v>215</v>
      </c>
      <c r="D177" s="1216"/>
    </row>
    <row r="178" spans="1:4" ht="33" customHeight="1" x14ac:dyDescent="0.4">
      <c r="A178" s="44" t="s">
        <v>219</v>
      </c>
      <c r="B178" s="22">
        <v>122</v>
      </c>
      <c r="C178" s="62" t="s">
        <v>215</v>
      </c>
      <c r="D178" s="1216"/>
    </row>
    <row r="179" spans="1:4" ht="33" customHeight="1" x14ac:dyDescent="0.4">
      <c r="A179" s="44" t="s">
        <v>199</v>
      </c>
      <c r="B179" s="22">
        <v>4</v>
      </c>
      <c r="C179" s="62" t="s">
        <v>215</v>
      </c>
      <c r="D179" s="1216"/>
    </row>
    <row r="180" spans="1:4" ht="33" customHeight="1" x14ac:dyDescent="0.4">
      <c r="A180" s="44" t="s">
        <v>201</v>
      </c>
      <c r="B180" s="22">
        <v>12</v>
      </c>
      <c r="C180" s="62" t="s">
        <v>215</v>
      </c>
      <c r="D180" s="1216"/>
    </row>
    <row r="181" spans="1:4" ht="33" customHeight="1" thickBot="1" x14ac:dyDescent="0.45">
      <c r="A181" s="435" t="s">
        <v>227</v>
      </c>
      <c r="B181" s="56">
        <v>22</v>
      </c>
      <c r="C181" s="436" t="s">
        <v>215</v>
      </c>
      <c r="D181" s="1217"/>
    </row>
    <row r="182" spans="1:4" x14ac:dyDescent="0.4">
      <c r="A182" s="1225" t="s">
        <v>11</v>
      </c>
      <c r="B182" s="1226"/>
      <c r="C182" s="1226"/>
      <c r="D182" s="1227"/>
    </row>
    <row r="183" spans="1:4" ht="15" thickBot="1" x14ac:dyDescent="0.45">
      <c r="A183" s="73"/>
      <c r="B183" s="74" t="s">
        <v>12</v>
      </c>
      <c r="C183" s="75" t="s">
        <v>13</v>
      </c>
      <c r="D183" s="76" t="s">
        <v>16</v>
      </c>
    </row>
    <row r="184" spans="1:4" ht="29.6" thickBot="1" x14ac:dyDescent="0.45">
      <c r="A184" s="205" t="s">
        <v>204</v>
      </c>
      <c r="B184" s="206">
        <v>13123</v>
      </c>
      <c r="C184" s="207" t="s">
        <v>205</v>
      </c>
      <c r="D184" s="750" t="s">
        <v>206</v>
      </c>
    </row>
    <row r="185" spans="1:4" ht="30" customHeight="1" x14ac:dyDescent="0.4">
      <c r="A185" s="468" t="s">
        <v>1010</v>
      </c>
      <c r="B185" s="742">
        <v>13507.51</v>
      </c>
      <c r="C185" s="652" t="s">
        <v>994</v>
      </c>
      <c r="D185" s="751" t="s">
        <v>1006</v>
      </c>
    </row>
    <row r="186" spans="1:4" ht="17.149999999999999" x14ac:dyDescent="0.4">
      <c r="A186" s="13" t="s">
        <v>995</v>
      </c>
      <c r="B186" s="743">
        <v>11518.14</v>
      </c>
      <c r="C186" s="19" t="s">
        <v>994</v>
      </c>
      <c r="D186" s="760" t="s">
        <v>1005</v>
      </c>
    </row>
    <row r="187" spans="1:4" ht="17.149999999999999" x14ac:dyDescent="0.4">
      <c r="A187" s="13" t="s">
        <v>996</v>
      </c>
      <c r="B187" s="743">
        <v>337.5</v>
      </c>
      <c r="C187" s="19" t="s">
        <v>997</v>
      </c>
      <c r="D187" s="752"/>
    </row>
    <row r="188" spans="1:4" ht="17.600000000000001" thickBot="1" x14ac:dyDescent="0.45">
      <c r="A188" s="469" t="s">
        <v>998</v>
      </c>
      <c r="B188" s="744">
        <v>13393.2</v>
      </c>
      <c r="C188" s="47" t="s">
        <v>999</v>
      </c>
      <c r="D188" s="753"/>
    </row>
    <row r="189" spans="1:4" x14ac:dyDescent="0.4">
      <c r="A189" s="124" t="s">
        <v>315</v>
      </c>
      <c r="B189" s="125">
        <v>1013</v>
      </c>
      <c r="C189" s="116" t="s">
        <v>222</v>
      </c>
      <c r="D189" s="1231" t="s">
        <v>962</v>
      </c>
    </row>
    <row r="190" spans="1:4" x14ac:dyDescent="0.4">
      <c r="A190" s="126" t="s">
        <v>316</v>
      </c>
      <c r="B190" s="123">
        <v>811</v>
      </c>
      <c r="C190" s="19" t="s">
        <v>222</v>
      </c>
      <c r="D190" s="1232"/>
    </row>
    <row r="191" spans="1:4" x14ac:dyDescent="0.4">
      <c r="A191" s="126" t="s">
        <v>317</v>
      </c>
      <c r="B191" s="123">
        <v>599</v>
      </c>
      <c r="C191" s="19" t="s">
        <v>222</v>
      </c>
      <c r="D191" s="1232"/>
    </row>
    <row r="192" spans="1:4" x14ac:dyDescent="0.4">
      <c r="A192" s="126" t="s">
        <v>323</v>
      </c>
      <c r="B192" s="123">
        <v>281</v>
      </c>
      <c r="C192" s="19" t="s">
        <v>222</v>
      </c>
      <c r="D192" s="1232"/>
    </row>
    <row r="193" spans="1:4" ht="15" thickBot="1" x14ac:dyDescent="0.45">
      <c r="A193" s="117" t="s">
        <v>318</v>
      </c>
      <c r="B193" s="118">
        <v>455</v>
      </c>
      <c r="C193" s="47" t="s">
        <v>222</v>
      </c>
      <c r="D193" s="1232"/>
    </row>
    <row r="194" spans="1:4" x14ac:dyDescent="0.4">
      <c r="A194" s="124" t="s">
        <v>319</v>
      </c>
      <c r="B194" s="125">
        <v>1519</v>
      </c>
      <c r="C194" s="116" t="s">
        <v>222</v>
      </c>
      <c r="D194" s="1233" t="s">
        <v>963</v>
      </c>
    </row>
    <row r="195" spans="1:4" x14ac:dyDescent="0.4">
      <c r="A195" s="126" t="s">
        <v>320</v>
      </c>
      <c r="B195" s="123">
        <v>1215</v>
      </c>
      <c r="C195" s="19" t="s">
        <v>222</v>
      </c>
      <c r="D195" s="1233"/>
    </row>
    <row r="196" spans="1:4" ht="15" thickBot="1" x14ac:dyDescent="0.45">
      <c r="A196" s="117" t="s">
        <v>324</v>
      </c>
      <c r="B196" s="118">
        <v>283</v>
      </c>
      <c r="C196" s="47" t="s">
        <v>222</v>
      </c>
      <c r="D196" s="1233"/>
    </row>
    <row r="197" spans="1:4" x14ac:dyDescent="0.4">
      <c r="A197" s="208" t="s">
        <v>321</v>
      </c>
      <c r="B197" s="209">
        <v>2101</v>
      </c>
      <c r="C197" s="186" t="s">
        <v>222</v>
      </c>
      <c r="D197" s="1233"/>
    </row>
    <row r="198" spans="1:4" ht="15" thickBot="1" x14ac:dyDescent="0.45">
      <c r="A198" s="117" t="s">
        <v>322</v>
      </c>
      <c r="B198" s="118">
        <v>392</v>
      </c>
      <c r="C198" s="47" t="s">
        <v>222</v>
      </c>
      <c r="D198" s="1234"/>
    </row>
    <row r="199" spans="1:4" ht="15" thickBot="1" x14ac:dyDescent="0.45">
      <c r="A199" s="46"/>
      <c r="B199" s="45"/>
      <c r="C199" s="45"/>
      <c r="D199" s="45"/>
    </row>
    <row r="200" spans="1:4" ht="15" thickBot="1" x14ac:dyDescent="0.45">
      <c r="A200" s="1218" t="s">
        <v>951</v>
      </c>
      <c r="B200" s="1219"/>
      <c r="C200" s="45"/>
      <c r="D200" s="45"/>
    </row>
    <row r="201" spans="1:4" x14ac:dyDescent="0.4">
      <c r="A201" s="775">
        <v>2204.62</v>
      </c>
      <c r="B201" s="774" t="s">
        <v>193</v>
      </c>
    </row>
    <row r="202" spans="1:4" x14ac:dyDescent="0.4">
      <c r="A202" s="651">
        <v>1000000</v>
      </c>
      <c r="B202" s="639" t="s">
        <v>225</v>
      </c>
    </row>
    <row r="203" spans="1:4" x14ac:dyDescent="0.4">
      <c r="A203" s="651">
        <v>1000</v>
      </c>
      <c r="B203" s="639" t="s">
        <v>1070</v>
      </c>
    </row>
    <row r="204" spans="1:4" x14ac:dyDescent="0.4">
      <c r="A204" s="776">
        <v>454</v>
      </c>
      <c r="B204" s="639" t="s">
        <v>237</v>
      </c>
    </row>
    <row r="205" spans="1:4" x14ac:dyDescent="0.4">
      <c r="A205" s="776">
        <v>293.07</v>
      </c>
      <c r="B205" s="639" t="s">
        <v>314</v>
      </c>
    </row>
    <row r="206" spans="1:4" x14ac:dyDescent="0.4">
      <c r="A206" s="776">
        <v>0.27800000000000002</v>
      </c>
      <c r="B206" s="639" t="s">
        <v>829</v>
      </c>
    </row>
    <row r="207" spans="1:4" ht="29.15" x14ac:dyDescent="0.4">
      <c r="A207" s="651">
        <v>127460</v>
      </c>
      <c r="B207" s="639" t="s">
        <v>830</v>
      </c>
    </row>
    <row r="208" spans="1:4" ht="16.3" x14ac:dyDescent="0.4">
      <c r="A208" s="776">
        <v>3.5069999999999997E-2</v>
      </c>
      <c r="B208" s="639" t="s">
        <v>874</v>
      </c>
    </row>
    <row r="209" spans="1:14" x14ac:dyDescent="0.4">
      <c r="A209" s="773">
        <v>1.4</v>
      </c>
      <c r="B209" s="777" t="s">
        <v>1019</v>
      </c>
    </row>
    <row r="210" spans="1:14" ht="29.15" x14ac:dyDescent="0.4">
      <c r="A210" s="773">
        <v>0.57999999999999996</v>
      </c>
      <c r="B210" s="777" t="s">
        <v>1020</v>
      </c>
    </row>
    <row r="211" spans="1:14" x14ac:dyDescent="0.4">
      <c r="A211" s="773">
        <v>10</v>
      </c>
      <c r="B211" s="777" t="s">
        <v>1066</v>
      </c>
    </row>
    <row r="212" spans="1:14" x14ac:dyDescent="0.4">
      <c r="A212" s="773">
        <v>0.1</v>
      </c>
      <c r="B212" s="777" t="s">
        <v>1067</v>
      </c>
    </row>
    <row r="213" spans="1:14" x14ac:dyDescent="0.4">
      <c r="A213" s="793">
        <v>325851</v>
      </c>
      <c r="B213" s="777" t="s">
        <v>1068</v>
      </c>
    </row>
    <row r="214" spans="1:14" ht="15" thickBot="1" x14ac:dyDescent="0.45">
      <c r="A214" s="779">
        <v>907</v>
      </c>
      <c r="B214" s="780" t="s">
        <v>1069</v>
      </c>
    </row>
    <row r="215" spans="1:14" ht="15" thickBot="1" x14ac:dyDescent="0.45"/>
    <row r="216" spans="1:14" ht="15.45" x14ac:dyDescent="0.4">
      <c r="A216" s="1200" t="s">
        <v>1041</v>
      </c>
      <c r="B216" s="1201"/>
      <c r="C216" s="1201"/>
      <c r="D216" s="1201"/>
      <c r="E216" s="1201"/>
      <c r="F216" s="1201"/>
      <c r="G216" s="1201"/>
      <c r="H216" s="1201"/>
      <c r="I216" s="1201"/>
      <c r="J216" s="1201"/>
      <c r="K216" s="1201"/>
      <c r="L216" s="1201"/>
      <c r="M216" s="1201"/>
      <c r="N216" s="1202"/>
    </row>
    <row r="217" spans="1:14" ht="30" x14ac:dyDescent="0.4">
      <c r="A217" s="781" t="s">
        <v>1042</v>
      </c>
      <c r="B217" s="782">
        <v>0.03</v>
      </c>
      <c r="C217" s="1203" t="s">
        <v>1043</v>
      </c>
      <c r="D217" s="1203"/>
      <c r="E217" s="1203"/>
      <c r="F217" s="1203"/>
      <c r="G217" s="1203"/>
      <c r="H217" s="1203"/>
      <c r="I217" s="1203"/>
      <c r="J217" s="1203"/>
      <c r="K217" s="1203"/>
      <c r="L217" s="1203"/>
      <c r="M217" s="1203"/>
      <c r="N217" s="1204"/>
    </row>
    <row r="218" spans="1:14" ht="30" x14ac:dyDescent="0.4">
      <c r="A218" s="781" t="s">
        <v>1044</v>
      </c>
      <c r="B218" s="783">
        <v>10</v>
      </c>
      <c r="C218" s="1205" t="s">
        <v>1045</v>
      </c>
      <c r="D218" s="1205"/>
      <c r="E218" s="1205"/>
      <c r="F218" s="1205"/>
      <c r="G218" s="1205"/>
      <c r="H218" s="1205"/>
      <c r="I218" s="1205"/>
      <c r="J218" s="1205"/>
      <c r="K218" s="1205"/>
      <c r="L218" s="1205"/>
      <c r="M218" s="1205"/>
      <c r="N218" s="1206"/>
    </row>
    <row r="219" spans="1:14" ht="30" x14ac:dyDescent="0.4">
      <c r="A219" s="781" t="s">
        <v>1046</v>
      </c>
      <c r="B219" s="783">
        <v>2</v>
      </c>
      <c r="C219" s="1185" t="s">
        <v>1117</v>
      </c>
      <c r="D219" s="1186"/>
      <c r="E219" s="1186"/>
      <c r="F219" s="1186"/>
      <c r="G219" s="1186"/>
      <c r="H219" s="1186"/>
      <c r="I219" s="1186"/>
      <c r="J219" s="1186"/>
      <c r="K219" s="1186"/>
      <c r="L219" s="1186"/>
      <c r="M219" s="1186"/>
      <c r="N219" s="1187"/>
    </row>
    <row r="220" spans="1:14" ht="30" x14ac:dyDescent="0.4">
      <c r="A220" s="781" t="s">
        <v>1047</v>
      </c>
      <c r="B220" s="783">
        <v>20</v>
      </c>
      <c r="C220" s="1207" t="s">
        <v>1048</v>
      </c>
      <c r="D220" s="1207"/>
      <c r="E220" s="1207"/>
      <c r="F220" s="1207"/>
      <c r="G220" s="1207"/>
      <c r="H220" s="1207"/>
      <c r="I220" s="1207"/>
      <c r="J220" s="1207"/>
      <c r="K220" s="1207"/>
      <c r="L220" s="1207"/>
      <c r="M220" s="1207"/>
      <c r="N220" s="1208"/>
    </row>
    <row r="221" spans="1:14" ht="32.6" x14ac:dyDescent="0.4">
      <c r="A221" s="781" t="s">
        <v>1049</v>
      </c>
      <c r="B221" s="784">
        <v>0.22789999999999999</v>
      </c>
      <c r="C221" s="1179" t="s">
        <v>1050</v>
      </c>
      <c r="D221" s="1180"/>
      <c r="E221" s="1180"/>
      <c r="F221" s="1180"/>
      <c r="G221" s="1180"/>
      <c r="H221" s="1180"/>
      <c r="I221" s="1180"/>
      <c r="J221" s="1180"/>
      <c r="K221" s="1180"/>
      <c r="L221" s="1180"/>
      <c r="M221" s="1180"/>
      <c r="N221" s="1181"/>
    </row>
    <row r="222" spans="1:14" ht="32.6" x14ac:dyDescent="0.4">
      <c r="A222" s="781" t="s">
        <v>1051</v>
      </c>
      <c r="B222" s="785">
        <v>2.2790000000000001E-4</v>
      </c>
      <c r="C222" s="1182"/>
      <c r="D222" s="1183"/>
      <c r="E222" s="1183"/>
      <c r="F222" s="1183"/>
      <c r="G222" s="1183"/>
      <c r="H222" s="1183"/>
      <c r="I222" s="1183"/>
      <c r="J222" s="1183"/>
      <c r="K222" s="1183"/>
      <c r="L222" s="1183"/>
      <c r="M222" s="1183"/>
      <c r="N222" s="1184"/>
    </row>
    <row r="223" spans="1:14" ht="32.6" x14ac:dyDescent="0.4">
      <c r="A223" s="781" t="s">
        <v>1052</v>
      </c>
      <c r="B223" s="786">
        <v>5.3099999999999996E-3</v>
      </c>
      <c r="C223" s="1185" t="s">
        <v>1053</v>
      </c>
      <c r="D223" s="1186"/>
      <c r="E223" s="1186"/>
      <c r="F223" s="1186"/>
      <c r="G223" s="1186"/>
      <c r="H223" s="1186"/>
      <c r="I223" s="1186"/>
      <c r="J223" s="1186"/>
      <c r="K223" s="1186"/>
      <c r="L223" s="1186"/>
      <c r="M223" s="1186"/>
      <c r="N223" s="1187"/>
    </row>
    <row r="224" spans="1:14" ht="15" x14ac:dyDescent="0.4">
      <c r="A224" s="787" t="s">
        <v>1054</v>
      </c>
      <c r="B224" s="788">
        <v>2.0895913504246083E-5</v>
      </c>
      <c r="C224" s="1179" t="s">
        <v>1055</v>
      </c>
      <c r="D224" s="1180"/>
      <c r="E224" s="1180"/>
      <c r="F224" s="1180"/>
      <c r="G224" s="1180"/>
      <c r="H224" s="1180"/>
      <c r="I224" s="1180"/>
      <c r="J224" s="1180"/>
      <c r="K224" s="1180"/>
      <c r="L224" s="1180"/>
      <c r="M224" s="1180"/>
      <c r="N224" s="1181"/>
    </row>
    <row r="225" spans="1:14" ht="17.600000000000001" x14ac:dyDescent="0.4">
      <c r="A225" s="787" t="s">
        <v>1056</v>
      </c>
      <c r="B225" s="788">
        <v>1.3126506282397054E-4</v>
      </c>
      <c r="C225" s="1188"/>
      <c r="D225" s="1189"/>
      <c r="E225" s="1189"/>
      <c r="F225" s="1189"/>
      <c r="G225" s="1189"/>
      <c r="H225" s="1189"/>
      <c r="I225" s="1189"/>
      <c r="J225" s="1189"/>
      <c r="K225" s="1189"/>
      <c r="L225" s="1189"/>
      <c r="M225" s="1189"/>
      <c r="N225" s="1190"/>
    </row>
    <row r="226" spans="1:14" ht="17.600000000000001" x14ac:dyDescent="0.4">
      <c r="A226" s="787" t="s">
        <v>1057</v>
      </c>
      <c r="B226" s="788">
        <v>3.2876775108031959E-5</v>
      </c>
      <c r="C226" s="1182"/>
      <c r="D226" s="1183"/>
      <c r="E226" s="1183"/>
      <c r="F226" s="1183"/>
      <c r="G226" s="1183"/>
      <c r="H226" s="1183"/>
      <c r="I226" s="1183"/>
      <c r="J226" s="1183"/>
      <c r="K226" s="1183"/>
      <c r="L226" s="1183"/>
      <c r="M226" s="1183"/>
      <c r="N226" s="1184"/>
    </row>
    <row r="227" spans="1:14" ht="30" x14ac:dyDescent="0.4">
      <c r="A227" s="787" t="s">
        <v>1058</v>
      </c>
      <c r="B227" s="789">
        <v>8.0000000000000002E-3</v>
      </c>
      <c r="C227" s="1191" t="s">
        <v>1059</v>
      </c>
      <c r="D227" s="1192"/>
      <c r="E227" s="1192"/>
      <c r="F227" s="1192"/>
      <c r="G227" s="1192"/>
      <c r="H227" s="1192"/>
      <c r="I227" s="1192"/>
      <c r="J227" s="1192"/>
      <c r="K227" s="1192"/>
      <c r="L227" s="1192"/>
      <c r="M227" s="1192"/>
      <c r="N227" s="1193"/>
    </row>
    <row r="228" spans="1:14" ht="32.6" x14ac:dyDescent="0.4">
      <c r="A228" s="787" t="s">
        <v>1060</v>
      </c>
      <c r="B228" s="789">
        <v>0.1208</v>
      </c>
      <c r="C228" s="1194"/>
      <c r="D228" s="1195"/>
      <c r="E228" s="1195"/>
      <c r="F228" s="1195"/>
      <c r="G228" s="1195"/>
      <c r="H228" s="1195"/>
      <c r="I228" s="1195"/>
      <c r="J228" s="1195"/>
      <c r="K228" s="1195"/>
      <c r="L228" s="1195"/>
      <c r="M228" s="1195"/>
      <c r="N228" s="1196"/>
    </row>
    <row r="229" spans="1:14" ht="32.6" x14ac:dyDescent="0.4">
      <c r="A229" s="787" t="s">
        <v>1061</v>
      </c>
      <c r="B229" s="789">
        <v>7.4999999999999997E-3</v>
      </c>
      <c r="C229" s="1197"/>
      <c r="D229" s="1198"/>
      <c r="E229" s="1198"/>
      <c r="F229" s="1198"/>
      <c r="G229" s="1198"/>
      <c r="H229" s="1198"/>
      <c r="I229" s="1198"/>
      <c r="J229" s="1198"/>
      <c r="K229" s="1198"/>
      <c r="L229" s="1198"/>
      <c r="M229" s="1198"/>
      <c r="N229" s="1199"/>
    </row>
    <row r="230" spans="1:14" ht="32.6" x14ac:dyDescent="0.4">
      <c r="A230" s="787" t="s">
        <v>1062</v>
      </c>
      <c r="B230" s="790">
        <v>0.28000000000000003</v>
      </c>
      <c r="C230" s="1185" t="s">
        <v>1063</v>
      </c>
      <c r="D230" s="1186"/>
      <c r="E230" s="1186"/>
      <c r="F230" s="1186"/>
      <c r="G230" s="1186"/>
      <c r="H230" s="1186"/>
      <c r="I230" s="1186"/>
      <c r="J230" s="1186"/>
      <c r="K230" s="1186"/>
      <c r="L230" s="1186"/>
      <c r="M230" s="1186"/>
      <c r="N230" s="1187"/>
    </row>
    <row r="231" spans="1:14" ht="30.45" thickBot="1" x14ac:dyDescent="0.45">
      <c r="A231" s="791" t="s">
        <v>1064</v>
      </c>
      <c r="B231" s="792">
        <v>0.05</v>
      </c>
      <c r="C231" s="1176" t="s">
        <v>1065</v>
      </c>
      <c r="D231" s="1177"/>
      <c r="E231" s="1177"/>
      <c r="F231" s="1177"/>
      <c r="G231" s="1177"/>
      <c r="H231" s="1177"/>
      <c r="I231" s="1177"/>
      <c r="J231" s="1177"/>
      <c r="K231" s="1177"/>
      <c r="L231" s="1177"/>
      <c r="M231" s="1177"/>
      <c r="N231" s="1178"/>
    </row>
  </sheetData>
  <sheetProtection algorithmName="SHA-512" hashValue="Growa+cbFKGz25iDFFP8jB3wbC1HinCxmcQoCf2xhiygRwa0dDXJK9FDGctuIkJQVOwYZLx9+sKjaiDS0U9d6A==" saltValue="6vevftasjwvmdAnYmfo4tg==" spinCount="100000" sheet="1" objects="1" scenarios="1"/>
  <mergeCells count="62">
    <mergeCell ref="A55:D55"/>
    <mergeCell ref="A59:D59"/>
    <mergeCell ref="A68:D68"/>
    <mergeCell ref="A164:D164"/>
    <mergeCell ref="A69:D69"/>
    <mergeCell ref="A88:D88"/>
    <mergeCell ref="A76:A77"/>
    <mergeCell ref="A78:A79"/>
    <mergeCell ref="A80:A81"/>
    <mergeCell ref="A82:A83"/>
    <mergeCell ref="A84:A86"/>
    <mergeCell ref="A43:D43"/>
    <mergeCell ref="A51:D51"/>
    <mergeCell ref="A12:D12"/>
    <mergeCell ref="A22:D22"/>
    <mergeCell ref="A36:D36"/>
    <mergeCell ref="D14:D19"/>
    <mergeCell ref="D24:D26"/>
    <mergeCell ref="D27:D29"/>
    <mergeCell ref="D30:D32"/>
    <mergeCell ref="D40:D42"/>
    <mergeCell ref="D44:D46"/>
    <mergeCell ref="D48:D50"/>
    <mergeCell ref="A39:D39"/>
    <mergeCell ref="A47:D47"/>
    <mergeCell ref="A33:A34"/>
    <mergeCell ref="B33:B34"/>
    <mergeCell ref="D175:D181"/>
    <mergeCell ref="A200:B200"/>
    <mergeCell ref="D52:D54"/>
    <mergeCell ref="D56:D58"/>
    <mergeCell ref="D60:D62"/>
    <mergeCell ref="D70:D86"/>
    <mergeCell ref="D166:D173"/>
    <mergeCell ref="A182:D182"/>
    <mergeCell ref="A174:D174"/>
    <mergeCell ref="D189:D193"/>
    <mergeCell ref="D194:D198"/>
    <mergeCell ref="D91:D163"/>
    <mergeCell ref="A70:A71"/>
    <mergeCell ref="A72:A73"/>
    <mergeCell ref="A74:A75"/>
    <mergeCell ref="A65:D65"/>
    <mergeCell ref="C33:C34"/>
    <mergeCell ref="A1:F1"/>
    <mergeCell ref="A2:F2"/>
    <mergeCell ref="A3:F3"/>
    <mergeCell ref="A4:F4"/>
    <mergeCell ref="A5:F5"/>
    <mergeCell ref="A6:F6"/>
    <mergeCell ref="A10:D10"/>
    <mergeCell ref="A216:N216"/>
    <mergeCell ref="C217:N217"/>
    <mergeCell ref="C218:N218"/>
    <mergeCell ref="C219:N219"/>
    <mergeCell ref="C220:N220"/>
    <mergeCell ref="C231:N231"/>
    <mergeCell ref="C221:N222"/>
    <mergeCell ref="C223:N223"/>
    <mergeCell ref="C224:N226"/>
    <mergeCell ref="C227:N229"/>
    <mergeCell ref="C230:N230"/>
  </mergeCells>
  <hyperlinks>
    <hyperlink ref="A11" r:id="rId1" tooltip="CCI Resources" xr:uid="{00000000-0004-0000-0B00-000000000000}"/>
    <hyperlink ref="D194:D198" r:id="rId2" tooltip="EMFAC Database" display="https://www.arb.ca.gov/emfac/2014/" xr:uid="{00000000-0004-0000-0B00-000001000000}"/>
    <hyperlink ref="D24:D26" r:id="rId3" display="LCFS Pathway for the Production of Biomethane from High Solids Anaerobic Digestion of Organic (Food and Green) Waste" xr:uid="{00000000-0004-0000-0B00-000002000000}"/>
    <hyperlink ref="D27:D29" r:id="rId4" display="LCFS Pathway for the Production of Biomethane from High Solids Anaerobic Digestion of Organic (Food and Green) Waste" xr:uid="{00000000-0004-0000-0B00-000003000000}"/>
    <hyperlink ref="D30:D32" r:id="rId5" display="LCFS Pathway for the Production of Biomethane from High Solids Anaerobic Digestion of Organic (Food and Green) Waste" xr:uid="{00000000-0004-0000-0B00-000004000000}"/>
    <hyperlink ref="D38" r:id="rId6" display="Draft Method for Estimating Greenhouse Gas Emission Reductions from Diversion of Organic Waste from Landfills to Compost Facilities" xr:uid="{00000000-0004-0000-0B00-000005000000}"/>
    <hyperlink ref="D14:D19" r:id="rId7" tooltip="Compost Emission Reduction Factor Methodology" display="https://www.arb.ca.gov/cc/waste/cerffinal.pdf" xr:uid="{00000000-0004-0000-0B00-000006000000}"/>
    <hyperlink ref="D34" r:id="rId8" tooltip="Method for Estimating Greenhouse Gas Emission Reductions from Diversion of Organic Waste from Landfills to Compost Facilities" display="https://www.arb.ca.gov/cc/waste/cerffinal.pdf" xr:uid="{00000000-0004-0000-0B00-000007000000}"/>
    <hyperlink ref="D33" r:id="rId9" tooltip="LCFS Pathway for the Production of Biomethane from High Solids Anaerobic Digestion of Organic (Food and Green) Waste" display="https://www.arb.ca.gov/fuels/lcfs/121514hsad.pdf" xr:uid="{00000000-0004-0000-0B00-000008000000}"/>
    <hyperlink ref="D40:D42" r:id="rId10" display="LCFS Pathway for the Production of Biomethane from the Mesophilic Anaerobic Digestion of Wastewater Sludge at Publicly-Owned Treatment Works" xr:uid="{00000000-0004-0000-0B00-000009000000}"/>
    <hyperlink ref="D44:D46" r:id="rId11" display="LCFS Pathway for the Production of Biomethane from the Mesophilic Anaerobic Digestion of Wastewater Sludge at Publicly-Owned Treatment Works" xr:uid="{00000000-0004-0000-0B00-00000A000000}"/>
    <hyperlink ref="D48:D50" r:id="rId12" display="LCFS Pathway for the Production of Biomethane from the Mesophilic Anaerobic Digestion of Wastewater Sludge at Publicly-Owned Treatment Works" xr:uid="{00000000-0004-0000-0B00-00000B000000}"/>
    <hyperlink ref="D52:D54" r:id="rId13" display="LCFS Pathway for the Production of Biomethane from the Mesophilic Anaerobic Digestion of Wastewater Sludge at Publicly-Owned Treatment Works" xr:uid="{00000000-0004-0000-0B00-00000C000000}"/>
    <hyperlink ref="D56:D58" r:id="rId14" display="LCFS Pathway for the Production of Biomethane from the Mesophilic Anaerobic Digestion of Wastewater Sludge at Publicly-Owned Treatment Works" xr:uid="{00000000-0004-0000-0B00-00000D000000}"/>
    <hyperlink ref="D60:D62" r:id="rId15" display="LCFS Pathway for the Production of Biomethane from the Mesophilic Anaerobic Digestion of Wastewater Sludge at Publicly-Owned Treatment Works" xr:uid="{00000000-0004-0000-0B00-00000E000000}"/>
    <hyperlink ref="D89" r:id="rId16" xr:uid="{00000000-0004-0000-0B00-00000F000000}"/>
    <hyperlink ref="D90" r:id="rId17" xr:uid="{00000000-0004-0000-0B00-000010000000}"/>
    <hyperlink ref="D91:D163" r:id="rId18" display="CARB Refrigerant Management Program" xr:uid="{00000000-0004-0000-0B00-000011000000}"/>
    <hyperlink ref="D184" r:id="rId19" xr:uid="{00000000-0004-0000-0B00-000012000000}"/>
    <hyperlink ref="D186" r:id="rId20" tooltip="Low Carbon Fuel Standard " xr:uid="{00000000-0004-0000-0B00-000013000000}"/>
    <hyperlink ref="D166:D173" r:id="rId21" display="CARB's California’s High Global Warming Potential Gases Emission Inventory Emission Inventory Methodology and Technical Support Document (2016)" xr:uid="{00000000-0004-0000-0B00-000014000000}"/>
    <hyperlink ref="D175:D181" r:id="rId22" display="CARB's California’s High Global Warming Potential Gases Emission Inventory Emission Inventory Methodology and Technical Support Document (2016)" xr:uid="{00000000-0004-0000-0B00-000015000000}"/>
    <hyperlink ref="D70:D86" r:id="rId23" display="10 CFR 431.66 - Energy conservation standards and their effective dates" xr:uid="{00000000-0004-0000-0B00-000016000000}"/>
    <hyperlink ref="D67" r:id="rId24" xr:uid="{00000000-0004-0000-0B00-000017000000}"/>
    <hyperlink ref="D87" r:id="rId25" xr:uid="{00000000-0004-0000-0B00-000018000000}"/>
  </hyperlinks>
  <pageMargins left="0.7" right="0.7" top="0.75" bottom="0.75" header="0.3" footer="0.3"/>
  <pageSetup scale="17" orientation="portrait" r:id="rId26"/>
  <headerFooter>
    <oddFooter>&amp;LDRAFT January XX, 2019&amp;CPage &amp;P of &amp;N&amp;REmission Reduction Factors Worksheet</oddFooter>
  </headerFooter>
  <drawing r:id="rId2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159"/>
  <sheetViews>
    <sheetView showGridLines="0" zoomScaleNormal="100" workbookViewId="0">
      <selection activeCell="A224" sqref="A224"/>
    </sheetView>
  </sheetViews>
  <sheetFormatPr defaultRowHeight="14.6" x14ac:dyDescent="0.4"/>
  <cols>
    <col min="1" max="1" width="46" customWidth="1"/>
    <col min="2" max="2" width="25.69140625" customWidth="1"/>
    <col min="3" max="3" width="31" customWidth="1"/>
    <col min="4" max="4" width="75.84375" customWidth="1"/>
  </cols>
  <sheetData>
    <row r="1" spans="1:4" ht="20.149999999999999" x14ac:dyDescent="0.4">
      <c r="C1" s="592" t="s">
        <v>411</v>
      </c>
    </row>
    <row r="2" spans="1:4" x14ac:dyDescent="0.4">
      <c r="C2" s="593"/>
    </row>
    <row r="3" spans="1:4" ht="20.149999999999999" x14ac:dyDescent="0.4">
      <c r="C3" s="592" t="s">
        <v>412</v>
      </c>
    </row>
    <row r="4" spans="1:4" ht="20.149999999999999" x14ac:dyDescent="0.4">
      <c r="C4" s="594" t="s">
        <v>447</v>
      </c>
    </row>
    <row r="5" spans="1:4" x14ac:dyDescent="0.4">
      <c r="C5" s="593"/>
    </row>
    <row r="6" spans="1:4" ht="20.149999999999999" x14ac:dyDescent="0.4">
      <c r="C6" s="592" t="s">
        <v>413</v>
      </c>
    </row>
    <row r="7" spans="1:4" ht="18.45" x14ac:dyDescent="0.5">
      <c r="C7" s="2"/>
    </row>
    <row r="10" spans="1:4" ht="18.45" x14ac:dyDescent="0.5">
      <c r="A10" s="1" t="s">
        <v>37</v>
      </c>
    </row>
    <row r="11" spans="1:4" s="6" customFormat="1" x14ac:dyDescent="0.4">
      <c r="A11" s="1302" t="s">
        <v>75</v>
      </c>
      <c r="B11" s="1302"/>
      <c r="C11" s="1302"/>
      <c r="D11" s="1302"/>
    </row>
    <row r="12" spans="1:4" s="6" customFormat="1" ht="15" thickBot="1" x14ac:dyDescent="0.45">
      <c r="A12" s="46" t="s">
        <v>1011</v>
      </c>
      <c r="B12" s="102"/>
      <c r="C12" s="102"/>
      <c r="D12" s="102"/>
    </row>
    <row r="13" spans="1:4" ht="18" customHeight="1" x14ac:dyDescent="0.4">
      <c r="A13" s="1246" t="s">
        <v>247</v>
      </c>
      <c r="B13" s="1247"/>
      <c r="C13" s="1247"/>
      <c r="D13" s="1248"/>
    </row>
    <row r="14" spans="1:4" ht="18" customHeight="1" thickBot="1" x14ac:dyDescent="0.45">
      <c r="A14" s="180" t="s">
        <v>19</v>
      </c>
      <c r="B14" s="181" t="s">
        <v>15</v>
      </c>
      <c r="C14" s="182" t="s">
        <v>13</v>
      </c>
      <c r="D14" s="183" t="s">
        <v>125</v>
      </c>
    </row>
    <row r="15" spans="1:4" x14ac:dyDescent="0.4">
      <c r="A15" s="187" t="s">
        <v>240</v>
      </c>
      <c r="B15" s="188">
        <v>4.9000000000000002E-2</v>
      </c>
      <c r="C15" s="653" t="s">
        <v>239</v>
      </c>
      <c r="D15" s="1289" t="s">
        <v>1007</v>
      </c>
    </row>
    <row r="16" spans="1:4" x14ac:dyDescent="0.4">
      <c r="A16" s="11" t="s">
        <v>241</v>
      </c>
      <c r="B16" s="143">
        <v>1.7999999999999999E-2</v>
      </c>
      <c r="C16" s="654" t="s">
        <v>239</v>
      </c>
      <c r="D16" s="1290"/>
    </row>
    <row r="17" spans="1:4" ht="29.6" thickBot="1" x14ac:dyDescent="0.45">
      <c r="A17" s="24" t="s">
        <v>242</v>
      </c>
      <c r="B17" s="21">
        <v>7.0000000000000001E-3</v>
      </c>
      <c r="C17" s="756" t="s">
        <v>239</v>
      </c>
      <c r="D17" s="1290"/>
    </row>
    <row r="18" spans="1:4" ht="30" customHeight="1" x14ac:dyDescent="0.4">
      <c r="A18" s="184" t="s">
        <v>243</v>
      </c>
      <c r="B18" s="185">
        <v>9.1999999999999998E-2</v>
      </c>
      <c r="C18" s="757" t="s">
        <v>246</v>
      </c>
      <c r="D18" s="1290" t="s">
        <v>1008</v>
      </c>
    </row>
    <row r="19" spans="1:4" x14ac:dyDescent="0.4">
      <c r="A19" s="11" t="s">
        <v>244</v>
      </c>
      <c r="B19" s="22">
        <v>3.3000000000000002E-2</v>
      </c>
      <c r="C19" s="656" t="s">
        <v>246</v>
      </c>
      <c r="D19" s="1290"/>
    </row>
    <row r="20" spans="1:4" ht="15" thickBot="1" x14ac:dyDescent="0.45">
      <c r="A20" s="24" t="s">
        <v>245</v>
      </c>
      <c r="B20" s="21">
        <v>1.4E-2</v>
      </c>
      <c r="C20" s="664" t="s">
        <v>246</v>
      </c>
      <c r="D20" s="1291"/>
    </row>
    <row r="21" spans="1:4" x14ac:dyDescent="0.4">
      <c r="A21" s="26"/>
      <c r="B21" s="26"/>
      <c r="C21" s="26"/>
      <c r="D21" s="26"/>
    </row>
    <row r="22" spans="1:4" ht="15" thickBot="1" x14ac:dyDescent="0.45">
      <c r="A22" s="26"/>
      <c r="B22" s="26"/>
      <c r="C22" s="26"/>
      <c r="D22" s="26"/>
    </row>
    <row r="23" spans="1:4" ht="18" customHeight="1" x14ac:dyDescent="0.4">
      <c r="A23" s="1249" t="s">
        <v>248</v>
      </c>
      <c r="B23" s="1250"/>
      <c r="C23" s="1250"/>
      <c r="D23" s="1251"/>
    </row>
    <row r="24" spans="1:4" ht="18" customHeight="1" thickBot="1" x14ac:dyDescent="0.45">
      <c r="A24" s="7" t="s">
        <v>10</v>
      </c>
      <c r="B24" s="31" t="s">
        <v>15</v>
      </c>
      <c r="C24" s="32" t="s">
        <v>13</v>
      </c>
      <c r="D24" s="467" t="s">
        <v>125</v>
      </c>
    </row>
    <row r="25" spans="1:4" ht="33" customHeight="1" x14ac:dyDescent="0.4">
      <c r="A25" s="13" t="s">
        <v>249</v>
      </c>
      <c r="B25" s="144">
        <v>2.0895913504246083E-5</v>
      </c>
      <c r="C25" s="656" t="s">
        <v>251</v>
      </c>
      <c r="D25" s="1307" t="s">
        <v>960</v>
      </c>
    </row>
    <row r="26" spans="1:4" ht="33" customHeight="1" x14ac:dyDescent="0.4">
      <c r="A26" s="13" t="s">
        <v>250</v>
      </c>
      <c r="B26" s="144">
        <v>1.3126506282397054E-4</v>
      </c>
      <c r="C26" s="656" t="s">
        <v>251</v>
      </c>
      <c r="D26" s="1308"/>
    </row>
    <row r="27" spans="1:4" ht="33" customHeight="1" thickBot="1" x14ac:dyDescent="0.45">
      <c r="A27" s="13" t="s">
        <v>252</v>
      </c>
      <c r="B27" s="144">
        <v>3.2876775108031959E-5</v>
      </c>
      <c r="C27" s="656" t="s">
        <v>251</v>
      </c>
      <c r="D27" s="766" t="s">
        <v>961</v>
      </c>
    </row>
    <row r="28" spans="1:4" ht="15" thickBot="1" x14ac:dyDescent="0.45">
      <c r="A28" s="68"/>
      <c r="B28" s="69"/>
      <c r="C28" s="70"/>
      <c r="D28" s="25"/>
    </row>
    <row r="29" spans="1:4" ht="18" customHeight="1" x14ac:dyDescent="0.4">
      <c r="A29" s="1249" t="s">
        <v>396</v>
      </c>
      <c r="B29" s="1250"/>
      <c r="C29" s="1250"/>
      <c r="D29" s="1251"/>
    </row>
    <row r="30" spans="1:4" ht="18" customHeight="1" x14ac:dyDescent="0.4">
      <c r="A30" s="7" t="s">
        <v>10</v>
      </c>
      <c r="B30" s="31" t="s">
        <v>15</v>
      </c>
      <c r="C30" s="32" t="s">
        <v>13</v>
      </c>
      <c r="D30" s="33" t="s">
        <v>125</v>
      </c>
    </row>
    <row r="31" spans="1:4" ht="33" customHeight="1" x14ac:dyDescent="0.4">
      <c r="A31" s="13" t="s">
        <v>386</v>
      </c>
      <c r="B31" s="144">
        <v>8.1999999999999994E-6</v>
      </c>
      <c r="C31" s="19" t="s">
        <v>395</v>
      </c>
      <c r="D31" s="1235" t="s">
        <v>959</v>
      </c>
    </row>
    <row r="32" spans="1:4" ht="33" customHeight="1" x14ac:dyDescent="0.4">
      <c r="A32" s="13" t="s">
        <v>387</v>
      </c>
      <c r="B32" s="144">
        <v>1.2300000000000001E-4</v>
      </c>
      <c r="C32" s="19" t="s">
        <v>395</v>
      </c>
      <c r="D32" s="1236"/>
    </row>
    <row r="33" spans="1:4" ht="33" customHeight="1" x14ac:dyDescent="0.4">
      <c r="A33" s="13" t="s">
        <v>388</v>
      </c>
      <c r="B33" s="144">
        <v>7.5999999999999992E-6</v>
      </c>
      <c r="C33" s="19" t="s">
        <v>395</v>
      </c>
      <c r="D33" s="1306"/>
    </row>
    <row r="34" spans="1:4" ht="33" customHeight="1" thickBot="1" x14ac:dyDescent="0.45">
      <c r="A34" s="469" t="s">
        <v>952</v>
      </c>
      <c r="B34" s="657">
        <v>930</v>
      </c>
      <c r="C34" s="47" t="s">
        <v>953</v>
      </c>
      <c r="D34" s="747" t="s">
        <v>1009</v>
      </c>
    </row>
    <row r="35" spans="1:4" ht="15" thickBot="1" x14ac:dyDescent="0.45">
      <c r="A35" s="68"/>
      <c r="B35" s="69"/>
      <c r="C35" s="70"/>
      <c r="D35" s="25"/>
    </row>
    <row r="36" spans="1:4" ht="18" customHeight="1" x14ac:dyDescent="0.4">
      <c r="A36" s="1249" t="s">
        <v>783</v>
      </c>
      <c r="B36" s="1250"/>
      <c r="C36" s="1250"/>
      <c r="D36" s="1251"/>
    </row>
    <row r="37" spans="1:4" ht="18" customHeight="1" x14ac:dyDescent="0.4">
      <c r="A37" s="7" t="s">
        <v>10</v>
      </c>
      <c r="B37" s="31" t="s">
        <v>15</v>
      </c>
      <c r="C37" s="32" t="s">
        <v>13</v>
      </c>
      <c r="D37" s="33" t="s">
        <v>125</v>
      </c>
    </row>
    <row r="38" spans="1:4" ht="33" customHeight="1" x14ac:dyDescent="0.4">
      <c r="A38" s="13" t="s">
        <v>393</v>
      </c>
      <c r="B38" s="627">
        <v>2.1700000000000001E-2</v>
      </c>
      <c r="C38" s="19" t="s">
        <v>784</v>
      </c>
      <c r="D38" s="1255" t="s">
        <v>785</v>
      </c>
    </row>
    <row r="39" spans="1:4" ht="33" customHeight="1" x14ac:dyDescent="0.4">
      <c r="A39" s="13" t="s">
        <v>394</v>
      </c>
      <c r="B39" s="627">
        <v>0.1653</v>
      </c>
      <c r="C39" s="19" t="s">
        <v>784</v>
      </c>
      <c r="D39" s="1256"/>
    </row>
    <row r="40" spans="1:4" ht="33" customHeight="1" x14ac:dyDescent="0.4">
      <c r="A40" s="13" t="s">
        <v>392</v>
      </c>
      <c r="B40" s="627">
        <v>5.7999999999999996E-3</v>
      </c>
      <c r="C40" s="19" t="s">
        <v>784</v>
      </c>
      <c r="D40" s="1256"/>
    </row>
    <row r="41" spans="1:4" ht="33" customHeight="1" x14ac:dyDescent="0.4">
      <c r="A41" s="111" t="s">
        <v>391</v>
      </c>
      <c r="B41" s="627">
        <v>6.3E-3</v>
      </c>
      <c r="C41" s="19" t="s">
        <v>784</v>
      </c>
      <c r="D41" s="1292"/>
    </row>
    <row r="42" spans="1:4" ht="15" thickBot="1" x14ac:dyDescent="0.45">
      <c r="A42" s="68"/>
      <c r="B42" s="69"/>
      <c r="C42" s="70"/>
      <c r="D42" s="25"/>
    </row>
    <row r="43" spans="1:4" ht="15" customHeight="1" x14ac:dyDescent="0.4">
      <c r="A43" s="1303" t="s">
        <v>380</v>
      </c>
      <c r="B43" s="1304"/>
      <c r="C43" s="1304"/>
      <c r="D43" s="1305"/>
    </row>
    <row r="44" spans="1:4" x14ac:dyDescent="0.4">
      <c r="A44" s="215" t="s">
        <v>370</v>
      </c>
      <c r="B44" s="216" t="s">
        <v>371</v>
      </c>
      <c r="C44" s="217" t="s">
        <v>13</v>
      </c>
      <c r="D44" s="218" t="s">
        <v>125</v>
      </c>
    </row>
    <row r="45" spans="1:4" ht="45" customHeight="1" x14ac:dyDescent="0.4">
      <c r="A45" s="44" t="s">
        <v>178</v>
      </c>
      <c r="B45" s="103">
        <f>'Standalone AD Co-ben'!E5</f>
        <v>2557.2647578947367</v>
      </c>
      <c r="C45" s="5" t="s">
        <v>374</v>
      </c>
      <c r="D45" s="1220" t="s">
        <v>375</v>
      </c>
    </row>
    <row r="46" spans="1:4" ht="45" customHeight="1" x14ac:dyDescent="0.4">
      <c r="A46" s="44" t="s">
        <v>177</v>
      </c>
      <c r="B46" s="60">
        <f>'Standalone AD Co-ben'!E6</f>
        <v>216.29435167619764</v>
      </c>
      <c r="C46" s="5" t="s">
        <v>372</v>
      </c>
      <c r="D46" s="1216"/>
    </row>
    <row r="47" spans="1:4" ht="45" customHeight="1" x14ac:dyDescent="0.4">
      <c r="A47" s="44" t="s">
        <v>385</v>
      </c>
      <c r="B47" s="60">
        <f>'Standalone AD Co-ben'!E7</f>
        <v>18.658843753664719</v>
      </c>
      <c r="C47" s="5" t="s">
        <v>373</v>
      </c>
      <c r="D47" s="1221"/>
    </row>
    <row r="48" spans="1:4" x14ac:dyDescent="0.4">
      <c r="A48" s="68"/>
      <c r="B48" s="69"/>
      <c r="C48" s="70"/>
      <c r="D48" s="25"/>
    </row>
    <row r="49" spans="1:4" ht="15" thickBot="1" x14ac:dyDescent="0.45">
      <c r="A49" s="68"/>
      <c r="B49" s="69"/>
      <c r="C49" s="70"/>
      <c r="D49" s="25"/>
    </row>
    <row r="50" spans="1:4" ht="15" customHeight="1" x14ac:dyDescent="0.4">
      <c r="A50" s="1303" t="s">
        <v>379</v>
      </c>
      <c r="B50" s="1304"/>
      <c r="C50" s="1304"/>
      <c r="D50" s="1305"/>
    </row>
    <row r="51" spans="1:4" x14ac:dyDescent="0.4">
      <c r="A51" s="215" t="s">
        <v>370</v>
      </c>
      <c r="B51" s="216" t="s">
        <v>371</v>
      </c>
      <c r="C51" s="217" t="s">
        <v>13</v>
      </c>
      <c r="D51" s="218" t="s">
        <v>125</v>
      </c>
    </row>
    <row r="52" spans="1:4" ht="45" customHeight="1" x14ac:dyDescent="0.4">
      <c r="A52" s="44" t="s">
        <v>381</v>
      </c>
      <c r="B52" s="103">
        <f>'Standalone AD Co-ben'!E11</f>
        <v>51.867673684210523</v>
      </c>
      <c r="C52" s="5" t="s">
        <v>374</v>
      </c>
      <c r="D52" s="1220" t="s">
        <v>375</v>
      </c>
    </row>
    <row r="53" spans="1:4" ht="45" customHeight="1" x14ac:dyDescent="0.4">
      <c r="A53" s="44" t="s">
        <v>382</v>
      </c>
      <c r="B53" s="60">
        <f>'Standalone AD Co-ben'!E12</f>
        <v>68.336684210526315</v>
      </c>
      <c r="C53" s="5" t="s">
        <v>372</v>
      </c>
      <c r="D53" s="1216"/>
    </row>
    <row r="54" spans="1:4" ht="45" customHeight="1" x14ac:dyDescent="0.4">
      <c r="A54" s="44" t="s">
        <v>383</v>
      </c>
      <c r="B54" s="84">
        <f>'Standalone AD Co-ben'!E10</f>
        <v>0.1832</v>
      </c>
      <c r="C54" s="5" t="s">
        <v>384</v>
      </c>
      <c r="D54" s="1221"/>
    </row>
    <row r="55" spans="1:4" x14ac:dyDescent="0.4">
      <c r="A55" s="68"/>
      <c r="B55" s="69"/>
      <c r="C55" s="70"/>
      <c r="D55" s="25"/>
    </row>
    <row r="56" spans="1:4" x14ac:dyDescent="0.4">
      <c r="A56" s="68"/>
      <c r="B56" s="69"/>
      <c r="C56" s="70"/>
      <c r="D56" s="25"/>
    </row>
    <row r="57" spans="1:4" ht="15" thickBot="1" x14ac:dyDescent="0.45">
      <c r="A57" s="25"/>
      <c r="B57" s="34"/>
      <c r="C57" s="35"/>
      <c r="D57" s="25"/>
    </row>
    <row r="58" spans="1:4" ht="18" customHeight="1" x14ac:dyDescent="0.4">
      <c r="A58" s="1296" t="s">
        <v>376</v>
      </c>
      <c r="B58" s="1297"/>
      <c r="C58" s="1297"/>
      <c r="D58" s="1298"/>
    </row>
    <row r="59" spans="1:4" ht="18" customHeight="1" x14ac:dyDescent="0.4">
      <c r="A59" s="51" t="s">
        <v>14</v>
      </c>
      <c r="B59" s="484" t="s">
        <v>12</v>
      </c>
      <c r="C59" s="52" t="s">
        <v>13</v>
      </c>
      <c r="D59" s="53" t="s">
        <v>125</v>
      </c>
    </row>
    <row r="60" spans="1:4" ht="45" customHeight="1" x14ac:dyDescent="0.4">
      <c r="A60" s="44" t="s">
        <v>178</v>
      </c>
      <c r="B60" s="103">
        <f>'Co-Digestion Co-ben'!J24</f>
        <v>2765.0897350716959</v>
      </c>
      <c r="C60" s="485" t="s">
        <v>374</v>
      </c>
      <c r="D60" s="1220" t="s">
        <v>377</v>
      </c>
    </row>
    <row r="61" spans="1:4" ht="45" customHeight="1" x14ac:dyDescent="0.4">
      <c r="A61" s="44" t="s">
        <v>177</v>
      </c>
      <c r="B61" s="103">
        <f>'Co-Digestion Co-ben'!J25</f>
        <v>233.87226126175699</v>
      </c>
      <c r="C61" s="485" t="s">
        <v>372</v>
      </c>
      <c r="D61" s="1216"/>
    </row>
    <row r="62" spans="1:4" ht="45.75" customHeight="1" thickBot="1" x14ac:dyDescent="0.45">
      <c r="A62" s="589" t="s">
        <v>176</v>
      </c>
      <c r="B62" s="590">
        <f>'Co-Digestion Co-ben'!J26</f>
        <v>20.175219312856406</v>
      </c>
      <c r="C62" s="591" t="s">
        <v>373</v>
      </c>
      <c r="D62" s="1217"/>
    </row>
    <row r="63" spans="1:4" ht="18" customHeight="1" x14ac:dyDescent="0.4">
      <c r="A63" s="1296" t="s">
        <v>179</v>
      </c>
      <c r="B63" s="1297"/>
      <c r="C63" s="1297"/>
      <c r="D63" s="1298"/>
    </row>
    <row r="64" spans="1:4" ht="45" customHeight="1" x14ac:dyDescent="0.4">
      <c r="A64" s="44" t="s">
        <v>178</v>
      </c>
      <c r="B64" s="103">
        <f>'Co-Digestion Co-ben'!P24</f>
        <v>2214.0860258134776</v>
      </c>
      <c r="C64" s="485" t="s">
        <v>374</v>
      </c>
      <c r="D64" s="1220" t="s">
        <v>377</v>
      </c>
    </row>
    <row r="65" spans="1:4" ht="29.15" x14ac:dyDescent="0.4">
      <c r="A65" s="44" t="s">
        <v>177</v>
      </c>
      <c r="B65" s="103">
        <f>'Co-Digestion Co-ben'!P25</f>
        <v>187.26817394648805</v>
      </c>
      <c r="C65" s="485" t="s">
        <v>372</v>
      </c>
      <c r="D65" s="1216"/>
    </row>
    <row r="66" spans="1:4" ht="29.6" thickBot="1" x14ac:dyDescent="0.45">
      <c r="A66" s="435" t="s">
        <v>176</v>
      </c>
      <c r="B66" s="587">
        <f>'Co-Digestion Co-ben'!P26</f>
        <v>16.154872148176167</v>
      </c>
      <c r="C66" s="588" t="s">
        <v>373</v>
      </c>
      <c r="D66" s="1217"/>
    </row>
    <row r="67" spans="1:4" x14ac:dyDescent="0.4">
      <c r="A67" s="35"/>
      <c r="B67" s="35"/>
      <c r="C67" s="35"/>
      <c r="D67" s="26"/>
    </row>
    <row r="68" spans="1:4" ht="15" thickBot="1" x14ac:dyDescent="0.45">
      <c r="A68" s="26"/>
      <c r="B68" s="26"/>
      <c r="C68" s="26"/>
      <c r="D68" s="26"/>
    </row>
    <row r="69" spans="1:4" ht="18" customHeight="1" x14ac:dyDescent="0.4">
      <c r="A69" s="1240" t="s">
        <v>289</v>
      </c>
      <c r="B69" s="1241"/>
      <c r="C69" s="1241"/>
      <c r="D69" s="1242"/>
    </row>
    <row r="70" spans="1:4" ht="18" customHeight="1" x14ac:dyDescent="0.4">
      <c r="A70" s="8"/>
      <c r="B70" s="36" t="s">
        <v>15</v>
      </c>
      <c r="C70" s="37" t="s">
        <v>13</v>
      </c>
      <c r="D70" s="38" t="s">
        <v>125</v>
      </c>
    </row>
    <row r="71" spans="1:4" ht="18" customHeight="1" x14ac:dyDescent="0.4">
      <c r="A71" s="10" t="s">
        <v>273</v>
      </c>
      <c r="B71" s="143">
        <v>1.647994835181528E-2</v>
      </c>
      <c r="C71" s="19" t="s">
        <v>277</v>
      </c>
      <c r="D71" s="1255" t="s">
        <v>124</v>
      </c>
    </row>
    <row r="72" spans="1:4" ht="18" customHeight="1" x14ac:dyDescent="0.4">
      <c r="A72" s="10" t="s">
        <v>274</v>
      </c>
      <c r="B72" s="143">
        <v>0.29889488075345588</v>
      </c>
      <c r="C72" s="19" t="s">
        <v>277</v>
      </c>
      <c r="D72" s="1256"/>
    </row>
    <row r="73" spans="1:4" ht="18" customHeight="1" x14ac:dyDescent="0.4">
      <c r="A73" s="10" t="s">
        <v>275</v>
      </c>
      <c r="B73" s="143">
        <v>8.521950478505241E-3</v>
      </c>
      <c r="C73" s="19" t="s">
        <v>277</v>
      </c>
      <c r="D73" s="1256"/>
    </row>
    <row r="74" spans="1:4" ht="18" customHeight="1" thickBot="1" x14ac:dyDescent="0.45">
      <c r="A74" s="178" t="s">
        <v>276</v>
      </c>
      <c r="B74" s="179">
        <v>1.1487923439161476E-3</v>
      </c>
      <c r="C74" s="47" t="s">
        <v>277</v>
      </c>
      <c r="D74" s="1257"/>
    </row>
    <row r="75" spans="1:4" ht="18" customHeight="1" thickBot="1" x14ac:dyDescent="0.45">
      <c r="A75" s="35"/>
      <c r="B75" s="176"/>
      <c r="C75" s="177"/>
      <c r="D75" s="25"/>
    </row>
    <row r="76" spans="1:4" ht="18" hidden="1" customHeight="1" x14ac:dyDescent="0.4">
      <c r="A76" s="1299" t="s">
        <v>280</v>
      </c>
      <c r="B76" s="1300"/>
      <c r="C76" s="1300"/>
      <c r="D76" s="1301"/>
    </row>
    <row r="77" spans="1:4" ht="18" hidden="1" customHeight="1" x14ac:dyDescent="0.4">
      <c r="A77" s="1263" t="s">
        <v>281</v>
      </c>
      <c r="B77" s="1264"/>
      <c r="C77" s="1264"/>
      <c r="D77" s="1265"/>
    </row>
    <row r="78" spans="1:4" ht="18" hidden="1" customHeight="1" x14ac:dyDescent="0.4">
      <c r="A78" s="78" t="s">
        <v>282</v>
      </c>
      <c r="B78" s="167">
        <v>0</v>
      </c>
      <c r="C78" s="41" t="s">
        <v>287</v>
      </c>
      <c r="D78" s="1293" t="s">
        <v>288</v>
      </c>
    </row>
    <row r="79" spans="1:4" ht="18" hidden="1" customHeight="1" x14ac:dyDescent="0.4">
      <c r="A79" s="79" t="s">
        <v>283</v>
      </c>
      <c r="B79" s="167">
        <v>0</v>
      </c>
      <c r="C79" s="41" t="s">
        <v>287</v>
      </c>
      <c r="D79" s="1294"/>
    </row>
    <row r="80" spans="1:4" ht="18" hidden="1" customHeight="1" x14ac:dyDescent="0.4">
      <c r="A80" s="490" t="s">
        <v>300</v>
      </c>
      <c r="B80" s="491">
        <v>0</v>
      </c>
      <c r="C80" s="492" t="s">
        <v>287</v>
      </c>
      <c r="D80" s="1295"/>
    </row>
    <row r="81" spans="1:4" ht="18" hidden="1" customHeight="1" x14ac:dyDescent="0.4">
      <c r="A81" s="80" t="s">
        <v>301</v>
      </c>
      <c r="B81" s="168">
        <v>0</v>
      </c>
      <c r="C81" s="57" t="s">
        <v>287</v>
      </c>
      <c r="D81" s="58" t="s">
        <v>290</v>
      </c>
    </row>
    <row r="82" spans="1:4" ht="18" hidden="1" customHeight="1" x14ac:dyDescent="0.4">
      <c r="A82" s="1263" t="s">
        <v>284</v>
      </c>
      <c r="B82" s="1264"/>
      <c r="C82" s="1264"/>
      <c r="D82" s="1265"/>
    </row>
    <row r="83" spans="1:4" ht="18" hidden="1" customHeight="1" x14ac:dyDescent="0.4">
      <c r="A83" s="625" t="s">
        <v>779</v>
      </c>
      <c r="B83" s="488">
        <v>0.75</v>
      </c>
      <c r="C83" s="489" t="s">
        <v>109</v>
      </c>
      <c r="D83" s="1293" t="s">
        <v>288</v>
      </c>
    </row>
    <row r="84" spans="1:4" ht="18" hidden="1" customHeight="1" x14ac:dyDescent="0.4">
      <c r="A84" s="626" t="s">
        <v>285</v>
      </c>
      <c r="B84" s="84">
        <f>B78*B83</f>
        <v>0</v>
      </c>
      <c r="C84" s="67" t="s">
        <v>287</v>
      </c>
      <c r="D84" s="1294"/>
    </row>
    <row r="85" spans="1:4" ht="18" hidden="1" customHeight="1" x14ac:dyDescent="0.4">
      <c r="A85" s="79" t="s">
        <v>286</v>
      </c>
      <c r="B85" s="84">
        <f>B79*B83</f>
        <v>0</v>
      </c>
      <c r="C85" s="67" t="s">
        <v>287</v>
      </c>
      <c r="D85" s="1294"/>
    </row>
    <row r="86" spans="1:4" ht="18" hidden="1" customHeight="1" x14ac:dyDescent="0.4">
      <c r="A86" s="490" t="s">
        <v>302</v>
      </c>
      <c r="B86" s="491">
        <v>0</v>
      </c>
      <c r="C86" s="492" t="s">
        <v>287</v>
      </c>
      <c r="D86" s="1295"/>
    </row>
    <row r="87" spans="1:4" ht="18" hidden="1" customHeight="1" thickBot="1" x14ac:dyDescent="0.45">
      <c r="A87" s="172" t="s">
        <v>303</v>
      </c>
      <c r="B87" s="173">
        <v>0</v>
      </c>
      <c r="C87" s="174" t="s">
        <v>287</v>
      </c>
      <c r="D87" s="175" t="s">
        <v>290</v>
      </c>
    </row>
    <row r="88" spans="1:4" ht="18" customHeight="1" thickBot="1" x14ac:dyDescent="0.45">
      <c r="A88" s="1285" t="s">
        <v>309</v>
      </c>
      <c r="B88" s="1286"/>
      <c r="C88" s="1286"/>
      <c r="D88" s="1288"/>
    </row>
    <row r="89" spans="1:4" ht="18" customHeight="1" x14ac:dyDescent="0.4">
      <c r="A89" s="203" t="s">
        <v>307</v>
      </c>
      <c r="B89" s="204">
        <v>0.56000000000000005</v>
      </c>
      <c r="C89" s="54" t="s">
        <v>109</v>
      </c>
      <c r="D89" s="1215" t="s">
        <v>904</v>
      </c>
    </row>
    <row r="90" spans="1:4" ht="29.15" x14ac:dyDescent="0.4">
      <c r="A90" s="200" t="s">
        <v>304</v>
      </c>
      <c r="B90" s="198">
        <v>0.65859999999999996</v>
      </c>
      <c r="C90" s="67" t="s">
        <v>305</v>
      </c>
      <c r="D90" s="1216"/>
    </row>
    <row r="91" spans="1:4" ht="18" customHeight="1" x14ac:dyDescent="0.4">
      <c r="A91" s="200" t="s">
        <v>306</v>
      </c>
      <c r="B91" s="199">
        <v>4.6500000000000004</v>
      </c>
      <c r="C91" s="67" t="s">
        <v>308</v>
      </c>
      <c r="D91" s="1216"/>
    </row>
    <row r="92" spans="1:4" ht="29.15" x14ac:dyDescent="0.4">
      <c r="A92" s="200" t="s">
        <v>310</v>
      </c>
      <c r="B92" s="199">
        <v>0.57999999999999996</v>
      </c>
      <c r="C92" s="67" t="s">
        <v>311</v>
      </c>
      <c r="D92" s="1216"/>
    </row>
    <row r="93" spans="1:4" ht="15" thickBot="1" x14ac:dyDescent="0.45">
      <c r="A93" s="201" t="s">
        <v>312</v>
      </c>
      <c r="B93" s="202">
        <v>10</v>
      </c>
      <c r="C93" s="174" t="s">
        <v>313</v>
      </c>
      <c r="D93" s="1217"/>
    </row>
    <row r="94" spans="1:4" ht="18" customHeight="1" thickBot="1" x14ac:dyDescent="0.45">
      <c r="A94" s="169"/>
      <c r="B94" s="170"/>
      <c r="C94" s="70"/>
      <c r="D94" s="171"/>
    </row>
    <row r="95" spans="1:4" x14ac:dyDescent="0.4">
      <c r="A95" s="1240" t="s">
        <v>11</v>
      </c>
      <c r="B95" s="1241"/>
      <c r="C95" s="1241"/>
      <c r="D95" s="1242"/>
    </row>
    <row r="96" spans="1:4" ht="15" thickBot="1" x14ac:dyDescent="0.45">
      <c r="A96" s="73"/>
      <c r="B96" s="74" t="s">
        <v>12</v>
      </c>
      <c r="C96" s="75" t="s">
        <v>13</v>
      </c>
      <c r="D96" s="76" t="s">
        <v>16</v>
      </c>
    </row>
    <row r="97" spans="1:4" x14ac:dyDescent="0.4">
      <c r="A97" s="468" t="s">
        <v>325</v>
      </c>
      <c r="B97" s="162">
        <v>8.5000000000000006E-3</v>
      </c>
      <c r="C97" s="663" t="s">
        <v>222</v>
      </c>
      <c r="D97" s="1281" t="s">
        <v>962</v>
      </c>
    </row>
    <row r="98" spans="1:4" x14ac:dyDescent="0.4">
      <c r="A98" s="13" t="s">
        <v>326</v>
      </c>
      <c r="B98" s="163">
        <v>5.6500000000000002E-2</v>
      </c>
      <c r="C98" s="656" t="s">
        <v>222</v>
      </c>
      <c r="D98" s="1282"/>
    </row>
    <row r="99" spans="1:4" ht="15" thickBot="1" x14ac:dyDescent="0.45">
      <c r="A99" s="469" t="s">
        <v>327</v>
      </c>
      <c r="B99" s="164">
        <v>3.6299999999999999E-2</v>
      </c>
      <c r="C99" s="664" t="s">
        <v>222</v>
      </c>
      <c r="D99" s="1282"/>
    </row>
    <row r="100" spans="1:4" x14ac:dyDescent="0.4">
      <c r="A100" s="468" t="s">
        <v>328</v>
      </c>
      <c r="B100" s="162">
        <v>6.7999999999999996E-3</v>
      </c>
      <c r="C100" s="663" t="s">
        <v>222</v>
      </c>
      <c r="D100" s="1282"/>
    </row>
    <row r="101" spans="1:4" x14ac:dyDescent="0.4">
      <c r="A101" s="13" t="s">
        <v>329</v>
      </c>
      <c r="B101" s="163">
        <v>4.5199999999999997E-2</v>
      </c>
      <c r="C101" s="656" t="s">
        <v>222</v>
      </c>
      <c r="D101" s="1282"/>
    </row>
    <row r="102" spans="1:4" ht="15" thickBot="1" x14ac:dyDescent="0.45">
      <c r="A102" s="469" t="s">
        <v>330</v>
      </c>
      <c r="B102" s="164">
        <v>1.9599999999999999E-2</v>
      </c>
      <c r="C102" s="664" t="s">
        <v>222</v>
      </c>
      <c r="D102" s="1282"/>
    </row>
    <row r="103" spans="1:4" x14ac:dyDescent="0.4">
      <c r="A103" s="468" t="s">
        <v>331</v>
      </c>
      <c r="B103" s="162">
        <v>4.1000000000000003E-3</v>
      </c>
      <c r="C103" s="663" t="s">
        <v>222</v>
      </c>
      <c r="D103" s="1282"/>
    </row>
    <row r="104" spans="1:4" x14ac:dyDescent="0.4">
      <c r="A104" s="13" t="s">
        <v>332</v>
      </c>
      <c r="B104" s="163">
        <v>2.7099999999999999E-2</v>
      </c>
      <c r="C104" s="656" t="s">
        <v>222</v>
      </c>
      <c r="D104" s="1282"/>
    </row>
    <row r="105" spans="1:4" ht="15" thickBot="1" x14ac:dyDescent="0.45">
      <c r="A105" s="469" t="s">
        <v>333</v>
      </c>
      <c r="B105" s="164">
        <v>1.9099999999999999E-2</v>
      </c>
      <c r="C105" s="664" t="s">
        <v>222</v>
      </c>
      <c r="D105" s="1282"/>
    </row>
    <row r="106" spans="1:4" x14ac:dyDescent="0.4">
      <c r="A106" s="468" t="s">
        <v>334</v>
      </c>
      <c r="B106" s="162">
        <v>0</v>
      </c>
      <c r="C106" s="663" t="s">
        <v>222</v>
      </c>
      <c r="D106" s="1282"/>
    </row>
    <row r="107" spans="1:4" x14ac:dyDescent="0.4">
      <c r="A107" s="13" t="s">
        <v>335</v>
      </c>
      <c r="B107" s="163">
        <v>0</v>
      </c>
      <c r="C107" s="656" t="s">
        <v>222</v>
      </c>
      <c r="D107" s="1282"/>
    </row>
    <row r="108" spans="1:4" ht="15" thickBot="1" x14ac:dyDescent="0.45">
      <c r="A108" s="469" t="s">
        <v>336</v>
      </c>
      <c r="B108" s="164">
        <v>1.84E-2</v>
      </c>
      <c r="C108" s="664" t="s">
        <v>222</v>
      </c>
      <c r="D108" s="1282"/>
    </row>
    <row r="109" spans="1:4" x14ac:dyDescent="0.4">
      <c r="A109" s="468" t="s">
        <v>337</v>
      </c>
      <c r="B109" s="162">
        <v>0</v>
      </c>
      <c r="C109" s="663" t="s">
        <v>222</v>
      </c>
      <c r="D109" s="1282"/>
    </row>
    <row r="110" spans="1:4" x14ac:dyDescent="0.4">
      <c r="A110" s="13" t="s">
        <v>338</v>
      </c>
      <c r="B110" s="163">
        <v>0</v>
      </c>
      <c r="C110" s="656" t="s">
        <v>222</v>
      </c>
      <c r="D110" s="1282"/>
    </row>
    <row r="111" spans="1:4" ht="15" thickBot="1" x14ac:dyDescent="0.45">
      <c r="A111" s="469" t="s">
        <v>339</v>
      </c>
      <c r="B111" s="164">
        <v>1.84E-2</v>
      </c>
      <c r="C111" s="664" t="s">
        <v>222</v>
      </c>
      <c r="D111" s="1282"/>
    </row>
    <row r="112" spans="1:4" ht="16.5" customHeight="1" x14ac:dyDescent="0.4">
      <c r="A112" s="468" t="s">
        <v>340</v>
      </c>
      <c r="B112" s="162">
        <v>3.6799999999999999E-2</v>
      </c>
      <c r="C112" s="663" t="s">
        <v>222</v>
      </c>
      <c r="D112" s="1283" t="s">
        <v>963</v>
      </c>
    </row>
    <row r="113" spans="1:4" x14ac:dyDescent="0.4">
      <c r="A113" s="13" t="s">
        <v>341</v>
      </c>
      <c r="B113" s="163">
        <v>0.85360000000000003</v>
      </c>
      <c r="C113" s="656" t="s">
        <v>222</v>
      </c>
      <c r="D113" s="1283"/>
    </row>
    <row r="114" spans="1:4" x14ac:dyDescent="0.4">
      <c r="A114" s="13" t="s">
        <v>342</v>
      </c>
      <c r="B114" s="163">
        <v>6.1600000000000002E-2</v>
      </c>
      <c r="C114" s="656" t="s">
        <v>222</v>
      </c>
      <c r="D114" s="1283"/>
    </row>
    <row r="115" spans="1:4" ht="15" thickBot="1" x14ac:dyDescent="0.45">
      <c r="A115" s="469" t="s">
        <v>378</v>
      </c>
      <c r="B115" s="164">
        <v>2.8E-3</v>
      </c>
      <c r="C115" s="664" t="s">
        <v>222</v>
      </c>
      <c r="D115" s="1283"/>
    </row>
    <row r="116" spans="1:4" x14ac:dyDescent="0.4">
      <c r="A116" s="468" t="s">
        <v>344</v>
      </c>
      <c r="B116" s="162">
        <v>2.9499999999999998E-2</v>
      </c>
      <c r="C116" s="663" t="s">
        <v>222</v>
      </c>
      <c r="D116" s="1283"/>
    </row>
    <row r="117" spans="1:4" x14ac:dyDescent="0.4">
      <c r="A117" s="13" t="s">
        <v>345</v>
      </c>
      <c r="B117" s="163">
        <v>0.68289999999999995</v>
      </c>
      <c r="C117" s="656" t="s">
        <v>222</v>
      </c>
      <c r="D117" s="1283"/>
    </row>
    <row r="118" spans="1:4" x14ac:dyDescent="0.4">
      <c r="A118" s="13" t="s">
        <v>346</v>
      </c>
      <c r="B118" s="163">
        <v>3.3099999999999997E-2</v>
      </c>
      <c r="C118" s="656" t="s">
        <v>222</v>
      </c>
      <c r="D118" s="1283"/>
    </row>
    <row r="119" spans="1:4" ht="15" thickBot="1" x14ac:dyDescent="0.45">
      <c r="A119" s="469" t="s">
        <v>343</v>
      </c>
      <c r="B119" s="164">
        <v>2.3E-3</v>
      </c>
      <c r="C119" s="664" t="s">
        <v>222</v>
      </c>
      <c r="D119" s="1283"/>
    </row>
    <row r="120" spans="1:4" x14ac:dyDescent="0.4">
      <c r="A120" s="602" t="s">
        <v>348</v>
      </c>
      <c r="B120" s="220">
        <v>0</v>
      </c>
      <c r="C120" s="663" t="s">
        <v>222</v>
      </c>
      <c r="D120" s="1283"/>
    </row>
    <row r="121" spans="1:4" x14ac:dyDescent="0.4">
      <c r="A121" s="13" t="s">
        <v>349</v>
      </c>
      <c r="B121" s="163">
        <v>0</v>
      </c>
      <c r="C121" s="656" t="s">
        <v>222</v>
      </c>
      <c r="D121" s="1283"/>
    </row>
    <row r="122" spans="1:4" x14ac:dyDescent="0.4">
      <c r="A122" s="13" t="s">
        <v>350</v>
      </c>
      <c r="B122" s="163">
        <v>3.09E-2</v>
      </c>
      <c r="C122" s="656" t="s">
        <v>222</v>
      </c>
      <c r="D122" s="1283"/>
    </row>
    <row r="123" spans="1:4" ht="15" thickBot="1" x14ac:dyDescent="0.45">
      <c r="A123" s="601" t="s">
        <v>347</v>
      </c>
      <c r="B123" s="210">
        <v>0</v>
      </c>
      <c r="C123" s="664" t="s">
        <v>222</v>
      </c>
      <c r="D123" s="1283"/>
    </row>
    <row r="124" spans="1:4" x14ac:dyDescent="0.4">
      <c r="A124" s="468" t="s">
        <v>927</v>
      </c>
      <c r="B124" s="162">
        <v>7.6600000000000001E-2</v>
      </c>
      <c r="C124" s="663" t="s">
        <v>222</v>
      </c>
      <c r="D124" s="1283"/>
    </row>
    <row r="125" spans="1:4" x14ac:dyDescent="0.4">
      <c r="A125" s="13" t="s">
        <v>928</v>
      </c>
      <c r="B125" s="165">
        <v>1.4040999999999999</v>
      </c>
      <c r="C125" s="656" t="s">
        <v>222</v>
      </c>
      <c r="D125" s="1283"/>
    </row>
    <row r="126" spans="1:4" ht="29.15" x14ac:dyDescent="0.4">
      <c r="A126" s="13" t="s">
        <v>930</v>
      </c>
      <c r="B126" s="165">
        <v>0.1404</v>
      </c>
      <c r="C126" s="656" t="s">
        <v>222</v>
      </c>
      <c r="D126" s="1283"/>
    </row>
    <row r="127" spans="1:4" x14ac:dyDescent="0.4">
      <c r="A127" s="13" t="s">
        <v>929</v>
      </c>
      <c r="B127" s="165">
        <v>4.0399999999999998E-2</v>
      </c>
      <c r="C127" s="656" t="s">
        <v>222</v>
      </c>
      <c r="D127" s="1283"/>
    </row>
    <row r="128" spans="1:4" ht="15" thickBot="1" x14ac:dyDescent="0.45">
      <c r="A128" s="469" t="s">
        <v>351</v>
      </c>
      <c r="B128" s="166">
        <v>5.1000000000000004E-3</v>
      </c>
      <c r="C128" s="664" t="s">
        <v>222</v>
      </c>
      <c r="D128" s="1283"/>
    </row>
    <row r="129" spans="1:4" x14ac:dyDescent="0.4">
      <c r="A129" s="468" t="s">
        <v>352</v>
      </c>
      <c r="B129" s="162">
        <v>0</v>
      </c>
      <c r="C129" s="663" t="s">
        <v>222</v>
      </c>
      <c r="D129" s="1283"/>
    </row>
    <row r="130" spans="1:4" x14ac:dyDescent="0.4">
      <c r="A130" s="13" t="s">
        <v>353</v>
      </c>
      <c r="B130" s="165">
        <v>0</v>
      </c>
      <c r="C130" s="656" t="s">
        <v>222</v>
      </c>
      <c r="D130" s="1283"/>
    </row>
    <row r="131" spans="1:4" x14ac:dyDescent="0.4">
      <c r="A131" s="13" t="s">
        <v>354</v>
      </c>
      <c r="B131" s="165">
        <v>2.2200000000000001E-2</v>
      </c>
      <c r="C131" s="656" t="s">
        <v>222</v>
      </c>
      <c r="D131" s="1283"/>
    </row>
    <row r="132" spans="1:4" ht="15" thickBot="1" x14ac:dyDescent="0.45">
      <c r="A132" s="469" t="s">
        <v>355</v>
      </c>
      <c r="B132" s="166">
        <v>0</v>
      </c>
      <c r="C132" s="664" t="s">
        <v>222</v>
      </c>
      <c r="D132" s="1284"/>
    </row>
    <row r="133" spans="1:4" ht="15" thickBot="1" x14ac:dyDescent="0.45"/>
    <row r="134" spans="1:4" ht="15" thickBot="1" x14ac:dyDescent="0.45">
      <c r="A134" s="1285" t="s">
        <v>914</v>
      </c>
      <c r="B134" s="1286"/>
      <c r="C134" s="1286"/>
      <c r="D134" s="1288"/>
    </row>
    <row r="135" spans="1:4" x14ac:dyDescent="0.4">
      <c r="A135" s="203" t="s">
        <v>915</v>
      </c>
      <c r="B135" s="630">
        <v>3.84</v>
      </c>
      <c r="C135" s="54" t="s">
        <v>917</v>
      </c>
      <c r="D135" s="1215" t="s">
        <v>919</v>
      </c>
    </row>
    <row r="136" spans="1:4" x14ac:dyDescent="0.4">
      <c r="A136" s="203" t="s">
        <v>1071</v>
      </c>
      <c r="B136" s="795">
        <v>3.52</v>
      </c>
      <c r="C136" s="67" t="s">
        <v>917</v>
      </c>
      <c r="D136" s="1216"/>
    </row>
    <row r="137" spans="1:4" x14ac:dyDescent="0.4">
      <c r="A137" s="794" t="s">
        <v>1072</v>
      </c>
      <c r="B137" s="795">
        <v>0.73</v>
      </c>
      <c r="C137" s="67" t="s">
        <v>1073</v>
      </c>
      <c r="D137" s="1216"/>
    </row>
    <row r="138" spans="1:4" ht="15" thickBot="1" x14ac:dyDescent="0.45">
      <c r="A138" s="201" t="s">
        <v>916</v>
      </c>
      <c r="B138" s="796">
        <v>0.1318</v>
      </c>
      <c r="C138" s="174" t="s">
        <v>918</v>
      </c>
      <c r="D138" s="1217"/>
    </row>
    <row r="139" spans="1:4" ht="15" thickBot="1" x14ac:dyDescent="0.45"/>
    <row r="140" spans="1:4" ht="15" thickBot="1" x14ac:dyDescent="0.45">
      <c r="A140" s="1285" t="s">
        <v>940</v>
      </c>
      <c r="B140" s="1286"/>
      <c r="C140" s="1286"/>
      <c r="D140" s="1287"/>
    </row>
    <row r="141" spans="1:4" ht="15" customHeight="1" x14ac:dyDescent="0.4">
      <c r="A141" s="203" t="s">
        <v>747</v>
      </c>
      <c r="B141" s="204">
        <v>0.72</v>
      </c>
      <c r="C141" s="54" t="s">
        <v>109</v>
      </c>
      <c r="D141" s="749" t="s">
        <v>733</v>
      </c>
    </row>
    <row r="142" spans="1:4" ht="15" thickBot="1" x14ac:dyDescent="0.45">
      <c r="A142" s="201" t="s">
        <v>708</v>
      </c>
      <c r="B142" s="647">
        <v>0.7</v>
      </c>
      <c r="C142" s="174" t="s">
        <v>109</v>
      </c>
      <c r="D142" s="758" t="s">
        <v>756</v>
      </c>
    </row>
    <row r="143" spans="1:4" ht="15" thickBot="1" x14ac:dyDescent="0.45"/>
    <row r="144" spans="1:4" x14ac:dyDescent="0.4">
      <c r="A144" s="1240" t="s">
        <v>975</v>
      </c>
      <c r="B144" s="1241"/>
      <c r="C144" s="1241"/>
      <c r="D144" s="1242"/>
    </row>
    <row r="145" spans="1:4" ht="15" thickBot="1" x14ac:dyDescent="0.45">
      <c r="A145" s="73" t="s">
        <v>977</v>
      </c>
      <c r="B145" s="74" t="s">
        <v>976</v>
      </c>
      <c r="C145" s="75" t="s">
        <v>13</v>
      </c>
      <c r="D145" s="76" t="s">
        <v>16</v>
      </c>
    </row>
    <row r="146" spans="1:4" x14ac:dyDescent="0.4">
      <c r="A146" s="732" t="s">
        <v>978</v>
      </c>
      <c r="B146" s="733">
        <v>3.24</v>
      </c>
      <c r="C146" s="734" t="s">
        <v>917</v>
      </c>
      <c r="D146" s="1278" t="s">
        <v>979</v>
      </c>
    </row>
    <row r="147" spans="1:4" x14ac:dyDescent="0.4">
      <c r="A147" s="735" t="s">
        <v>744</v>
      </c>
      <c r="B147" s="736">
        <v>3.53</v>
      </c>
      <c r="C147" s="737" t="s">
        <v>917</v>
      </c>
      <c r="D147" s="1279"/>
    </row>
    <row r="148" spans="1:4" x14ac:dyDescent="0.4">
      <c r="A148" s="735" t="s">
        <v>747</v>
      </c>
      <c r="B148" s="736">
        <v>15.67</v>
      </c>
      <c r="C148" s="737" t="s">
        <v>982</v>
      </c>
      <c r="D148" s="1279"/>
    </row>
    <row r="149" spans="1:4" ht="15" thickBot="1" x14ac:dyDescent="0.45">
      <c r="A149" s="735" t="s">
        <v>980</v>
      </c>
      <c r="B149" s="738">
        <v>0.18240000000000001</v>
      </c>
      <c r="C149" s="737" t="s">
        <v>981</v>
      </c>
      <c r="D149" s="1279"/>
    </row>
    <row r="150" spans="1:4" x14ac:dyDescent="0.4">
      <c r="A150" s="468" t="s">
        <v>983</v>
      </c>
      <c r="B150" s="739">
        <f>'GHG ERFs'!B189/'GHG ERFs'!B186*'GHG ERFs'!B184*'Co-Ben ERFs'!B146</f>
        <v>3739.4284806401038</v>
      </c>
      <c r="C150" s="515" t="s">
        <v>984</v>
      </c>
      <c r="D150" s="1279"/>
    </row>
    <row r="151" spans="1:4" x14ac:dyDescent="0.4">
      <c r="A151" s="13" t="s">
        <v>985</v>
      </c>
      <c r="B151" s="740">
        <f>'GHG ERFs'!B190/'GHG ERFs'!B186*'GHG ERFs'!B184*'Co-Ben ERFs'!B146</f>
        <v>2993.7576483703101</v>
      </c>
      <c r="C151" s="616" t="s">
        <v>984</v>
      </c>
      <c r="D151" s="1279"/>
    </row>
    <row r="152" spans="1:4" x14ac:dyDescent="0.4">
      <c r="A152" s="13" t="s">
        <v>986</v>
      </c>
      <c r="B152" s="740">
        <f>'GHG ERFs'!B191/'GHG ERFs'!B186*'GHG ERFs'!B184*'Co-Ben ERFs'!B146</f>
        <v>2211.1724184633977</v>
      </c>
      <c r="C152" s="616" t="s">
        <v>984</v>
      </c>
      <c r="D152" s="1279"/>
    </row>
    <row r="153" spans="1:4" x14ac:dyDescent="0.4">
      <c r="A153" s="13" t="s">
        <v>987</v>
      </c>
      <c r="B153" s="740">
        <f>'GHG ERFs'!B192/'GHG ERFs'!B187*'GHG ERFs'!B184*'Co-Ben ERFs'!B149</f>
        <v>1992.9229368888889</v>
      </c>
      <c r="C153" s="616" t="s">
        <v>984</v>
      </c>
      <c r="D153" s="1279"/>
    </row>
    <row r="154" spans="1:4" x14ac:dyDescent="0.4">
      <c r="A154" s="13" t="s">
        <v>988</v>
      </c>
      <c r="B154" s="740">
        <f>'GHG ERFs'!B193/'GHG ERFs'!B188*'GHG ERFs'!B184*'Co-Ben ERFs'!B148</f>
        <v>6986.0094338918252</v>
      </c>
      <c r="C154" s="616" t="s">
        <v>984</v>
      </c>
      <c r="D154" s="1279"/>
    </row>
    <row r="155" spans="1:4" x14ac:dyDescent="0.4">
      <c r="A155" s="13" t="s">
        <v>989</v>
      </c>
      <c r="B155" s="740">
        <f>'GHG ERFs'!B194/'GHG ERFs'!B185*'GHG ERFs'!B184*'Co-Ben ERFs'!B147</f>
        <v>5209.431243064043</v>
      </c>
      <c r="C155" s="616" t="s">
        <v>984</v>
      </c>
      <c r="D155" s="1279"/>
    </row>
    <row r="156" spans="1:4" x14ac:dyDescent="0.4">
      <c r="A156" s="13" t="s">
        <v>990</v>
      </c>
      <c r="B156" s="740">
        <f>'GHG ERFs'!B195/'GHG ERFs'!B185*'GHG ERFs'!B184*'Co-Ben ERFs'!B147</f>
        <v>4166.8590917200872</v>
      </c>
      <c r="C156" s="616" t="s">
        <v>984</v>
      </c>
      <c r="D156" s="1279"/>
    </row>
    <row r="157" spans="1:4" x14ac:dyDescent="0.4">
      <c r="A157" s="13" t="s">
        <v>991</v>
      </c>
      <c r="B157" s="740">
        <f>'GHG ERFs'!B196/'GHG ERFs'!B187*'GHG ERFs'!B184*'Co-Ben ERFs'!B149</f>
        <v>2007.1074417777779</v>
      </c>
      <c r="C157" s="616" t="s">
        <v>984</v>
      </c>
      <c r="D157" s="1279"/>
    </row>
    <row r="158" spans="1:4" x14ac:dyDescent="0.4">
      <c r="A158" s="13" t="s">
        <v>992</v>
      </c>
      <c r="B158" s="740">
        <f>'GHG ERFs'!B197/'GHG ERFs'!B185*'GHG ERFs'!B184*'Co-Ben ERFs'!B147</f>
        <v>7205.4081907028012</v>
      </c>
      <c r="C158" s="616" t="s">
        <v>984</v>
      </c>
      <c r="D158" s="1279"/>
    </row>
    <row r="159" spans="1:4" ht="15" thickBot="1" x14ac:dyDescent="0.45">
      <c r="A159" s="469" t="s">
        <v>993</v>
      </c>
      <c r="B159" s="741">
        <f>'GHG ERFs'!B198/'GHG ERFs'!B187*'GHG ERFs'!B184*'Co-Ben ERFs'!B149</f>
        <v>2780.1629582222226</v>
      </c>
      <c r="C159" s="514" t="s">
        <v>984</v>
      </c>
      <c r="D159" s="1280"/>
    </row>
  </sheetData>
  <sheetProtection algorithmName="SHA-512" hashValue="cQ2mslTRj45ZeKsbdv9NaNdksdPJ2gcxjgN635O+BUqH7VuOdoXRI0IoBFOcfbiPkTiQ91PkL4EvH/4D2IhFcQ==" saltValue="V/8yxGNdMLh7jebDGM9TqA==" spinCount="100000" sheet="1" objects="1" scenarios="1"/>
  <mergeCells count="35">
    <mergeCell ref="A95:D95"/>
    <mergeCell ref="A88:D88"/>
    <mergeCell ref="A77:D77"/>
    <mergeCell ref="D89:D93"/>
    <mergeCell ref="A11:D11"/>
    <mergeCell ref="A13:D13"/>
    <mergeCell ref="A23:D23"/>
    <mergeCell ref="A58:D58"/>
    <mergeCell ref="A43:D43"/>
    <mergeCell ref="A50:D50"/>
    <mergeCell ref="A29:D29"/>
    <mergeCell ref="A36:D36"/>
    <mergeCell ref="D31:D33"/>
    <mergeCell ref="D25:D26"/>
    <mergeCell ref="D60:D62"/>
    <mergeCell ref="D64:D66"/>
    <mergeCell ref="D71:D74"/>
    <mergeCell ref="D78:D80"/>
    <mergeCell ref="D83:D86"/>
    <mergeCell ref="A82:D82"/>
    <mergeCell ref="A63:D63"/>
    <mergeCell ref="A69:D69"/>
    <mergeCell ref="A76:D76"/>
    <mergeCell ref="D15:D17"/>
    <mergeCell ref="D18:D20"/>
    <mergeCell ref="D38:D41"/>
    <mergeCell ref="D45:D47"/>
    <mergeCell ref="D52:D54"/>
    <mergeCell ref="A144:D144"/>
    <mergeCell ref="D146:D159"/>
    <mergeCell ref="D97:D111"/>
    <mergeCell ref="D112:D132"/>
    <mergeCell ref="A140:D140"/>
    <mergeCell ref="A134:D134"/>
    <mergeCell ref="D135:D138"/>
  </mergeCells>
  <hyperlinks>
    <hyperlink ref="A12" r:id="rId1" tooltip="CCI Resources" xr:uid="{00000000-0004-0000-0C00-000000000000}"/>
    <hyperlink ref="D78" r:id="rId2" xr:uid="{00000000-0004-0000-0C00-000001000000}"/>
    <hyperlink ref="D83" r:id="rId3" xr:uid="{00000000-0004-0000-0C00-000002000000}"/>
    <hyperlink ref="D89:D93" r:id="rId4" tooltip="Co-benefit Assessment Methodology for Soil Health and Conservation " display="https://www.arb.ca.gov/cc/capandtrade/auctionproceeds/final_soil_am.pdf" xr:uid="{00000000-0004-0000-0C00-000003000000}"/>
    <hyperlink ref="D135:D138" r:id="rId5" tooltip="Co-benefit Assessment Methodology for Energy and Fuel Cost Savings" display="https://www.arb.ca.gov/cc/capandtrade/auctionproceeds/final_energyfuelcost_am.pdf" xr:uid="{00000000-0004-0000-0C00-000004000000}"/>
    <hyperlink ref="D27" r:id="rId6" location="0" tooltip="Grid Electricity Factors" xr:uid="{00000000-0004-0000-0C00-000005000000}"/>
    <hyperlink ref="D15:D17" r:id="rId7" tooltip="Method for Estimating Greenhouse Gas Emission Reductions from Diversion of Organic Waste from Landfills to Compost Facilitie" display="California Air Resources Board, Method for Estimating Greenhouse Gas Emission Reductions from Diversion of Organic Waste from Landfills to Compost Facilities (May 2017) " xr:uid="{00000000-0004-0000-0C00-000006000000}"/>
    <hyperlink ref="D18:D20" r:id="rId8" tooltip="EPA AP-42, Compilation of Air Emission Factors, 2.4, Municipal Solid Waste Landfills" display="https://www3.epa.gov/ttnchie1/ap42/ch02/final/c02s04.pdf" xr:uid="{00000000-0004-0000-0C00-000007000000}"/>
    <hyperlink ref="D31:D33" r:id="rId9" tooltip="Natural gas emission factors for criteria pollutants - US EPA - AP-42, col. 1, CH 1.4: Natural Gas Combustion" display="https://www3.epa.gov/ttnchie1/ap42/ch01/final/c01s04.pdf" xr:uid="{00000000-0004-0000-0C00-000008000000}"/>
    <hyperlink ref="D34" r:id="rId10" xr:uid="{00000000-0004-0000-0C00-000009000000}"/>
    <hyperlink ref="D38:D41" r:id="rId11" tooltip="OFFROAD2017 (v1.0.1) Emission Inventory" display="http://www.arb.ca.gov/orion" xr:uid="{00000000-0004-0000-0C00-00000A000000}"/>
    <hyperlink ref="D60:D62" r:id="rId12" display="California Air Resources Board, Low Carbon Fuel Standard (LCFS) Pathway for the Production of Biomethane from Mesophilic Anaerobic Digestion of Wastewater Sludge at a Publicly Owned Treatment Works (2014)" xr:uid="{00000000-0004-0000-0C00-00000B000000}"/>
    <hyperlink ref="D64:D66" r:id="rId13" display="California Air Resources Board, Low Carbon Fuel Standard (LCFS) Pathway for the Production of Biomethane from Mesophilic Anaerobic Digestion of Wastewater Sludge at a Publicly Owned Treatment Works (2014)" xr:uid="{00000000-0004-0000-0C00-00000C000000}"/>
    <hyperlink ref="D45:D47" r:id="rId14" display="California Air Resources Board, Low Carbon Fuel Standard (LCFS) Pathway for the Production of Biomethane from High Solids Anaerobic Digestion (HSAD) of Organic (Food and Green) Wastes (2014)" xr:uid="{00000000-0004-0000-0C00-00000D000000}"/>
    <hyperlink ref="D52:D54" r:id="rId15" display="California Air Resources Board, Low Carbon Fuel Standard (LCFS) Pathway for the Production of Biomethane from High Solids Anaerobic Digestion (HSAD) of Organic (Food and Green) Wastes (2014)" xr:uid="{00000000-0004-0000-0C00-00000E000000}"/>
    <hyperlink ref="D71:D74" r:id="rId16" display="The Climate Change and Economic Impacts of Food Waste in the United States" xr:uid="{00000000-0004-0000-0C00-00000F000000}"/>
    <hyperlink ref="D141" r:id="rId17" xr:uid="{00000000-0004-0000-0C00-000010000000}"/>
    <hyperlink ref="D142" r:id="rId18" xr:uid="{00000000-0004-0000-0C00-000011000000}"/>
    <hyperlink ref="D146:D159" r:id="rId19" tooltip="CARB's Co-benefit Assessment Methodology for Energy and Fuel Cost Savings" display="https://www.arb.ca.gov/cc/capandtrade/auctionproceeds/final_energyfuelcost_am.pdf" xr:uid="{00000000-0004-0000-0C00-000012000000}"/>
  </hyperlinks>
  <pageMargins left="0.7" right="0.7" top="0.75" bottom="0.75" header="0.3" footer="0.3"/>
  <pageSetup scale="35" orientation="portrait" r:id="rId20"/>
  <headerFooter>
    <oddFooter>&amp;LDRAFT January XX, 2019&amp;CPage &amp;P of &amp;N&amp;REmission Reduction Factors Worksheet</oddFooter>
  </headerFooter>
  <drawing r:id="rId2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46"/>
  <sheetViews>
    <sheetView showGridLines="0" topLeftCell="A12" zoomScaleNormal="100" workbookViewId="0">
      <selection activeCell="K41" sqref="K41"/>
    </sheetView>
  </sheetViews>
  <sheetFormatPr defaultRowHeight="14.6" x14ac:dyDescent="0.4"/>
  <cols>
    <col min="1" max="2" width="20.69140625" customWidth="1"/>
    <col min="3" max="3" width="25.69140625" customWidth="1"/>
    <col min="4" max="4" width="23.84375" customWidth="1"/>
    <col min="6" max="9" width="9.15234375" customWidth="1"/>
  </cols>
  <sheetData>
    <row r="1" spans="1:6" ht="20.149999999999999" customHeight="1" x14ac:dyDescent="0.5">
      <c r="A1" s="1" t="s">
        <v>448</v>
      </c>
      <c r="B1" s="1"/>
    </row>
    <row r="2" spans="1:6" ht="18" customHeight="1" x14ac:dyDescent="0.5">
      <c r="A2" s="1"/>
      <c r="B2" s="1"/>
    </row>
    <row r="3" spans="1:6" ht="18" customHeight="1" x14ac:dyDescent="0.4">
      <c r="A3" t="s">
        <v>449</v>
      </c>
    </row>
    <row r="4" spans="1:6" s="223" customFormat="1" ht="33" customHeight="1" x14ac:dyDescent="0.4">
      <c r="A4" s="1311" t="s">
        <v>1012</v>
      </c>
      <c r="B4" s="1311"/>
      <c r="C4" s="1311"/>
      <c r="D4" s="1311"/>
      <c r="E4" s="1311"/>
      <c r="F4" s="1311"/>
    </row>
    <row r="5" spans="1:6" s="226" customFormat="1" ht="18" customHeight="1" x14ac:dyDescent="0.4">
      <c r="A5" s="767" t="s">
        <v>110</v>
      </c>
      <c r="B5" s="224"/>
      <c r="C5" s="225"/>
      <c r="D5" s="225"/>
      <c r="E5" s="225"/>
      <c r="F5" s="225"/>
    </row>
    <row r="6" spans="1:6" ht="18" customHeight="1" x14ac:dyDescent="0.4">
      <c r="A6" t="s">
        <v>450</v>
      </c>
    </row>
    <row r="7" spans="1:6" ht="18" customHeight="1" thickBot="1" x14ac:dyDescent="0.45"/>
    <row r="8" spans="1:6" ht="33" customHeight="1" x14ac:dyDescent="0.4">
      <c r="A8" s="1312" t="s">
        <v>451</v>
      </c>
      <c r="B8" s="1313"/>
      <c r="C8" s="227" t="s">
        <v>452</v>
      </c>
    </row>
    <row r="9" spans="1:6" ht="18" customHeight="1" x14ac:dyDescent="0.4">
      <c r="A9" s="1309" t="s">
        <v>20</v>
      </c>
      <c r="B9" s="1310"/>
      <c r="C9" s="661">
        <f>ROUND(C31-C24,2)</f>
        <v>0.32</v>
      </c>
    </row>
    <row r="10" spans="1:6" ht="18" customHeight="1" x14ac:dyDescent="0.4">
      <c r="A10" s="1309" t="s">
        <v>21</v>
      </c>
      <c r="B10" s="1310"/>
      <c r="C10" s="661">
        <f>ROUND(C32-C24,2)</f>
        <v>0.14000000000000001</v>
      </c>
    </row>
    <row r="11" spans="1:6" ht="18" customHeight="1" x14ac:dyDescent="0.4">
      <c r="A11" s="1309" t="s">
        <v>453</v>
      </c>
      <c r="B11" s="1310"/>
      <c r="C11" s="661">
        <f>ROUND(C31-(0.49*C22)-(0.48*C23),2)</f>
        <v>0.36</v>
      </c>
    </row>
    <row r="12" spans="1:6" ht="18" customHeight="1" x14ac:dyDescent="0.4">
      <c r="A12" s="1309" t="s">
        <v>454</v>
      </c>
      <c r="B12" s="1310"/>
      <c r="C12" s="661">
        <f>ROUND(C32-(0.49*C22)-(0.48*C23),2)</f>
        <v>0.18</v>
      </c>
    </row>
    <row r="13" spans="1:6" ht="18" customHeight="1" x14ac:dyDescent="0.4">
      <c r="A13" s="1316" t="s">
        <v>43</v>
      </c>
      <c r="B13" s="1317"/>
      <c r="C13" s="661">
        <f>ROUND(C31,2)</f>
        <v>0.39</v>
      </c>
    </row>
    <row r="14" spans="1:6" ht="18" customHeight="1" thickBot="1" x14ac:dyDescent="0.45">
      <c r="A14" s="1318" t="s">
        <v>44</v>
      </c>
      <c r="B14" s="1319"/>
      <c r="C14" s="662">
        <f>ROUND(C32,2)</f>
        <v>0.21</v>
      </c>
    </row>
    <row r="15" spans="1:6" ht="15" customHeight="1" x14ac:dyDescent="0.4"/>
    <row r="16" spans="1:6" ht="15" customHeight="1" x14ac:dyDescent="0.4"/>
    <row r="17" spans="1:3" ht="18" customHeight="1" thickBot="1" x14ac:dyDescent="0.45">
      <c r="A17" s="222" t="s">
        <v>455</v>
      </c>
      <c r="B17" s="222"/>
      <c r="C17" s="45"/>
    </row>
    <row r="18" spans="1:3" ht="15" customHeight="1" x14ac:dyDescent="0.4">
      <c r="A18" s="1320" t="s">
        <v>389</v>
      </c>
      <c r="B18" s="1321"/>
      <c r="C18" s="1322"/>
    </row>
    <row r="19" spans="1:3" ht="33" customHeight="1" x14ac:dyDescent="0.4">
      <c r="A19" s="1323" t="s">
        <v>456</v>
      </c>
      <c r="B19" s="1324"/>
      <c r="C19" s="228" t="s">
        <v>457</v>
      </c>
    </row>
    <row r="20" spans="1:3" ht="18" customHeight="1" x14ac:dyDescent="0.4">
      <c r="A20" s="1314" t="s">
        <v>458</v>
      </c>
      <c r="B20" s="1315"/>
      <c r="C20" s="229">
        <v>0</v>
      </c>
    </row>
    <row r="21" spans="1:3" ht="18" customHeight="1" x14ac:dyDescent="0.4">
      <c r="A21" s="1314" t="s">
        <v>459</v>
      </c>
      <c r="B21" s="1315"/>
      <c r="C21" s="229">
        <v>0</v>
      </c>
    </row>
    <row r="22" spans="1:3" ht="18" customHeight="1" x14ac:dyDescent="0.4">
      <c r="A22" s="1314" t="s">
        <v>460</v>
      </c>
      <c r="B22" s="1315"/>
      <c r="C22" s="229">
        <v>4.9000000000000002E-2</v>
      </c>
    </row>
    <row r="23" spans="1:3" ht="18" customHeight="1" x14ac:dyDescent="0.4">
      <c r="A23" s="1314" t="s">
        <v>461</v>
      </c>
      <c r="B23" s="1315"/>
      <c r="C23" s="229">
        <v>2.1000000000000001E-2</v>
      </c>
    </row>
    <row r="24" spans="1:3" ht="18" customHeight="1" x14ac:dyDescent="0.4">
      <c r="A24" s="1325" t="s">
        <v>194</v>
      </c>
      <c r="B24" s="1326"/>
      <c r="C24" s="230">
        <f>SUM(C20:C23)</f>
        <v>7.0000000000000007E-2</v>
      </c>
    </row>
    <row r="25" spans="1:3" ht="18" customHeight="1" x14ac:dyDescent="0.4">
      <c r="A25" s="1327" t="s">
        <v>390</v>
      </c>
      <c r="B25" s="1328"/>
      <c r="C25" s="1329"/>
    </row>
    <row r="26" spans="1:3" ht="33" customHeight="1" x14ac:dyDescent="0.4">
      <c r="A26" s="1323" t="s">
        <v>462</v>
      </c>
      <c r="B26" s="1324"/>
      <c r="C26" s="228" t="s">
        <v>463</v>
      </c>
    </row>
    <row r="27" spans="1:3" ht="18" customHeight="1" x14ac:dyDescent="0.4">
      <c r="A27" s="1314" t="s">
        <v>464</v>
      </c>
      <c r="B27" s="1315"/>
      <c r="C27" s="229">
        <v>0.15</v>
      </c>
    </row>
    <row r="28" spans="1:3" ht="18" customHeight="1" x14ac:dyDescent="0.4">
      <c r="A28" s="1314" t="s">
        <v>465</v>
      </c>
      <c r="B28" s="1315"/>
      <c r="C28" s="229">
        <v>0.15</v>
      </c>
    </row>
    <row r="29" spans="1:3" ht="18" customHeight="1" x14ac:dyDescent="0.4">
      <c r="A29" s="1314" t="s">
        <v>466</v>
      </c>
      <c r="B29" s="1315"/>
      <c r="C29" s="231">
        <v>0</v>
      </c>
    </row>
    <row r="30" spans="1:3" ht="18" customHeight="1" x14ac:dyDescent="0.4">
      <c r="A30" s="1331" t="s">
        <v>194</v>
      </c>
      <c r="B30" s="1332"/>
      <c r="C30" s="229">
        <f>SUM(C27:C29)</f>
        <v>0.3</v>
      </c>
    </row>
    <row r="31" spans="1:3" ht="18" customHeight="1" x14ac:dyDescent="0.4">
      <c r="A31" s="1333" t="s">
        <v>467</v>
      </c>
      <c r="B31" s="232" t="s">
        <v>468</v>
      </c>
      <c r="C31" s="229">
        <v>0.39</v>
      </c>
    </row>
    <row r="32" spans="1:3" ht="18" customHeight="1" x14ac:dyDescent="0.4">
      <c r="A32" s="1334"/>
      <c r="B32" s="233" t="s">
        <v>469</v>
      </c>
      <c r="C32" s="234">
        <v>0.21</v>
      </c>
    </row>
    <row r="33" spans="1:9" ht="18" customHeight="1" x14ac:dyDescent="0.4">
      <c r="A33" s="1323" t="s">
        <v>470</v>
      </c>
      <c r="B33" s="1324"/>
      <c r="C33" s="1335"/>
    </row>
    <row r="34" spans="1:9" ht="33" customHeight="1" x14ac:dyDescent="0.4">
      <c r="A34" s="1323" t="s">
        <v>471</v>
      </c>
      <c r="B34" s="1324"/>
      <c r="C34" s="228" t="s">
        <v>463</v>
      </c>
    </row>
    <row r="35" spans="1:9" ht="18" customHeight="1" x14ac:dyDescent="0.4">
      <c r="A35" s="1336" t="s">
        <v>468</v>
      </c>
      <c r="B35" s="1337"/>
      <c r="C35" s="235">
        <f>C31+C30-C24</f>
        <v>0.61999999999999988</v>
      </c>
    </row>
    <row r="36" spans="1:9" ht="18" customHeight="1" thickBot="1" x14ac:dyDescent="0.45">
      <c r="A36" s="1338" t="s">
        <v>469</v>
      </c>
      <c r="B36" s="1339"/>
      <c r="C36" s="236">
        <f>C32+C30-C24</f>
        <v>0.44</v>
      </c>
    </row>
    <row r="37" spans="1:9" ht="33" customHeight="1" x14ac:dyDescent="0.4">
      <c r="A37" s="1340" t="s">
        <v>1013</v>
      </c>
      <c r="B37" s="1340"/>
      <c r="C37" s="1340"/>
      <c r="D37" s="1340"/>
      <c r="E37" s="1340"/>
      <c r="F37" s="1340"/>
    </row>
    <row r="38" spans="1:9" ht="15" customHeight="1" x14ac:dyDescent="0.4">
      <c r="A38" s="767" t="s">
        <v>110</v>
      </c>
      <c r="B38" s="232"/>
      <c r="C38" s="237"/>
    </row>
    <row r="39" spans="1:9" ht="15" customHeight="1" x14ac:dyDescent="0.4">
      <c r="A39" s="238"/>
      <c r="B39" s="238"/>
    </row>
    <row r="40" spans="1:9" ht="15" customHeight="1" x14ac:dyDescent="0.4">
      <c r="A40" s="238"/>
      <c r="B40" s="238"/>
    </row>
    <row r="41" spans="1:9" s="240" customFormat="1" ht="33" customHeight="1" x14ac:dyDescent="0.4">
      <c r="A41" s="1341" t="s">
        <v>472</v>
      </c>
      <c r="B41" s="1341"/>
      <c r="C41" s="1341"/>
      <c r="D41" s="1341"/>
      <c r="E41" s="1341"/>
      <c r="F41" s="1341"/>
      <c r="G41" s="239"/>
      <c r="H41" s="239"/>
      <c r="I41" s="239"/>
    </row>
    <row r="42" spans="1:9" s="240" customFormat="1" ht="33" customHeight="1" x14ac:dyDescent="0.4">
      <c r="A42" s="1330" t="s">
        <v>473</v>
      </c>
      <c r="B42" s="1330"/>
      <c r="C42" s="1330"/>
      <c r="D42" s="1330"/>
      <c r="E42" s="1330"/>
      <c r="F42" s="1330"/>
    </row>
    <row r="43" spans="1:9" s="226" customFormat="1" ht="18" customHeight="1" x14ac:dyDescent="0.4">
      <c r="A43" s="767" t="s">
        <v>17</v>
      </c>
    </row>
    <row r="44" spans="1:9" ht="18" customHeight="1" x14ac:dyDescent="0.4">
      <c r="A44" t="s">
        <v>474</v>
      </c>
    </row>
    <row r="45" spans="1:9" s="226" customFormat="1" ht="18" customHeight="1" x14ac:dyDescent="0.4">
      <c r="A45" s="767" t="s">
        <v>39</v>
      </c>
    </row>
    <row r="46" spans="1:9" s="242" customFormat="1" ht="33" customHeight="1" x14ac:dyDescent="0.4">
      <c r="A46" s="1330" t="s">
        <v>475</v>
      </c>
      <c r="B46" s="1330"/>
      <c r="C46" s="1330"/>
      <c r="D46" s="1330"/>
      <c r="E46" s="1330"/>
      <c r="F46" s="1330"/>
      <c r="G46" s="241"/>
      <c r="H46" s="241"/>
      <c r="I46" s="241"/>
    </row>
  </sheetData>
  <sheetProtection algorithmName="SHA-512" hashValue="xm1e6XH9guboV+G8nPW9HqMTqAc/ICqnku1uDZiVDLSMG167pjP7Zb+i+v0+6PaNlBUtaA9TtcUWrAi4wu7B+Q==" saltValue="RQvYKCJCSulEMHtfjvlvVw==" spinCount="100000" sheet="1" objects="1" scenarios="1"/>
  <mergeCells count="30">
    <mergeCell ref="A46:F46"/>
    <mergeCell ref="A28:B28"/>
    <mergeCell ref="A29:B29"/>
    <mergeCell ref="A30:B30"/>
    <mergeCell ref="A31:A32"/>
    <mergeCell ref="A33:C33"/>
    <mergeCell ref="A34:B34"/>
    <mergeCell ref="A35:B35"/>
    <mergeCell ref="A36:B36"/>
    <mergeCell ref="A37:F37"/>
    <mergeCell ref="A41:F41"/>
    <mergeCell ref="A42:F42"/>
    <mergeCell ref="A27:B27"/>
    <mergeCell ref="A13:B13"/>
    <mergeCell ref="A14:B14"/>
    <mergeCell ref="A18:C18"/>
    <mergeCell ref="A19:B19"/>
    <mergeCell ref="A20:B20"/>
    <mergeCell ref="A21:B21"/>
    <mergeCell ref="A22:B22"/>
    <mergeCell ref="A23:B23"/>
    <mergeCell ref="A24:B24"/>
    <mergeCell ref="A25:C25"/>
    <mergeCell ref="A26:B26"/>
    <mergeCell ref="A12:B12"/>
    <mergeCell ref="A4:F4"/>
    <mergeCell ref="A8:B8"/>
    <mergeCell ref="A9:B9"/>
    <mergeCell ref="A10:B10"/>
    <mergeCell ref="A11:B11"/>
  </mergeCells>
  <hyperlinks>
    <hyperlink ref="A43" r:id="rId1" tooltip="San Joaquin Valley Air Pollution Control District, Greenwaste Compost Site Emissions Reductions from Solar‐powered Aeration and Biofilter Layer" xr:uid="{00000000-0004-0000-0D00-000000000000}"/>
    <hyperlink ref="A45" r:id="rId2" tooltip="Climate Action Reserve Organic Waste Digestion Project Protocol Version 2.1 (2014)" xr:uid="{00000000-0004-0000-0D00-000001000000}"/>
    <hyperlink ref="A5" r:id="rId3" tooltip="Method for Estimating Greenhouse Gas Emission Reductions from Composting of Commercial Organic Waste" xr:uid="{00000000-0004-0000-0D00-000002000000}"/>
    <hyperlink ref="A38" r:id="rId4" tooltip="Method for Estimating Greenhouse Gas Emission Reductions from Composting of Commercial Organic Waste" xr:uid="{00000000-0004-0000-0D00-000003000000}"/>
  </hyperlinks>
  <pageMargins left="0.7" right="0.7" top="0.75" bottom="0.75" header="0.3" footer="0.3"/>
  <pageSetup scale="74" orientation="portrait" r:id="rId5"/>
  <headerFooter>
    <oddFooter>&amp;CPage 6 of 11&amp;RCompost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82"/>
  <sheetViews>
    <sheetView showGridLines="0" zoomScaleNormal="100" workbookViewId="0">
      <selection activeCell="J11" sqref="J11"/>
    </sheetView>
  </sheetViews>
  <sheetFormatPr defaultRowHeight="14.6" x14ac:dyDescent="0.4"/>
  <cols>
    <col min="1" max="1" width="53.15234375" customWidth="1"/>
    <col min="2" max="2" width="19.53515625" customWidth="1"/>
    <col min="3" max="5" width="18.69140625" customWidth="1"/>
    <col min="6" max="6" width="15.69140625" customWidth="1"/>
    <col min="7" max="11" width="16.69140625" customWidth="1"/>
    <col min="12" max="12" width="15.53515625" customWidth="1"/>
  </cols>
  <sheetData>
    <row r="1" spans="1:9" ht="20.149999999999999" customHeight="1" x14ac:dyDescent="0.5">
      <c r="A1" s="1" t="s">
        <v>476</v>
      </c>
      <c r="B1" s="1"/>
    </row>
    <row r="2" spans="1:9" ht="18" customHeight="1" x14ac:dyDescent="0.5">
      <c r="A2" s="1"/>
      <c r="B2" s="1"/>
    </row>
    <row r="3" spans="1:9" s="4" customFormat="1" ht="18" customHeight="1" x14ac:dyDescent="0.4">
      <c r="A3" s="4" t="s">
        <v>449</v>
      </c>
    </row>
    <row r="4" spans="1:9" s="4" customFormat="1" ht="18" customHeight="1" x14ac:dyDescent="0.4">
      <c r="A4" s="1311" t="s">
        <v>477</v>
      </c>
      <c r="B4" s="1311"/>
      <c r="C4" s="1311"/>
      <c r="D4" s="1311"/>
      <c r="E4" s="1311"/>
      <c r="F4" s="1311"/>
      <c r="G4" s="1311"/>
      <c r="H4" s="1311"/>
      <c r="I4" s="1311"/>
    </row>
    <row r="5" spans="1:9" s="226" customFormat="1" ht="18" customHeight="1" x14ac:dyDescent="0.4">
      <c r="A5" s="767" t="s">
        <v>26</v>
      </c>
    </row>
    <row r="6" spans="1:9" ht="18" customHeight="1" x14ac:dyDescent="0.4">
      <c r="A6" t="s">
        <v>450</v>
      </c>
    </row>
    <row r="7" spans="1:9" ht="18" customHeight="1" x14ac:dyDescent="0.4"/>
    <row r="8" spans="1:9" ht="18" customHeight="1" thickBot="1" x14ac:dyDescent="0.45"/>
    <row r="9" spans="1:9" ht="42" customHeight="1" x14ac:dyDescent="0.4">
      <c r="A9" s="243" t="s">
        <v>478</v>
      </c>
      <c r="B9" s="1348" t="s">
        <v>724</v>
      </c>
      <c r="C9" s="1349"/>
      <c r="D9" s="1348" t="s">
        <v>723</v>
      </c>
      <c r="E9" s="1349"/>
      <c r="F9" s="1348" t="s">
        <v>725</v>
      </c>
      <c r="G9" s="1349"/>
    </row>
    <row r="10" spans="1:9" ht="18" customHeight="1" x14ac:dyDescent="0.4">
      <c r="A10" s="77" t="s">
        <v>403</v>
      </c>
      <c r="B10" s="1350">
        <f>ROUND(D37,2)</f>
        <v>0.39</v>
      </c>
      <c r="C10" s="1351"/>
      <c r="D10" s="1350">
        <f>ROUND(E37,2)</f>
        <v>0.32</v>
      </c>
      <c r="E10" s="1351"/>
      <c r="F10" s="1350">
        <f>ROUND(F37,2)</f>
        <v>0.36</v>
      </c>
      <c r="G10" s="1351"/>
    </row>
    <row r="11" spans="1:9" ht="18" customHeight="1" x14ac:dyDescent="0.4">
      <c r="A11" s="77" t="s">
        <v>404</v>
      </c>
      <c r="B11" s="1352">
        <f>ROUND(G34,2)</f>
        <v>0.24</v>
      </c>
      <c r="C11" s="1353"/>
      <c r="D11" s="1352">
        <f>ROUND(H34,2)</f>
        <v>0.17</v>
      </c>
      <c r="E11" s="1353"/>
      <c r="F11" s="1352">
        <f>ROUND(I34,2)</f>
        <v>0.21</v>
      </c>
      <c r="G11" s="1353"/>
    </row>
    <row r="12" spans="1:9" ht="18" customHeight="1" thickBot="1" x14ac:dyDescent="0.45">
      <c r="A12" s="477" t="s">
        <v>788</v>
      </c>
      <c r="B12" s="1346">
        <f>ROUND(J34,2)</f>
        <v>0.28999999999999998</v>
      </c>
      <c r="C12" s="1347"/>
      <c r="D12" s="1346">
        <f>ROUND(K34,2)</f>
        <v>0.23</v>
      </c>
      <c r="E12" s="1347"/>
      <c r="F12" s="1346">
        <f>ROUND(L34,2)</f>
        <v>0.27</v>
      </c>
      <c r="G12" s="1347"/>
    </row>
    <row r="13" spans="1:9" ht="18" customHeight="1" thickBot="1" x14ac:dyDescent="0.45">
      <c r="A13" s="478" t="s">
        <v>483</v>
      </c>
      <c r="B13" s="1354">
        <f>ROUND(B44*'Compost ERF'!C13+'Standalone AD ERF'!B45*'Compost ERF'!C14,2)</f>
        <v>0.28000000000000003</v>
      </c>
      <c r="C13" s="1355"/>
      <c r="D13" s="1342"/>
      <c r="E13" s="1343"/>
      <c r="F13" s="1342"/>
      <c r="G13" s="1343"/>
    </row>
    <row r="14" spans="1:9" ht="15" customHeight="1" x14ac:dyDescent="0.4"/>
    <row r="15" spans="1:9" ht="15" customHeight="1" x14ac:dyDescent="0.4"/>
    <row r="16" spans="1:9" ht="15" customHeight="1" thickBot="1" x14ac:dyDescent="0.45">
      <c r="A16" t="s">
        <v>484</v>
      </c>
    </row>
    <row r="17" spans="1:12" ht="45.75" customHeight="1" x14ac:dyDescent="0.4">
      <c r="A17" s="244" t="s">
        <v>485</v>
      </c>
      <c r="B17" s="1368" t="s">
        <v>486</v>
      </c>
      <c r="C17" s="1369"/>
      <c r="D17" s="1344" t="s">
        <v>479</v>
      </c>
      <c r="E17" s="1356" t="s">
        <v>480</v>
      </c>
      <c r="F17" s="1380" t="s">
        <v>710</v>
      </c>
      <c r="G17" s="1364" t="s">
        <v>481</v>
      </c>
      <c r="H17" s="1366" t="s">
        <v>482</v>
      </c>
      <c r="I17" s="1366" t="s">
        <v>711</v>
      </c>
      <c r="J17" s="1344" t="s">
        <v>487</v>
      </c>
      <c r="K17" s="1356" t="s">
        <v>488</v>
      </c>
      <c r="L17" s="1380" t="s">
        <v>712</v>
      </c>
    </row>
    <row r="18" spans="1:12" ht="18" customHeight="1" x14ac:dyDescent="0.4">
      <c r="A18" s="245"/>
      <c r="B18" s="246" t="s">
        <v>489</v>
      </c>
      <c r="C18" s="439" t="s">
        <v>490</v>
      </c>
      <c r="D18" s="1345"/>
      <c r="E18" s="1357"/>
      <c r="F18" s="1381"/>
      <c r="G18" s="1365"/>
      <c r="H18" s="1367"/>
      <c r="I18" s="1367"/>
      <c r="J18" s="1345"/>
      <c r="K18" s="1357"/>
      <c r="L18" s="1381"/>
    </row>
    <row r="19" spans="1:12" ht="18" customHeight="1" x14ac:dyDescent="0.55000000000000004">
      <c r="A19" s="247" t="s">
        <v>491</v>
      </c>
      <c r="B19" s="248" t="s">
        <v>492</v>
      </c>
      <c r="C19" s="114" t="s">
        <v>493</v>
      </c>
      <c r="D19" s="331">
        <f>B49-B53-B54</f>
        <v>7105496393</v>
      </c>
      <c r="E19" s="249">
        <f>B49-B53-B54</f>
        <v>7105496393</v>
      </c>
      <c r="F19" s="251">
        <f>B49-B53-B54</f>
        <v>7105496393</v>
      </c>
      <c r="G19" s="331">
        <f>B50*B71+B51*B71-B53-B54</f>
        <v>4600725837</v>
      </c>
      <c r="H19" s="250">
        <f>B50*B71+B51*B71-B53-B54</f>
        <v>4600725837</v>
      </c>
      <c r="I19" s="250">
        <f>B50*B71+B51*B71-B53-B54</f>
        <v>4600725837</v>
      </c>
      <c r="J19" s="331">
        <f>B49-B53-B54</f>
        <v>7105496393</v>
      </c>
      <c r="K19" s="249">
        <f>B49-B53-B54</f>
        <v>7105496393</v>
      </c>
      <c r="L19" s="455">
        <f>B49-B53-B54</f>
        <v>7105496393</v>
      </c>
    </row>
    <row r="20" spans="1:12" ht="18" customHeight="1" x14ac:dyDescent="0.55000000000000004">
      <c r="A20" s="247" t="s">
        <v>494</v>
      </c>
      <c r="B20" s="249">
        <v>274256342</v>
      </c>
      <c r="C20" s="114" t="s">
        <v>493</v>
      </c>
      <c r="D20" s="299"/>
      <c r="E20" s="221"/>
      <c r="F20" s="253"/>
      <c r="G20" s="361"/>
      <c r="H20" s="221"/>
      <c r="I20" s="221"/>
      <c r="J20" s="361"/>
      <c r="K20" s="221"/>
      <c r="L20" s="229"/>
    </row>
    <row r="21" spans="1:12" ht="18" customHeight="1" x14ac:dyDescent="0.55000000000000004">
      <c r="A21" s="247" t="s">
        <v>495</v>
      </c>
      <c r="B21" s="254" t="s">
        <v>492</v>
      </c>
      <c r="C21" s="114" t="s">
        <v>493</v>
      </c>
      <c r="D21" s="331">
        <f>B62*B46*B71*B64</f>
        <v>4153191000.0000005</v>
      </c>
      <c r="E21" s="249">
        <v>0</v>
      </c>
      <c r="F21" s="251">
        <v>0</v>
      </c>
      <c r="G21" s="331">
        <f>B62*B46*B71*B64</f>
        <v>4153191000.0000005</v>
      </c>
      <c r="H21" s="250">
        <v>0</v>
      </c>
      <c r="I21" s="250">
        <v>0</v>
      </c>
      <c r="J21" s="331">
        <f>B62*B46*B71*B64</f>
        <v>4153191000.0000005</v>
      </c>
      <c r="K21" s="249">
        <v>0</v>
      </c>
      <c r="L21" s="158">
        <v>0</v>
      </c>
    </row>
    <row r="22" spans="1:12" ht="18" customHeight="1" x14ac:dyDescent="0.55000000000000004">
      <c r="A22" s="247" t="s">
        <v>496</v>
      </c>
      <c r="B22" s="255">
        <v>174117621</v>
      </c>
      <c r="C22" s="114" t="s">
        <v>493</v>
      </c>
      <c r="D22" s="299"/>
      <c r="E22" s="221"/>
      <c r="F22" s="253"/>
      <c r="G22" s="447"/>
      <c r="H22" s="221"/>
      <c r="I22" s="221"/>
      <c r="J22" s="447"/>
      <c r="K22" s="221"/>
      <c r="L22" s="229"/>
    </row>
    <row r="23" spans="1:12" ht="18" customHeight="1" x14ac:dyDescent="0.55000000000000004">
      <c r="A23" s="247" t="s">
        <v>497</v>
      </c>
      <c r="B23" s="249">
        <v>2469013281</v>
      </c>
      <c r="C23" s="114" t="s">
        <v>493</v>
      </c>
      <c r="D23" s="299"/>
      <c r="E23" s="221"/>
      <c r="F23" s="253"/>
      <c r="G23" s="361"/>
      <c r="H23" s="221"/>
      <c r="I23" s="221"/>
      <c r="J23" s="361"/>
      <c r="K23" s="221"/>
      <c r="L23" s="229"/>
    </row>
    <row r="24" spans="1:12" ht="18" customHeight="1" x14ac:dyDescent="0.55000000000000004">
      <c r="A24" s="247" t="s">
        <v>498</v>
      </c>
      <c r="B24" s="249">
        <f>217071872*B55</f>
        <v>52531393.023999996</v>
      </c>
      <c r="C24" s="114" t="s">
        <v>493</v>
      </c>
      <c r="D24" s="299"/>
      <c r="E24" s="221"/>
      <c r="F24" s="253"/>
      <c r="G24" s="361"/>
      <c r="H24" s="221"/>
      <c r="I24" s="221"/>
      <c r="J24" s="361"/>
      <c r="K24" s="221"/>
      <c r="L24" s="229"/>
    </row>
    <row r="25" spans="1:12" s="262" customFormat="1" ht="18" customHeight="1" x14ac:dyDescent="0.55000000000000004">
      <c r="A25" s="257" t="s">
        <v>499</v>
      </c>
      <c r="B25" s="258" t="s">
        <v>492</v>
      </c>
      <c r="C25" s="440" t="s">
        <v>500</v>
      </c>
      <c r="D25" s="356">
        <f>SUM(B19:B$24)+D19+D21</f>
        <v>14228606030.024</v>
      </c>
      <c r="E25" s="259">
        <f>SUM(B19:B24)+E19+E21</f>
        <v>10075415030.024</v>
      </c>
      <c r="F25" s="261">
        <f>SUM(B19:B24)+F19+F21</f>
        <v>10075415030.024</v>
      </c>
      <c r="G25" s="356">
        <f>SUM(B19:B24)+G19+G21</f>
        <v>11723835474.024</v>
      </c>
      <c r="H25" s="260">
        <f>SUM(B20:B24)+H19+H21</f>
        <v>7570644474.0240002</v>
      </c>
      <c r="I25" s="260">
        <f>SUM(B20:B24)+I19+I21</f>
        <v>7570644474.0240002</v>
      </c>
      <c r="J25" s="356">
        <f>SUM(B19:B24)+J19+J21</f>
        <v>14228606030.024</v>
      </c>
      <c r="K25" s="259">
        <f>SUM(B19:B24)+K19+K21</f>
        <v>10075415030.024</v>
      </c>
      <c r="L25" s="444">
        <f>SUM(B19:B24)+L19+L21</f>
        <v>10075415030.024</v>
      </c>
    </row>
    <row r="26" spans="1:12" ht="18" customHeight="1" x14ac:dyDescent="0.55000000000000004">
      <c r="A26" s="247" t="s">
        <v>501</v>
      </c>
      <c r="B26" s="248" t="s">
        <v>492</v>
      </c>
      <c r="C26" s="114" t="s">
        <v>493</v>
      </c>
      <c r="D26" s="334">
        <f>B56-B57</f>
        <v>1723512633</v>
      </c>
      <c r="E26" s="255">
        <f>B56-B57</f>
        <v>1723512633</v>
      </c>
      <c r="F26" s="264">
        <f>B56-B57</f>
        <v>1723512633</v>
      </c>
      <c r="G26" s="334">
        <f>B56-B57</f>
        <v>1723512633</v>
      </c>
      <c r="H26" s="263">
        <f>B56-B57</f>
        <v>1723512633</v>
      </c>
      <c r="I26" s="263">
        <f>B56-B57</f>
        <v>1723512633</v>
      </c>
      <c r="J26" s="334">
        <f>B56-B57</f>
        <v>1723512633</v>
      </c>
      <c r="K26" s="255">
        <f>B56-B57</f>
        <v>1723512633</v>
      </c>
      <c r="L26" s="455">
        <f>B56-B57</f>
        <v>1723512633</v>
      </c>
    </row>
    <row r="27" spans="1:12" ht="17.149999999999999" x14ac:dyDescent="0.55000000000000004">
      <c r="A27" s="265" t="s">
        <v>502</v>
      </c>
      <c r="B27" s="248" t="s">
        <v>492</v>
      </c>
      <c r="C27" s="114" t="s">
        <v>493</v>
      </c>
      <c r="D27" s="443">
        <f t="shared" ref="D27:L27" si="0">SUM(D25:D26)</f>
        <v>15952118663.024</v>
      </c>
      <c r="E27" s="266">
        <f t="shared" si="0"/>
        <v>11798927663.024</v>
      </c>
      <c r="F27" s="444">
        <f t="shared" si="0"/>
        <v>11798927663.024</v>
      </c>
      <c r="G27" s="443">
        <f t="shared" si="0"/>
        <v>13447348107.024</v>
      </c>
      <c r="H27" s="266">
        <f t="shared" si="0"/>
        <v>9294157107.0240002</v>
      </c>
      <c r="I27" s="453">
        <f t="shared" si="0"/>
        <v>9294157107.0240002</v>
      </c>
      <c r="J27" s="356">
        <f t="shared" si="0"/>
        <v>15952118663.024</v>
      </c>
      <c r="K27" s="259">
        <f t="shared" si="0"/>
        <v>11798927663.024</v>
      </c>
      <c r="L27" s="455">
        <f t="shared" si="0"/>
        <v>11798927663.024</v>
      </c>
    </row>
    <row r="28" spans="1:12" ht="18" customHeight="1" x14ac:dyDescent="0.55000000000000004">
      <c r="A28" s="247" t="s">
        <v>503</v>
      </c>
      <c r="B28" s="254" t="s">
        <v>492</v>
      </c>
      <c r="C28" s="114" t="s">
        <v>493</v>
      </c>
      <c r="D28" s="331">
        <f>B63*B46*B71</f>
        <v>31350000000</v>
      </c>
      <c r="E28" s="267">
        <f>D28-(B46/B70*B64*B65*B71)</f>
        <v>20852857661.253746</v>
      </c>
      <c r="F28" s="445">
        <f>D28-(B46/B70*B64*B66*B71)</f>
        <v>24782451683.31654</v>
      </c>
      <c r="G28" s="334">
        <f>B63*B46*B71</f>
        <v>31350000000</v>
      </c>
      <c r="H28" s="263">
        <f>G28-(B46/B70*B64*B65*B71)</f>
        <v>20852857661.253746</v>
      </c>
      <c r="I28" s="263">
        <f>G28-(B46/B70*B64*B66*B71)</f>
        <v>24782451683.31654</v>
      </c>
      <c r="J28" s="334">
        <f>B63*B46*B71</f>
        <v>31350000000</v>
      </c>
      <c r="K28" s="255">
        <f>J28-(B46/B70*B64*B65*B71)</f>
        <v>20852857661.253746</v>
      </c>
      <c r="L28" s="158">
        <f>J28-(B46/B70*B64*B66*B71)</f>
        <v>24782451683.31654</v>
      </c>
    </row>
    <row r="29" spans="1:12" ht="18" customHeight="1" x14ac:dyDescent="0.55000000000000004">
      <c r="A29" s="268" t="s">
        <v>504</v>
      </c>
      <c r="B29" s="254" t="s">
        <v>492</v>
      </c>
      <c r="C29" s="114" t="s">
        <v>493</v>
      </c>
      <c r="D29" s="331">
        <v>0</v>
      </c>
      <c r="E29" s="249">
        <v>0</v>
      </c>
      <c r="F29" s="251">
        <v>0</v>
      </c>
      <c r="G29" s="331">
        <f>((B47*B60)/B73)*B61*B58*B71</f>
        <v>4682880860.965518</v>
      </c>
      <c r="H29" s="250">
        <f>((B47*B60)/B73)*B61*B58*B71</f>
        <v>4682880860.965518</v>
      </c>
      <c r="I29" s="250">
        <f>((B47*B60)/B73)*B61*B58*B71</f>
        <v>4682880860.965518</v>
      </c>
      <c r="J29" s="331">
        <v>0</v>
      </c>
      <c r="K29" s="249">
        <v>0</v>
      </c>
      <c r="L29" s="158">
        <v>0</v>
      </c>
    </row>
    <row r="30" spans="1:12" ht="18" customHeight="1" x14ac:dyDescent="0.55000000000000004">
      <c r="A30" s="269" t="s">
        <v>505</v>
      </c>
      <c r="B30" s="254" t="s">
        <v>492</v>
      </c>
      <c r="C30" s="114" t="s">
        <v>493</v>
      </c>
      <c r="D30" s="331">
        <v>0</v>
      </c>
      <c r="E30" s="249">
        <v>0</v>
      </c>
      <c r="F30" s="251">
        <v>0</v>
      </c>
      <c r="G30" s="331">
        <v>0</v>
      </c>
      <c r="H30" s="250">
        <v>0</v>
      </c>
      <c r="I30" s="250">
        <v>0</v>
      </c>
      <c r="J30" s="331">
        <f>(B48*B72*B59*B71)</f>
        <v>12415261346.720737</v>
      </c>
      <c r="K30" s="249">
        <f>B48*B72*B59*B71</f>
        <v>12415261346.720737</v>
      </c>
      <c r="L30" s="158">
        <f>B48*B72*B59*B71</f>
        <v>12415261346.720737</v>
      </c>
    </row>
    <row r="31" spans="1:12" s="262" customFormat="1" ht="18" customHeight="1" x14ac:dyDescent="0.55000000000000004">
      <c r="A31" s="257" t="s">
        <v>506</v>
      </c>
      <c r="B31" s="258" t="s">
        <v>492</v>
      </c>
      <c r="C31" s="440" t="s">
        <v>500</v>
      </c>
      <c r="D31" s="356">
        <f t="shared" ref="D31:L31" si="1">SUM(D28:D30)</f>
        <v>31350000000</v>
      </c>
      <c r="E31" s="259">
        <f t="shared" si="1"/>
        <v>20852857661.253746</v>
      </c>
      <c r="F31" s="259">
        <f t="shared" si="1"/>
        <v>24782451683.31654</v>
      </c>
      <c r="G31" s="356">
        <f t="shared" si="1"/>
        <v>36032880860.965515</v>
      </c>
      <c r="H31" s="259">
        <f t="shared" si="1"/>
        <v>25535738522.219265</v>
      </c>
      <c r="I31" s="260">
        <f t="shared" si="1"/>
        <v>29465332544.282059</v>
      </c>
      <c r="J31" s="356">
        <f t="shared" si="1"/>
        <v>43765261346.720734</v>
      </c>
      <c r="K31" s="259">
        <f t="shared" si="1"/>
        <v>33268119007.974483</v>
      </c>
      <c r="L31" s="259">
        <f t="shared" si="1"/>
        <v>37197713030.037277</v>
      </c>
    </row>
    <row r="32" spans="1:12" s="262" customFormat="1" ht="18" customHeight="1" x14ac:dyDescent="0.55000000000000004">
      <c r="A32" s="257" t="s">
        <v>507</v>
      </c>
      <c r="B32" s="270" t="s">
        <v>492</v>
      </c>
      <c r="C32" s="440" t="s">
        <v>500</v>
      </c>
      <c r="D32" s="356">
        <f t="shared" ref="D32:L32" si="2">D31-D27</f>
        <v>15397881336.976</v>
      </c>
      <c r="E32" s="259">
        <f t="shared" si="2"/>
        <v>9053929998.2297459</v>
      </c>
      <c r="F32" s="259">
        <f t="shared" si="2"/>
        <v>12983524020.29254</v>
      </c>
      <c r="G32" s="448">
        <f t="shared" si="2"/>
        <v>22585532753.941513</v>
      </c>
      <c r="H32" s="271">
        <f t="shared" si="2"/>
        <v>16241581415.195265</v>
      </c>
      <c r="I32" s="454">
        <f t="shared" si="2"/>
        <v>20171175437.258057</v>
      </c>
      <c r="J32" s="356">
        <f t="shared" si="2"/>
        <v>27813142683.696732</v>
      </c>
      <c r="K32" s="259">
        <f t="shared" si="2"/>
        <v>21469191344.950485</v>
      </c>
      <c r="L32" s="259">
        <f t="shared" si="2"/>
        <v>25398785367.013275</v>
      </c>
    </row>
    <row r="33" spans="1:12" s="262" customFormat="1" ht="18" customHeight="1" x14ac:dyDescent="0.4">
      <c r="A33" s="272"/>
      <c r="B33" s="273"/>
      <c r="C33" s="274"/>
      <c r="D33" s="358"/>
      <c r="E33" s="275"/>
      <c r="F33" s="276"/>
      <c r="G33" s="359"/>
      <c r="H33" s="275"/>
      <c r="I33" s="275"/>
      <c r="J33" s="359"/>
      <c r="K33" s="275"/>
      <c r="L33" s="451"/>
    </row>
    <row r="34" spans="1:12" s="262" customFormat="1" ht="18" customHeight="1" x14ac:dyDescent="0.55000000000000004">
      <c r="A34" s="257" t="s">
        <v>508</v>
      </c>
      <c r="B34" s="270" t="s">
        <v>509</v>
      </c>
      <c r="C34" s="440" t="s">
        <v>510</v>
      </c>
      <c r="D34" s="361"/>
      <c r="E34" s="256"/>
      <c r="F34" s="362"/>
      <c r="G34" s="363">
        <f>($G$32/B46/B71)</f>
        <v>0.23774245004148961</v>
      </c>
      <c r="H34" s="278">
        <f>($H$32/B46/B71)</f>
        <v>0.17096401489679228</v>
      </c>
      <c r="I34" s="278">
        <f>($I$32/B46/B71)</f>
        <v>0.2123281624974532</v>
      </c>
      <c r="J34" s="363">
        <f>($J$32/B46/B71)</f>
        <v>0.29276992298628141</v>
      </c>
      <c r="K34" s="277">
        <f>($K$32/B46/B71)</f>
        <v>0.22599148784158404</v>
      </c>
      <c r="L34" s="277">
        <f>($L$32/B46/B71)</f>
        <v>0.267355635442245</v>
      </c>
    </row>
    <row r="35" spans="1:12" s="262" customFormat="1" ht="18" customHeight="1" x14ac:dyDescent="0.4">
      <c r="A35" s="272"/>
      <c r="B35" s="273"/>
      <c r="C35" s="274"/>
      <c r="D35" s="358"/>
      <c r="E35" s="275"/>
      <c r="F35" s="276"/>
      <c r="G35" s="359"/>
      <c r="H35" s="275"/>
      <c r="I35" s="275"/>
      <c r="J35" s="359"/>
      <c r="K35" s="275"/>
      <c r="L35" s="451"/>
    </row>
    <row r="36" spans="1:12" s="262" customFormat="1" ht="18" customHeight="1" x14ac:dyDescent="0.55000000000000004">
      <c r="A36" s="268" t="s">
        <v>511</v>
      </c>
      <c r="B36" s="279" t="s">
        <v>512</v>
      </c>
      <c r="C36" s="441" t="s">
        <v>513</v>
      </c>
      <c r="D36" s="367">
        <f>-$D$32/$B$48</f>
        <v>-62.446692333960961</v>
      </c>
      <c r="E36" s="280">
        <f>-$E$32/$B$48</f>
        <v>-36.718556835151553</v>
      </c>
      <c r="F36" s="280">
        <f>-$F$32/$B$48</f>
        <v>-52.655174576441397</v>
      </c>
      <c r="G36" s="449"/>
      <c r="H36" s="275"/>
      <c r="I36" s="275"/>
      <c r="J36" s="449"/>
      <c r="K36" s="275"/>
      <c r="L36" s="451"/>
    </row>
    <row r="37" spans="1:12" s="262" customFormat="1" ht="18" customHeight="1" thickBot="1" x14ac:dyDescent="0.6">
      <c r="A37" s="282" t="s">
        <v>514</v>
      </c>
      <c r="B37" s="283" t="s">
        <v>512</v>
      </c>
      <c r="C37" s="442" t="s">
        <v>510</v>
      </c>
      <c r="D37" s="375">
        <f>($B$67-D36/$B$69)*$B$68*$B$69/$B$71*$B$47/$B$46</f>
        <v>0.38836504373409175</v>
      </c>
      <c r="E37" s="284">
        <f>($B$67-E36/$B$69)*$B$68*$B$69/$B$71*$B$47/$B$46</f>
        <v>0.32388726262059481</v>
      </c>
      <c r="F37" s="446">
        <f>($B$67-F36/$B$69)*$B$68*$B$69/$B$71*$B$47/$B$46</f>
        <v>0.3638263305122385</v>
      </c>
      <c r="G37" s="450"/>
      <c r="H37" s="285"/>
      <c r="I37" s="285"/>
      <c r="J37" s="450"/>
      <c r="K37" s="285"/>
      <c r="L37" s="452"/>
    </row>
    <row r="38" spans="1:12" s="286" customFormat="1" ht="18" customHeight="1" x14ac:dyDescent="0.4">
      <c r="A38" s="1358" t="s">
        <v>515</v>
      </c>
      <c r="B38" s="1358"/>
      <c r="C38" s="1358"/>
      <c r="D38" s="1358"/>
      <c r="E38" s="1358"/>
      <c r="F38" s="1358"/>
      <c r="G38" s="1358"/>
      <c r="H38" s="1358"/>
      <c r="I38" s="1358"/>
    </row>
    <row r="39" spans="1:12" s="262" customFormat="1" ht="18" customHeight="1" x14ac:dyDescent="0.4">
      <c r="A39" s="767" t="s">
        <v>26</v>
      </c>
      <c r="B39" s="273"/>
      <c r="C39" s="274"/>
      <c r="D39" s="287"/>
      <c r="E39" s="287"/>
      <c r="F39" s="281"/>
      <c r="G39" s="275"/>
    </row>
    <row r="40" spans="1:12" s="262" customFormat="1" ht="33" customHeight="1" x14ac:dyDescent="0.4">
      <c r="A40" s="1363" t="s">
        <v>516</v>
      </c>
      <c r="B40" s="1363"/>
      <c r="C40" s="1363"/>
      <c r="D40" s="1363"/>
      <c r="E40" s="1363"/>
      <c r="F40" s="1363"/>
      <c r="G40" s="1363"/>
      <c r="H40" s="1363"/>
      <c r="I40" s="1363"/>
    </row>
    <row r="41" spans="1:12" s="262" customFormat="1" ht="33" customHeight="1" x14ac:dyDescent="0.4">
      <c r="A41" s="288"/>
      <c r="B41" s="288"/>
      <c r="C41" s="288"/>
      <c r="D41" s="288"/>
      <c r="E41" s="288"/>
      <c r="F41" s="288"/>
      <c r="G41" s="288"/>
    </row>
    <row r="42" spans="1:12" ht="15" thickBot="1" x14ac:dyDescent="0.45">
      <c r="E42" s="241"/>
    </row>
    <row r="43" spans="1:12" ht="18" customHeight="1" x14ac:dyDescent="0.4">
      <c r="A43" s="243" t="s">
        <v>485</v>
      </c>
      <c r="B43" s="116" t="s">
        <v>489</v>
      </c>
      <c r="C43" s="116" t="s">
        <v>490</v>
      </c>
      <c r="D43" s="1313" t="s">
        <v>16</v>
      </c>
      <c r="E43" s="1313"/>
      <c r="F43" s="1313"/>
      <c r="G43" s="1360"/>
      <c r="I43" s="1361"/>
      <c r="J43" s="1361"/>
    </row>
    <row r="44" spans="1:12" ht="18" customHeight="1" x14ac:dyDescent="0.4">
      <c r="A44" s="289" t="s">
        <v>517</v>
      </c>
      <c r="B44" s="290">
        <v>0.4</v>
      </c>
      <c r="C44" s="291" t="s">
        <v>518</v>
      </c>
      <c r="D44" s="1310" t="s">
        <v>519</v>
      </c>
      <c r="E44" s="1310"/>
      <c r="F44" s="1310"/>
      <c r="G44" s="1362"/>
    </row>
    <row r="45" spans="1:12" ht="18" customHeight="1" x14ac:dyDescent="0.4">
      <c r="A45" s="289" t="s">
        <v>520</v>
      </c>
      <c r="B45" s="290">
        <v>0.6</v>
      </c>
      <c r="C45" s="291" t="s">
        <v>518</v>
      </c>
      <c r="D45" s="1310" t="s">
        <v>519</v>
      </c>
      <c r="E45" s="1310"/>
      <c r="F45" s="1310"/>
      <c r="G45" s="1362"/>
    </row>
    <row r="46" spans="1:12" ht="18" customHeight="1" x14ac:dyDescent="0.4">
      <c r="A46" s="12" t="s">
        <v>521</v>
      </c>
      <c r="B46" s="292">
        <v>95000</v>
      </c>
      <c r="C46" s="291" t="s">
        <v>522</v>
      </c>
      <c r="D46" s="1310" t="s">
        <v>523</v>
      </c>
      <c r="E46" s="1310"/>
      <c r="F46" s="1310"/>
      <c r="G46" s="1362"/>
    </row>
    <row r="47" spans="1:12" ht="18" customHeight="1" x14ac:dyDescent="0.4">
      <c r="A47" s="10" t="s">
        <v>524</v>
      </c>
      <c r="B47" s="292">
        <v>242940152</v>
      </c>
      <c r="C47" s="293" t="s">
        <v>525</v>
      </c>
      <c r="D47" s="1310" t="s">
        <v>526</v>
      </c>
      <c r="E47" s="1310"/>
      <c r="F47" s="1310"/>
      <c r="G47" s="1362"/>
    </row>
    <row r="48" spans="1:12" ht="18" customHeight="1" x14ac:dyDescent="0.4">
      <c r="A48" s="10" t="s">
        <v>524</v>
      </c>
      <c r="B48" s="292">
        <v>246576412</v>
      </c>
      <c r="C48" s="293" t="s">
        <v>527</v>
      </c>
      <c r="D48" s="1310" t="s">
        <v>526</v>
      </c>
      <c r="E48" s="1310"/>
      <c r="F48" s="1310"/>
      <c r="G48" s="1362"/>
    </row>
    <row r="49" spans="1:11" s="296" customFormat="1" ht="18" customHeight="1" x14ac:dyDescent="0.4">
      <c r="A49" s="12" t="s">
        <v>528</v>
      </c>
      <c r="B49" s="297">
        <v>20041942594</v>
      </c>
      <c r="C49" s="291" t="s">
        <v>493</v>
      </c>
      <c r="D49" s="1317" t="s">
        <v>526</v>
      </c>
      <c r="E49" s="1317"/>
      <c r="F49" s="1317"/>
      <c r="G49" s="1359"/>
    </row>
    <row r="50" spans="1:11" s="296" customFormat="1" ht="18" customHeight="1" x14ac:dyDescent="0.4">
      <c r="A50" s="299" t="s">
        <v>529</v>
      </c>
      <c r="B50" s="300">
        <v>15944.732038</v>
      </c>
      <c r="C50" s="291" t="s">
        <v>530</v>
      </c>
      <c r="D50" s="1390" t="s">
        <v>531</v>
      </c>
      <c r="E50" s="1390"/>
      <c r="F50" s="1390"/>
      <c r="G50" s="1391"/>
    </row>
    <row r="51" spans="1:11" s="296" customFormat="1" ht="18" customHeight="1" x14ac:dyDescent="0.4">
      <c r="A51" s="12" t="s">
        <v>532</v>
      </c>
      <c r="B51" s="300">
        <v>1592.44</v>
      </c>
      <c r="C51" s="291" t="s">
        <v>530</v>
      </c>
      <c r="D51" s="1317" t="s">
        <v>533</v>
      </c>
      <c r="E51" s="1317"/>
      <c r="F51" s="1317"/>
      <c r="G51" s="1359"/>
    </row>
    <row r="52" spans="1:11" s="296" customFormat="1" ht="18" customHeight="1" x14ac:dyDescent="0.4">
      <c r="A52" s="12" t="s">
        <v>534</v>
      </c>
      <c r="B52" s="300">
        <v>2500.0700000000002</v>
      </c>
      <c r="C52" s="291" t="s">
        <v>530</v>
      </c>
      <c r="D52" s="1317" t="s">
        <v>533</v>
      </c>
      <c r="E52" s="1317"/>
      <c r="F52" s="1317"/>
      <c r="G52" s="1359"/>
    </row>
    <row r="53" spans="1:11" s="296" customFormat="1" ht="18" customHeight="1" x14ac:dyDescent="0.4">
      <c r="A53" s="12" t="s">
        <v>535</v>
      </c>
      <c r="B53" s="301">
        <v>4863345978</v>
      </c>
      <c r="C53" s="291" t="s">
        <v>493</v>
      </c>
      <c r="D53" s="1317" t="s">
        <v>536</v>
      </c>
      <c r="E53" s="1317"/>
      <c r="F53" s="1317"/>
      <c r="G53" s="1359"/>
    </row>
    <row r="54" spans="1:11" s="296" customFormat="1" ht="18" customHeight="1" x14ac:dyDescent="0.4">
      <c r="A54" s="12" t="s">
        <v>537</v>
      </c>
      <c r="B54" s="301">
        <v>8073100223</v>
      </c>
      <c r="C54" s="291" t="s">
        <v>493</v>
      </c>
      <c r="D54" s="1317" t="s">
        <v>536</v>
      </c>
      <c r="E54" s="1317"/>
      <c r="F54" s="1317"/>
      <c r="G54" s="1359"/>
    </row>
    <row r="55" spans="1:11" s="296" customFormat="1" ht="18" customHeight="1" x14ac:dyDescent="0.4">
      <c r="A55" s="12" t="s">
        <v>538</v>
      </c>
      <c r="B55" s="302">
        <v>0.24199999999999999</v>
      </c>
      <c r="C55" s="291" t="s">
        <v>518</v>
      </c>
      <c r="D55" s="1382" t="s">
        <v>539</v>
      </c>
      <c r="E55" s="1383"/>
      <c r="F55" s="1383"/>
      <c r="G55" s="1384"/>
    </row>
    <row r="56" spans="1:11" s="296" customFormat="1" ht="18" customHeight="1" x14ac:dyDescent="0.4">
      <c r="A56" s="12" t="s">
        <v>540</v>
      </c>
      <c r="B56" s="301">
        <v>15010051543</v>
      </c>
      <c r="C56" s="291" t="s">
        <v>493</v>
      </c>
      <c r="D56" s="1382" t="s">
        <v>541</v>
      </c>
      <c r="E56" s="1383"/>
      <c r="F56" s="1383"/>
      <c r="G56" s="1384"/>
    </row>
    <row r="57" spans="1:11" s="296" customFormat="1" ht="18" customHeight="1" x14ac:dyDescent="0.4">
      <c r="A57" s="12" t="s">
        <v>542</v>
      </c>
      <c r="B57" s="301">
        <f>13147596127+138942783</f>
        <v>13286538910</v>
      </c>
      <c r="C57" s="291" t="s">
        <v>493</v>
      </c>
      <c r="D57" s="1382" t="s">
        <v>541</v>
      </c>
      <c r="E57" s="1383"/>
      <c r="F57" s="1383"/>
      <c r="G57" s="1384"/>
    </row>
    <row r="58" spans="1:11" s="296" customFormat="1" ht="18" customHeight="1" x14ac:dyDescent="0.4">
      <c r="A58" s="12" t="s">
        <v>544</v>
      </c>
      <c r="B58" s="559">
        <f>'GHG ERFs'!B87</f>
        <v>2.2790000000000001E-4</v>
      </c>
      <c r="C58" s="291" t="s">
        <v>34</v>
      </c>
      <c r="D58" s="1385" t="s">
        <v>545</v>
      </c>
      <c r="E58" s="1385"/>
      <c r="F58" s="1385"/>
      <c r="G58" s="1386"/>
      <c r="H58" s="303"/>
    </row>
    <row r="59" spans="1:11" s="296" customFormat="1" ht="18" customHeight="1" x14ac:dyDescent="0.4">
      <c r="A59" s="12" t="s">
        <v>546</v>
      </c>
      <c r="B59" s="304">
        <v>5.3109999999999997E-3</v>
      </c>
      <c r="C59" s="291" t="s">
        <v>547</v>
      </c>
      <c r="D59" s="1387" t="s">
        <v>548</v>
      </c>
      <c r="E59" s="1388"/>
      <c r="F59" s="1388"/>
      <c r="G59" s="1389"/>
      <c r="H59" s="303"/>
      <c r="I59" s="305"/>
      <c r="J59" s="305"/>
      <c r="K59" s="303"/>
    </row>
    <row r="60" spans="1:11" ht="48" customHeight="1" x14ac:dyDescent="0.4">
      <c r="A60" s="12" t="s">
        <v>549</v>
      </c>
      <c r="B60" s="291">
        <v>962</v>
      </c>
      <c r="C60" s="291" t="s">
        <v>550</v>
      </c>
      <c r="D60" s="1401" t="s">
        <v>551</v>
      </c>
      <c r="E60" s="1401"/>
      <c r="F60" s="1401"/>
      <c r="G60" s="1402"/>
      <c r="H60" s="305"/>
      <c r="K60" s="305"/>
    </row>
    <row r="61" spans="1:11" ht="18" customHeight="1" x14ac:dyDescent="0.4">
      <c r="A61" s="12" t="s">
        <v>552</v>
      </c>
      <c r="B61" s="291">
        <v>0.3</v>
      </c>
      <c r="C61" s="293"/>
      <c r="D61" s="1370" t="s">
        <v>553</v>
      </c>
      <c r="E61" s="1370"/>
      <c r="F61" s="1370"/>
      <c r="G61" s="1371"/>
    </row>
    <row r="62" spans="1:11" ht="33" customHeight="1" x14ac:dyDescent="0.4">
      <c r="A62" s="12" t="s">
        <v>554</v>
      </c>
      <c r="B62" s="306">
        <f>(AVERAGE([16]Compost!C22,[16]Compost!C22*0.49)+AVERAGE([16]Compost!C23,[16]Compost!C23*0.48))</f>
        <v>5.2045000000000008E-2</v>
      </c>
      <c r="C62" s="291" t="s">
        <v>555</v>
      </c>
      <c r="D62" s="1372" t="s">
        <v>1015</v>
      </c>
      <c r="E62" s="1373"/>
      <c r="F62" s="1373"/>
      <c r="G62" s="1374"/>
    </row>
    <row r="63" spans="1:11" ht="33" customHeight="1" x14ac:dyDescent="0.4">
      <c r="A63" s="307" t="s">
        <v>557</v>
      </c>
      <c r="B63" s="308">
        <v>0.33</v>
      </c>
      <c r="C63" s="291" t="s">
        <v>555</v>
      </c>
      <c r="D63" s="1375" t="s">
        <v>1015</v>
      </c>
      <c r="E63" s="1376"/>
      <c r="F63" s="1376"/>
      <c r="G63" s="1377"/>
    </row>
    <row r="64" spans="1:11" ht="18" customHeight="1" x14ac:dyDescent="0.4">
      <c r="A64" s="12" t="s">
        <v>558</v>
      </c>
      <c r="B64" s="309">
        <v>0.84</v>
      </c>
      <c r="C64" s="293" t="s">
        <v>518</v>
      </c>
      <c r="D64" s="1310" t="s">
        <v>559</v>
      </c>
      <c r="E64" s="1310"/>
      <c r="F64" s="1310"/>
      <c r="G64" s="1362"/>
    </row>
    <row r="65" spans="1:10" ht="33" customHeight="1" x14ac:dyDescent="0.4">
      <c r="A65" s="12" t="s">
        <v>713</v>
      </c>
      <c r="B65" s="553">
        <f>AVERAGE(0.067, 0.15, 0.218)</f>
        <v>0.14499999999999999</v>
      </c>
      <c r="C65" s="291" t="s">
        <v>560</v>
      </c>
      <c r="D65" s="1378" t="s">
        <v>561</v>
      </c>
      <c r="E65" s="1378"/>
      <c r="F65" s="1378"/>
      <c r="G65" s="1379"/>
    </row>
    <row r="66" spans="1:10" ht="33" customHeight="1" x14ac:dyDescent="0.4">
      <c r="A66" s="12" t="s">
        <v>714</v>
      </c>
      <c r="B66" s="462">
        <f>0.1/B70</f>
        <v>9.0719404880703985E-2</v>
      </c>
      <c r="C66" s="291" t="s">
        <v>57</v>
      </c>
      <c r="D66" s="1378" t="s">
        <v>715</v>
      </c>
      <c r="E66" s="1378"/>
      <c r="F66" s="1378"/>
      <c r="G66" s="1379"/>
    </row>
    <row r="67" spans="1:10" ht="33" customHeight="1" x14ac:dyDescent="0.4">
      <c r="A67" s="12" t="s">
        <v>562</v>
      </c>
      <c r="B67" s="293">
        <v>102.8</v>
      </c>
      <c r="C67" s="291" t="s">
        <v>513</v>
      </c>
      <c r="D67" s="1378" t="s">
        <v>563</v>
      </c>
      <c r="E67" s="1378"/>
      <c r="F67" s="1378"/>
      <c r="G67" s="1379"/>
    </row>
    <row r="68" spans="1:10" ht="33" customHeight="1" x14ac:dyDescent="0.4">
      <c r="A68" s="310" t="s">
        <v>564</v>
      </c>
      <c r="B68" s="311">
        <v>0.98</v>
      </c>
      <c r="C68" s="291" t="s">
        <v>565</v>
      </c>
      <c r="D68" s="1378" t="s">
        <v>566</v>
      </c>
      <c r="E68" s="1378"/>
      <c r="F68" s="1378"/>
      <c r="G68" s="1379"/>
    </row>
    <row r="69" spans="1:10" ht="33" customHeight="1" x14ac:dyDescent="0.4">
      <c r="A69" s="310" t="s">
        <v>567</v>
      </c>
      <c r="B69" s="311">
        <v>0.9</v>
      </c>
      <c r="C69" s="552" t="s">
        <v>780</v>
      </c>
      <c r="D69" s="1370" t="s">
        <v>568</v>
      </c>
      <c r="E69" s="1370"/>
      <c r="F69" s="1370"/>
      <c r="G69" s="1371"/>
    </row>
    <row r="70" spans="1:10" ht="18" customHeight="1" x14ac:dyDescent="0.4">
      <c r="A70" s="12" t="s">
        <v>569</v>
      </c>
      <c r="B70" s="309">
        <v>1.1023000000000001</v>
      </c>
      <c r="C70" s="291" t="s">
        <v>570</v>
      </c>
      <c r="D70" s="1396"/>
      <c r="E70" s="1396"/>
      <c r="F70" s="1396"/>
      <c r="G70" s="1397"/>
    </row>
    <row r="71" spans="1:10" ht="18" customHeight="1" x14ac:dyDescent="0.4">
      <c r="A71" s="12" t="s">
        <v>569</v>
      </c>
      <c r="B71" s="301">
        <v>1000000</v>
      </c>
      <c r="C71" s="293" t="s">
        <v>571</v>
      </c>
      <c r="D71" s="1310"/>
      <c r="E71" s="1310"/>
      <c r="F71" s="1310"/>
      <c r="G71" s="1362"/>
      <c r="I71" s="296"/>
      <c r="J71" s="296"/>
    </row>
    <row r="72" spans="1:10" s="296" customFormat="1" ht="18" customHeight="1" x14ac:dyDescent="0.4">
      <c r="A72" s="312" t="s">
        <v>569</v>
      </c>
      <c r="B72" s="313">
        <v>9.4804299999999998E-3</v>
      </c>
      <c r="C72" s="314" t="s">
        <v>572</v>
      </c>
      <c r="D72" s="1398"/>
      <c r="E72" s="1399"/>
      <c r="F72" s="1399"/>
      <c r="G72" s="1400"/>
      <c r="I72"/>
      <c r="J72"/>
    </row>
    <row r="73" spans="1:10" ht="18" customHeight="1" thickBot="1" x14ac:dyDescent="0.45">
      <c r="A73" s="178" t="s">
        <v>569</v>
      </c>
      <c r="B73" s="315">
        <v>3412.14</v>
      </c>
      <c r="C73" s="315" t="s">
        <v>573</v>
      </c>
      <c r="D73" s="1392"/>
      <c r="E73" s="1392"/>
      <c r="F73" s="1392"/>
      <c r="G73" s="1393"/>
    </row>
    <row r="74" spans="1:10" x14ac:dyDescent="0.4">
      <c r="A74" s="316"/>
      <c r="B74" s="45"/>
      <c r="C74" s="45"/>
      <c r="E74" s="316"/>
      <c r="F74" s="316"/>
      <c r="G74" s="316"/>
    </row>
    <row r="75" spans="1:10" x14ac:dyDescent="0.4">
      <c r="A75" s="316"/>
      <c r="B75" s="45"/>
      <c r="C75" s="45"/>
      <c r="E75" s="316"/>
      <c r="F75" s="316"/>
      <c r="G75" s="316"/>
      <c r="I75" s="26"/>
      <c r="J75" s="26"/>
    </row>
    <row r="76" spans="1:10" s="26" customFormat="1" ht="18" customHeight="1" x14ac:dyDescent="0.4">
      <c r="A76" s="1394" t="s">
        <v>574</v>
      </c>
      <c r="B76" s="1394"/>
      <c r="C76" s="1394"/>
      <c r="D76" s="1394"/>
      <c r="E76" s="1394"/>
      <c r="F76" s="1394"/>
      <c r="G76" s="1394"/>
    </row>
    <row r="77" spans="1:10" s="26" customFormat="1" ht="18" customHeight="1" x14ac:dyDescent="0.4">
      <c r="A77" s="1394" t="s">
        <v>575</v>
      </c>
      <c r="B77" s="1394"/>
      <c r="C77" s="1394"/>
      <c r="D77" s="1394"/>
      <c r="E77" s="1394"/>
      <c r="F77" s="1394"/>
      <c r="G77" s="1394"/>
    </row>
    <row r="78" spans="1:10" s="26" customFormat="1" ht="33" customHeight="1" x14ac:dyDescent="0.4">
      <c r="A78" s="1341" t="s">
        <v>576</v>
      </c>
      <c r="B78" s="1341"/>
      <c r="C78" s="1341"/>
      <c r="D78" s="1341"/>
      <c r="E78" s="1341"/>
      <c r="F78" s="1341"/>
      <c r="G78" s="1341"/>
      <c r="I78" s="239"/>
      <c r="J78" s="239"/>
    </row>
    <row r="79" spans="1:10" s="239" customFormat="1" ht="33" customHeight="1" x14ac:dyDescent="0.4">
      <c r="A79" s="1341" t="s">
        <v>577</v>
      </c>
      <c r="B79" s="1341"/>
      <c r="C79" s="1341"/>
      <c r="D79" s="1341"/>
      <c r="E79" s="1341"/>
      <c r="F79" s="1341"/>
      <c r="G79" s="1341"/>
      <c r="I79" s="26"/>
      <c r="J79" s="26"/>
    </row>
    <row r="80" spans="1:10" s="26" customFormat="1" ht="18" customHeight="1" x14ac:dyDescent="0.4">
      <c r="A80" s="26" t="s">
        <v>578</v>
      </c>
      <c r="I80" s="317"/>
      <c r="J80" s="317"/>
    </row>
    <row r="81" spans="1:10" s="317" customFormat="1" ht="18" customHeight="1" x14ac:dyDescent="0.4">
      <c r="A81" s="1395" t="s">
        <v>579</v>
      </c>
      <c r="B81" s="1395"/>
      <c r="C81" s="1395"/>
      <c r="D81" s="1395"/>
      <c r="E81" s="1395"/>
      <c r="F81" s="1395"/>
      <c r="G81" s="1395"/>
      <c r="I81" s="26"/>
      <c r="J81" s="26"/>
    </row>
    <row r="82" spans="1:10" s="26" customFormat="1" ht="33" customHeight="1" x14ac:dyDescent="0.4">
      <c r="A82" s="1341" t="s">
        <v>580</v>
      </c>
      <c r="B82" s="1341"/>
      <c r="C82" s="1341"/>
      <c r="D82" s="1341"/>
      <c r="E82" s="1341"/>
      <c r="F82" s="1341"/>
      <c r="G82" s="1341"/>
      <c r="I82"/>
      <c r="J82"/>
    </row>
  </sheetData>
  <sheetProtection algorithmName="SHA-512" hashValue="kRCc4B1d3C7/umjieEtOaS/udiEjUXgOgBYJUeDE1UOlO+RXaru5+/eBlL+Z157WdR1Q/gb5SGr8LfVJQc7hPw==" saltValue="Vdr+SwoMA501vQHGuRtzTQ==" spinCount="100000" sheet="1" objects="1" scenarios="1"/>
  <mergeCells count="66">
    <mergeCell ref="A82:G82"/>
    <mergeCell ref="F17:F18"/>
    <mergeCell ref="I17:I18"/>
    <mergeCell ref="D73:G73"/>
    <mergeCell ref="A76:G76"/>
    <mergeCell ref="A77:G77"/>
    <mergeCell ref="A78:G78"/>
    <mergeCell ref="A79:G79"/>
    <mergeCell ref="A81:G81"/>
    <mergeCell ref="D67:G67"/>
    <mergeCell ref="D68:G68"/>
    <mergeCell ref="D69:G69"/>
    <mergeCell ref="D70:G70"/>
    <mergeCell ref="D71:G71"/>
    <mergeCell ref="D72:G72"/>
    <mergeCell ref="D60:G60"/>
    <mergeCell ref="L17:L18"/>
    <mergeCell ref="D66:G66"/>
    <mergeCell ref="D9:E9"/>
    <mergeCell ref="D10:E10"/>
    <mergeCell ref="D11:E11"/>
    <mergeCell ref="D12:E12"/>
    <mergeCell ref="D54:G54"/>
    <mergeCell ref="D55:G55"/>
    <mergeCell ref="D56:G56"/>
    <mergeCell ref="D57:G57"/>
    <mergeCell ref="D58:G58"/>
    <mergeCell ref="D59:G59"/>
    <mergeCell ref="D48:G48"/>
    <mergeCell ref="D49:G49"/>
    <mergeCell ref="D50:G50"/>
    <mergeCell ref="D51:G51"/>
    <mergeCell ref="D61:G61"/>
    <mergeCell ref="D62:G62"/>
    <mergeCell ref="D63:G63"/>
    <mergeCell ref="D64:G64"/>
    <mergeCell ref="D65:G65"/>
    <mergeCell ref="K17:K18"/>
    <mergeCell ref="A38:I38"/>
    <mergeCell ref="D52:G52"/>
    <mergeCell ref="D53:G53"/>
    <mergeCell ref="D43:G43"/>
    <mergeCell ref="I43:J43"/>
    <mergeCell ref="D44:G44"/>
    <mergeCell ref="D45:G45"/>
    <mergeCell ref="D46:G46"/>
    <mergeCell ref="D47:G47"/>
    <mergeCell ref="A40:I40"/>
    <mergeCell ref="G17:G18"/>
    <mergeCell ref="H17:H18"/>
    <mergeCell ref="B17:C17"/>
    <mergeCell ref="D17:D18"/>
    <mergeCell ref="E17:E18"/>
    <mergeCell ref="D13:E13"/>
    <mergeCell ref="J17:J18"/>
    <mergeCell ref="F12:G12"/>
    <mergeCell ref="F13:G13"/>
    <mergeCell ref="A4:I4"/>
    <mergeCell ref="B9:C9"/>
    <mergeCell ref="B10:C10"/>
    <mergeCell ref="B11:C11"/>
    <mergeCell ref="F9:G9"/>
    <mergeCell ref="F10:G10"/>
    <mergeCell ref="F11:G11"/>
    <mergeCell ref="B12:C12"/>
    <mergeCell ref="B13:C13"/>
  </mergeCells>
  <hyperlinks>
    <hyperlink ref="D65" r:id="rId1" xr:uid="{00000000-0004-0000-0E00-000000000000}"/>
    <hyperlink ref="A5" r:id="rId2" tooltip="California Air Resources Board, Low Carbon Fuel Standard (LCFS) Pathway for the Production of Biomethane from High Solids Anaerobic Digestion (HSAD) of Organic (Food and Green) Wastes" xr:uid="{00000000-0004-0000-0E00-000001000000}"/>
    <hyperlink ref="D58" r:id="rId3" display="ARB GHG inventory" xr:uid="{00000000-0004-0000-0E00-000002000000}"/>
    <hyperlink ref="D60:G60" r:id="rId4" tooltip="LCFS Pathway for the Production of Biomethane from the" display="http://www.arb.ca.gov/fuels/lcfs/121514wastewater.pdf" xr:uid="{00000000-0004-0000-0E00-000003000000}"/>
    <hyperlink ref="D61" r:id="rId5" xr:uid="{00000000-0004-0000-0E00-000004000000}"/>
    <hyperlink ref="D67:G67" r:id="rId6" display="California Air Resources Board, Final Statement of Reasons, Re-Adoption of the Low Carbon Fuel Standard (2015)" xr:uid="{00000000-0004-0000-0E00-000005000000}"/>
    <hyperlink ref="D68" r:id="rId7" xr:uid="{00000000-0004-0000-0E00-000006000000}"/>
    <hyperlink ref="D69" r:id="rId8" xr:uid="{00000000-0004-0000-0E00-000007000000}"/>
    <hyperlink ref="D58:G58" r:id="rId9" display="ARB GHG Inventory (2013)" xr:uid="{00000000-0004-0000-0E00-000008000000}"/>
    <hyperlink ref="D62:G62" r:id="rId10" display="Draft Method for Estimating Greenhouse Gas Emission Reductions from Composting of Commercial Organic Waste (2016)" xr:uid="{00000000-0004-0000-0E00-000009000000}"/>
    <hyperlink ref="D63:G63" r:id="rId11" display="Method for Estimating Greenhouse Gas Emission Reductions from Composting of Commercial Organic Waste (2017)" xr:uid="{00000000-0004-0000-0E00-00000A000000}"/>
    <hyperlink ref="A39" r:id="rId12" tooltip="Low Carbon Fuel Standard (LCFS) Pathway for the Production of Biomethane from High Solids Anaerobic Digestion" xr:uid="{00000000-0004-0000-0E00-00000B000000}"/>
    <hyperlink ref="D59:G59" r:id="rId13" display="EPA Emission Factors for Greenhouse Gas Inventories (2014)" xr:uid="{00000000-0004-0000-0E00-00000C000000}"/>
    <hyperlink ref="D68:G68" r:id="rId14" display="Rulemaking to Consider the Proposed Regulation to Implement the Low Carbon Fuel Standard; Table 5" xr:uid="{00000000-0004-0000-0E00-00000D000000}"/>
    <hyperlink ref="D69:G69" r:id="rId15" display="Low Carbon Fuel Standard Regulation" xr:uid="{00000000-0004-0000-0E00-00000E000000}"/>
    <hyperlink ref="D66" r:id="rId16" display="Climate Action Reserve Organic Waste Digestion Project Protocol v 2.1 Table B.4 used with equation 5.18" xr:uid="{00000000-0004-0000-0E00-00000F000000}"/>
  </hyperlinks>
  <pageMargins left="0.7" right="0.7" top="0.75" bottom="0.75" header="0.3" footer="0.3"/>
  <pageSetup scale="37" orientation="portrait" r:id="rId17"/>
  <headerFooter>
    <oddFooter>&amp;CPage 7 of 11&amp;RStandalone Anaerobic Digestion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89"/>
  <sheetViews>
    <sheetView showGridLines="0" zoomScaleNormal="100" workbookViewId="0">
      <selection activeCell="E29" sqref="E29"/>
    </sheetView>
  </sheetViews>
  <sheetFormatPr defaultRowHeight="14.6" x14ac:dyDescent="0.4"/>
  <cols>
    <col min="1" max="1" width="54.3046875" bestFit="1" customWidth="1"/>
    <col min="2" max="2" width="15.84375" customWidth="1"/>
    <col min="3" max="3" width="21.3046875" customWidth="1"/>
    <col min="4" max="4" width="21.84375" customWidth="1"/>
    <col min="5" max="5" width="22.3828125" customWidth="1"/>
    <col min="6" max="6" width="22.84375" customWidth="1"/>
    <col min="7" max="7" width="20.15234375" customWidth="1"/>
    <col min="8" max="8" width="21.15234375" customWidth="1"/>
    <col min="9" max="9" width="19.53515625" customWidth="1"/>
    <col min="10" max="10" width="20.15234375" customWidth="1"/>
    <col min="11" max="11" width="20.3828125" customWidth="1"/>
    <col min="12" max="12" width="19.84375" customWidth="1"/>
    <col min="13" max="13" width="21" customWidth="1"/>
    <col min="14" max="14" width="21.15234375" customWidth="1"/>
    <col min="15" max="15" width="19.84375" customWidth="1"/>
    <col min="16" max="16" width="18.53515625" customWidth="1"/>
    <col min="17" max="17" width="18.15234375" customWidth="1"/>
    <col min="18" max="18" width="17.69140625" customWidth="1"/>
    <col min="19" max="19" width="20.69140625" customWidth="1"/>
    <col min="20" max="20" width="20" customWidth="1"/>
  </cols>
  <sheetData>
    <row r="1" spans="1:9" ht="18.45" x14ac:dyDescent="0.5">
      <c r="A1" s="1" t="s">
        <v>581</v>
      </c>
      <c r="B1" s="1"/>
    </row>
    <row r="2" spans="1:9" ht="18.45" x14ac:dyDescent="0.5">
      <c r="A2" s="1"/>
      <c r="B2" s="1"/>
    </row>
    <row r="3" spans="1:9" x14ac:dyDescent="0.4">
      <c r="A3" s="4" t="s">
        <v>449</v>
      </c>
      <c r="B3" s="4"/>
      <c r="C3" s="4"/>
      <c r="D3" s="4"/>
      <c r="E3" s="4"/>
      <c r="F3" s="4"/>
      <c r="G3" s="4"/>
      <c r="H3" s="4"/>
      <c r="I3" s="4"/>
    </row>
    <row r="4" spans="1:9" ht="15" customHeight="1" x14ac:dyDescent="0.4">
      <c r="A4" s="1311" t="s">
        <v>582</v>
      </c>
      <c r="B4" s="1311"/>
      <c r="C4" s="1311"/>
      <c r="D4" s="1311"/>
      <c r="E4" s="1311"/>
      <c r="F4" s="1311"/>
      <c r="G4" s="1311"/>
      <c r="H4" s="1311"/>
      <c r="I4" s="1311"/>
    </row>
    <row r="5" spans="1:9" x14ac:dyDescent="0.4">
      <c r="A5" s="767" t="s">
        <v>27</v>
      </c>
      <c r="B5" s="226"/>
      <c r="C5" s="226"/>
      <c r="D5" s="226"/>
      <c r="E5" s="226"/>
      <c r="F5" s="226"/>
      <c r="G5" s="226"/>
      <c r="H5" s="226"/>
      <c r="I5" s="226"/>
    </row>
    <row r="6" spans="1:9" x14ac:dyDescent="0.4">
      <c r="A6" t="s">
        <v>450</v>
      </c>
    </row>
    <row r="8" spans="1:9" ht="15" thickBot="1" x14ac:dyDescent="0.45"/>
    <row r="9" spans="1:9" ht="45.75" customHeight="1" thickBot="1" x14ac:dyDescent="0.45">
      <c r="A9" s="318" t="s">
        <v>583</v>
      </c>
      <c r="B9" s="1406" t="s">
        <v>584</v>
      </c>
      <c r="C9" s="1407"/>
      <c r="D9" s="1408" t="s">
        <v>585</v>
      </c>
      <c r="E9" s="1407"/>
      <c r="F9" s="1408" t="s">
        <v>722</v>
      </c>
      <c r="G9" s="1407"/>
    </row>
    <row r="10" spans="1:9" x14ac:dyDescent="0.4">
      <c r="A10" s="475" t="s">
        <v>586</v>
      </c>
      <c r="B10" s="1409">
        <f>ROUND(C42,2)</f>
        <v>0.3</v>
      </c>
      <c r="C10" s="1410"/>
      <c r="D10" s="1411">
        <f>ROUND(E42,2)</f>
        <v>0.28000000000000003</v>
      </c>
      <c r="E10" s="1410"/>
      <c r="F10" s="1411">
        <f>ROUND(G42,2)</f>
        <v>0.28999999999999998</v>
      </c>
      <c r="G10" s="1410"/>
    </row>
    <row r="11" spans="1:9" ht="15" thickBot="1" x14ac:dyDescent="0.45">
      <c r="A11" s="319" t="s">
        <v>587</v>
      </c>
      <c r="B11" s="1403">
        <f>ROUND(D42,2)</f>
        <v>0.27</v>
      </c>
      <c r="C11" s="1404"/>
      <c r="D11" s="1405">
        <f>ROUND(F42,2)</f>
        <v>0.26</v>
      </c>
      <c r="E11" s="1404"/>
      <c r="F11" s="1405">
        <f>ROUND(H42,2)</f>
        <v>0.27</v>
      </c>
      <c r="G11" s="1404"/>
    </row>
    <row r="12" spans="1:9" x14ac:dyDescent="0.4">
      <c r="A12" s="475" t="s">
        <v>588</v>
      </c>
      <c r="B12" s="1412">
        <f>ROUND(I39,2)</f>
        <v>0.2</v>
      </c>
      <c r="C12" s="1413"/>
      <c r="D12" s="1414">
        <f>ROUND(K39,2)</f>
        <v>0.15</v>
      </c>
      <c r="E12" s="1413"/>
      <c r="F12" s="1414">
        <f>ROUND(M39,2)</f>
        <v>0.18</v>
      </c>
      <c r="G12" s="1413"/>
    </row>
    <row r="13" spans="1:9" ht="15" thickBot="1" x14ac:dyDescent="0.45">
      <c r="A13" s="319" t="s">
        <v>589</v>
      </c>
      <c r="B13" s="1403">
        <f>ROUND(J39,2)</f>
        <v>0.33</v>
      </c>
      <c r="C13" s="1404"/>
      <c r="D13" s="1405">
        <f>ROUND(L39,2)</f>
        <v>0.28000000000000003</v>
      </c>
      <c r="E13" s="1404"/>
      <c r="F13" s="1405">
        <f>ROUND(N39,2)</f>
        <v>0.31</v>
      </c>
      <c r="G13" s="1404"/>
    </row>
    <row r="14" spans="1:9" x14ac:dyDescent="0.4">
      <c r="A14" s="475" t="s">
        <v>590</v>
      </c>
      <c r="B14" s="1412">
        <f>ROUND(O39,2)</f>
        <v>0.28000000000000003</v>
      </c>
      <c r="C14" s="1413"/>
      <c r="D14" s="1414">
        <f>ROUND(Q39,2)</f>
        <v>0.23</v>
      </c>
      <c r="E14" s="1413"/>
      <c r="F14" s="1414">
        <f>ROUND(S39,2)</f>
        <v>0.26</v>
      </c>
      <c r="G14" s="1413"/>
    </row>
    <row r="15" spans="1:9" ht="15" thickBot="1" x14ac:dyDescent="0.45">
      <c r="A15" s="319" t="s">
        <v>591</v>
      </c>
      <c r="B15" s="1403">
        <f>ROUND(P39,2)</f>
        <v>0.4</v>
      </c>
      <c r="C15" s="1404"/>
      <c r="D15" s="1405">
        <f>ROUND(R39,2)</f>
        <v>0.34</v>
      </c>
      <c r="E15" s="1404"/>
      <c r="F15" s="1405">
        <f>ROUND(T39,2)</f>
        <v>0.38</v>
      </c>
      <c r="G15" s="1404"/>
    </row>
    <row r="16" spans="1:9" ht="15" thickBot="1" x14ac:dyDescent="0.45">
      <c r="A16" s="476" t="s">
        <v>483</v>
      </c>
      <c r="B16" s="1415">
        <v>0.39</v>
      </c>
      <c r="C16" s="1416"/>
      <c r="D16" s="1417"/>
      <c r="E16" s="1418"/>
      <c r="F16" s="1417"/>
      <c r="G16" s="1418"/>
    </row>
    <row r="19" spans="1:20" ht="15" thickBot="1" x14ac:dyDescent="0.45">
      <c r="A19" t="s">
        <v>592</v>
      </c>
    </row>
    <row r="20" spans="1:20" ht="31.5" customHeight="1" x14ac:dyDescent="0.4">
      <c r="A20" s="1419" t="s">
        <v>485</v>
      </c>
      <c r="B20" s="320" t="s">
        <v>486</v>
      </c>
      <c r="C20" s="1421" t="s">
        <v>593</v>
      </c>
      <c r="D20" s="1423" t="s">
        <v>594</v>
      </c>
      <c r="E20" s="1423" t="s">
        <v>595</v>
      </c>
      <c r="F20" s="1433" t="s">
        <v>596</v>
      </c>
      <c r="G20" s="1423" t="s">
        <v>716</v>
      </c>
      <c r="H20" s="1423" t="s">
        <v>717</v>
      </c>
      <c r="I20" s="1435" t="s">
        <v>597</v>
      </c>
      <c r="J20" s="1423" t="s">
        <v>598</v>
      </c>
      <c r="K20" s="1423" t="s">
        <v>599</v>
      </c>
      <c r="L20" s="1423" t="s">
        <v>600</v>
      </c>
      <c r="M20" s="1423" t="s">
        <v>718</v>
      </c>
      <c r="N20" s="1423" t="s">
        <v>719</v>
      </c>
      <c r="O20" s="1435" t="s">
        <v>601</v>
      </c>
      <c r="P20" s="1423" t="s">
        <v>602</v>
      </c>
      <c r="Q20" s="1423" t="s">
        <v>603</v>
      </c>
      <c r="R20" s="1429" t="s">
        <v>604</v>
      </c>
      <c r="S20" s="1423" t="s">
        <v>720</v>
      </c>
      <c r="T20" s="1429" t="s">
        <v>721</v>
      </c>
    </row>
    <row r="21" spans="1:20" ht="33.75" customHeight="1" thickBot="1" x14ac:dyDescent="0.45">
      <c r="A21" s="1420"/>
      <c r="B21" s="321" t="s">
        <v>490</v>
      </c>
      <c r="C21" s="1422"/>
      <c r="D21" s="1424"/>
      <c r="E21" s="1424"/>
      <c r="F21" s="1434"/>
      <c r="G21" s="1424"/>
      <c r="H21" s="1424"/>
      <c r="I21" s="1436"/>
      <c r="J21" s="1437"/>
      <c r="K21" s="1437"/>
      <c r="L21" s="1437"/>
      <c r="M21" s="1437"/>
      <c r="N21" s="1437"/>
      <c r="O21" s="1438"/>
      <c r="P21" s="1428"/>
      <c r="Q21" s="1428"/>
      <c r="R21" s="1430"/>
      <c r="S21" s="1428"/>
      <c r="T21" s="1430"/>
    </row>
    <row r="22" spans="1:20" ht="17.600000000000001" x14ac:dyDescent="0.55000000000000004">
      <c r="A22" s="322" t="s">
        <v>605</v>
      </c>
      <c r="B22" s="323" t="s">
        <v>493</v>
      </c>
      <c r="C22" s="324">
        <f>(B64-B65)*365</f>
        <v>796740158.75</v>
      </c>
      <c r="D22" s="325">
        <f>(C64-C65)*365</f>
        <v>2261682576.3000002</v>
      </c>
      <c r="E22" s="325">
        <f>(B64-B65)*365</f>
        <v>796740158.75</v>
      </c>
      <c r="F22" s="461">
        <f>(C64-C65)*365</f>
        <v>2261682576.3000002</v>
      </c>
      <c r="G22" s="328">
        <f>(B64-B65)*365</f>
        <v>796740158.75</v>
      </c>
      <c r="H22" s="456">
        <f>(C64-C65)*365</f>
        <v>2261682576.3000002</v>
      </c>
      <c r="I22" s="331">
        <f>(B64-B65)*365</f>
        <v>796740158.75</v>
      </c>
      <c r="J22" s="249">
        <f>(C64-C65)*365</f>
        <v>2261682576.3000002</v>
      </c>
      <c r="K22" s="249">
        <f>(B64-B65)*365</f>
        <v>796740158.75</v>
      </c>
      <c r="L22" s="249">
        <f>(C64-C65)*365</f>
        <v>2261682576.3000002</v>
      </c>
      <c r="M22" s="249">
        <f>(B64-B65)*365</f>
        <v>796740158.75</v>
      </c>
      <c r="N22" s="250">
        <f>(C64-C65)*365</f>
        <v>2261682576.3000002</v>
      </c>
      <c r="O22" s="331">
        <f>(B64-B65)*365</f>
        <v>796740158.75</v>
      </c>
      <c r="P22" s="249">
        <f>(C64-C65)*365</f>
        <v>2261682576.3000002</v>
      </c>
      <c r="Q22" s="332">
        <f>(B64-B65)*365</f>
        <v>796740158.75</v>
      </c>
      <c r="R22" s="332">
        <f>(C64-C65)*365</f>
        <v>2261682576.3000002</v>
      </c>
      <c r="S22" s="463">
        <f>(B64-B65)*365</f>
        <v>796740158.75</v>
      </c>
      <c r="T22" s="455">
        <f>(C64-C65)*365</f>
        <v>2261682576.3000002</v>
      </c>
    </row>
    <row r="23" spans="1:20" ht="17.600000000000001" x14ac:dyDescent="0.55000000000000004">
      <c r="A23" s="326" t="s">
        <v>606</v>
      </c>
      <c r="B23" s="323" t="s">
        <v>493</v>
      </c>
      <c r="C23" s="327">
        <f>(B66-B67)*365</f>
        <v>989155737.80000007</v>
      </c>
      <c r="D23" s="328">
        <f>(C66-C67)*365</f>
        <v>3265345031.0499997</v>
      </c>
      <c r="E23" s="328">
        <f>(B66-B67)*365</f>
        <v>989155737.80000007</v>
      </c>
      <c r="F23" s="456">
        <f>(C66-C67)*365</f>
        <v>3265345031.0499997</v>
      </c>
      <c r="G23" s="328">
        <f>(B66-B67)*365</f>
        <v>989155737.80000007</v>
      </c>
      <c r="H23" s="456">
        <f>(C66-C67)*365</f>
        <v>3265345031.0499997</v>
      </c>
      <c r="I23" s="331">
        <f>(B66-B67)*365</f>
        <v>989155737.80000007</v>
      </c>
      <c r="J23" s="329">
        <f>(C66-C67)*365</f>
        <v>3265345031.0499997</v>
      </c>
      <c r="K23" s="329">
        <f>(B66-B67)*365</f>
        <v>989155737.80000007</v>
      </c>
      <c r="L23" s="329">
        <f>(C66-C67)*365</f>
        <v>3265345031.0499997</v>
      </c>
      <c r="M23" s="329">
        <f>(B66-B67)*365</f>
        <v>989155737.80000007</v>
      </c>
      <c r="N23" s="330">
        <f>(C66-C67)*365</f>
        <v>3265345031.0499997</v>
      </c>
      <c r="O23" s="331">
        <f>(B66-B67)*365</f>
        <v>989155737.80000007</v>
      </c>
      <c r="P23" s="329">
        <f>(C66-C67)*365</f>
        <v>3265345031.0499997</v>
      </c>
      <c r="Q23" s="332">
        <f>(B66-B67)*365</f>
        <v>989155737.80000007</v>
      </c>
      <c r="R23" s="332">
        <f>(C66-C67)*365</f>
        <v>3265345031.0499997</v>
      </c>
      <c r="S23" s="463">
        <f>(B66-B67)*365</f>
        <v>989155737.80000007</v>
      </c>
      <c r="T23" s="455">
        <f>(C66-C67)*365</f>
        <v>3265345031.0499997</v>
      </c>
    </row>
    <row r="24" spans="1:20" ht="17.149999999999999" x14ac:dyDescent="0.55000000000000004">
      <c r="A24" s="326" t="s">
        <v>607</v>
      </c>
      <c r="B24" s="323" t="s">
        <v>493</v>
      </c>
      <c r="C24" s="327">
        <f>B68*365</f>
        <v>77973037.400000006</v>
      </c>
      <c r="D24" s="328">
        <f>C68*365</f>
        <v>389866322.14999998</v>
      </c>
      <c r="E24" s="328">
        <f>B68*365</f>
        <v>77973037.400000006</v>
      </c>
      <c r="F24" s="456">
        <f>C68*365</f>
        <v>389866322.14999998</v>
      </c>
      <c r="G24" s="328">
        <f>B68*365</f>
        <v>77973037.400000006</v>
      </c>
      <c r="H24" s="456">
        <f>C68*365</f>
        <v>389866322.14999998</v>
      </c>
      <c r="I24" s="331">
        <f>B68*365</f>
        <v>77973037.400000006</v>
      </c>
      <c r="J24" s="249">
        <f>C68*365</f>
        <v>389866322.14999998</v>
      </c>
      <c r="K24" s="249">
        <f>B68*365</f>
        <v>77973037.400000006</v>
      </c>
      <c r="L24" s="329">
        <f>C68*365</f>
        <v>389866322.14999998</v>
      </c>
      <c r="M24" s="329">
        <f>B68*365</f>
        <v>77973037.400000006</v>
      </c>
      <c r="N24" s="330">
        <f>C68*365</f>
        <v>389866322.14999998</v>
      </c>
      <c r="O24" s="331">
        <f>B68*365</f>
        <v>77973037.400000006</v>
      </c>
      <c r="P24" s="249">
        <f>C68*365</f>
        <v>389866322.14999998</v>
      </c>
      <c r="Q24" s="332">
        <f>B68*365</f>
        <v>77973037.400000006</v>
      </c>
      <c r="R24" s="332">
        <f>C68*365</f>
        <v>389866322.14999998</v>
      </c>
      <c r="S24" s="463">
        <f>B68*365</f>
        <v>77973037.400000006</v>
      </c>
      <c r="T24" s="455">
        <f>C68*365</f>
        <v>389866322.14999998</v>
      </c>
    </row>
    <row r="25" spans="1:20" ht="17.600000000000001" x14ac:dyDescent="0.55000000000000004">
      <c r="A25" s="326" t="s">
        <v>608</v>
      </c>
      <c r="B25" s="323" t="s">
        <v>493</v>
      </c>
      <c r="C25" s="327">
        <f>(B69-B70)*365</f>
        <v>728275265.5</v>
      </c>
      <c r="D25" s="328">
        <f>(C69-C70)*365</f>
        <v>2238427743.75</v>
      </c>
      <c r="E25" s="328">
        <f>(B69-B70)*365</f>
        <v>728275265.5</v>
      </c>
      <c r="F25" s="456">
        <f>(C69-C70)*365</f>
        <v>2238427743.75</v>
      </c>
      <c r="G25" s="328">
        <f>(B69-B70)*365</f>
        <v>728275265.5</v>
      </c>
      <c r="H25" s="456">
        <f>(C69-C70)*365</f>
        <v>2238427743.75</v>
      </c>
      <c r="I25" s="334">
        <f>(B69-B70)*365</f>
        <v>728275265.5</v>
      </c>
      <c r="J25" s="329">
        <f>(C69-C70)*365</f>
        <v>2238427743.75</v>
      </c>
      <c r="K25" s="333">
        <f>(B69-B70)*365</f>
        <v>728275265.5</v>
      </c>
      <c r="L25" s="329">
        <f>(C69-C70)*365</f>
        <v>2238427743.75</v>
      </c>
      <c r="M25" s="329">
        <f>(B69-B70)*365</f>
        <v>728275265.5</v>
      </c>
      <c r="N25" s="330">
        <f>(C69-C70)*365</f>
        <v>2238427743.75</v>
      </c>
      <c r="O25" s="334">
        <f>(B69-B70)*365</f>
        <v>728275265.5</v>
      </c>
      <c r="P25" s="329">
        <f>(C69-C70)*365</f>
        <v>2238427743.75</v>
      </c>
      <c r="Q25" s="332">
        <f>(B69-B70)*365</f>
        <v>728275265.5</v>
      </c>
      <c r="R25" s="332">
        <f>(C69-C70)*365</f>
        <v>2238427743.75</v>
      </c>
      <c r="S25" s="463">
        <f>(B69-B70)*365</f>
        <v>728275265.5</v>
      </c>
      <c r="T25" s="455">
        <f>(C69-C70)*365</f>
        <v>2238427743.75</v>
      </c>
    </row>
    <row r="26" spans="1:20" ht="17.600000000000001" x14ac:dyDescent="0.55000000000000004">
      <c r="A26" s="326" t="s">
        <v>609</v>
      </c>
      <c r="B26" s="323" t="s">
        <v>493</v>
      </c>
      <c r="C26" s="327">
        <f>(B71-B72)*365</f>
        <v>340762415.89999998</v>
      </c>
      <c r="D26" s="328">
        <f>(C71-C72)*365</f>
        <v>665225377.20000005</v>
      </c>
      <c r="E26" s="328">
        <f>(B71-B72)*365</f>
        <v>340762415.89999998</v>
      </c>
      <c r="F26" s="456">
        <f>(C71-C72)*365</f>
        <v>665225377.20000005</v>
      </c>
      <c r="G26" s="328">
        <f>(B71-B72)*365</f>
        <v>340762415.89999998</v>
      </c>
      <c r="H26" s="456">
        <f>(C71-C72)*365</f>
        <v>665225377.20000005</v>
      </c>
      <c r="I26" s="334">
        <f>(B71-B72)*365</f>
        <v>340762415.89999998</v>
      </c>
      <c r="J26" s="329">
        <f>(C71-C72)*365</f>
        <v>665225377.20000005</v>
      </c>
      <c r="K26" s="329">
        <f>(B71-B72)*365</f>
        <v>340762415.89999998</v>
      </c>
      <c r="L26" s="329">
        <f>(C71-C72)*365</f>
        <v>665225377.20000005</v>
      </c>
      <c r="M26" s="329">
        <f>(B71-B72)*365</f>
        <v>340762415.89999998</v>
      </c>
      <c r="N26" s="330">
        <f>(C71-C72)*365</f>
        <v>665225377.20000005</v>
      </c>
      <c r="O26" s="334">
        <f>(B71-B72)*365</f>
        <v>340762415.89999998</v>
      </c>
      <c r="P26" s="329">
        <f>(C71-C72)*365</f>
        <v>665225377.20000005</v>
      </c>
      <c r="Q26" s="332">
        <f>(B71-B72)*365</f>
        <v>340762415.89999998</v>
      </c>
      <c r="R26" s="332">
        <f>(C71-C72)*365</f>
        <v>665225377.20000005</v>
      </c>
      <c r="S26" s="463">
        <f>(B71-B72)*365</f>
        <v>340762415.89999998</v>
      </c>
      <c r="T26" s="455">
        <f>(C71-C72)*365</f>
        <v>665225377.20000005</v>
      </c>
    </row>
    <row r="27" spans="1:20" ht="17.600000000000001" x14ac:dyDescent="0.55000000000000004">
      <c r="A27" s="326" t="s">
        <v>610</v>
      </c>
      <c r="B27" s="323" t="s">
        <v>493</v>
      </c>
      <c r="C27" s="327">
        <f>(B76-B77)*365</f>
        <v>248469329.70400012</v>
      </c>
      <c r="D27" s="328">
        <f>(C76-C77)*365</f>
        <v>994760118.47400057</v>
      </c>
      <c r="E27" s="328">
        <f>(B76-B77)*365</f>
        <v>248469329.70400012</v>
      </c>
      <c r="F27" s="456">
        <f>(C76-C77)*365</f>
        <v>994760118.47400057</v>
      </c>
      <c r="G27" s="328">
        <f>(B76-B77)*365</f>
        <v>248469329.70400012</v>
      </c>
      <c r="H27" s="456">
        <f>(C76-C77)*365</f>
        <v>994760118.47400057</v>
      </c>
      <c r="I27" s="331">
        <f>(B76-B77)*365</f>
        <v>248469329.70400012</v>
      </c>
      <c r="J27" s="249">
        <f>(C76-C77)*365</f>
        <v>994760118.47400057</v>
      </c>
      <c r="K27" s="249">
        <f>(B76-B77)*365</f>
        <v>248469329.70400012</v>
      </c>
      <c r="L27" s="329">
        <f>(C76-C77)*365</f>
        <v>994760118.47400057</v>
      </c>
      <c r="M27" s="329">
        <f>(B76-B77)*365</f>
        <v>248469329.70400012</v>
      </c>
      <c r="N27" s="330">
        <f>(C76-C77)*365</f>
        <v>994760118.47400057</v>
      </c>
      <c r="O27" s="331">
        <f>(B76-B77)*365</f>
        <v>248469329.70400012</v>
      </c>
      <c r="P27" s="329">
        <f>(C76-C77)*365</f>
        <v>994760118.47400057</v>
      </c>
      <c r="Q27" s="332">
        <f>(B76-B77)*365</f>
        <v>248469329.70400012</v>
      </c>
      <c r="R27" s="332">
        <f>(C76-C77)*365</f>
        <v>994760118.47400057</v>
      </c>
      <c r="S27" s="463">
        <f>(B76-B77)*365</f>
        <v>248469329.70400012</v>
      </c>
      <c r="T27" s="455">
        <f>(C76-C77)*365</f>
        <v>994760118.47400057</v>
      </c>
    </row>
    <row r="28" spans="1:20" ht="17.149999999999999" x14ac:dyDescent="0.55000000000000004">
      <c r="A28" s="326" t="s">
        <v>611</v>
      </c>
      <c r="B28" s="323" t="s">
        <v>493</v>
      </c>
      <c r="C28" s="335">
        <f>B48*B52*B79*B58</f>
        <v>484060854.30917507</v>
      </c>
      <c r="D28" s="336">
        <f>C48*B52*B79*C58</f>
        <v>2420219980.6559505</v>
      </c>
      <c r="E28" s="336"/>
      <c r="F28" s="457"/>
      <c r="G28" s="336"/>
      <c r="H28" s="457"/>
      <c r="I28" s="334">
        <f>B48*B52*B79*B58</f>
        <v>484060854.30917507</v>
      </c>
      <c r="J28" s="255">
        <f>C48*B52*B79*C58</f>
        <v>2420219980.6559505</v>
      </c>
      <c r="K28" s="255"/>
      <c r="L28" s="459"/>
      <c r="M28" s="459"/>
      <c r="N28" s="337"/>
      <c r="O28" s="334">
        <f>B48*B52*B79*B58</f>
        <v>484060854.30917507</v>
      </c>
      <c r="P28" s="459">
        <f>C48*B52*B79*C58</f>
        <v>2420219980.6559505</v>
      </c>
      <c r="Q28" s="106"/>
      <c r="R28" s="106"/>
      <c r="S28" s="463"/>
      <c r="T28" s="455"/>
    </row>
    <row r="29" spans="1:20" ht="17.149999999999999" x14ac:dyDescent="0.55000000000000004">
      <c r="A29" s="338" t="s">
        <v>502</v>
      </c>
      <c r="B29" s="323" t="s">
        <v>493</v>
      </c>
      <c r="C29" s="339">
        <f>SUM(C$22:C$28)</f>
        <v>3665436799.3631754</v>
      </c>
      <c r="D29" s="340">
        <f>SUM($D$22:$D$28)</f>
        <v>12235527149.579952</v>
      </c>
      <c r="E29" s="340">
        <f>SUM(E$22:E$28)</f>
        <v>3181375945.0540004</v>
      </c>
      <c r="F29" s="354">
        <f>SUM($F$22:$F$28)</f>
        <v>9815307168.9240017</v>
      </c>
      <c r="G29" s="340">
        <f>SUM(G$22:G$28)</f>
        <v>3181375945.0540004</v>
      </c>
      <c r="H29" s="354">
        <f>SUM($H$22:$H$28)</f>
        <v>9815307168.9240017</v>
      </c>
      <c r="I29" s="339">
        <f>SUM($I$22:$I$28)</f>
        <v>3665436799.3631754</v>
      </c>
      <c r="J29" s="340">
        <f>SUM($J$22:$J$28)</f>
        <v>12235527149.579952</v>
      </c>
      <c r="K29" s="340">
        <f>SUM($K$22:$K$28)</f>
        <v>3181375945.0540004</v>
      </c>
      <c r="L29" s="460">
        <f>SUM($L$22:$L$28)</f>
        <v>9815307168.9240017</v>
      </c>
      <c r="M29" s="460">
        <f>SUM($M$22:$M$28)</f>
        <v>3181375945.0540004</v>
      </c>
      <c r="N29" s="341">
        <f>SUM($N$22:$N$28)</f>
        <v>9815307168.9240017</v>
      </c>
      <c r="O29" s="339">
        <f>SUM($O$22:$O$28)</f>
        <v>3665436799.3631754</v>
      </c>
      <c r="P29" s="460">
        <f>SUM($P$22:$P$28)</f>
        <v>12235527149.579952</v>
      </c>
      <c r="Q29" s="340">
        <f>SUM($Q$22:$Q$28)</f>
        <v>3181375945.0540004</v>
      </c>
      <c r="R29" s="340">
        <f>SUM($R$22:$R$28)</f>
        <v>9815307168.9240017</v>
      </c>
      <c r="S29" s="266">
        <f>SUM($S$22:$S$28)</f>
        <v>3181375945.0540004</v>
      </c>
      <c r="T29" s="444">
        <f>SUM($T$22:$T$28)</f>
        <v>9815307168.9240017</v>
      </c>
    </row>
    <row r="30" spans="1:20" x14ac:dyDescent="0.4">
      <c r="A30" s="257"/>
      <c r="B30" s="114"/>
      <c r="C30" s="342"/>
      <c r="D30" s="343"/>
      <c r="E30" s="340"/>
      <c r="F30" s="354"/>
      <c r="G30" s="340"/>
      <c r="H30" s="354"/>
      <c r="I30" s="342"/>
      <c r="J30" s="343"/>
      <c r="K30" s="343"/>
      <c r="L30" s="460"/>
      <c r="M30" s="460"/>
      <c r="N30" s="341"/>
      <c r="O30" s="342"/>
      <c r="P30" s="460"/>
      <c r="Q30" s="106"/>
      <c r="R30" s="106"/>
      <c r="S30" s="463"/>
      <c r="T30" s="455"/>
    </row>
    <row r="31" spans="1:20" ht="17.600000000000001" x14ac:dyDescent="0.55000000000000004">
      <c r="A31" s="344" t="s">
        <v>612</v>
      </c>
      <c r="B31" s="345" t="s">
        <v>493</v>
      </c>
      <c r="C31" s="327">
        <v>0</v>
      </c>
      <c r="D31" s="328">
        <f>-C75*365</f>
        <v>4570621958.1000004</v>
      </c>
      <c r="E31" s="328">
        <v>0</v>
      </c>
      <c r="F31" s="456">
        <f>-C75*365</f>
        <v>4570621958.1000004</v>
      </c>
      <c r="G31" s="328">
        <v>0</v>
      </c>
      <c r="H31" s="456">
        <f>-C75*365</f>
        <v>4570621958.1000004</v>
      </c>
      <c r="I31" s="349">
        <v>0</v>
      </c>
      <c r="J31" s="346">
        <f>-C75*365</f>
        <v>4570621958.1000004</v>
      </c>
      <c r="K31" s="347">
        <v>0</v>
      </c>
      <c r="L31" s="346">
        <f>-C75*365</f>
        <v>4570621958.1000004</v>
      </c>
      <c r="M31" s="346">
        <v>0</v>
      </c>
      <c r="N31" s="348">
        <f>-C75*365</f>
        <v>4570621958.1000004</v>
      </c>
      <c r="O31" s="349">
        <v>0</v>
      </c>
      <c r="P31" s="346">
        <f>-C75*365</f>
        <v>4570621958.1000004</v>
      </c>
      <c r="Q31" s="350">
        <v>0</v>
      </c>
      <c r="R31" s="350">
        <f>-C75*365</f>
        <v>4570621958.1000004</v>
      </c>
      <c r="S31" s="350">
        <v>0</v>
      </c>
      <c r="T31" s="455">
        <f>-C75*365</f>
        <v>4570621958.1000004</v>
      </c>
    </row>
    <row r="32" spans="1:20" ht="17.600000000000001" x14ac:dyDescent="0.55000000000000004">
      <c r="A32" s="351" t="s">
        <v>613</v>
      </c>
      <c r="B32" s="323" t="s">
        <v>493</v>
      </c>
      <c r="C32" s="327">
        <f>B57*B48*B79</f>
        <v>5840462935.2476559</v>
      </c>
      <c r="D32" s="328">
        <f>B57*C48*B79</f>
        <v>29201663483.850002</v>
      </c>
      <c r="E32" s="328">
        <f>(B57*B48*B79)-((B48/B78)*B58*B59*B79)</f>
        <v>4566965269.0074244</v>
      </c>
      <c r="F32" s="456">
        <f>(B57*C48*B79)-((C48/B78)*B58*B59*B79)</f>
        <v>22834317143.445793</v>
      </c>
      <c r="G32" s="328">
        <f>(B57*B48*B79)-((B48/B78)*B58*B60*B79)</f>
        <v>5043697760.0871096</v>
      </c>
      <c r="H32" s="456">
        <f>(B57*C48*B79)-((C48/B78)*B58*B60*B79)</f>
        <v>25217926444.741051</v>
      </c>
      <c r="I32" s="334">
        <f>B57*B48*B79</f>
        <v>5840462935.2476559</v>
      </c>
      <c r="J32" s="346">
        <f>B57*C48*B79</f>
        <v>29201663483.850002</v>
      </c>
      <c r="K32" s="346">
        <f>(B57*B48*B79)-((B48/B78)*B58*B59*B79)</f>
        <v>4566965269.0074244</v>
      </c>
      <c r="L32" s="346">
        <f>(B57*C48*B79)-((C48/B78)*B58*B59*B79)</f>
        <v>22834317143.445793</v>
      </c>
      <c r="M32" s="346">
        <f>(B57*B48*B79)-((B48/B78)*B58*B60*B79)</f>
        <v>5043697760.0871096</v>
      </c>
      <c r="N32" s="348">
        <f>(B57*C48*B79)-((C48/B78)*B58*B60*B79)</f>
        <v>25217926444.741051</v>
      </c>
      <c r="O32" s="334">
        <f>B57*B48*B79</f>
        <v>5840462935.2476559</v>
      </c>
      <c r="P32" s="346">
        <f>B57*C48*B79</f>
        <v>29201663483.850002</v>
      </c>
      <c r="Q32" s="332">
        <f>(B57*B48*B79)-((B48/B78)*B58*B59*B79)</f>
        <v>4566965269.0074244</v>
      </c>
      <c r="R32" s="332">
        <f>(B57*C48*B79)-((C48/B78)*B58*B59*B79)</f>
        <v>22834317143.445793</v>
      </c>
      <c r="S32" s="463">
        <f>(B57*B48*B79)-((B48/B78)*B58*B60*B79)</f>
        <v>5043697760.0871096</v>
      </c>
      <c r="T32" s="455">
        <f>(B57*C48*B79)-((C48/B78)*B58*B60*B79)</f>
        <v>25217926444.741051</v>
      </c>
    </row>
    <row r="33" spans="1:20" ht="17.600000000000001" x14ac:dyDescent="0.55000000000000004">
      <c r="A33" s="326" t="s">
        <v>614</v>
      </c>
      <c r="B33" s="323" t="s">
        <v>493</v>
      </c>
      <c r="C33" s="327"/>
      <c r="D33" s="328"/>
      <c r="E33" s="328"/>
      <c r="F33" s="456"/>
      <c r="G33" s="328"/>
      <c r="H33" s="456"/>
      <c r="I33" s="334">
        <f>((B51*B55)/B82)*B56*B53*B79</f>
        <v>798188938.78593111</v>
      </c>
      <c r="J33" s="346">
        <f>((C51*B55)/B82)*B56*B53*B79</f>
        <v>3195591709.3727593</v>
      </c>
      <c r="K33" s="346">
        <f>((B51*B55)/B82)*B56*B53*B79</f>
        <v>798188938.78593111</v>
      </c>
      <c r="L33" s="346">
        <f>((C51*B55)/B82)*B56*B53*B79</f>
        <v>3195591709.3727593</v>
      </c>
      <c r="M33" s="346">
        <f>((B51*B55)/B82)*B56*B53*B79</f>
        <v>798188938.78593111</v>
      </c>
      <c r="N33" s="348">
        <f>((C51*B55)/B82)*B56*B53*B79</f>
        <v>3195591709.3727593</v>
      </c>
      <c r="O33" s="334"/>
      <c r="P33" s="390"/>
      <c r="Q33" s="332"/>
      <c r="R33" s="332"/>
      <c r="S33" s="463"/>
      <c r="T33" s="455"/>
    </row>
    <row r="34" spans="1:20" ht="17.600000000000001" x14ac:dyDescent="0.55000000000000004">
      <c r="A34" s="326" t="s">
        <v>615</v>
      </c>
      <c r="B34" s="323" t="s">
        <v>493</v>
      </c>
      <c r="C34" s="327"/>
      <c r="D34" s="328"/>
      <c r="E34" s="328"/>
      <c r="F34" s="456"/>
      <c r="G34" s="328"/>
      <c r="H34" s="456"/>
      <c r="I34" s="331"/>
      <c r="J34" s="249"/>
      <c r="K34" s="249"/>
      <c r="L34" s="249"/>
      <c r="M34" s="249"/>
      <c r="N34" s="250"/>
      <c r="O34" s="331">
        <f>B51*B62*B81*B54*B79</f>
        <v>2043253766.2590439</v>
      </c>
      <c r="P34" s="249">
        <f>C51*B62*B81*B54*B79</f>
        <v>8180274717.3288116</v>
      </c>
      <c r="Q34" s="332">
        <f>B51*B62*B81*B54*B79</f>
        <v>2043253766.2590439</v>
      </c>
      <c r="R34" s="332">
        <f>C51*B62*B81*B54*B79</f>
        <v>8180274717.3288116</v>
      </c>
      <c r="S34" s="463">
        <f>B51*B62*B81*B54*B79</f>
        <v>2043253766.2590439</v>
      </c>
      <c r="T34" s="455">
        <f>C51*B62*B81*B54*B79</f>
        <v>8180274717.3288116</v>
      </c>
    </row>
    <row r="35" spans="1:20" x14ac:dyDescent="0.4">
      <c r="A35" s="351"/>
      <c r="B35" s="352"/>
      <c r="C35" s="327"/>
      <c r="D35" s="328"/>
      <c r="E35" s="328"/>
      <c r="F35" s="456"/>
      <c r="G35" s="328"/>
      <c r="H35" s="456"/>
      <c r="I35" s="331"/>
      <c r="J35" s="249"/>
      <c r="K35" s="249"/>
      <c r="L35" s="249"/>
      <c r="M35" s="249"/>
      <c r="N35" s="250"/>
      <c r="O35" s="331"/>
      <c r="P35" s="249"/>
      <c r="Q35" s="106"/>
      <c r="R35" s="106"/>
      <c r="S35" s="463"/>
      <c r="T35" s="455"/>
    </row>
    <row r="36" spans="1:20" ht="17.149999999999999" x14ac:dyDescent="0.55000000000000004">
      <c r="A36" s="353" t="s">
        <v>506</v>
      </c>
      <c r="B36" s="323" t="s">
        <v>493</v>
      </c>
      <c r="C36" s="339">
        <f t="shared" ref="C36:H36" si="0">SUM(C31:C32)</f>
        <v>5840462935.2476559</v>
      </c>
      <c r="D36" s="340">
        <f t="shared" si="0"/>
        <v>33772285441.950005</v>
      </c>
      <c r="E36" s="340">
        <f t="shared" si="0"/>
        <v>4566965269.0074244</v>
      </c>
      <c r="F36" s="340">
        <f t="shared" si="0"/>
        <v>27404939101.545792</v>
      </c>
      <c r="G36" s="340">
        <f t="shared" si="0"/>
        <v>5043697760.0871096</v>
      </c>
      <c r="H36" s="340">
        <f t="shared" si="0"/>
        <v>29788548402.841049</v>
      </c>
      <c r="I36" s="339">
        <f t="shared" ref="I36:N36" si="1">SUM(I31:I32,I33)</f>
        <v>6638651874.0335865</v>
      </c>
      <c r="J36" s="340">
        <f t="shared" si="1"/>
        <v>36967877151.322762</v>
      </c>
      <c r="K36" s="340">
        <f t="shared" si="1"/>
        <v>5365154207.7933559</v>
      </c>
      <c r="L36" s="340">
        <f t="shared" si="1"/>
        <v>30600530810.918552</v>
      </c>
      <c r="M36" s="340">
        <f t="shared" si="1"/>
        <v>5841886698.8730412</v>
      </c>
      <c r="N36" s="354">
        <f t="shared" si="1"/>
        <v>32984140112.21381</v>
      </c>
      <c r="O36" s="339">
        <f t="shared" ref="O36:T36" si="2">SUM(O31:O32,O34)</f>
        <v>7883716701.5066996</v>
      </c>
      <c r="P36" s="340">
        <f t="shared" si="2"/>
        <v>41952560159.278816</v>
      </c>
      <c r="Q36" s="340">
        <f t="shared" si="2"/>
        <v>6610219035.266468</v>
      </c>
      <c r="R36" s="340">
        <f t="shared" si="2"/>
        <v>35585213818.874603</v>
      </c>
      <c r="S36" s="266">
        <f t="shared" si="2"/>
        <v>7086951526.3461533</v>
      </c>
      <c r="T36" s="444">
        <f t="shared" si="2"/>
        <v>37968823120.169861</v>
      </c>
    </row>
    <row r="37" spans="1:20" ht="17.149999999999999" x14ac:dyDescent="0.55000000000000004">
      <c r="A37" s="353" t="s">
        <v>507</v>
      </c>
      <c r="B37" s="355" t="s">
        <v>500</v>
      </c>
      <c r="C37" s="339">
        <f>$C$36-$C$29</f>
        <v>2175026135.8844805</v>
      </c>
      <c r="D37" s="340">
        <f>$D$36-$D$29</f>
        <v>21536758292.370052</v>
      </c>
      <c r="E37" s="340">
        <f>$E$36-$E$29</f>
        <v>1385589323.953424</v>
      </c>
      <c r="F37" s="340">
        <f>$F$36-$F$29</f>
        <v>17589631932.621788</v>
      </c>
      <c r="G37" s="340">
        <f>$G$36-$G$29</f>
        <v>1862321815.0331092</v>
      </c>
      <c r="H37" s="340">
        <f>$H$36-$H$29</f>
        <v>19973241233.917046</v>
      </c>
      <c r="I37" s="356">
        <f t="shared" ref="I37:P37" si="3">I36-I29</f>
        <v>2973215074.6704111</v>
      </c>
      <c r="J37" s="259">
        <f t="shared" si="3"/>
        <v>24732350001.742809</v>
      </c>
      <c r="K37" s="259">
        <f>K36-K29</f>
        <v>2183778262.7393556</v>
      </c>
      <c r="L37" s="259">
        <f>L36-L29</f>
        <v>20785223641.994553</v>
      </c>
      <c r="M37" s="259">
        <f>M36-M29</f>
        <v>2660510753.8190408</v>
      </c>
      <c r="N37" s="260">
        <f>N36-N29</f>
        <v>23168832943.28981</v>
      </c>
      <c r="O37" s="356">
        <f t="shared" si="3"/>
        <v>4218279902.1435242</v>
      </c>
      <c r="P37" s="259">
        <f t="shared" si="3"/>
        <v>29717033009.698864</v>
      </c>
      <c r="Q37" s="259">
        <f>Q36-Q29</f>
        <v>3428843090.2124677</v>
      </c>
      <c r="R37" s="259">
        <f>R36-R29</f>
        <v>25769906649.9506</v>
      </c>
      <c r="S37" s="266">
        <f>S36-S29</f>
        <v>3905575581.2921529</v>
      </c>
      <c r="T37" s="444">
        <f>T36-T29</f>
        <v>28153515951.245857</v>
      </c>
    </row>
    <row r="38" spans="1:20" x14ac:dyDescent="0.4">
      <c r="A38" s="357"/>
      <c r="B38" s="275"/>
      <c r="C38" s="358"/>
      <c r="D38" s="275"/>
      <c r="E38" s="275"/>
      <c r="F38" s="275"/>
      <c r="G38" s="275"/>
      <c r="H38" s="275"/>
      <c r="I38" s="359"/>
      <c r="J38" s="275"/>
      <c r="K38" s="275"/>
      <c r="L38" s="275"/>
      <c r="M38" s="275"/>
      <c r="N38" s="275"/>
      <c r="O38" s="359"/>
      <c r="P38" s="275"/>
      <c r="Q38" s="45"/>
      <c r="R38" s="45"/>
      <c r="S38" s="45"/>
      <c r="T38" s="229"/>
    </row>
    <row r="39" spans="1:20" ht="17.149999999999999" x14ac:dyDescent="0.55000000000000004">
      <c r="A39" s="353" t="s">
        <v>508</v>
      </c>
      <c r="B39" s="360" t="s">
        <v>510</v>
      </c>
      <c r="C39" s="361"/>
      <c r="D39" s="256"/>
      <c r="E39" s="252"/>
      <c r="F39" s="256"/>
      <c r="G39" s="256"/>
      <c r="H39" s="256"/>
      <c r="I39" s="363">
        <f>I37/B48/B79</f>
        <v>0.19853800836975799</v>
      </c>
      <c r="J39" s="277">
        <f>J37/C48/B79</f>
        <v>0.33031051487920238</v>
      </c>
      <c r="K39" s="277">
        <f>K37/B48/B79</f>
        <v>0.145822947925657</v>
      </c>
      <c r="L39" s="277">
        <f>L37/C48/B79</f>
        <v>0.27759504950329406</v>
      </c>
      <c r="M39" s="277">
        <f>M37/B48/B79</f>
        <v>0.17765701203708231</v>
      </c>
      <c r="N39" s="278">
        <f>N37/C48/B79</f>
        <v>0.30942911361471942</v>
      </c>
      <c r="O39" s="363">
        <f>O37/B48/1000000</f>
        <v>0.28167787041460185</v>
      </c>
      <c r="P39" s="277">
        <f>P37/C48/B79</f>
        <v>0.39688296799229317</v>
      </c>
      <c r="Q39" s="364">
        <f>Q37/B48/B79</f>
        <v>0.22896280997050081</v>
      </c>
      <c r="R39" s="364">
        <f>R37/C48/B79</f>
        <v>0.34416750261638485</v>
      </c>
      <c r="S39" s="364">
        <f>S37/B48/B79</f>
        <v>0.26079687408192614</v>
      </c>
      <c r="T39" s="365">
        <f>T37/C48/B79</f>
        <v>0.37600156672781021</v>
      </c>
    </row>
    <row r="40" spans="1:20" x14ac:dyDescent="0.4">
      <c r="A40" s="357"/>
      <c r="B40" s="275"/>
      <c r="C40" s="358"/>
      <c r="D40" s="275"/>
      <c r="E40" s="275"/>
      <c r="F40" s="275"/>
      <c r="G40" s="275"/>
      <c r="H40" s="275"/>
      <c r="I40" s="359"/>
      <c r="J40" s="275"/>
      <c r="K40" s="275"/>
      <c r="L40" s="275"/>
      <c r="M40" s="275"/>
      <c r="N40" s="275"/>
      <c r="O40" s="359"/>
      <c r="P40" s="275"/>
      <c r="Q40" s="45"/>
      <c r="R40" s="45"/>
      <c r="S40" s="45"/>
      <c r="T40" s="229"/>
    </row>
    <row r="41" spans="1:20" s="372" customFormat="1" ht="17.149999999999999" x14ac:dyDescent="0.55000000000000004">
      <c r="A41" s="353" t="s">
        <v>616</v>
      </c>
      <c r="B41" s="366" t="s">
        <v>617</v>
      </c>
      <c r="C41" s="367">
        <f>-$C$37/$B$50</f>
        <v>-16.892993938602956</v>
      </c>
      <c r="D41" s="280">
        <f>-$D$37/$C$50</f>
        <v>-33.454341273972616</v>
      </c>
      <c r="E41" s="280">
        <f>-$E$37/$B$50</f>
        <v>-10.761595764190547</v>
      </c>
      <c r="F41" s="280">
        <f>-$F$37/$C$50</f>
        <v>-27.32303262956566</v>
      </c>
      <c r="G41" s="280">
        <f>-$G$37/$B$50</f>
        <v>-14.464281883348033</v>
      </c>
      <c r="H41" s="280">
        <f>-$H$37/$C$50</f>
        <v>-31.02563624088063</v>
      </c>
      <c r="I41" s="369"/>
      <c r="J41" s="368"/>
      <c r="K41" s="368"/>
      <c r="L41" s="368"/>
      <c r="M41" s="368"/>
      <c r="N41" s="368"/>
      <c r="O41" s="369"/>
      <c r="P41" s="368"/>
      <c r="Q41" s="370"/>
      <c r="R41" s="370"/>
      <c r="S41" s="370"/>
      <c r="T41" s="371"/>
    </row>
    <row r="42" spans="1:20" s="372" customFormat="1" ht="17.600000000000001" thickBot="1" x14ac:dyDescent="0.6">
      <c r="A42" s="373" t="s">
        <v>514</v>
      </c>
      <c r="B42" s="374" t="s">
        <v>618</v>
      </c>
      <c r="C42" s="375">
        <f>($B$61-C41/$B$63)*$B$62*$B$63/$B$79*$B$51/$B$48</f>
        <v>0.29648601149463089</v>
      </c>
      <c r="D42" s="284">
        <f>($B$61-D41/$B$63)*$B$62*$B$63/$B$79*$C$51/$C$48</f>
        <v>0.27333966805324555</v>
      </c>
      <c r="E42" s="284">
        <f>($B$61-E41/$B$63)*$B$62*$B$63/$B$79*$B$51/$B$48</f>
        <v>0.27987122266399983</v>
      </c>
      <c r="F42" s="284">
        <f>($B$61-F41/$B$63)*$B$62*$B$63/$B$79*$C$51/$C$48</f>
        <v>0.26003592815950533</v>
      </c>
      <c r="G42" s="284">
        <f>($B$61-G41/$B$63)*$B$62*$B$63/$B$79*$B$51/$B$48</f>
        <v>0.28990471685666919</v>
      </c>
      <c r="H42" s="458">
        <f>($B$61-H41/$B$63)*$B$62*$B$63/$B$79*$C$51/$C$48</f>
        <v>0.26806985341614559</v>
      </c>
      <c r="I42" s="377"/>
      <c r="J42" s="376"/>
      <c r="K42" s="376"/>
      <c r="L42" s="376"/>
      <c r="M42" s="376"/>
      <c r="N42" s="376"/>
      <c r="O42" s="377"/>
      <c r="P42" s="376"/>
      <c r="Q42" s="378"/>
      <c r="R42" s="378"/>
      <c r="S42" s="378"/>
      <c r="T42" s="379"/>
    </row>
    <row r="43" spans="1:20" ht="33" customHeight="1" x14ac:dyDescent="0.4">
      <c r="A43" s="1340" t="s">
        <v>619</v>
      </c>
      <c r="B43" s="1340"/>
      <c r="C43" s="1340"/>
      <c r="D43" s="1340"/>
      <c r="E43" s="1340"/>
      <c r="F43" s="1340"/>
      <c r="G43" s="1340"/>
      <c r="H43" s="286"/>
      <c r="I43" s="286"/>
    </row>
    <row r="44" spans="1:20" ht="18" customHeight="1" x14ac:dyDescent="0.4">
      <c r="A44" s="767" t="s">
        <v>27</v>
      </c>
      <c r="B44" s="273"/>
      <c r="C44" s="274"/>
      <c r="D44" s="287"/>
      <c r="E44" s="287"/>
      <c r="F44" s="281"/>
      <c r="G44" s="275"/>
      <c r="H44" s="262"/>
      <c r="I44" s="262"/>
    </row>
    <row r="45" spans="1:20" ht="33" customHeight="1" x14ac:dyDescent="0.4">
      <c r="A45" s="1363" t="s">
        <v>516</v>
      </c>
      <c r="B45" s="1363"/>
      <c r="C45" s="1363"/>
      <c r="D45" s="1363"/>
      <c r="E45" s="1363"/>
      <c r="F45" s="1363"/>
      <c r="G45" s="1363"/>
      <c r="H45" s="262"/>
      <c r="I45" s="262"/>
    </row>
    <row r="46" spans="1:20" s="6" customFormat="1" ht="15" thickBot="1" x14ac:dyDescent="0.45">
      <c r="A46" s="288"/>
      <c r="B46" s="288"/>
      <c r="C46" s="288"/>
      <c r="D46" s="288"/>
      <c r="E46" s="288"/>
      <c r="F46" s="288"/>
      <c r="G46" s="288"/>
      <c r="H46" s="262"/>
      <c r="I46" s="262"/>
    </row>
    <row r="47" spans="1:20" ht="18" customHeight="1" x14ac:dyDescent="0.4">
      <c r="A47" s="380" t="s">
        <v>485</v>
      </c>
      <c r="B47" s="381" t="s">
        <v>620</v>
      </c>
      <c r="C47" s="381" t="s">
        <v>621</v>
      </c>
      <c r="D47" s="381" t="s">
        <v>490</v>
      </c>
      <c r="E47" s="1431" t="s">
        <v>16</v>
      </c>
      <c r="F47" s="1431"/>
      <c r="G47" s="1431"/>
      <c r="H47" s="1432"/>
    </row>
    <row r="48" spans="1:20" ht="18" customHeight="1" x14ac:dyDescent="0.4">
      <c r="A48" s="12" t="s">
        <v>622</v>
      </c>
      <c r="B48" s="301">
        <f>(37220.83)*365*B80</f>
        <v>14975.545987814501</v>
      </c>
      <c r="C48" s="382">
        <f>(186100)*365*B80</f>
        <v>74876.060215000005</v>
      </c>
      <c r="D48" s="291" t="s">
        <v>623</v>
      </c>
      <c r="E48" s="1370" t="s">
        <v>624</v>
      </c>
      <c r="F48" s="1370"/>
      <c r="G48" s="1370"/>
      <c r="H48" s="1371"/>
    </row>
    <row r="49" spans="1:12" ht="33" customHeight="1" x14ac:dyDescent="0.4">
      <c r="A49" s="10" t="s">
        <v>625</v>
      </c>
      <c r="B49" s="494">
        <v>1.42</v>
      </c>
      <c r="C49" s="494">
        <v>1.42</v>
      </c>
      <c r="D49" s="293" t="s">
        <v>518</v>
      </c>
      <c r="E49" s="1446" t="s">
        <v>626</v>
      </c>
      <c r="F49" s="1447"/>
      <c r="G49" s="1447"/>
      <c r="H49" s="1448"/>
      <c r="I49" s="493"/>
    </row>
    <row r="50" spans="1:12" ht="33" customHeight="1" x14ac:dyDescent="0.4">
      <c r="A50" s="10" t="s">
        <v>524</v>
      </c>
      <c r="B50" s="301">
        <f>248414.33*365*B49</f>
        <v>128753147.23899998</v>
      </c>
      <c r="C50" s="301">
        <f>1242071.63*365*C49</f>
        <v>643765725.829</v>
      </c>
      <c r="D50" s="293" t="s">
        <v>527</v>
      </c>
      <c r="E50" s="1370" t="s">
        <v>627</v>
      </c>
      <c r="F50" s="1370"/>
      <c r="G50" s="1370"/>
      <c r="H50" s="1371"/>
    </row>
    <row r="51" spans="1:12" ht="18" customHeight="1" x14ac:dyDescent="0.4">
      <c r="A51" s="10" t="s">
        <v>628</v>
      </c>
      <c r="B51" s="382">
        <f>79893.36*365*B49</f>
        <v>41408728.487999998</v>
      </c>
      <c r="C51" s="382">
        <f>319857.3*365*C49</f>
        <v>165782038.59</v>
      </c>
      <c r="D51" s="293" t="s">
        <v>525</v>
      </c>
      <c r="E51" s="1449" t="s">
        <v>627</v>
      </c>
      <c r="F51" s="1450"/>
      <c r="G51" s="1450"/>
      <c r="H51" s="1451"/>
      <c r="I51" s="383"/>
      <c r="J51" s="383"/>
    </row>
    <row r="52" spans="1:12" ht="33" customHeight="1" x14ac:dyDescent="0.4">
      <c r="A52" s="10" t="s">
        <v>554</v>
      </c>
      <c r="B52" s="384">
        <v>0.05</v>
      </c>
      <c r="C52" s="292"/>
      <c r="D52" s="293" t="s">
        <v>629</v>
      </c>
      <c r="E52" s="1425" t="s">
        <v>556</v>
      </c>
      <c r="F52" s="1426"/>
      <c r="G52" s="1426"/>
      <c r="H52" s="1427"/>
      <c r="I52" s="383"/>
      <c r="J52" s="383"/>
    </row>
    <row r="53" spans="1:12" ht="18" customHeight="1" x14ac:dyDescent="0.4">
      <c r="A53" s="10" t="s">
        <v>630</v>
      </c>
      <c r="B53" s="495">
        <f>'GHG ERFs'!B87</f>
        <v>2.2790000000000001E-4</v>
      </c>
      <c r="C53" s="385"/>
      <c r="D53" s="293" t="s">
        <v>34</v>
      </c>
      <c r="E53" s="1378" t="s">
        <v>545</v>
      </c>
      <c r="F53" s="1378"/>
      <c r="G53" s="1378"/>
      <c r="H53" s="1379"/>
      <c r="K53" s="294"/>
    </row>
    <row r="54" spans="1:12" ht="18" customHeight="1" x14ac:dyDescent="0.4">
      <c r="A54" s="12" t="s">
        <v>546</v>
      </c>
      <c r="B54" s="304">
        <v>5.3109999999999997E-3</v>
      </c>
      <c r="C54" s="304"/>
      <c r="D54" s="291" t="s">
        <v>631</v>
      </c>
      <c r="E54" s="1387" t="s">
        <v>548</v>
      </c>
      <c r="F54" s="1388"/>
      <c r="G54" s="1388"/>
      <c r="H54" s="1389"/>
      <c r="K54" s="295"/>
      <c r="L54" s="296"/>
    </row>
    <row r="55" spans="1:12" ht="18" customHeight="1" x14ac:dyDescent="0.4">
      <c r="A55" s="12" t="s">
        <v>549</v>
      </c>
      <c r="B55" s="309">
        <v>962</v>
      </c>
      <c r="C55" s="291"/>
      <c r="D55" s="291" t="s">
        <v>550</v>
      </c>
      <c r="E55" s="1370" t="s">
        <v>627</v>
      </c>
      <c r="F55" s="1370"/>
      <c r="G55" s="1370"/>
      <c r="H55" s="1371"/>
      <c r="K55" s="298"/>
      <c r="L55" s="296"/>
    </row>
    <row r="56" spans="1:12" x14ac:dyDescent="0.4">
      <c r="A56" s="12" t="s">
        <v>552</v>
      </c>
      <c r="B56" s="309">
        <v>0.3</v>
      </c>
      <c r="C56" s="291"/>
      <c r="D56" s="293"/>
      <c r="E56" s="1370" t="s">
        <v>553</v>
      </c>
      <c r="F56" s="1370"/>
      <c r="G56" s="1370"/>
      <c r="H56" s="1371"/>
    </row>
    <row r="57" spans="1:12" ht="33" customHeight="1" x14ac:dyDescent="0.4">
      <c r="A57" s="307" t="s">
        <v>557</v>
      </c>
      <c r="B57" s="308">
        <v>0.39</v>
      </c>
      <c r="C57" s="308"/>
      <c r="D57" s="291" t="s">
        <v>555</v>
      </c>
      <c r="E57" s="1425" t="s">
        <v>556</v>
      </c>
      <c r="F57" s="1426"/>
      <c r="G57" s="1426"/>
      <c r="H57" s="1427"/>
    </row>
    <row r="58" spans="1:12" ht="18" customHeight="1" x14ac:dyDescent="0.4">
      <c r="A58" s="12" t="s">
        <v>558</v>
      </c>
      <c r="B58" s="386">
        <f>24062.09/37220.83</f>
        <v>0.64646838880272151</v>
      </c>
      <c r="C58" s="386">
        <f>120306.26/186100</f>
        <v>0.64646029016657713</v>
      </c>
      <c r="D58" s="293" t="s">
        <v>518</v>
      </c>
      <c r="E58" s="1370" t="s">
        <v>624</v>
      </c>
      <c r="F58" s="1370"/>
      <c r="G58" s="1370"/>
      <c r="H58" s="1371"/>
      <c r="K58" s="294"/>
    </row>
    <row r="59" spans="1:12" ht="33" customHeight="1" x14ac:dyDescent="0.4">
      <c r="A59" s="12" t="s">
        <v>713</v>
      </c>
      <c r="B59" s="309">
        <f>AVERAGE(0.067, 0.15, 0.218)</f>
        <v>0.14499999999999999</v>
      </c>
      <c r="C59" s="309"/>
      <c r="D59" s="291" t="s">
        <v>560</v>
      </c>
      <c r="E59" s="1378" t="s">
        <v>561</v>
      </c>
      <c r="F59" s="1378"/>
      <c r="G59" s="1378"/>
      <c r="H59" s="1379"/>
      <c r="K59" s="295"/>
      <c r="L59" s="296"/>
    </row>
    <row r="60" spans="1:12" ht="33" customHeight="1" x14ac:dyDescent="0.4">
      <c r="A60" s="12" t="s">
        <v>714</v>
      </c>
      <c r="B60" s="462">
        <f>'Standalone AD ERF'!B66</f>
        <v>9.0719404880703985E-2</v>
      </c>
      <c r="C60" s="309"/>
      <c r="D60" s="291" t="s">
        <v>57</v>
      </c>
      <c r="E60" s="1378" t="s">
        <v>715</v>
      </c>
      <c r="F60" s="1378"/>
      <c r="G60" s="1378"/>
      <c r="H60" s="1379"/>
      <c r="K60" s="298"/>
      <c r="L60" s="296"/>
    </row>
    <row r="61" spans="1:12" ht="33" customHeight="1" x14ac:dyDescent="0.4">
      <c r="A61" s="12" t="s">
        <v>562</v>
      </c>
      <c r="B61" s="311">
        <v>102.8</v>
      </c>
      <c r="C61" s="293"/>
      <c r="D61" s="291" t="s">
        <v>513</v>
      </c>
      <c r="E61" s="1378" t="s">
        <v>563</v>
      </c>
      <c r="F61" s="1378"/>
      <c r="G61" s="1378"/>
      <c r="H61" s="1379"/>
    </row>
    <row r="62" spans="1:12" ht="33" customHeight="1" x14ac:dyDescent="0.4">
      <c r="A62" s="310" t="s">
        <v>564</v>
      </c>
      <c r="B62" s="311">
        <v>0.98</v>
      </c>
      <c r="C62" s="311"/>
      <c r="D62" s="291" t="s">
        <v>565</v>
      </c>
      <c r="E62" s="1378" t="s">
        <v>566</v>
      </c>
      <c r="F62" s="1378"/>
      <c r="G62" s="1378"/>
      <c r="H62" s="1379"/>
    </row>
    <row r="63" spans="1:12" ht="29.15" x14ac:dyDescent="0.4">
      <c r="A63" s="310" t="s">
        <v>567</v>
      </c>
      <c r="B63" s="311">
        <v>0.9</v>
      </c>
      <c r="C63" s="311"/>
      <c r="D63" s="387" t="s">
        <v>780</v>
      </c>
      <c r="E63" s="1370" t="s">
        <v>568</v>
      </c>
      <c r="F63" s="1370"/>
      <c r="G63" s="1370"/>
      <c r="H63" s="1371"/>
    </row>
    <row r="64" spans="1:12" ht="17.600000000000001" x14ac:dyDescent="0.55000000000000004">
      <c r="A64" s="106" t="s">
        <v>632</v>
      </c>
      <c r="B64" s="388">
        <v>10917408.220000001</v>
      </c>
      <c r="C64" s="388">
        <v>14017892.16</v>
      </c>
      <c r="D64" s="106" t="s">
        <v>633</v>
      </c>
      <c r="E64" s="1439" t="s">
        <v>634</v>
      </c>
      <c r="F64" s="1439"/>
      <c r="G64" s="1439"/>
      <c r="H64" s="1440"/>
    </row>
    <row r="65" spans="1:8" ht="17.600000000000001" x14ac:dyDescent="0.55000000000000004">
      <c r="A65" s="106" t="s">
        <v>635</v>
      </c>
      <c r="B65" s="388">
        <v>8734558.4700000007</v>
      </c>
      <c r="C65" s="388">
        <v>7821501.54</v>
      </c>
      <c r="D65" s="106" t="s">
        <v>636</v>
      </c>
      <c r="E65" s="1439" t="s">
        <v>634</v>
      </c>
      <c r="F65" s="1439"/>
      <c r="G65" s="1439"/>
      <c r="H65" s="1440"/>
    </row>
    <row r="66" spans="1:8" ht="17.600000000000001" x14ac:dyDescent="0.55000000000000004">
      <c r="A66" s="106" t="s">
        <v>637</v>
      </c>
      <c r="B66" s="388">
        <v>2710015.72</v>
      </c>
      <c r="C66" s="388">
        <v>16794972.800000001</v>
      </c>
      <c r="D66" s="106" t="s">
        <v>633</v>
      </c>
      <c r="E66" s="1439" t="s">
        <v>638</v>
      </c>
      <c r="F66" s="1439"/>
      <c r="G66" s="1439"/>
      <c r="H66" s="1440"/>
    </row>
    <row r="67" spans="1:8" ht="17.600000000000001" x14ac:dyDescent="0.55000000000000004">
      <c r="A67" s="106" t="s">
        <v>639</v>
      </c>
      <c r="B67" s="388">
        <v>0</v>
      </c>
      <c r="C67" s="388">
        <v>7848822.0300000003</v>
      </c>
      <c r="D67" s="106" t="s">
        <v>636</v>
      </c>
      <c r="E67" s="1439" t="s">
        <v>638</v>
      </c>
      <c r="F67" s="1439"/>
      <c r="G67" s="1439"/>
      <c r="H67" s="1440"/>
    </row>
    <row r="68" spans="1:8" ht="17.149999999999999" x14ac:dyDescent="0.55000000000000004">
      <c r="A68" s="106" t="s">
        <v>640</v>
      </c>
      <c r="B68" s="388">
        <v>213624.76</v>
      </c>
      <c r="C68" s="388">
        <v>1068126.9099999999</v>
      </c>
      <c r="D68" s="106" t="s">
        <v>633</v>
      </c>
      <c r="E68" s="1441" t="s">
        <v>641</v>
      </c>
      <c r="F68" s="1441"/>
      <c r="G68" s="1441"/>
      <c r="H68" s="1442"/>
    </row>
    <row r="69" spans="1:8" ht="17.600000000000001" x14ac:dyDescent="0.55000000000000004">
      <c r="A69" s="106" t="s">
        <v>642</v>
      </c>
      <c r="B69" s="388">
        <f>1995274.7</f>
        <v>1995274.7</v>
      </c>
      <c r="C69" s="388">
        <f>12685681.42</f>
        <v>12685681.42</v>
      </c>
      <c r="D69" s="106" t="s">
        <v>633</v>
      </c>
      <c r="E69" s="1439" t="s">
        <v>638</v>
      </c>
      <c r="F69" s="1439"/>
      <c r="G69" s="1439"/>
      <c r="H69" s="1440"/>
    </row>
    <row r="70" spans="1:8" ht="17.600000000000001" x14ac:dyDescent="0.55000000000000004">
      <c r="A70" s="106" t="s">
        <v>643</v>
      </c>
      <c r="B70" s="388">
        <v>0</v>
      </c>
      <c r="C70" s="388">
        <f>6553002.67</f>
        <v>6553002.6699999999</v>
      </c>
      <c r="D70" s="106" t="s">
        <v>633</v>
      </c>
      <c r="E70" s="1439" t="s">
        <v>638</v>
      </c>
      <c r="F70" s="1439"/>
      <c r="G70" s="1439"/>
      <c r="H70" s="1440"/>
    </row>
    <row r="71" spans="1:8" ht="17.600000000000001" x14ac:dyDescent="0.55000000000000004">
      <c r="A71" s="106" t="s">
        <v>644</v>
      </c>
      <c r="B71" s="388">
        <f>1331498.25</f>
        <v>1331498.25</v>
      </c>
      <c r="C71" s="388">
        <f>6680667.08</f>
        <v>6680667.0800000001</v>
      </c>
      <c r="D71" s="106" t="s">
        <v>633</v>
      </c>
      <c r="E71" s="1439" t="s">
        <v>638</v>
      </c>
      <c r="F71" s="1439"/>
      <c r="G71" s="1439"/>
      <c r="H71" s="1440"/>
    </row>
    <row r="72" spans="1:8" ht="17.600000000000001" x14ac:dyDescent="0.55000000000000004">
      <c r="A72" s="106" t="s">
        <v>645</v>
      </c>
      <c r="B72" s="389">
        <f>397902.59</f>
        <v>397902.59</v>
      </c>
      <c r="C72" s="388">
        <f>4858131.8</f>
        <v>4858131.8</v>
      </c>
      <c r="D72" s="106" t="s">
        <v>636</v>
      </c>
      <c r="E72" s="1439" t="s">
        <v>638</v>
      </c>
      <c r="F72" s="1439"/>
      <c r="G72" s="1439"/>
      <c r="H72" s="1440"/>
    </row>
    <row r="73" spans="1:8" ht="17.600000000000001" x14ac:dyDescent="0.55000000000000004">
      <c r="A73" s="390" t="s">
        <v>646</v>
      </c>
      <c r="B73" s="389">
        <v>0</v>
      </c>
      <c r="C73" s="391">
        <v>23235618.170000002</v>
      </c>
      <c r="D73" s="390" t="s">
        <v>636</v>
      </c>
      <c r="E73" s="1439" t="s">
        <v>638</v>
      </c>
      <c r="F73" s="1439"/>
      <c r="G73" s="1439"/>
      <c r="H73" s="1440"/>
    </row>
    <row r="74" spans="1:8" ht="17.600000000000001" x14ac:dyDescent="0.55000000000000004">
      <c r="A74" s="390" t="s">
        <v>647</v>
      </c>
      <c r="B74" s="389">
        <v>0</v>
      </c>
      <c r="C74" s="391">
        <v>10713366.23</v>
      </c>
      <c r="D74" s="390" t="s">
        <v>633</v>
      </c>
      <c r="E74" s="1439" t="s">
        <v>638</v>
      </c>
      <c r="F74" s="1439"/>
      <c r="G74" s="1439"/>
      <c r="H74" s="1440"/>
    </row>
    <row r="75" spans="1:8" ht="16.3" x14ac:dyDescent="0.4">
      <c r="A75" s="390" t="s">
        <v>648</v>
      </c>
      <c r="B75" s="389">
        <v>0</v>
      </c>
      <c r="C75" s="391">
        <f>-C73+C74</f>
        <v>-12522251.940000001</v>
      </c>
      <c r="D75" s="390" t="s">
        <v>649</v>
      </c>
      <c r="E75" s="1439" t="s">
        <v>638</v>
      </c>
      <c r="F75" s="1439"/>
      <c r="G75" s="1439"/>
      <c r="H75" s="1440"/>
    </row>
    <row r="76" spans="1:8" ht="31.75" x14ac:dyDescent="0.55000000000000004">
      <c r="A76" s="112" t="s">
        <v>650</v>
      </c>
      <c r="B76" s="389">
        <f>4921018.57*B49</f>
        <v>6987846.3694000002</v>
      </c>
      <c r="C76" s="391">
        <f>19701558.51*C49</f>
        <v>27976213.084200002</v>
      </c>
      <c r="D76" s="106" t="s">
        <v>633</v>
      </c>
      <c r="E76" s="1439" t="s">
        <v>638</v>
      </c>
      <c r="F76" s="1439"/>
      <c r="G76" s="1439"/>
      <c r="H76" s="1440"/>
    </row>
    <row r="77" spans="1:8" ht="18" customHeight="1" x14ac:dyDescent="0.55000000000000004">
      <c r="A77" s="112" t="s">
        <v>651</v>
      </c>
      <c r="B77" s="389">
        <f>4441625.69*B49</f>
        <v>6307108.4797999999</v>
      </c>
      <c r="C77" s="391">
        <f>17782283.73*C49</f>
        <v>25250842.896600001</v>
      </c>
      <c r="D77" s="106" t="s">
        <v>636</v>
      </c>
      <c r="E77" s="1439" t="s">
        <v>638</v>
      </c>
      <c r="F77" s="1439"/>
      <c r="G77" s="1439"/>
      <c r="H77" s="1440"/>
    </row>
    <row r="78" spans="1:8" ht="18" customHeight="1" x14ac:dyDescent="0.4">
      <c r="A78" s="12" t="s">
        <v>569</v>
      </c>
      <c r="B78" s="309">
        <v>1.1023000000000001</v>
      </c>
      <c r="C78" s="309"/>
      <c r="D78" s="291" t="s">
        <v>570</v>
      </c>
      <c r="E78" s="1396"/>
      <c r="F78" s="1396"/>
      <c r="G78" s="1396"/>
      <c r="H78" s="1397"/>
    </row>
    <row r="79" spans="1:8" ht="18" customHeight="1" x14ac:dyDescent="0.4">
      <c r="A79" s="12" t="s">
        <v>569</v>
      </c>
      <c r="B79" s="301">
        <v>1000000</v>
      </c>
      <c r="C79" s="301"/>
      <c r="D79" s="293" t="s">
        <v>571</v>
      </c>
      <c r="E79" s="1310"/>
      <c r="F79" s="1310"/>
      <c r="G79" s="1310"/>
      <c r="H79" s="1362"/>
    </row>
    <row r="80" spans="1:8" ht="18" customHeight="1" x14ac:dyDescent="0.4">
      <c r="A80" s="12" t="s">
        <v>569</v>
      </c>
      <c r="B80" s="392">
        <v>1.10231E-3</v>
      </c>
      <c r="C80" s="393"/>
      <c r="D80" s="314" t="s">
        <v>652</v>
      </c>
      <c r="E80" s="1443"/>
      <c r="F80" s="1444"/>
      <c r="G80" s="1444"/>
      <c r="H80" s="1445"/>
    </row>
    <row r="81" spans="1:8" ht="18" customHeight="1" x14ac:dyDescent="0.4">
      <c r="A81" s="312" t="s">
        <v>569</v>
      </c>
      <c r="B81" s="313">
        <v>9.4804299999999998E-3</v>
      </c>
      <c r="C81" s="394"/>
      <c r="D81" s="314" t="s">
        <v>572</v>
      </c>
      <c r="E81" s="1398"/>
      <c r="F81" s="1399"/>
      <c r="G81" s="1399"/>
      <c r="H81" s="1400"/>
    </row>
    <row r="82" spans="1:8" ht="15" thickBot="1" x14ac:dyDescent="0.45">
      <c r="A82" s="178" t="s">
        <v>569</v>
      </c>
      <c r="B82" s="395">
        <v>3412.14</v>
      </c>
      <c r="C82" s="315"/>
      <c r="D82" s="315" t="s">
        <v>573</v>
      </c>
      <c r="E82" s="1392"/>
      <c r="F82" s="1392"/>
      <c r="G82" s="1392"/>
      <c r="H82" s="1393"/>
    </row>
    <row r="84" spans="1:8" ht="17.149999999999999" x14ac:dyDescent="0.4">
      <c r="A84" s="1394" t="s">
        <v>653</v>
      </c>
      <c r="B84" s="1394"/>
      <c r="C84" s="1394"/>
      <c r="D84" s="1394"/>
      <c r="E84" s="1394"/>
      <c r="F84" s="1394"/>
      <c r="G84" s="1394"/>
    </row>
    <row r="85" spans="1:8" ht="37.5" customHeight="1" x14ac:dyDescent="0.4">
      <c r="A85" s="1341" t="s">
        <v>654</v>
      </c>
      <c r="B85" s="1341"/>
      <c r="C85" s="1341"/>
      <c r="D85" s="1341"/>
      <c r="E85" s="1341"/>
      <c r="F85" s="1341"/>
      <c r="G85" s="1341"/>
    </row>
    <row r="86" spans="1:8" x14ac:dyDescent="0.4">
      <c r="A86" s="26" t="s">
        <v>655</v>
      </c>
      <c r="B86" s="26"/>
      <c r="C86" s="26"/>
      <c r="D86" s="26"/>
      <c r="E86" s="26"/>
      <c r="F86" s="26"/>
      <c r="G86" s="26"/>
    </row>
    <row r="87" spans="1:8" x14ac:dyDescent="0.4">
      <c r="A87" s="26" t="s">
        <v>656</v>
      </c>
      <c r="B87" s="26"/>
      <c r="C87" s="26"/>
      <c r="D87" s="26"/>
      <c r="E87" s="26"/>
      <c r="F87" s="26"/>
      <c r="G87" s="26"/>
    </row>
    <row r="88" spans="1:8" x14ac:dyDescent="0.4">
      <c r="A88" s="1341" t="s">
        <v>657</v>
      </c>
      <c r="B88" s="1341"/>
      <c r="C88" s="1341"/>
      <c r="D88" s="1341"/>
      <c r="E88" s="1341"/>
      <c r="F88" s="1341"/>
      <c r="G88" s="1341"/>
    </row>
    <row r="89" spans="1:8" x14ac:dyDescent="0.4">
      <c r="A89" s="1395" t="s">
        <v>579</v>
      </c>
      <c r="B89" s="1395"/>
      <c r="C89" s="1395"/>
      <c r="D89" s="1395"/>
      <c r="E89" s="1395"/>
      <c r="F89" s="1395"/>
      <c r="G89" s="1395"/>
    </row>
  </sheetData>
  <sheetProtection algorithmName="SHA-512" hashValue="pyyT/nIpDiYk0Gh36KcAr3/1fHmLT99NxrnjrpLfgwY1zHF5HkYPyqr88a8e9ej19GGTDqHLR1p4yQOyYD39kQ==" saltValue="piWrnyVD3BVGLpVqBi335A==" spinCount="100000" sheet="1" objects="1" scenarios="1"/>
  <mergeCells count="86">
    <mergeCell ref="F16:G16"/>
    <mergeCell ref="S20:S21"/>
    <mergeCell ref="T20:T21"/>
    <mergeCell ref="E60:H60"/>
    <mergeCell ref="F9:G9"/>
    <mergeCell ref="F10:G10"/>
    <mergeCell ref="F11:G11"/>
    <mergeCell ref="F12:G12"/>
    <mergeCell ref="F13:G13"/>
    <mergeCell ref="F14:G14"/>
    <mergeCell ref="F15:G15"/>
    <mergeCell ref="N20:N21"/>
    <mergeCell ref="E48:H48"/>
    <mergeCell ref="E49:H49"/>
    <mergeCell ref="E50:H50"/>
    <mergeCell ref="E51:H51"/>
    <mergeCell ref="A88:G88"/>
    <mergeCell ref="A89:G89"/>
    <mergeCell ref="G20:G21"/>
    <mergeCell ref="H20:H21"/>
    <mergeCell ref="M20:M21"/>
    <mergeCell ref="E79:H79"/>
    <mergeCell ref="E80:H80"/>
    <mergeCell ref="E81:H81"/>
    <mergeCell ref="E82:H82"/>
    <mergeCell ref="A84:G84"/>
    <mergeCell ref="A85:G85"/>
    <mergeCell ref="E73:H73"/>
    <mergeCell ref="E74:H74"/>
    <mergeCell ref="E75:H75"/>
    <mergeCell ref="E76:H76"/>
    <mergeCell ref="E77:H77"/>
    <mergeCell ref="E78:H78"/>
    <mergeCell ref="E67:H67"/>
    <mergeCell ref="E68:H68"/>
    <mergeCell ref="E69:H69"/>
    <mergeCell ref="E70:H70"/>
    <mergeCell ref="E71:H71"/>
    <mergeCell ref="E72:H72"/>
    <mergeCell ref="E66:H66"/>
    <mergeCell ref="E54:H54"/>
    <mergeCell ref="E55:H55"/>
    <mergeCell ref="E56:H56"/>
    <mergeCell ref="E57:H57"/>
    <mergeCell ref="E58:H58"/>
    <mergeCell ref="E59:H59"/>
    <mergeCell ref="E61:H61"/>
    <mergeCell ref="E62:H62"/>
    <mergeCell ref="E63:H63"/>
    <mergeCell ref="E64:H64"/>
    <mergeCell ref="E65:H65"/>
    <mergeCell ref="E52:H52"/>
    <mergeCell ref="E53:H53"/>
    <mergeCell ref="P20:P21"/>
    <mergeCell ref="Q20:Q21"/>
    <mergeCell ref="R20:R21"/>
    <mergeCell ref="A43:G43"/>
    <mergeCell ref="A45:G45"/>
    <mergeCell ref="E47:H47"/>
    <mergeCell ref="F20:F21"/>
    <mergeCell ref="I20:I21"/>
    <mergeCell ref="J20:J21"/>
    <mergeCell ref="K20:K21"/>
    <mergeCell ref="L20:L21"/>
    <mergeCell ref="O20:O21"/>
    <mergeCell ref="B15:C15"/>
    <mergeCell ref="D15:E15"/>
    <mergeCell ref="B16:C16"/>
    <mergeCell ref="D16:E16"/>
    <mergeCell ref="A20:A21"/>
    <mergeCell ref="C20:C21"/>
    <mergeCell ref="D20:D21"/>
    <mergeCell ref="E20:E21"/>
    <mergeCell ref="B12:C12"/>
    <mergeCell ref="D12:E12"/>
    <mergeCell ref="B13:C13"/>
    <mergeCell ref="D13:E13"/>
    <mergeCell ref="B14:C14"/>
    <mergeCell ref="D14:E14"/>
    <mergeCell ref="B11:C11"/>
    <mergeCell ref="D11:E11"/>
    <mergeCell ref="A4:I4"/>
    <mergeCell ref="B9:C9"/>
    <mergeCell ref="D9:E9"/>
    <mergeCell ref="B10:C10"/>
    <mergeCell ref="D10:E10"/>
  </mergeCells>
  <hyperlinks>
    <hyperlink ref="E59" r:id="rId1" xr:uid="{00000000-0004-0000-0F00-000000000000}"/>
    <hyperlink ref="E53" r:id="rId2" display="ARB GHG inventory" xr:uid="{00000000-0004-0000-0F00-000001000000}"/>
    <hyperlink ref="E56" r:id="rId3" xr:uid="{00000000-0004-0000-0F00-000002000000}"/>
    <hyperlink ref="E61:H61" r:id="rId4" display="California Air Resources Board, Final Statement of Reasons, Re-Adoption of the Low Carbon Fuel Standard (2015)" xr:uid="{00000000-0004-0000-0F00-000003000000}"/>
    <hyperlink ref="E62" r:id="rId5" xr:uid="{00000000-0004-0000-0F00-000004000000}"/>
    <hyperlink ref="E63" r:id="rId6" xr:uid="{00000000-0004-0000-0F00-000005000000}"/>
    <hyperlink ref="E53:H53" r:id="rId7" display="ARB GHG Inventory (2013)" xr:uid="{00000000-0004-0000-0F00-000006000000}"/>
    <hyperlink ref="E54:H54" r:id="rId8" display="EPA Emission Factors for Greenhouse Gas Inventories (2014)" xr:uid="{00000000-0004-0000-0F00-000007000000}"/>
    <hyperlink ref="A5" r:id="rId9" tooltip="Low Carbon Fuel Standard (LCFS) Pathway for the Production of Biomethane from the Mesophilic Anaerobic Digestion of Wastewater Sludge at a Publicly Owned Treatment Works" xr:uid="{00000000-0004-0000-0F00-000008000000}"/>
    <hyperlink ref="A44" r:id="rId10" tooltip="Low Carbon Fuel Standard (LCFS) Pathway for the Production of Biomethane from the Mesophilic Anaerobic Digestion of Wastewater Sludge at a Publicly Owned Treatment Works" xr:uid="{00000000-0004-0000-0F00-000009000000}"/>
    <hyperlink ref="E49:H49" r:id="rId11" display="EPA: Food Waste to Energy: How Six Water Resource Recovery Facilities are Boosting Biogas Production and the Bottom Line" xr:uid="{00000000-0004-0000-0F00-00000A000000}"/>
    <hyperlink ref="E48:H48" r:id="rId12" display="LCFS LSAD Pathway p. 20" xr:uid="{00000000-0004-0000-0F00-00000B000000}"/>
    <hyperlink ref="E50:H50" r:id="rId13" display="LCFS LSAD Pathway p. 6" xr:uid="{00000000-0004-0000-0F00-00000C000000}"/>
    <hyperlink ref="E51:H51" r:id="rId14" display="LCFS LSAD Pathway p. 6" xr:uid="{00000000-0004-0000-0F00-00000D000000}"/>
    <hyperlink ref="E58:H58" r:id="rId15" display="LCFS LSAD Pathway p. 20" xr:uid="{00000000-0004-0000-0F00-00000E000000}"/>
    <hyperlink ref="E52:H52" r:id="rId16" display="Draft Method for Estimating Greenhouse Gas Emission Reductions from Composting of Commercial Organic Waste (2016)" xr:uid="{00000000-0004-0000-0F00-00000F000000}"/>
    <hyperlink ref="E57:H57" r:id="rId17" display="Draft Method for Estimating Greenhouse Gas Emission Reductions from Composting of Commercial Organic Waste (2016)" xr:uid="{00000000-0004-0000-0F00-000010000000}"/>
    <hyperlink ref="E62:H62" r:id="rId18" display="Rulemaking to Consider the Proposed Regulation to Implement the Low Carbon Fuel Standard; Table 5" xr:uid="{00000000-0004-0000-0F00-000011000000}"/>
    <hyperlink ref="E63:H63" r:id="rId19" display="Low Carbon Fuel Standard Regulation" xr:uid="{00000000-0004-0000-0F00-000012000000}"/>
    <hyperlink ref="E55:H55" r:id="rId20" display="LCFS LSAD Pathway p. 20" xr:uid="{00000000-0004-0000-0F00-000013000000}"/>
    <hyperlink ref="E68:H68" r:id="rId21" display="LCFS POTW Pathway p. 47 &amp; 49" xr:uid="{00000000-0004-0000-0F00-000014000000}"/>
    <hyperlink ref="E60" r:id="rId22" display="Climate Action Reserve Organic Waste Digestion Project Protocol v 2.1 Table B.4 used with equation 5.18" xr:uid="{00000000-0004-0000-0F00-000015000000}"/>
  </hyperlinks>
  <pageMargins left="0.7" right="0.7" top="0.75" bottom="0.75" header="0.3" footer="0.3"/>
  <pageSetup paperSize="3" scale="39" orientation="landscape" r:id="rId23"/>
  <headerFooter>
    <oddFooter xml:space="preserve">&amp;CPage 8 of 11&amp;RCo-Digestion of Organics at Wastewater Treatment Plants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L46"/>
  <sheetViews>
    <sheetView showGridLines="0" zoomScaleNormal="100" workbookViewId="0">
      <selection activeCell="K5" sqref="K5"/>
    </sheetView>
  </sheetViews>
  <sheetFormatPr defaultRowHeight="14.6" x14ac:dyDescent="0.4"/>
  <cols>
    <col min="1" max="1" width="21.84375" customWidth="1"/>
    <col min="2" max="2" width="13.15234375" customWidth="1"/>
    <col min="3" max="3" width="11.3046875" customWidth="1"/>
    <col min="4" max="4" width="12.15234375" customWidth="1"/>
    <col min="5" max="5" width="13.69140625" bestFit="1" customWidth="1"/>
    <col min="6" max="6" width="13.69140625" customWidth="1"/>
    <col min="7" max="7" width="12" customWidth="1"/>
    <col min="8" max="8" width="12" bestFit="1" customWidth="1"/>
    <col min="9" max="9" width="12.3828125" customWidth="1"/>
    <col min="10" max="10" width="18.15234375" customWidth="1"/>
    <col min="11" max="11" width="17.15234375" customWidth="1"/>
  </cols>
  <sheetData>
    <row r="1" spans="1:11" ht="18" customHeight="1" x14ac:dyDescent="0.5">
      <c r="A1" s="1" t="s">
        <v>658</v>
      </c>
      <c r="B1" s="1"/>
    </row>
    <row r="2" spans="1:11" ht="18" customHeight="1" x14ac:dyDescent="0.5">
      <c r="A2" s="1"/>
      <c r="B2" s="1"/>
    </row>
    <row r="3" spans="1:11" ht="18" customHeight="1" x14ac:dyDescent="0.4">
      <c r="A3" t="s">
        <v>659</v>
      </c>
    </row>
    <row r="4" spans="1:11" ht="18" customHeight="1" x14ac:dyDescent="0.4">
      <c r="A4" s="1311" t="s">
        <v>660</v>
      </c>
      <c r="B4" s="1311"/>
      <c r="C4" s="1311"/>
      <c r="D4" s="1311"/>
      <c r="E4" s="1311"/>
      <c r="F4" s="1311"/>
    </row>
    <row r="5" spans="1:11" s="226" customFormat="1" ht="18" customHeight="1" x14ac:dyDescent="0.4">
      <c r="A5" s="767" t="s">
        <v>18</v>
      </c>
    </row>
    <row r="6" spans="1:11" ht="18" customHeight="1" x14ac:dyDescent="0.4">
      <c r="A6" s="396"/>
    </row>
    <row r="7" spans="1:11" ht="18" customHeight="1" thickBot="1" x14ac:dyDescent="0.45">
      <c r="A7" s="397"/>
      <c r="B7" s="398"/>
      <c r="C7" s="398"/>
      <c r="D7" s="398"/>
      <c r="E7" s="398"/>
    </row>
    <row r="8" spans="1:11" ht="18" customHeight="1" thickBot="1" x14ac:dyDescent="0.6">
      <c r="A8" s="399" t="s">
        <v>661</v>
      </c>
      <c r="B8" s="400"/>
      <c r="C8" s="401"/>
      <c r="D8" s="438">
        <f>ROUND((K31+K33)*K35,2)</f>
        <v>1.78</v>
      </c>
      <c r="E8" s="1456" t="s">
        <v>662</v>
      </c>
      <c r="F8" s="1457"/>
    </row>
    <row r="9" spans="1:11" ht="18" customHeight="1" x14ac:dyDescent="0.4">
      <c r="B9" s="398"/>
      <c r="C9" s="398"/>
      <c r="D9" s="398"/>
      <c r="E9" s="398"/>
    </row>
    <row r="10" spans="1:11" ht="18" customHeight="1" x14ac:dyDescent="0.4">
      <c r="A10" s="398"/>
      <c r="B10" s="398"/>
      <c r="C10" s="398"/>
      <c r="D10" s="398"/>
      <c r="E10" s="398"/>
    </row>
    <row r="11" spans="1:11" ht="18" customHeight="1" thickBot="1" x14ac:dyDescent="0.45">
      <c r="A11" t="s">
        <v>663</v>
      </c>
    </row>
    <row r="12" spans="1:11" ht="43.75" x14ac:dyDescent="0.4">
      <c r="A12" s="1458" t="s">
        <v>664</v>
      </c>
      <c r="B12" s="402" t="s">
        <v>665</v>
      </c>
      <c r="C12" s="402" t="s">
        <v>666</v>
      </c>
      <c r="D12" s="402" t="s">
        <v>667</v>
      </c>
      <c r="E12" s="402" t="s">
        <v>668</v>
      </c>
      <c r="F12" s="402" t="s">
        <v>669</v>
      </c>
      <c r="G12" s="402" t="s">
        <v>670</v>
      </c>
      <c r="H12" s="402" t="s">
        <v>671</v>
      </c>
      <c r="I12" s="403" t="s">
        <v>672</v>
      </c>
      <c r="J12" s="1460" t="s">
        <v>673</v>
      </c>
      <c r="K12" s="1462" t="s">
        <v>674</v>
      </c>
    </row>
    <row r="13" spans="1:11" ht="17.149999999999999" x14ac:dyDescent="0.55000000000000004">
      <c r="A13" s="1459"/>
      <c r="B13" s="1464" t="s">
        <v>675</v>
      </c>
      <c r="C13" s="1464"/>
      <c r="D13" s="1464"/>
      <c r="E13" s="1464"/>
      <c r="F13" s="1464" t="s">
        <v>676</v>
      </c>
      <c r="G13" s="1464"/>
      <c r="H13" s="1464"/>
      <c r="I13" s="1464"/>
      <c r="J13" s="1461"/>
      <c r="K13" s="1463"/>
    </row>
    <row r="14" spans="1:11" ht="18" customHeight="1" x14ac:dyDescent="0.4">
      <c r="A14" s="268" t="s">
        <v>677</v>
      </c>
      <c r="B14" s="404">
        <v>0</v>
      </c>
      <c r="C14" s="404">
        <v>0.35</v>
      </c>
      <c r="D14" s="404">
        <v>0.72</v>
      </c>
      <c r="E14" s="404">
        <f>SUM(B14:D14)</f>
        <v>1.0699999999999998</v>
      </c>
      <c r="F14" s="404">
        <v>17.27</v>
      </c>
      <c r="G14" s="404">
        <v>0.1</v>
      </c>
      <c r="H14" s="404">
        <v>0.32</v>
      </c>
      <c r="I14" s="404">
        <v>17.690000000000001</v>
      </c>
      <c r="J14" s="405">
        <f>I14/E14</f>
        <v>16.532710280373834</v>
      </c>
      <c r="K14" s="437">
        <f>(I14/E14)/1.10231</f>
        <v>14.998240313862558</v>
      </c>
    </row>
    <row r="15" spans="1:11" ht="18" customHeight="1" x14ac:dyDescent="0.4">
      <c r="A15" s="268" t="s">
        <v>678</v>
      </c>
      <c r="B15" s="404">
        <v>0</v>
      </c>
      <c r="C15" s="404">
        <v>0.28000000000000003</v>
      </c>
      <c r="D15" s="404">
        <v>1.1599999999999999</v>
      </c>
      <c r="E15" s="404">
        <f t="shared" ref="E15:E29" si="0">SUM(B15:D15)</f>
        <v>1.44</v>
      </c>
      <c r="F15" s="404">
        <v>7.12</v>
      </c>
      <c r="G15" s="404">
        <v>0.13</v>
      </c>
      <c r="H15" s="404">
        <v>0.43</v>
      </c>
      <c r="I15" s="404">
        <v>7.68</v>
      </c>
      <c r="J15" s="405">
        <f t="shared" ref="J15:J29" si="1">I15/E15</f>
        <v>5.333333333333333</v>
      </c>
      <c r="K15" s="437">
        <f t="shared" ref="K15:K29" si="2">(I15/E15)/1.10231</f>
        <v>4.8383243673134899</v>
      </c>
    </row>
    <row r="16" spans="1:11" ht="18" customHeight="1" x14ac:dyDescent="0.4">
      <c r="A16" s="268" t="s">
        <v>679</v>
      </c>
      <c r="B16" s="404">
        <v>0</v>
      </c>
      <c r="C16" s="404">
        <v>0.31</v>
      </c>
      <c r="D16" s="404">
        <v>1.42</v>
      </c>
      <c r="E16" s="404">
        <f t="shared" si="0"/>
        <v>1.73</v>
      </c>
      <c r="F16" s="404">
        <v>6.17</v>
      </c>
      <c r="G16" s="404">
        <v>0.16</v>
      </c>
      <c r="H16" s="404">
        <v>0.52</v>
      </c>
      <c r="I16" s="404">
        <v>6.85</v>
      </c>
      <c r="J16" s="405">
        <f t="shared" si="1"/>
        <v>3.9595375722543351</v>
      </c>
      <c r="K16" s="437">
        <f t="shared" si="2"/>
        <v>3.5920363348371471</v>
      </c>
    </row>
    <row r="17" spans="1:11" ht="18" customHeight="1" x14ac:dyDescent="0.4">
      <c r="A17" s="268" t="s">
        <v>680</v>
      </c>
      <c r="B17" s="404">
        <v>0</v>
      </c>
      <c r="C17" s="404">
        <v>0.08</v>
      </c>
      <c r="D17" s="404">
        <v>0.14000000000000001</v>
      </c>
      <c r="E17" s="404">
        <f t="shared" si="0"/>
        <v>0.22000000000000003</v>
      </c>
      <c r="F17" s="404">
        <v>1.33</v>
      </c>
      <c r="G17" s="404">
        <v>0.02</v>
      </c>
      <c r="H17" s="404">
        <v>0.06</v>
      </c>
      <c r="I17" s="404">
        <v>1.4100000000000001</v>
      </c>
      <c r="J17" s="405">
        <f t="shared" si="1"/>
        <v>6.4090909090909092</v>
      </c>
      <c r="K17" s="437">
        <f t="shared" si="2"/>
        <v>5.8142363845841096</v>
      </c>
    </row>
    <row r="18" spans="1:11" ht="18" customHeight="1" x14ac:dyDescent="0.4">
      <c r="A18" s="268" t="s">
        <v>681</v>
      </c>
      <c r="B18" s="404">
        <v>0</v>
      </c>
      <c r="C18" s="404">
        <v>0.17</v>
      </c>
      <c r="D18" s="404">
        <v>0.25</v>
      </c>
      <c r="E18" s="404">
        <f t="shared" si="0"/>
        <v>0.42000000000000004</v>
      </c>
      <c r="F18" s="404">
        <v>2.37</v>
      </c>
      <c r="G18" s="404">
        <v>0.05</v>
      </c>
      <c r="H18" s="404">
        <v>0.12</v>
      </c>
      <c r="I18" s="404">
        <v>2.54</v>
      </c>
      <c r="J18" s="405">
        <f t="shared" si="1"/>
        <v>6.0476190476190474</v>
      </c>
      <c r="K18" s="437">
        <f t="shared" si="2"/>
        <v>5.4863142379358329</v>
      </c>
    </row>
    <row r="19" spans="1:11" ht="18" customHeight="1" x14ac:dyDescent="0.4">
      <c r="A19" s="268" t="s">
        <v>682</v>
      </c>
      <c r="B19" s="404">
        <v>0</v>
      </c>
      <c r="C19" s="404">
        <v>0.33</v>
      </c>
      <c r="D19" s="404">
        <v>0.64</v>
      </c>
      <c r="E19" s="404">
        <f t="shared" si="0"/>
        <v>0.97</v>
      </c>
      <c r="F19" s="404">
        <v>8.6</v>
      </c>
      <c r="G19" s="404">
        <v>0.23</v>
      </c>
      <c r="H19" s="404">
        <v>0.24</v>
      </c>
      <c r="I19" s="404">
        <v>9.07</v>
      </c>
      <c r="J19" s="405">
        <f t="shared" si="1"/>
        <v>9.3505154639175263</v>
      </c>
      <c r="K19" s="437">
        <f t="shared" si="2"/>
        <v>8.4826550280025828</v>
      </c>
    </row>
    <row r="20" spans="1:11" ht="18" customHeight="1" x14ac:dyDescent="0.4">
      <c r="A20" s="268" t="s">
        <v>683</v>
      </c>
      <c r="B20" s="404">
        <v>0</v>
      </c>
      <c r="C20" s="404">
        <v>3.18</v>
      </c>
      <c r="D20" s="404">
        <v>4.66</v>
      </c>
      <c r="E20" s="404">
        <f t="shared" si="0"/>
        <v>7.84</v>
      </c>
      <c r="F20" s="404">
        <v>6.89</v>
      </c>
      <c r="G20" s="404">
        <v>1.72</v>
      </c>
      <c r="H20" s="404">
        <v>1.89</v>
      </c>
      <c r="I20" s="404">
        <v>10.5</v>
      </c>
      <c r="J20" s="405">
        <f t="shared" si="1"/>
        <v>1.3392857142857144</v>
      </c>
      <c r="K20" s="437">
        <f t="shared" si="2"/>
        <v>1.2149810074168923</v>
      </c>
    </row>
    <row r="21" spans="1:11" ht="18" customHeight="1" x14ac:dyDescent="0.4">
      <c r="A21" s="268" t="s">
        <v>684</v>
      </c>
      <c r="B21" s="404">
        <v>0</v>
      </c>
      <c r="C21" s="404">
        <v>0.62</v>
      </c>
      <c r="D21" s="404">
        <v>0.9</v>
      </c>
      <c r="E21" s="404">
        <f t="shared" si="0"/>
        <v>1.52</v>
      </c>
      <c r="F21" s="404">
        <v>2.04</v>
      </c>
      <c r="G21" s="404">
        <v>0.35</v>
      </c>
      <c r="H21" s="404">
        <v>0.45</v>
      </c>
      <c r="I21" s="404">
        <v>2.8400000000000003</v>
      </c>
      <c r="J21" s="405">
        <f t="shared" si="1"/>
        <v>1.8684210526315792</v>
      </c>
      <c r="K21" s="437">
        <f t="shared" si="2"/>
        <v>1.6950050826279173</v>
      </c>
    </row>
    <row r="22" spans="1:11" ht="18" customHeight="1" x14ac:dyDescent="0.4">
      <c r="A22" s="268" t="s">
        <v>685</v>
      </c>
      <c r="B22" s="404">
        <v>0</v>
      </c>
      <c r="C22" s="404">
        <v>2.08</v>
      </c>
      <c r="D22" s="404">
        <v>0.87</v>
      </c>
      <c r="E22" s="404">
        <f t="shared" si="0"/>
        <v>2.95</v>
      </c>
      <c r="F22" s="404">
        <v>5.1100000000000003</v>
      </c>
      <c r="G22" s="404">
        <v>0.49</v>
      </c>
      <c r="H22" s="404">
        <v>0.65</v>
      </c>
      <c r="I22" s="404">
        <v>6.2500000000000009</v>
      </c>
      <c r="J22" s="405">
        <f t="shared" si="1"/>
        <v>2.1186440677966103</v>
      </c>
      <c r="K22" s="437">
        <f t="shared" si="2"/>
        <v>1.9220038535408466</v>
      </c>
    </row>
    <row r="23" spans="1:11" ht="18" customHeight="1" x14ac:dyDescent="0.4">
      <c r="A23" s="268" t="s">
        <v>686</v>
      </c>
      <c r="B23" s="404">
        <v>7.0000000000000007E-2</v>
      </c>
      <c r="C23" s="404">
        <v>0.4</v>
      </c>
      <c r="D23" s="404">
        <v>0.4</v>
      </c>
      <c r="E23" s="404">
        <f t="shared" si="0"/>
        <v>0.87000000000000011</v>
      </c>
      <c r="F23" s="404">
        <v>1.82</v>
      </c>
      <c r="G23" s="404">
        <v>0.14000000000000001</v>
      </c>
      <c r="H23" s="404">
        <v>0.21</v>
      </c>
      <c r="I23" s="404">
        <v>2.17</v>
      </c>
      <c r="J23" s="405">
        <f t="shared" si="1"/>
        <v>2.4942528735632181</v>
      </c>
      <c r="K23" s="437">
        <f t="shared" si="2"/>
        <v>2.2627508355754902</v>
      </c>
    </row>
    <row r="24" spans="1:11" ht="18" customHeight="1" x14ac:dyDescent="0.4">
      <c r="A24" s="268" t="s">
        <v>687</v>
      </c>
      <c r="B24" s="404">
        <v>0</v>
      </c>
      <c r="C24" s="404">
        <v>1.98</v>
      </c>
      <c r="D24" s="404">
        <v>3.2</v>
      </c>
      <c r="E24" s="404">
        <f t="shared" si="0"/>
        <v>5.18</v>
      </c>
      <c r="F24" s="404">
        <v>2.15</v>
      </c>
      <c r="G24" s="404">
        <v>1.04</v>
      </c>
      <c r="H24" s="404">
        <v>1.1299999999999999</v>
      </c>
      <c r="I24" s="404">
        <v>4.32</v>
      </c>
      <c r="J24" s="405">
        <f t="shared" si="1"/>
        <v>0.83397683397683409</v>
      </c>
      <c r="K24" s="437">
        <f t="shared" si="2"/>
        <v>0.75657195705095137</v>
      </c>
    </row>
    <row r="25" spans="1:11" ht="18" customHeight="1" x14ac:dyDescent="0.4">
      <c r="A25" s="268" t="s">
        <v>688</v>
      </c>
      <c r="B25" s="404">
        <v>0</v>
      </c>
      <c r="C25" s="404">
        <v>0.08</v>
      </c>
      <c r="D25" s="404">
        <v>0.12</v>
      </c>
      <c r="E25" s="404">
        <f t="shared" si="0"/>
        <v>0.2</v>
      </c>
      <c r="F25" s="404">
        <v>0.2</v>
      </c>
      <c r="G25" s="404">
        <v>0.01</v>
      </c>
      <c r="H25" s="404">
        <v>0.04</v>
      </c>
      <c r="I25" s="404">
        <v>0.25</v>
      </c>
      <c r="J25" s="405">
        <f t="shared" si="1"/>
        <v>1.25</v>
      </c>
      <c r="K25" s="437">
        <f t="shared" si="2"/>
        <v>1.1339822735890994</v>
      </c>
    </row>
    <row r="26" spans="1:11" ht="18" customHeight="1" x14ac:dyDescent="0.4">
      <c r="A26" s="268" t="s">
        <v>689</v>
      </c>
      <c r="B26" s="404">
        <v>0</v>
      </c>
      <c r="C26" s="404">
        <v>0.06</v>
      </c>
      <c r="D26" s="404">
        <v>0.09</v>
      </c>
      <c r="E26" s="404">
        <f t="shared" si="0"/>
        <v>0.15</v>
      </c>
      <c r="F26" s="404">
        <v>0.11</v>
      </c>
      <c r="G26" s="404">
        <v>0.01</v>
      </c>
      <c r="H26" s="404">
        <v>0.03</v>
      </c>
      <c r="I26" s="404">
        <v>0.15</v>
      </c>
      <c r="J26" s="405">
        <f t="shared" si="1"/>
        <v>1</v>
      </c>
      <c r="K26" s="437">
        <f t="shared" si="2"/>
        <v>0.90718581887127947</v>
      </c>
    </row>
    <row r="27" spans="1:11" ht="18" customHeight="1" x14ac:dyDescent="0.4">
      <c r="A27" s="268" t="s">
        <v>690</v>
      </c>
      <c r="B27" s="404">
        <v>0</v>
      </c>
      <c r="C27" s="404">
        <v>3.24</v>
      </c>
      <c r="D27" s="404">
        <v>4.8899999999999997</v>
      </c>
      <c r="E27" s="404">
        <f t="shared" si="0"/>
        <v>8.129999999999999</v>
      </c>
      <c r="F27" s="404">
        <v>5.82</v>
      </c>
      <c r="G27" s="404">
        <v>0.56999999999999995</v>
      </c>
      <c r="H27" s="404">
        <v>1.68</v>
      </c>
      <c r="I27" s="404">
        <v>8.07</v>
      </c>
      <c r="J27" s="405">
        <f t="shared" si="1"/>
        <v>0.9926199261992622</v>
      </c>
      <c r="K27" s="437">
        <f t="shared" si="2"/>
        <v>0.90049072057702673</v>
      </c>
    </row>
    <row r="28" spans="1:11" ht="18" customHeight="1" x14ac:dyDescent="0.4">
      <c r="A28" s="268" t="s">
        <v>691</v>
      </c>
      <c r="B28" s="404">
        <v>1.95</v>
      </c>
      <c r="C28" s="404">
        <v>2.96</v>
      </c>
      <c r="D28" s="404">
        <v>8.7200000000000006</v>
      </c>
      <c r="E28" s="404">
        <f t="shared" si="0"/>
        <v>13.63</v>
      </c>
      <c r="F28" s="404">
        <v>5.67</v>
      </c>
      <c r="G28" s="404">
        <v>0.72</v>
      </c>
      <c r="H28" s="404">
        <v>3.23</v>
      </c>
      <c r="I28" s="404">
        <v>9.6199999999999992</v>
      </c>
      <c r="J28" s="405">
        <f t="shared" si="1"/>
        <v>0.70579603815113712</v>
      </c>
      <c r="K28" s="437">
        <f t="shared" si="2"/>
        <v>0.64028815682624418</v>
      </c>
    </row>
    <row r="29" spans="1:11" ht="18" customHeight="1" x14ac:dyDescent="0.4">
      <c r="A29" s="268" t="s">
        <v>692</v>
      </c>
      <c r="B29" s="404">
        <v>0.9</v>
      </c>
      <c r="C29" s="404">
        <v>2.65</v>
      </c>
      <c r="D29" s="404">
        <v>5.56</v>
      </c>
      <c r="E29" s="404">
        <f t="shared" si="0"/>
        <v>9.11</v>
      </c>
      <c r="F29" s="404">
        <v>4.79</v>
      </c>
      <c r="G29" s="404">
        <v>0.5</v>
      </c>
      <c r="H29" s="404">
        <v>2.11</v>
      </c>
      <c r="I29" s="404">
        <v>7.4</v>
      </c>
      <c r="J29" s="405">
        <f t="shared" si="1"/>
        <v>0.81229418221734362</v>
      </c>
      <c r="K29" s="437">
        <f t="shared" si="2"/>
        <v>0.73690176285921716</v>
      </c>
    </row>
    <row r="30" spans="1:11" ht="18" customHeight="1" x14ac:dyDescent="0.4">
      <c r="A30" s="406" t="s">
        <v>693</v>
      </c>
      <c r="B30" s="407"/>
      <c r="C30" s="407"/>
      <c r="D30" s="407"/>
      <c r="E30" s="407"/>
      <c r="F30" s="407"/>
      <c r="G30" s="407"/>
      <c r="H30" s="407"/>
      <c r="I30" s="407"/>
      <c r="J30" s="407"/>
      <c r="K30" s="408">
        <f>AVERAGE(K14:K29)</f>
        <v>3.4613730084669174</v>
      </c>
    </row>
    <row r="31" spans="1:11" ht="18" customHeight="1" x14ac:dyDescent="0.4">
      <c r="A31" s="269" t="s">
        <v>694</v>
      </c>
      <c r="B31" s="409"/>
      <c r="C31" s="409"/>
      <c r="D31" s="409"/>
      <c r="E31" s="409">
        <f>SUM(E14:E29)</f>
        <v>55.43</v>
      </c>
      <c r="F31" s="409"/>
      <c r="G31" s="409"/>
      <c r="H31" s="409"/>
      <c r="I31" s="409">
        <f>SUM(I14:I29)</f>
        <v>96.81</v>
      </c>
      <c r="J31" s="410"/>
      <c r="K31" s="411">
        <f>(I31/E31)/1.10231</f>
        <v>1.5844246639893302</v>
      </c>
    </row>
    <row r="32" spans="1:11" ht="18" customHeight="1" x14ac:dyDescent="0.4">
      <c r="A32" s="412"/>
      <c r="B32" s="413"/>
      <c r="C32" s="413"/>
      <c r="D32" s="413"/>
      <c r="E32" s="413"/>
      <c r="F32" s="413"/>
      <c r="G32" s="413"/>
      <c r="H32" s="413"/>
      <c r="I32" s="413"/>
      <c r="J32" s="414"/>
      <c r="K32" s="415"/>
    </row>
    <row r="33" spans="1:12" s="45" customFormat="1" ht="18" customHeight="1" x14ac:dyDescent="0.4">
      <c r="A33" s="1452" t="s">
        <v>695</v>
      </c>
      <c r="B33" s="1453"/>
      <c r="C33" s="1453"/>
      <c r="D33" s="1453"/>
      <c r="E33" s="1453"/>
      <c r="F33" s="1453"/>
      <c r="G33" s="1453"/>
      <c r="H33" s="1453"/>
      <c r="I33" s="1453"/>
      <c r="J33" s="1453"/>
      <c r="K33" s="416">
        <v>0.39</v>
      </c>
    </row>
    <row r="34" spans="1:12" s="45" customFormat="1" ht="18" customHeight="1" x14ac:dyDescent="0.4">
      <c r="A34" s="417"/>
      <c r="B34" s="418"/>
      <c r="C34" s="418"/>
      <c r="D34" s="418"/>
      <c r="E34" s="418"/>
      <c r="F34" s="418"/>
      <c r="G34" s="418"/>
      <c r="H34" s="418"/>
      <c r="I34" s="418"/>
      <c r="J34" s="418"/>
      <c r="K34" s="229"/>
    </row>
    <row r="35" spans="1:12" s="45" customFormat="1" ht="18" customHeight="1" thickBot="1" x14ac:dyDescent="0.45">
      <c r="A35" s="1454" t="s">
        <v>696</v>
      </c>
      <c r="B35" s="1455"/>
      <c r="C35" s="1455"/>
      <c r="D35" s="1455"/>
      <c r="E35" s="1455"/>
      <c r="F35" s="1455"/>
      <c r="G35" s="1455"/>
      <c r="H35" s="1455"/>
      <c r="I35" s="1455"/>
      <c r="J35" s="1455"/>
      <c r="K35" s="419">
        <v>0.9</v>
      </c>
      <c r="L35" s="420"/>
    </row>
    <row r="36" spans="1:12" s="422" customFormat="1" ht="17.25" customHeight="1" x14ac:dyDescent="0.4">
      <c r="A36" s="1358" t="s">
        <v>697</v>
      </c>
      <c r="B36" s="1358"/>
      <c r="C36" s="1358"/>
      <c r="D36" s="1358"/>
      <c r="E36" s="1358"/>
      <c r="F36" s="1358"/>
      <c r="G36" s="1358"/>
      <c r="H36" s="1358"/>
      <c r="I36" s="1358"/>
      <c r="J36" s="1358"/>
      <c r="K36" s="1358"/>
      <c r="L36" s="421"/>
    </row>
    <row r="37" spans="1:12" s="286" customFormat="1" ht="18" customHeight="1" x14ac:dyDescent="0.4">
      <c r="A37" s="767" t="s">
        <v>18</v>
      </c>
    </row>
    <row r="38" spans="1:12" x14ac:dyDescent="0.4">
      <c r="A38" s="274"/>
      <c r="B38" s="423"/>
      <c r="C38" s="423"/>
      <c r="D38" s="423"/>
      <c r="E38" s="423"/>
      <c r="F38" s="423"/>
      <c r="G38" s="423"/>
      <c r="H38" s="423"/>
      <c r="I38" s="423"/>
      <c r="J38" s="424"/>
    </row>
    <row r="39" spans="1:12" x14ac:dyDescent="0.4">
      <c r="A39" s="275"/>
    </row>
    <row r="40" spans="1:12" ht="18" customHeight="1" x14ac:dyDescent="0.4">
      <c r="A40" s="425" t="s">
        <v>698</v>
      </c>
    </row>
    <row r="41" spans="1:12" ht="18" customHeight="1" x14ac:dyDescent="0.4">
      <c r="A41" s="398" t="s">
        <v>1014</v>
      </c>
    </row>
    <row r="42" spans="1:12" ht="18" customHeight="1" x14ac:dyDescent="0.4">
      <c r="A42" s="767" t="s">
        <v>110</v>
      </c>
    </row>
    <row r="43" spans="1:12" ht="18" customHeight="1" x14ac:dyDescent="0.4">
      <c r="A43" t="s">
        <v>699</v>
      </c>
    </row>
    <row r="46" spans="1:12" x14ac:dyDescent="0.4">
      <c r="K46" t="s">
        <v>700</v>
      </c>
    </row>
  </sheetData>
  <sheetProtection algorithmName="SHA-512" hashValue="LoC0bFz5tR4e4pV08WDv0dsH/2VNumfK5k1cF0ulFl8xX68kCEUH8+cadN9bG5p7YjCH7ScG00pCAA1/yUsWzg==" saltValue="Idx3TSsLg92U+Qo+lns3rg==" spinCount="100000" sheet="1" objects="1" scenarios="1"/>
  <mergeCells count="10">
    <mergeCell ref="A33:J33"/>
    <mergeCell ref="A35:J35"/>
    <mergeCell ref="A36:K36"/>
    <mergeCell ref="A4:F4"/>
    <mergeCell ref="E8:F8"/>
    <mergeCell ref="A12:A13"/>
    <mergeCell ref="J12:J13"/>
    <mergeCell ref="K12:K13"/>
    <mergeCell ref="B13:E13"/>
    <mergeCell ref="F13:I13"/>
  </mergeCells>
  <hyperlinks>
    <hyperlink ref="A5" r:id="rId1" tooltip="The Climate Change and Economic Impacts of Food Waste in the United States" xr:uid="{00000000-0004-0000-1000-000000000000}"/>
    <hyperlink ref="A42" r:id="rId2" tooltip="Method for Estimating Greenhouse Gas Emission Reductions from Composting of Commercial Organic Waste" xr:uid="{00000000-0004-0000-1000-000001000000}"/>
    <hyperlink ref="A37" r:id="rId3" tooltip="The Climate Change and Economic Impacts of Food Waste in the United States" xr:uid="{00000000-0004-0000-1000-000002000000}"/>
  </hyperlinks>
  <pageMargins left="0.7" right="0.7" top="0.75" bottom="0.75" header="0.3" footer="0.3"/>
  <pageSetup scale="61" orientation="landscape" r:id="rId4"/>
  <headerFooter>
    <oddFooter>&amp;CPage 9 of 11&amp;RFood Waste Prevention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F34"/>
  <sheetViews>
    <sheetView workbookViewId="0">
      <selection activeCell="E26" sqref="E25:E26"/>
    </sheetView>
  </sheetViews>
  <sheetFormatPr defaultRowHeight="14.6" x14ac:dyDescent="0.4"/>
  <cols>
    <col min="1" max="1" width="24.84375" bestFit="1" customWidth="1"/>
    <col min="2" max="2" width="22.15234375" customWidth="1"/>
    <col min="3" max="3" width="23.84375" customWidth="1"/>
    <col min="4" max="4" width="21.15234375" customWidth="1"/>
    <col min="5" max="5" width="21.3046875" customWidth="1"/>
    <col min="6" max="6" width="22" customWidth="1"/>
    <col min="7" max="7" width="20.69140625" customWidth="1"/>
    <col min="8" max="8" width="22" customWidth="1"/>
    <col min="9" max="9" width="19" customWidth="1"/>
    <col min="10" max="10" width="20" customWidth="1"/>
    <col min="11" max="11" width="17.3046875" customWidth="1"/>
    <col min="12" max="12" width="16" customWidth="1"/>
    <col min="13" max="13" width="16.53515625" customWidth="1"/>
    <col min="14" max="14" width="17.3046875" customWidth="1"/>
    <col min="15" max="15" width="11.84375" customWidth="1"/>
    <col min="16" max="16" width="12.53515625" customWidth="1"/>
    <col min="17" max="20" width="13.3828125" customWidth="1"/>
    <col min="21" max="21" width="12.3046875" customWidth="1"/>
    <col min="22" max="22" width="13.15234375" customWidth="1"/>
    <col min="23" max="23" width="12.3828125" customWidth="1"/>
    <col min="24" max="24" width="13.3828125" customWidth="1"/>
    <col min="25" max="25" width="12.3828125" customWidth="1"/>
    <col min="26" max="26" width="12.69140625" customWidth="1"/>
    <col min="27" max="27" width="9.84375" bestFit="1" customWidth="1"/>
    <col min="30" max="30" width="14.84375" hidden="1" customWidth="1"/>
    <col min="31" max="32" width="0" hidden="1" customWidth="1"/>
  </cols>
  <sheetData>
    <row r="1" spans="1:31" x14ac:dyDescent="0.4">
      <c r="A1" s="14"/>
      <c r="B1" s="14"/>
      <c r="C1" s="14"/>
      <c r="D1" s="14"/>
      <c r="E1" s="14"/>
      <c r="F1" s="14"/>
      <c r="G1" s="14"/>
      <c r="H1" s="14"/>
      <c r="I1" s="14"/>
      <c r="J1" s="14"/>
      <c r="K1" s="14"/>
      <c r="L1" s="14"/>
      <c r="M1" s="14"/>
      <c r="N1" s="14"/>
      <c r="O1" s="14"/>
    </row>
    <row r="2" spans="1:31" ht="15" thickBot="1" x14ac:dyDescent="0.45">
      <c r="A2" s="14"/>
      <c r="B2" s="14"/>
      <c r="C2" s="14"/>
      <c r="D2" s="14"/>
      <c r="E2" s="14"/>
      <c r="F2" s="14"/>
      <c r="G2" s="14"/>
      <c r="H2" s="14"/>
      <c r="I2" s="14"/>
      <c r="J2" s="14"/>
      <c r="K2" s="14"/>
      <c r="L2" s="14"/>
      <c r="M2" s="14"/>
      <c r="N2" s="14"/>
      <c r="O2" s="14"/>
    </row>
    <row r="3" spans="1:31" ht="36" customHeight="1" thickBot="1" x14ac:dyDescent="0.55000000000000004">
      <c r="A3" s="15" t="s">
        <v>2</v>
      </c>
      <c r="B3" s="16"/>
      <c r="C3" s="16"/>
      <c r="D3" s="16"/>
      <c r="E3" s="16"/>
      <c r="F3" s="16"/>
      <c r="G3" s="16"/>
      <c r="H3" s="14"/>
      <c r="I3" s="14"/>
      <c r="J3" s="14"/>
      <c r="K3" s="14"/>
      <c r="L3" s="14"/>
      <c r="M3" s="14"/>
      <c r="N3" s="1465" t="s">
        <v>902</v>
      </c>
      <c r="O3" s="1466"/>
      <c r="P3" s="1466"/>
      <c r="Q3" s="1466"/>
      <c r="R3" s="1466"/>
      <c r="S3" s="1467"/>
      <c r="T3" s="1468" t="s">
        <v>903</v>
      </c>
      <c r="U3" s="1469"/>
      <c r="V3" s="1469"/>
      <c r="W3" s="1469"/>
      <c r="X3" s="1469"/>
      <c r="Y3" s="1209"/>
      <c r="Z3" s="1470" t="s">
        <v>901</v>
      </c>
      <c r="AA3" s="1471"/>
      <c r="AB3" s="1472"/>
    </row>
    <row r="4" spans="1:31" ht="44.15" thickBot="1" x14ac:dyDescent="0.45">
      <c r="A4" s="658" t="s">
        <v>28</v>
      </c>
      <c r="B4" s="96" t="s">
        <v>29</v>
      </c>
      <c r="C4" s="96" t="s">
        <v>22</v>
      </c>
      <c r="D4" s="96" t="s">
        <v>23</v>
      </c>
      <c r="E4" s="97" t="s">
        <v>30</v>
      </c>
      <c r="F4" s="98" t="s">
        <v>38</v>
      </c>
      <c r="G4" s="99" t="s">
        <v>174</v>
      </c>
      <c r="H4" s="97" t="s">
        <v>170</v>
      </c>
      <c r="I4" s="100" t="s">
        <v>171</v>
      </c>
      <c r="J4" s="99" t="s">
        <v>175</v>
      </c>
      <c r="K4" s="97" t="s">
        <v>172</v>
      </c>
      <c r="L4" s="100" t="s">
        <v>173</v>
      </c>
      <c r="M4" s="191" t="s">
        <v>169</v>
      </c>
      <c r="N4" s="193" t="s">
        <v>294</v>
      </c>
      <c r="O4" s="194" t="s">
        <v>295</v>
      </c>
      <c r="P4" s="195" t="s">
        <v>296</v>
      </c>
      <c r="Q4" s="193" t="s">
        <v>297</v>
      </c>
      <c r="R4" s="194" t="s">
        <v>298</v>
      </c>
      <c r="S4" s="195" t="s">
        <v>299</v>
      </c>
      <c r="T4" s="193" t="s">
        <v>294</v>
      </c>
      <c r="U4" s="194" t="s">
        <v>295</v>
      </c>
      <c r="V4" s="195" t="s">
        <v>296</v>
      </c>
      <c r="W4" s="193" t="s">
        <v>297</v>
      </c>
      <c r="X4" s="194" t="s">
        <v>298</v>
      </c>
      <c r="Y4" s="196" t="s">
        <v>299</v>
      </c>
      <c r="Z4" s="193" t="s">
        <v>291</v>
      </c>
      <c r="AA4" s="194" t="s">
        <v>292</v>
      </c>
      <c r="AB4" s="195" t="s">
        <v>293</v>
      </c>
      <c r="AD4" s="190" t="s">
        <v>224</v>
      </c>
      <c r="AE4" s="190" t="s">
        <v>180</v>
      </c>
    </row>
    <row r="5" spans="1:31" x14ac:dyDescent="0.4">
      <c r="A5" s="768">
        <f>Compost!B15</f>
        <v>0</v>
      </c>
      <c r="B5" s="769">
        <f>Compost!C15</f>
        <v>0</v>
      </c>
      <c r="C5" s="770">
        <f>Compost!D15</f>
        <v>0</v>
      </c>
      <c r="D5" s="770">
        <f>1-C5</f>
        <v>1</v>
      </c>
      <c r="E5" s="771">
        <f>Compost!F15</f>
        <v>0</v>
      </c>
      <c r="F5" s="772">
        <f>SUM(A5:B5)-E5</f>
        <v>0</v>
      </c>
      <c r="G5" s="676">
        <f>IFERROR(E5*(A5/(A5+B5)),0)</f>
        <v>0</v>
      </c>
      <c r="H5" s="677">
        <f t="shared" ref="H5:H14" si="0">G5*C5</f>
        <v>0</v>
      </c>
      <c r="I5" s="678">
        <f t="shared" ref="I5:I14" si="1">G5*D5</f>
        <v>0</v>
      </c>
      <c r="J5" s="676">
        <f>IFERROR(E5*(B5/(A5+B5)),0)</f>
        <v>0</v>
      </c>
      <c r="K5" s="677">
        <f t="shared" ref="K5:K14" si="2">J5*C5</f>
        <v>0</v>
      </c>
      <c r="L5" s="678">
        <f t="shared" ref="L5:L14" si="3">J5*D5</f>
        <v>0</v>
      </c>
      <c r="M5" s="679">
        <f>((A5-H5)*C5*'GHG ERFs'!B$14+(A5-I5)*D5*'GHG ERFs'!B$15+(B5-K5)*C5*'GHG ERFs'!B$16+(B5-L5)*D5*'GHG ERFs'!B$17)</f>
        <v>0</v>
      </c>
      <c r="N5" s="686">
        <f>((A5*D5)-I5)*'Co-Ben ERFs'!$B$15-((A5*D5)-I5)*'Co-Ben ERFs'!$B$78</f>
        <v>0</v>
      </c>
      <c r="O5" s="687">
        <f>((A5*D5)-I5)*'Co-Ben ERFs'!$B$16-((A5*D5)-I5)*'Co-Ben ERFs'!$B$80</f>
        <v>0</v>
      </c>
      <c r="P5" s="688">
        <f>((A5*D5)-I5)*'Co-Ben ERFs'!$B$17-((A5*D5)-I5)*'Co-Ben ERFs'!$B$81</f>
        <v>0</v>
      </c>
      <c r="Q5" s="689">
        <f>((A5*C5)-H5)*'Co-Ben ERFs'!$B$18-((A5*C5)-H5)*'Co-Ben ERFs'!$B$79</f>
        <v>0</v>
      </c>
      <c r="R5" s="687">
        <f>((A5*C5)-H5)*'Co-Ben ERFs'!$B$19-((A5*C5)-H5)*'Co-Ben ERFs'!$B$80</f>
        <v>0</v>
      </c>
      <c r="S5" s="688">
        <f>((A5*C5)-H5)*'Co-Ben ERFs'!$B$20-((A5*C5)-H5)*'Co-Ben ERFs'!$B$81</f>
        <v>0</v>
      </c>
      <c r="T5" s="690">
        <f>((B5*D5)-L5)*'Co-Ben ERFs'!$B$15-((B5*D5)-L5)*'Co-Ben ERFs'!$B$84</f>
        <v>0</v>
      </c>
      <c r="U5" s="665">
        <f>((B5*D5)-L5)*'Co-Ben ERFs'!$B$15-((B5*D5)-L5)*'Co-Ben ERFs'!$B$86</f>
        <v>0</v>
      </c>
      <c r="V5" s="666">
        <f>((B5*D5)-L5)*'Co-Ben ERFs'!$B$15-((B5*D5)-L5)*'Co-Ben ERFs'!$B$87</f>
        <v>0</v>
      </c>
      <c r="W5" s="691">
        <f>((B5*C5)-K5)*'Co-Ben ERFs'!$B$18-((B5*C5)-K5)*'Co-Ben ERFs'!$B$85</f>
        <v>0</v>
      </c>
      <c r="X5" s="665">
        <f>((B5*C5)-K5)*'Co-Ben ERFs'!$B$18-((B5*C5)-K5)*'Co-Ben ERFs'!$B$86</f>
        <v>0</v>
      </c>
      <c r="Y5" s="666">
        <f>((B5*C5)-K5)*'Co-Ben ERFs'!$B$18-((B5*C5)-K5)*'Co-Ben ERFs'!$B$87</f>
        <v>0</v>
      </c>
      <c r="Z5" s="692">
        <f>N5+Q5+T5+W5</f>
        <v>0</v>
      </c>
      <c r="AA5" s="692">
        <f>O5+R5+U5+X5</f>
        <v>0</v>
      </c>
      <c r="AB5" s="693">
        <f>P5+S5+V5+Y5</f>
        <v>0</v>
      </c>
      <c r="AD5" s="159">
        <f t="shared" ref="AD5:AD14" si="4">F5*$AE$19</f>
        <v>0</v>
      </c>
      <c r="AE5" s="159">
        <f t="shared" ref="AE5:AE14" si="5">F5*$AF$19</f>
        <v>0</v>
      </c>
    </row>
    <row r="6" spans="1:31" x14ac:dyDescent="0.4">
      <c r="A6" s="659">
        <f>Compost!B16</f>
        <v>0</v>
      </c>
      <c r="B6" s="93">
        <f>Compost!C16</f>
        <v>0</v>
      </c>
      <c r="C6" s="94">
        <f>Compost!D16</f>
        <v>0</v>
      </c>
      <c r="D6" s="94">
        <f t="shared" ref="D6:D14" si="6">1-C6</f>
        <v>1</v>
      </c>
      <c r="E6" s="95">
        <f>Compost!F16</f>
        <v>0</v>
      </c>
      <c r="F6" s="89">
        <f t="shared" ref="F6:F14" si="7">SUM(A6:B6)-E6</f>
        <v>0</v>
      </c>
      <c r="G6" s="676">
        <f t="shared" ref="G6:G14" si="8">IFERROR(E6*(A6/(A6+B6)),0)</f>
        <v>0</v>
      </c>
      <c r="H6" s="504">
        <f t="shared" si="0"/>
        <v>0</v>
      </c>
      <c r="I6" s="680">
        <f t="shared" si="1"/>
        <v>0</v>
      </c>
      <c r="J6" s="676">
        <f t="shared" ref="J6:J14" si="9">IFERROR(E6*(B6/(A6+B6)),0)</f>
        <v>0</v>
      </c>
      <c r="K6" s="504">
        <f t="shared" si="2"/>
        <v>0</v>
      </c>
      <c r="L6" s="680">
        <f t="shared" si="3"/>
        <v>0</v>
      </c>
      <c r="M6" s="681">
        <f>((A6-H6)*C6*'GHG ERFs'!B$14+(A6-I6)*D6*'GHG ERFs'!B$15+(B6-K6)*C6*'GHG ERFs'!B$16+(B6-L6)*D6*'GHG ERFs'!B$17)</f>
        <v>0</v>
      </c>
      <c r="N6" s="686">
        <f>((A6*D6)-I6)*'Co-Ben ERFs'!$B$15-((A6*D6)-I6)*'Co-Ben ERFs'!$B$78</f>
        <v>0</v>
      </c>
      <c r="O6" s="687">
        <f>((A6*D6)-I6)*'Co-Ben ERFs'!$B$16-((A6*D6)-I6)*'Co-Ben ERFs'!$B$80</f>
        <v>0</v>
      </c>
      <c r="P6" s="688">
        <f>((A6*D6)-I6)*'Co-Ben ERFs'!$B$17-((A6*D6)-I6)*'Co-Ben ERFs'!$B$81</f>
        <v>0</v>
      </c>
      <c r="Q6" s="689">
        <f>((A6*C6)-H6)*'Co-Ben ERFs'!$B$18-((A6*C6)-H6)*'Co-Ben ERFs'!$B$79</f>
        <v>0</v>
      </c>
      <c r="R6" s="687">
        <f>((A6*C6)-H6)*'Co-Ben ERFs'!$B$19-((A6*C6)-H6)*'Co-Ben ERFs'!$B$80</f>
        <v>0</v>
      </c>
      <c r="S6" s="688">
        <f>((A6*C6)-H6)*'Co-Ben ERFs'!$B$20-((A6*C6)-H6)*'Co-Ben ERFs'!$B$81</f>
        <v>0</v>
      </c>
      <c r="T6" s="694">
        <f>((B6*D6)-L6)*'Co-Ben ERFs'!$B$15-((B6*D6)-L6)*'Co-Ben ERFs'!$B$84</f>
        <v>0</v>
      </c>
      <c r="U6" s="695">
        <f>((B6*D6)-L6)*'Co-Ben ERFs'!$B$15-((B6*D6)-L6)*'Co-Ben ERFs'!$B$86</f>
        <v>0</v>
      </c>
      <c r="V6" s="696">
        <f>((B6*D6)-L6)*'Co-Ben ERFs'!$B$15-((B6*D6)-L6)*'Co-Ben ERFs'!$B$87</f>
        <v>0</v>
      </c>
      <c r="W6" s="697">
        <f>((B6*C6)-K6)*'Co-Ben ERFs'!$B$18-((B6*C6)-K6)*'Co-Ben ERFs'!$B$85</f>
        <v>0</v>
      </c>
      <c r="X6" s="695">
        <f>((B6*C6)-K6)*'Co-Ben ERFs'!$B$18-((B6*C6)-K6)*'Co-Ben ERFs'!$B$86</f>
        <v>0</v>
      </c>
      <c r="Y6" s="696">
        <f>((B6*C6)-K6)*'Co-Ben ERFs'!$B$18-((B6*C6)-K6)*'Co-Ben ERFs'!$B$87</f>
        <v>0</v>
      </c>
      <c r="Z6" s="692">
        <f t="shared" ref="Z6:Z14" si="10">N6+Q6+T6+W6</f>
        <v>0</v>
      </c>
      <c r="AA6" s="692">
        <f t="shared" ref="AA6:AA14" si="11">O6+R6+U6+X6</f>
        <v>0</v>
      </c>
      <c r="AB6" s="693">
        <f t="shared" ref="AB6:AB14" si="12">P6+S6+V6+Y6</f>
        <v>0</v>
      </c>
      <c r="AD6" s="159">
        <f t="shared" si="4"/>
        <v>0</v>
      </c>
      <c r="AE6" s="159">
        <f t="shared" si="5"/>
        <v>0</v>
      </c>
    </row>
    <row r="7" spans="1:31" x14ac:dyDescent="0.4">
      <c r="A7" s="659">
        <f>Compost!B17</f>
        <v>0</v>
      </c>
      <c r="B7" s="93">
        <f>Compost!C17</f>
        <v>0</v>
      </c>
      <c r="C7" s="94">
        <f>Compost!D17</f>
        <v>0</v>
      </c>
      <c r="D7" s="94">
        <f t="shared" si="6"/>
        <v>1</v>
      </c>
      <c r="E7" s="95">
        <f>Compost!F17</f>
        <v>0</v>
      </c>
      <c r="F7" s="89">
        <f t="shared" si="7"/>
        <v>0</v>
      </c>
      <c r="G7" s="676">
        <f t="shared" si="8"/>
        <v>0</v>
      </c>
      <c r="H7" s="504">
        <f t="shared" si="0"/>
        <v>0</v>
      </c>
      <c r="I7" s="680">
        <f t="shared" si="1"/>
        <v>0</v>
      </c>
      <c r="J7" s="676">
        <f t="shared" si="9"/>
        <v>0</v>
      </c>
      <c r="K7" s="504">
        <f t="shared" si="2"/>
        <v>0</v>
      </c>
      <c r="L7" s="680">
        <f t="shared" si="3"/>
        <v>0</v>
      </c>
      <c r="M7" s="681">
        <f>((A7-H7)*C7*'GHG ERFs'!B$14+(A7-I7)*D7*'GHG ERFs'!B$15+(B7-K7)*C7*'GHG ERFs'!B$16+(B7-L7)*D7*'GHG ERFs'!B$17)</f>
        <v>0</v>
      </c>
      <c r="N7" s="686">
        <f>((A7*D7)-I7)*'Co-Ben ERFs'!$B$15-((A7*D7)-I7)*'Co-Ben ERFs'!$B$78</f>
        <v>0</v>
      </c>
      <c r="O7" s="687">
        <f>((A7*D7)-I7)*'Co-Ben ERFs'!$B$16-((A7*D7)-I7)*'Co-Ben ERFs'!$B$80</f>
        <v>0</v>
      </c>
      <c r="P7" s="688">
        <f>((A7*D7)-I7)*'Co-Ben ERFs'!$B$17-((A7*D7)-I7)*'Co-Ben ERFs'!$B$81</f>
        <v>0</v>
      </c>
      <c r="Q7" s="689">
        <f>((A7*C7)-H7)*'Co-Ben ERFs'!$B$18-((A7*C7)-H7)*'Co-Ben ERFs'!$B$79</f>
        <v>0</v>
      </c>
      <c r="R7" s="687">
        <f>((A7*C7)-H7)*'Co-Ben ERFs'!$B$19-((A7*C7)-H7)*'Co-Ben ERFs'!$B$80</f>
        <v>0</v>
      </c>
      <c r="S7" s="688">
        <f>((A7*C7)-H7)*'Co-Ben ERFs'!$B$20-((A7*C7)-H7)*'Co-Ben ERFs'!$B$81</f>
        <v>0</v>
      </c>
      <c r="T7" s="694">
        <f>((B7*D7)-L7)*'Co-Ben ERFs'!$B$15-((B7*D7)-L7)*'Co-Ben ERFs'!$B$84</f>
        <v>0</v>
      </c>
      <c r="U7" s="695">
        <f>((B7*D7)-L7)*'Co-Ben ERFs'!$B$15-((B7*D7)-L7)*'Co-Ben ERFs'!$B$86</f>
        <v>0</v>
      </c>
      <c r="V7" s="696">
        <f>((B7*D7)-L7)*'Co-Ben ERFs'!$B$15-((B7*D7)-L7)*'Co-Ben ERFs'!$B$87</f>
        <v>0</v>
      </c>
      <c r="W7" s="697">
        <f>((B7*C7)-K7)*'Co-Ben ERFs'!$B$18-((B7*C7)-K7)*'Co-Ben ERFs'!$B$85</f>
        <v>0</v>
      </c>
      <c r="X7" s="695">
        <f>((B7*C7)-K7)*'Co-Ben ERFs'!$B$18-((B7*C7)-K7)*'Co-Ben ERFs'!$B$86</f>
        <v>0</v>
      </c>
      <c r="Y7" s="696">
        <f>((B7*C7)-K7)*'Co-Ben ERFs'!$B$18-((B7*C7)-K7)*'Co-Ben ERFs'!$B$87</f>
        <v>0</v>
      </c>
      <c r="Z7" s="692">
        <f t="shared" si="10"/>
        <v>0</v>
      </c>
      <c r="AA7" s="692">
        <f t="shared" si="11"/>
        <v>0</v>
      </c>
      <c r="AB7" s="693">
        <f t="shared" si="12"/>
        <v>0</v>
      </c>
      <c r="AD7" s="159">
        <f t="shared" si="4"/>
        <v>0</v>
      </c>
      <c r="AE7" s="159">
        <f t="shared" si="5"/>
        <v>0</v>
      </c>
    </row>
    <row r="8" spans="1:31" x14ac:dyDescent="0.4">
      <c r="A8" s="659">
        <f>Compost!B18</f>
        <v>0</v>
      </c>
      <c r="B8" s="93">
        <f>Compost!C18</f>
        <v>0</v>
      </c>
      <c r="C8" s="94">
        <f>Compost!D18</f>
        <v>0</v>
      </c>
      <c r="D8" s="94">
        <f t="shared" si="6"/>
        <v>1</v>
      </c>
      <c r="E8" s="95">
        <f>Compost!F18</f>
        <v>0</v>
      </c>
      <c r="F8" s="89">
        <f t="shared" si="7"/>
        <v>0</v>
      </c>
      <c r="G8" s="676">
        <f t="shared" si="8"/>
        <v>0</v>
      </c>
      <c r="H8" s="504">
        <f t="shared" si="0"/>
        <v>0</v>
      </c>
      <c r="I8" s="680">
        <f t="shared" si="1"/>
        <v>0</v>
      </c>
      <c r="J8" s="676">
        <f t="shared" si="9"/>
        <v>0</v>
      </c>
      <c r="K8" s="504">
        <f t="shared" si="2"/>
        <v>0</v>
      </c>
      <c r="L8" s="680">
        <f t="shared" si="3"/>
        <v>0</v>
      </c>
      <c r="M8" s="681">
        <f>((A8-H8)*C8*'GHG ERFs'!B$14+(A8-I8)*D8*'GHG ERFs'!B$15+(B8-K8)*C8*'GHG ERFs'!B$16+(B8-L8)*D8*'GHG ERFs'!B$17)</f>
        <v>0</v>
      </c>
      <c r="N8" s="686">
        <f>((A8*D8)-I8)*'Co-Ben ERFs'!$B$15-((A8*D8)-I8)*'Co-Ben ERFs'!$B$78</f>
        <v>0</v>
      </c>
      <c r="O8" s="687">
        <f>((A8*D8)-I8)*'Co-Ben ERFs'!$B$16-((A8*D8)-I8)*'Co-Ben ERFs'!$B$80</f>
        <v>0</v>
      </c>
      <c r="P8" s="688">
        <f>((A8*D8)-I8)*'Co-Ben ERFs'!$B$17-((A8*D8)-I8)*'Co-Ben ERFs'!$B$81</f>
        <v>0</v>
      </c>
      <c r="Q8" s="689">
        <f>((A8*C8)-H8)*'Co-Ben ERFs'!$B$18-((A8*C8)-H8)*'Co-Ben ERFs'!$B$79</f>
        <v>0</v>
      </c>
      <c r="R8" s="687">
        <f>((A8*C8)-H8)*'Co-Ben ERFs'!$B$19-((A8*C8)-H8)*'Co-Ben ERFs'!$B$80</f>
        <v>0</v>
      </c>
      <c r="S8" s="688">
        <f>((A8*C8)-H8)*'Co-Ben ERFs'!$B$20-((A8*C8)-H8)*'Co-Ben ERFs'!$B$81</f>
        <v>0</v>
      </c>
      <c r="T8" s="694">
        <f>((B8*D8)-L8)*'Co-Ben ERFs'!$B$15-((B8*D8)-L8)*'Co-Ben ERFs'!$B$84</f>
        <v>0</v>
      </c>
      <c r="U8" s="695">
        <f>((B8*D8)-L8)*'Co-Ben ERFs'!$B$15-((B8*D8)-L8)*'Co-Ben ERFs'!$B$86</f>
        <v>0</v>
      </c>
      <c r="V8" s="696">
        <f>((B8*D8)-L8)*'Co-Ben ERFs'!$B$15-((B8*D8)-L8)*'Co-Ben ERFs'!$B$87</f>
        <v>0</v>
      </c>
      <c r="W8" s="697">
        <f>((B8*C8)-K8)*'Co-Ben ERFs'!$B$18-((B8*C8)-K8)*'Co-Ben ERFs'!$B$85</f>
        <v>0</v>
      </c>
      <c r="X8" s="695">
        <f>((B8*C8)-K8)*'Co-Ben ERFs'!$B$18-((B8*C8)-K8)*'Co-Ben ERFs'!$B$86</f>
        <v>0</v>
      </c>
      <c r="Y8" s="696">
        <f>((B8*C8)-K8)*'Co-Ben ERFs'!$B$18-((B8*C8)-K8)*'Co-Ben ERFs'!$B$87</f>
        <v>0</v>
      </c>
      <c r="Z8" s="692">
        <f t="shared" si="10"/>
        <v>0</v>
      </c>
      <c r="AA8" s="692">
        <f t="shared" si="11"/>
        <v>0</v>
      </c>
      <c r="AB8" s="693">
        <f t="shared" si="12"/>
        <v>0</v>
      </c>
      <c r="AD8" s="159">
        <f t="shared" si="4"/>
        <v>0</v>
      </c>
      <c r="AE8" s="159">
        <f t="shared" si="5"/>
        <v>0</v>
      </c>
    </row>
    <row r="9" spans="1:31" x14ac:dyDescent="0.4">
      <c r="A9" s="659">
        <f>Compost!B19</f>
        <v>0</v>
      </c>
      <c r="B9" s="93">
        <f>Compost!C19</f>
        <v>0</v>
      </c>
      <c r="C9" s="94">
        <f>Compost!D19</f>
        <v>0</v>
      </c>
      <c r="D9" s="94">
        <f t="shared" si="6"/>
        <v>1</v>
      </c>
      <c r="E9" s="95">
        <f>Compost!F19</f>
        <v>0</v>
      </c>
      <c r="F9" s="89">
        <f t="shared" si="7"/>
        <v>0</v>
      </c>
      <c r="G9" s="676">
        <f t="shared" si="8"/>
        <v>0</v>
      </c>
      <c r="H9" s="504">
        <f t="shared" si="0"/>
        <v>0</v>
      </c>
      <c r="I9" s="680">
        <f t="shared" si="1"/>
        <v>0</v>
      </c>
      <c r="J9" s="676">
        <f t="shared" si="9"/>
        <v>0</v>
      </c>
      <c r="K9" s="504">
        <f t="shared" si="2"/>
        <v>0</v>
      </c>
      <c r="L9" s="680">
        <f t="shared" si="3"/>
        <v>0</v>
      </c>
      <c r="M9" s="681">
        <f>((A9-H9)*C9*'GHG ERFs'!B$14+(A9-I9)*D9*'GHG ERFs'!B$15+(B9-K9)*C9*'GHG ERFs'!B$16+(B9-L9)*D9*'GHG ERFs'!B$17)</f>
        <v>0</v>
      </c>
      <c r="N9" s="686">
        <f>((A9*D9)-I9)*'Co-Ben ERFs'!$B$15-((A9*D9)-I9)*'Co-Ben ERFs'!$B$78</f>
        <v>0</v>
      </c>
      <c r="O9" s="687">
        <f>((A9*D9)-I9)*'Co-Ben ERFs'!$B$16-((A9*D9)-I9)*'Co-Ben ERFs'!$B$80</f>
        <v>0</v>
      </c>
      <c r="P9" s="688">
        <f>((A9*D9)-I9)*'Co-Ben ERFs'!$B$17-((A9*D9)-I9)*'Co-Ben ERFs'!$B$81</f>
        <v>0</v>
      </c>
      <c r="Q9" s="689">
        <f>((A9*C9)-H9)*'Co-Ben ERFs'!$B$18-((A9*C9)-H9)*'Co-Ben ERFs'!$B$79</f>
        <v>0</v>
      </c>
      <c r="R9" s="687">
        <f>((A9*C9)-H9)*'Co-Ben ERFs'!$B$19-((A9*C9)-H9)*'Co-Ben ERFs'!$B$80</f>
        <v>0</v>
      </c>
      <c r="S9" s="688">
        <f>((A9*C9)-H9)*'Co-Ben ERFs'!$B$20-((A9*C9)-H9)*'Co-Ben ERFs'!$B$81</f>
        <v>0</v>
      </c>
      <c r="T9" s="694">
        <f>((B9*D9)-L9)*'Co-Ben ERFs'!$B$15-((B9*D9)-L9)*'Co-Ben ERFs'!$B$84</f>
        <v>0</v>
      </c>
      <c r="U9" s="695">
        <f>((B9*D9)-L9)*'Co-Ben ERFs'!$B$15-((B9*D9)-L9)*'Co-Ben ERFs'!$B$86</f>
        <v>0</v>
      </c>
      <c r="V9" s="696">
        <f>((B9*D9)-L9)*'Co-Ben ERFs'!$B$15-((B9*D9)-L9)*'Co-Ben ERFs'!$B$87</f>
        <v>0</v>
      </c>
      <c r="W9" s="697">
        <f>((B9*C9)-K9)*'Co-Ben ERFs'!$B$18-((B9*C9)-K9)*'Co-Ben ERFs'!$B$85</f>
        <v>0</v>
      </c>
      <c r="X9" s="695">
        <f>((B9*C9)-K9)*'Co-Ben ERFs'!$B$18-((B9*C9)-K9)*'Co-Ben ERFs'!$B$86</f>
        <v>0</v>
      </c>
      <c r="Y9" s="696">
        <f>((B9*C9)-K9)*'Co-Ben ERFs'!$B$18-((B9*C9)-K9)*'Co-Ben ERFs'!$B$87</f>
        <v>0</v>
      </c>
      <c r="Z9" s="692">
        <f t="shared" si="10"/>
        <v>0</v>
      </c>
      <c r="AA9" s="692">
        <f t="shared" si="11"/>
        <v>0</v>
      </c>
      <c r="AB9" s="693">
        <f t="shared" si="12"/>
        <v>0</v>
      </c>
      <c r="AD9" s="159">
        <f t="shared" si="4"/>
        <v>0</v>
      </c>
      <c r="AE9" s="159">
        <f t="shared" si="5"/>
        <v>0</v>
      </c>
    </row>
    <row r="10" spans="1:31" x14ac:dyDescent="0.4">
      <c r="A10" s="659">
        <f>Compost!B20</f>
        <v>0</v>
      </c>
      <c r="B10" s="93">
        <f>Compost!C20</f>
        <v>0</v>
      </c>
      <c r="C10" s="94">
        <f>Compost!D20</f>
        <v>0</v>
      </c>
      <c r="D10" s="94">
        <f t="shared" si="6"/>
        <v>1</v>
      </c>
      <c r="E10" s="95">
        <f>Compost!F20</f>
        <v>0</v>
      </c>
      <c r="F10" s="89">
        <f t="shared" si="7"/>
        <v>0</v>
      </c>
      <c r="G10" s="676">
        <f t="shared" si="8"/>
        <v>0</v>
      </c>
      <c r="H10" s="504">
        <f t="shared" si="0"/>
        <v>0</v>
      </c>
      <c r="I10" s="680">
        <f t="shared" si="1"/>
        <v>0</v>
      </c>
      <c r="J10" s="676">
        <f t="shared" si="9"/>
        <v>0</v>
      </c>
      <c r="K10" s="504">
        <f t="shared" si="2"/>
        <v>0</v>
      </c>
      <c r="L10" s="680">
        <f t="shared" si="3"/>
        <v>0</v>
      </c>
      <c r="M10" s="681">
        <f>((A10-H10)*C10*'GHG ERFs'!B$14+(A10-I10)*D10*'GHG ERFs'!B$15+(B10-K10)*C10*'GHG ERFs'!B$16+(B10-L10)*D10*'GHG ERFs'!B$17)</f>
        <v>0</v>
      </c>
      <c r="N10" s="686">
        <f>((A10*D10)-I10)*'Co-Ben ERFs'!$B$15-((A10*D10)-I10)*'Co-Ben ERFs'!$B$78</f>
        <v>0</v>
      </c>
      <c r="O10" s="687">
        <f>((A10*D10)-I10)*'Co-Ben ERFs'!$B$16-((A10*D10)-I10)*'Co-Ben ERFs'!$B$80</f>
        <v>0</v>
      </c>
      <c r="P10" s="688">
        <f>((A10*D10)-I10)*'Co-Ben ERFs'!$B$17-((A10*D10)-I10)*'Co-Ben ERFs'!$B$81</f>
        <v>0</v>
      </c>
      <c r="Q10" s="689">
        <f>((A10*C10)-H10)*'Co-Ben ERFs'!$B$18-((A10*C10)-H10)*'Co-Ben ERFs'!$B$79</f>
        <v>0</v>
      </c>
      <c r="R10" s="687">
        <f>((A10*C10)-H10)*'Co-Ben ERFs'!$B$19-((A10*C10)-H10)*'Co-Ben ERFs'!$B$80</f>
        <v>0</v>
      </c>
      <c r="S10" s="688">
        <f>((A10*C10)-H10)*'Co-Ben ERFs'!$B$20-((A10*C10)-H10)*'Co-Ben ERFs'!$B$81</f>
        <v>0</v>
      </c>
      <c r="T10" s="694">
        <f>((B10*D10)-L10)*'Co-Ben ERFs'!$B$15-((B10*D10)-L10)*'Co-Ben ERFs'!$B$84</f>
        <v>0</v>
      </c>
      <c r="U10" s="695">
        <f>((B10*D10)-L10)*'Co-Ben ERFs'!$B$15-((B10*D10)-L10)*'Co-Ben ERFs'!$B$86</f>
        <v>0</v>
      </c>
      <c r="V10" s="696">
        <f>((B10*D10)-L10)*'Co-Ben ERFs'!$B$15-((B10*D10)-L10)*'Co-Ben ERFs'!$B$87</f>
        <v>0</v>
      </c>
      <c r="W10" s="697">
        <f>((B10*C10)-K10)*'Co-Ben ERFs'!$B$18-((B10*C10)-K10)*'Co-Ben ERFs'!$B$85</f>
        <v>0</v>
      </c>
      <c r="X10" s="695">
        <f>((B10*C10)-K10)*'Co-Ben ERFs'!$B$18-((B10*C10)-K10)*'Co-Ben ERFs'!$B$86</f>
        <v>0</v>
      </c>
      <c r="Y10" s="696">
        <f>((B10*C10)-K10)*'Co-Ben ERFs'!$B$18-((B10*C10)-K10)*'Co-Ben ERFs'!$B$87</f>
        <v>0</v>
      </c>
      <c r="Z10" s="692">
        <f t="shared" si="10"/>
        <v>0</v>
      </c>
      <c r="AA10" s="692">
        <f t="shared" si="11"/>
        <v>0</v>
      </c>
      <c r="AB10" s="693">
        <f t="shared" si="12"/>
        <v>0</v>
      </c>
      <c r="AD10" s="159">
        <f t="shared" si="4"/>
        <v>0</v>
      </c>
      <c r="AE10" s="159">
        <f t="shared" si="5"/>
        <v>0</v>
      </c>
    </row>
    <row r="11" spans="1:31" x14ac:dyDescent="0.4">
      <c r="A11" s="659">
        <f>Compost!B21</f>
        <v>0</v>
      </c>
      <c r="B11" s="93">
        <f>Compost!C21</f>
        <v>0</v>
      </c>
      <c r="C11" s="94">
        <f>Compost!D21</f>
        <v>0</v>
      </c>
      <c r="D11" s="94">
        <f t="shared" si="6"/>
        <v>1</v>
      </c>
      <c r="E11" s="95">
        <f>Compost!F21</f>
        <v>0</v>
      </c>
      <c r="F11" s="89">
        <f t="shared" si="7"/>
        <v>0</v>
      </c>
      <c r="G11" s="676">
        <f t="shared" si="8"/>
        <v>0</v>
      </c>
      <c r="H11" s="504">
        <f t="shared" si="0"/>
        <v>0</v>
      </c>
      <c r="I11" s="680">
        <f t="shared" si="1"/>
        <v>0</v>
      </c>
      <c r="J11" s="676">
        <f t="shared" si="9"/>
        <v>0</v>
      </c>
      <c r="K11" s="504">
        <f t="shared" si="2"/>
        <v>0</v>
      </c>
      <c r="L11" s="680">
        <f t="shared" si="3"/>
        <v>0</v>
      </c>
      <c r="M11" s="681">
        <f>((A11-H11)*C11*'GHG ERFs'!B$14+(A11-I11)*D11*'GHG ERFs'!B$15+(B11-K11)*C11*'GHG ERFs'!B$16+(B11-L11)*D11*'GHG ERFs'!B$17)</f>
        <v>0</v>
      </c>
      <c r="N11" s="686">
        <f>((A11*D11)-I11)*'Co-Ben ERFs'!$B$15-((A11*D11)-I11)*'Co-Ben ERFs'!$B$78</f>
        <v>0</v>
      </c>
      <c r="O11" s="687">
        <f>((A11*D11)-I11)*'Co-Ben ERFs'!$B$16-((A11*D11)-I11)*'Co-Ben ERFs'!$B$80</f>
        <v>0</v>
      </c>
      <c r="P11" s="688">
        <f>((A11*D11)-I11)*'Co-Ben ERFs'!$B$17-((A11*D11)-I11)*'Co-Ben ERFs'!$B$81</f>
        <v>0</v>
      </c>
      <c r="Q11" s="689">
        <f>((A11*C11)-H11)*'Co-Ben ERFs'!$B$18-((A11*C11)-H11)*'Co-Ben ERFs'!$B$79</f>
        <v>0</v>
      </c>
      <c r="R11" s="687">
        <f>((A11*C11)-H11)*'Co-Ben ERFs'!$B$19-((A11*C11)-H11)*'Co-Ben ERFs'!$B$80</f>
        <v>0</v>
      </c>
      <c r="S11" s="688">
        <f>((A11*C11)-H11)*'Co-Ben ERFs'!$B$20-((A11*C11)-H11)*'Co-Ben ERFs'!$B$81</f>
        <v>0</v>
      </c>
      <c r="T11" s="694">
        <f>((B11*D11)-L11)*'Co-Ben ERFs'!$B$15-((B11*D11)-L11)*'Co-Ben ERFs'!$B$84</f>
        <v>0</v>
      </c>
      <c r="U11" s="695">
        <f>((B11*D11)-L11)*'Co-Ben ERFs'!$B$15-((B11*D11)-L11)*'Co-Ben ERFs'!$B$86</f>
        <v>0</v>
      </c>
      <c r="V11" s="696">
        <f>((B11*D11)-L11)*'Co-Ben ERFs'!$B$15-((B11*D11)-L11)*'Co-Ben ERFs'!$B$87</f>
        <v>0</v>
      </c>
      <c r="W11" s="697">
        <f>((B11*C11)-K11)*'Co-Ben ERFs'!$B$18-((B11*C11)-K11)*'Co-Ben ERFs'!$B$85</f>
        <v>0</v>
      </c>
      <c r="X11" s="695">
        <f>((B11*C11)-K11)*'Co-Ben ERFs'!$B$18-((B11*C11)-K11)*'Co-Ben ERFs'!$B$86</f>
        <v>0</v>
      </c>
      <c r="Y11" s="696">
        <f>((B11*C11)-K11)*'Co-Ben ERFs'!$B$18-((B11*C11)-K11)*'Co-Ben ERFs'!$B$87</f>
        <v>0</v>
      </c>
      <c r="Z11" s="692">
        <f t="shared" si="10"/>
        <v>0</v>
      </c>
      <c r="AA11" s="692">
        <f t="shared" si="11"/>
        <v>0</v>
      </c>
      <c r="AB11" s="693">
        <f t="shared" si="12"/>
        <v>0</v>
      </c>
      <c r="AD11" s="159">
        <f t="shared" si="4"/>
        <v>0</v>
      </c>
      <c r="AE11" s="159">
        <f t="shared" si="5"/>
        <v>0</v>
      </c>
    </row>
    <row r="12" spans="1:31" x14ac:dyDescent="0.4">
      <c r="A12" s="659">
        <f>Compost!B22</f>
        <v>0</v>
      </c>
      <c r="B12" s="93">
        <f>Compost!C22</f>
        <v>0</v>
      </c>
      <c r="C12" s="94">
        <f>Compost!D22</f>
        <v>0</v>
      </c>
      <c r="D12" s="94">
        <f t="shared" si="6"/>
        <v>1</v>
      </c>
      <c r="E12" s="95">
        <f>Compost!F22</f>
        <v>0</v>
      </c>
      <c r="F12" s="89">
        <f t="shared" si="7"/>
        <v>0</v>
      </c>
      <c r="G12" s="676">
        <f t="shared" si="8"/>
        <v>0</v>
      </c>
      <c r="H12" s="504">
        <f t="shared" si="0"/>
        <v>0</v>
      </c>
      <c r="I12" s="680">
        <f t="shared" si="1"/>
        <v>0</v>
      </c>
      <c r="J12" s="676">
        <f t="shared" si="9"/>
        <v>0</v>
      </c>
      <c r="K12" s="504">
        <f t="shared" si="2"/>
        <v>0</v>
      </c>
      <c r="L12" s="680">
        <f t="shared" si="3"/>
        <v>0</v>
      </c>
      <c r="M12" s="681">
        <f>((A12-H12)*C12*'GHG ERFs'!B$14+(A12-I12)*D12*'GHG ERFs'!B$15+(B12-K12)*C12*'GHG ERFs'!B$16+(B12-L12)*D12*'GHG ERFs'!B$17)</f>
        <v>0</v>
      </c>
      <c r="N12" s="686">
        <f>((A12*D12)-I12)*'Co-Ben ERFs'!$B$15-((A12*D12)-I12)*'Co-Ben ERFs'!$B$78</f>
        <v>0</v>
      </c>
      <c r="O12" s="687">
        <f>((A12*D12)-I12)*'Co-Ben ERFs'!$B$16-((A12*D12)-I12)*'Co-Ben ERFs'!$B$80</f>
        <v>0</v>
      </c>
      <c r="P12" s="688">
        <f>((A12*D12)-I12)*'Co-Ben ERFs'!$B$17-((A12*D12)-I12)*'Co-Ben ERFs'!$B$81</f>
        <v>0</v>
      </c>
      <c r="Q12" s="689">
        <f>((A12*C12)-H12)*'Co-Ben ERFs'!$B$18-((A12*C12)-H12)*'Co-Ben ERFs'!$B$79</f>
        <v>0</v>
      </c>
      <c r="R12" s="687">
        <f>((A12*C12)-H12)*'Co-Ben ERFs'!$B$19-((A12*C12)-H12)*'Co-Ben ERFs'!$B$80</f>
        <v>0</v>
      </c>
      <c r="S12" s="688">
        <f>((A12*C12)-H12)*'Co-Ben ERFs'!$B$20-((A12*C12)-H12)*'Co-Ben ERFs'!$B$81</f>
        <v>0</v>
      </c>
      <c r="T12" s="694">
        <f>((B12*D12)-L12)*'Co-Ben ERFs'!$B$15-((B12*D12)-L12)*'Co-Ben ERFs'!$B$84</f>
        <v>0</v>
      </c>
      <c r="U12" s="695">
        <f>((B12*D12)-L12)*'Co-Ben ERFs'!$B$15-((B12*D12)-L12)*'Co-Ben ERFs'!$B$86</f>
        <v>0</v>
      </c>
      <c r="V12" s="696">
        <f>((B12*D12)-L12)*'Co-Ben ERFs'!$B$15-((B12*D12)-L12)*'Co-Ben ERFs'!$B$87</f>
        <v>0</v>
      </c>
      <c r="W12" s="697">
        <f>((B12*C12)-K12)*'Co-Ben ERFs'!$B$18-((B12*C12)-K12)*'Co-Ben ERFs'!$B$85</f>
        <v>0</v>
      </c>
      <c r="X12" s="695">
        <f>((B12*C12)-K12)*'Co-Ben ERFs'!$B$18-((B12*C12)-K12)*'Co-Ben ERFs'!$B$86</f>
        <v>0</v>
      </c>
      <c r="Y12" s="696">
        <f>((B12*C12)-K12)*'Co-Ben ERFs'!$B$18-((B12*C12)-K12)*'Co-Ben ERFs'!$B$87</f>
        <v>0</v>
      </c>
      <c r="Z12" s="692">
        <f t="shared" si="10"/>
        <v>0</v>
      </c>
      <c r="AA12" s="692">
        <f t="shared" si="11"/>
        <v>0</v>
      </c>
      <c r="AB12" s="693">
        <f t="shared" si="12"/>
        <v>0</v>
      </c>
      <c r="AD12" s="159">
        <f t="shared" si="4"/>
        <v>0</v>
      </c>
      <c r="AE12" s="159">
        <f t="shared" si="5"/>
        <v>0</v>
      </c>
    </row>
    <row r="13" spans="1:31" x14ac:dyDescent="0.4">
      <c r="A13" s="659">
        <f>Compost!B23</f>
        <v>0</v>
      </c>
      <c r="B13" s="93">
        <f>Compost!C23</f>
        <v>0</v>
      </c>
      <c r="C13" s="94">
        <f>Compost!D23</f>
        <v>0</v>
      </c>
      <c r="D13" s="94">
        <f t="shared" si="6"/>
        <v>1</v>
      </c>
      <c r="E13" s="95">
        <f>Compost!F23</f>
        <v>0</v>
      </c>
      <c r="F13" s="89">
        <f t="shared" si="7"/>
        <v>0</v>
      </c>
      <c r="G13" s="676">
        <f t="shared" si="8"/>
        <v>0</v>
      </c>
      <c r="H13" s="504">
        <f t="shared" si="0"/>
        <v>0</v>
      </c>
      <c r="I13" s="680">
        <f t="shared" si="1"/>
        <v>0</v>
      </c>
      <c r="J13" s="676">
        <f t="shared" si="9"/>
        <v>0</v>
      </c>
      <c r="K13" s="504">
        <f t="shared" si="2"/>
        <v>0</v>
      </c>
      <c r="L13" s="680">
        <f t="shared" si="3"/>
        <v>0</v>
      </c>
      <c r="M13" s="681">
        <f>((A13-H13)*C13*'GHG ERFs'!B$14+(A13-I13)*D13*'GHG ERFs'!B$15+(B13-K13)*C13*'GHG ERFs'!B$16+(B13-L13)*D13*'GHG ERFs'!B$17)</f>
        <v>0</v>
      </c>
      <c r="N13" s="686">
        <f>((A13*D13)-I13)*'Co-Ben ERFs'!$B$15-((A13*D13)-I13)*'Co-Ben ERFs'!$B$78</f>
        <v>0</v>
      </c>
      <c r="O13" s="687">
        <f>((A13*D13)-I13)*'Co-Ben ERFs'!$B$16-((A13*D13)-I13)*'Co-Ben ERFs'!$B$80</f>
        <v>0</v>
      </c>
      <c r="P13" s="688">
        <f>((A13*D13)-I13)*'Co-Ben ERFs'!$B$17-((A13*D13)-I13)*'Co-Ben ERFs'!$B$81</f>
        <v>0</v>
      </c>
      <c r="Q13" s="689">
        <f>((A13*C13)-H13)*'Co-Ben ERFs'!$B$18-((A13*C13)-H13)*'Co-Ben ERFs'!$B$79</f>
        <v>0</v>
      </c>
      <c r="R13" s="687">
        <f>((A13*C13)-H13)*'Co-Ben ERFs'!$B$19-((A13*C13)-H13)*'Co-Ben ERFs'!$B$80</f>
        <v>0</v>
      </c>
      <c r="S13" s="688">
        <f>((A13*C13)-H13)*'Co-Ben ERFs'!$B$20-((A13*C13)-H13)*'Co-Ben ERFs'!$B$81</f>
        <v>0</v>
      </c>
      <c r="T13" s="694">
        <f>((B13*D13)-L13)*'Co-Ben ERFs'!$B$15-((B13*D13)-L13)*'Co-Ben ERFs'!$B$84</f>
        <v>0</v>
      </c>
      <c r="U13" s="695">
        <f>((B13*D13)-L13)*'Co-Ben ERFs'!$B$15-((B13*D13)-L13)*'Co-Ben ERFs'!$B$86</f>
        <v>0</v>
      </c>
      <c r="V13" s="696">
        <f>((B13*D13)-L13)*'Co-Ben ERFs'!$B$15-((B13*D13)-L13)*'Co-Ben ERFs'!$B$87</f>
        <v>0</v>
      </c>
      <c r="W13" s="697">
        <f>((B13*C13)-K13)*'Co-Ben ERFs'!$B$18-((B13*C13)-K13)*'Co-Ben ERFs'!$B$85</f>
        <v>0</v>
      </c>
      <c r="X13" s="695">
        <f>((B13*C13)-K13)*'Co-Ben ERFs'!$B$18-((B13*C13)-K13)*'Co-Ben ERFs'!$B$86</f>
        <v>0</v>
      </c>
      <c r="Y13" s="696">
        <f>((B13*C13)-K13)*'Co-Ben ERFs'!$B$18-((B13*C13)-K13)*'Co-Ben ERFs'!$B$87</f>
        <v>0</v>
      </c>
      <c r="Z13" s="692">
        <f t="shared" si="10"/>
        <v>0</v>
      </c>
      <c r="AA13" s="692">
        <f t="shared" si="11"/>
        <v>0</v>
      </c>
      <c r="AB13" s="693">
        <f t="shared" si="12"/>
        <v>0</v>
      </c>
      <c r="AD13" s="159">
        <f t="shared" si="4"/>
        <v>0</v>
      </c>
      <c r="AE13" s="159">
        <f t="shared" si="5"/>
        <v>0</v>
      </c>
    </row>
    <row r="14" spans="1:31" ht="15" thickBot="1" x14ac:dyDescent="0.45">
      <c r="A14" s="660">
        <f>Compost!B24</f>
        <v>0</v>
      </c>
      <c r="B14" s="426">
        <f>Compost!C24</f>
        <v>0</v>
      </c>
      <c r="C14" s="427">
        <f>Compost!D24</f>
        <v>0</v>
      </c>
      <c r="D14" s="427">
        <f t="shared" si="6"/>
        <v>1</v>
      </c>
      <c r="E14" s="428">
        <f>Compost!F24</f>
        <v>0</v>
      </c>
      <c r="F14" s="92">
        <f t="shared" si="7"/>
        <v>0</v>
      </c>
      <c r="G14" s="682">
        <f t="shared" si="8"/>
        <v>0</v>
      </c>
      <c r="H14" s="683">
        <f t="shared" si="0"/>
        <v>0</v>
      </c>
      <c r="I14" s="684">
        <f t="shared" si="1"/>
        <v>0</v>
      </c>
      <c r="J14" s="682">
        <f t="shared" si="9"/>
        <v>0</v>
      </c>
      <c r="K14" s="683">
        <f t="shared" si="2"/>
        <v>0</v>
      </c>
      <c r="L14" s="684">
        <f t="shared" si="3"/>
        <v>0</v>
      </c>
      <c r="M14" s="685">
        <f>((A14-H14)*C14*'GHG ERFs'!B$14+(A14-I14)*D14*'GHG ERFs'!B$15+(B14-K14)*C14*'GHG ERFs'!B$16+(B14-L14)*D14*'GHG ERFs'!B$17)</f>
        <v>0</v>
      </c>
      <c r="N14" s="698">
        <f>((A14*D14)-I14)*'Co-Ben ERFs'!$B$15-((A14*D14)-I14)*'Co-Ben ERFs'!$B$78</f>
        <v>0</v>
      </c>
      <c r="O14" s="699">
        <f>((A14*D14)-I14)*'Co-Ben ERFs'!$B$16-((A14*D14)-I14)*'Co-Ben ERFs'!$B$80</f>
        <v>0</v>
      </c>
      <c r="P14" s="700">
        <f>((A14*D14)-I14)*'Co-Ben ERFs'!$B$17-((A14*D14)-I14)*'Co-Ben ERFs'!$B$81</f>
        <v>0</v>
      </c>
      <c r="Q14" s="701">
        <f>((A14*C14)-H14)*'Co-Ben ERFs'!$B$18-((A14*C14)-H14)*'Co-Ben ERFs'!$B$79</f>
        <v>0</v>
      </c>
      <c r="R14" s="699">
        <f>((A14*C14)-H14)*'Co-Ben ERFs'!$B$19-((A14*C14)-H14)*'Co-Ben ERFs'!$B$80</f>
        <v>0</v>
      </c>
      <c r="S14" s="700">
        <f>((A14*C14)-H14)*'Co-Ben ERFs'!$B$20-((A14*C14)-H14)*'Co-Ben ERFs'!$B$81</f>
        <v>0</v>
      </c>
      <c r="T14" s="702">
        <f>((B14*D14)-L14)*'Co-Ben ERFs'!$B$15-((B14*D14)-L14)*'Co-Ben ERFs'!$B$84</f>
        <v>0</v>
      </c>
      <c r="U14" s="669">
        <f>((B14*D14)-L14)*'Co-Ben ERFs'!$B$15-((B14*D14)-L14)*'Co-Ben ERFs'!$B$86</f>
        <v>0</v>
      </c>
      <c r="V14" s="670">
        <f>((B14*D14)-L14)*'Co-Ben ERFs'!$B$15-((B14*D14)-L14)*'Co-Ben ERFs'!$B$87</f>
        <v>0</v>
      </c>
      <c r="W14" s="703">
        <f>((B14*C14)-K14)*'Co-Ben ERFs'!$B$18-((B14*C14)-K14)*'Co-Ben ERFs'!$B$85</f>
        <v>0</v>
      </c>
      <c r="X14" s="669">
        <f>((B14*C14)-K14)*'Co-Ben ERFs'!$B$18-((B14*C14)-K14)*'Co-Ben ERFs'!$B$86</f>
        <v>0</v>
      </c>
      <c r="Y14" s="670">
        <f>((B14*C14)-K14)*'Co-Ben ERFs'!$B$18-((B14*C14)-K14)*'Co-Ben ERFs'!$B$87</f>
        <v>0</v>
      </c>
      <c r="Z14" s="704">
        <f t="shared" si="10"/>
        <v>0</v>
      </c>
      <c r="AA14" s="704">
        <f t="shared" si="11"/>
        <v>0</v>
      </c>
      <c r="AB14" s="705">
        <f t="shared" si="12"/>
        <v>0</v>
      </c>
      <c r="AD14" s="159">
        <f t="shared" si="4"/>
        <v>0</v>
      </c>
      <c r="AE14" s="159">
        <f t="shared" si="5"/>
        <v>0</v>
      </c>
    </row>
    <row r="15" spans="1:31" x14ac:dyDescent="0.4">
      <c r="A15" s="14" t="s">
        <v>194</v>
      </c>
      <c r="B15" s="14"/>
      <c r="C15" s="14"/>
      <c r="D15" s="14"/>
      <c r="E15" s="14"/>
      <c r="F15" s="197">
        <f>SUM(F5:F14)</f>
        <v>0</v>
      </c>
      <c r="G15" s="14"/>
      <c r="H15" s="14"/>
      <c r="I15" s="14"/>
      <c r="J15" s="14"/>
      <c r="K15" s="14"/>
      <c r="L15" s="706">
        <f>SUM(L5:L14)</f>
        <v>0</v>
      </c>
      <c r="M15" s="706">
        <f>SUM(M5:M14)</f>
        <v>0</v>
      </c>
      <c r="N15" s="14"/>
      <c r="Z15" s="159">
        <f>SUM(Z5:Z14)</f>
        <v>0</v>
      </c>
      <c r="AA15" s="159">
        <f>SUM(AA5:AA14)</f>
        <v>0</v>
      </c>
      <c r="AB15" s="159">
        <f>SUM(AB5:AB14)</f>
        <v>0</v>
      </c>
      <c r="AD15" s="159">
        <f>SUM(AD5:AD14)</f>
        <v>0</v>
      </c>
      <c r="AE15" s="159">
        <f>SUM(AE5:AE14)</f>
        <v>0</v>
      </c>
    </row>
    <row r="16" spans="1:31" x14ac:dyDescent="0.4">
      <c r="A16" s="14"/>
      <c r="B16" s="14"/>
      <c r="C16" s="14"/>
      <c r="D16" s="14"/>
      <c r="E16" s="14"/>
      <c r="F16" s="14"/>
      <c r="G16" s="14"/>
      <c r="H16" s="14"/>
      <c r="I16" s="14"/>
      <c r="J16" s="14"/>
      <c r="K16" s="14"/>
      <c r="L16" s="14"/>
      <c r="M16" s="14"/>
      <c r="N16" s="14"/>
      <c r="O16" s="14"/>
    </row>
    <row r="17" spans="1:32" x14ac:dyDescent="0.4">
      <c r="A17" s="14"/>
      <c r="B17" s="14"/>
      <c r="C17" s="14"/>
      <c r="D17" s="14"/>
      <c r="E17" s="14"/>
      <c r="F17" s="14"/>
      <c r="G17" s="14"/>
      <c r="H17" s="14"/>
      <c r="I17" s="14"/>
      <c r="J17" s="14"/>
      <c r="K17" s="14"/>
      <c r="L17" s="14"/>
      <c r="M17" s="14"/>
      <c r="N17" s="14"/>
      <c r="O17" s="14"/>
    </row>
    <row r="18" spans="1:32" x14ac:dyDescent="0.4">
      <c r="A18" s="14"/>
      <c r="B18" s="14"/>
      <c r="C18" s="14"/>
      <c r="D18" s="14"/>
      <c r="E18" s="14"/>
      <c r="F18" s="14"/>
      <c r="G18" s="14"/>
      <c r="H18" s="14"/>
      <c r="I18" s="14"/>
      <c r="J18" s="14"/>
      <c r="K18" s="14"/>
      <c r="L18" s="14"/>
      <c r="M18" s="14"/>
      <c r="N18" s="14"/>
      <c r="O18" s="14"/>
    </row>
    <row r="19" spans="1:32" x14ac:dyDescent="0.4">
      <c r="A19" s="14"/>
      <c r="B19" s="14"/>
      <c r="C19" s="14"/>
      <c r="D19" s="14"/>
      <c r="E19" s="14"/>
      <c r="F19" s="14"/>
      <c r="G19" s="14"/>
      <c r="H19" s="14"/>
      <c r="I19" s="14"/>
      <c r="J19" s="14"/>
      <c r="K19" s="14"/>
      <c r="L19" s="14"/>
      <c r="M19" s="14"/>
      <c r="N19" s="14"/>
      <c r="O19" s="14"/>
      <c r="AD19" t="s">
        <v>12</v>
      </c>
      <c r="AE19">
        <v>1.55</v>
      </c>
      <c r="AF19">
        <v>0.51</v>
      </c>
    </row>
    <row r="20" spans="1:32" x14ac:dyDescent="0.4">
      <c r="A20" s="14"/>
      <c r="B20" s="14"/>
      <c r="C20" s="14"/>
      <c r="D20" s="14"/>
      <c r="E20" s="14"/>
      <c r="F20" s="14"/>
      <c r="G20" s="14"/>
      <c r="H20" s="14"/>
      <c r="I20" s="14"/>
      <c r="J20" s="14"/>
      <c r="K20" s="14"/>
      <c r="L20" s="14"/>
      <c r="M20" s="14"/>
      <c r="N20" s="14"/>
      <c r="O20" s="14"/>
    </row>
    <row r="21" spans="1:32" x14ac:dyDescent="0.4">
      <c r="A21" s="14"/>
      <c r="B21" s="14"/>
      <c r="C21" s="14"/>
      <c r="D21" s="14"/>
      <c r="E21" s="14"/>
      <c r="F21" s="14"/>
      <c r="G21" s="14"/>
      <c r="H21" s="14"/>
      <c r="I21" s="14"/>
      <c r="J21" s="14"/>
      <c r="K21" s="14"/>
      <c r="L21" s="14"/>
      <c r="M21" s="14"/>
      <c r="N21" s="14"/>
      <c r="O21" s="14"/>
    </row>
    <row r="22" spans="1:32" x14ac:dyDescent="0.4">
      <c r="A22" s="14"/>
      <c r="B22" s="14"/>
      <c r="C22" s="14"/>
      <c r="D22" s="14"/>
      <c r="E22" s="14"/>
      <c r="F22" s="14"/>
      <c r="G22" s="14"/>
      <c r="H22" s="14"/>
      <c r="I22" s="14"/>
      <c r="J22" s="14"/>
      <c r="K22" s="14"/>
      <c r="L22" s="14"/>
      <c r="M22" s="14"/>
      <c r="N22" s="14"/>
      <c r="O22" s="14"/>
    </row>
    <row r="23" spans="1:32" x14ac:dyDescent="0.4">
      <c r="A23" s="14"/>
      <c r="B23" s="14"/>
      <c r="C23" s="14"/>
      <c r="D23" s="14"/>
      <c r="E23" s="14"/>
      <c r="F23" s="14"/>
      <c r="G23" s="14"/>
      <c r="H23" s="14"/>
      <c r="I23" s="14"/>
      <c r="J23" s="14"/>
      <c r="K23" s="14"/>
      <c r="L23" s="14"/>
      <c r="M23" s="14"/>
      <c r="N23" s="14"/>
      <c r="O23" s="14"/>
    </row>
    <row r="24" spans="1:32" x14ac:dyDescent="0.4">
      <c r="A24" s="14"/>
      <c r="B24" s="14"/>
      <c r="C24" s="14"/>
      <c r="D24" s="14"/>
      <c r="E24" s="14"/>
      <c r="F24" s="14"/>
      <c r="G24" s="14"/>
      <c r="H24" s="14"/>
      <c r="I24" s="14"/>
      <c r="J24" s="14"/>
      <c r="K24" s="14"/>
      <c r="L24" s="14"/>
      <c r="M24" s="14"/>
      <c r="N24" s="14"/>
      <c r="O24" s="14"/>
    </row>
    <row r="25" spans="1:32" x14ac:dyDescent="0.4">
      <c r="A25" s="14"/>
      <c r="B25" s="14"/>
      <c r="C25" s="14"/>
      <c r="D25" s="14"/>
      <c r="E25" s="14"/>
      <c r="F25" s="14"/>
      <c r="G25" s="14"/>
      <c r="H25" s="14"/>
      <c r="I25" s="14"/>
      <c r="J25" s="14"/>
      <c r="K25" s="14"/>
      <c r="L25" s="14"/>
      <c r="M25" s="14"/>
      <c r="N25" s="14"/>
      <c r="O25" s="14"/>
    </row>
    <row r="26" spans="1:32" x14ac:dyDescent="0.4">
      <c r="A26" s="14"/>
      <c r="B26" s="14"/>
      <c r="C26" s="14"/>
      <c r="D26" s="14"/>
      <c r="E26" s="14"/>
      <c r="F26" s="14"/>
      <c r="G26" s="14"/>
      <c r="H26" s="14"/>
      <c r="I26" s="14"/>
      <c r="J26" s="14"/>
      <c r="K26" s="14"/>
      <c r="L26" s="14"/>
      <c r="M26" s="14"/>
      <c r="N26" s="14"/>
      <c r="O26" s="14"/>
    </row>
    <row r="27" spans="1:32" x14ac:dyDescent="0.4">
      <c r="A27" s="14"/>
      <c r="B27" s="14"/>
      <c r="C27" s="14"/>
      <c r="D27" s="14"/>
      <c r="E27" s="14"/>
      <c r="F27" s="14"/>
      <c r="G27" s="14"/>
      <c r="H27" s="14"/>
      <c r="I27" s="14"/>
      <c r="J27" s="14"/>
      <c r="K27" s="14"/>
      <c r="L27" s="14"/>
      <c r="M27" s="14"/>
      <c r="N27" s="14"/>
      <c r="O27" s="14"/>
    </row>
    <row r="28" spans="1:32" x14ac:dyDescent="0.4">
      <c r="A28" s="14"/>
      <c r="B28" s="14"/>
      <c r="C28" s="14"/>
      <c r="D28" s="14"/>
      <c r="E28" s="14"/>
      <c r="F28" s="14"/>
      <c r="G28" s="14"/>
      <c r="H28" s="14"/>
      <c r="I28" s="14"/>
      <c r="J28" s="14"/>
      <c r="K28" s="14"/>
      <c r="L28" s="14"/>
      <c r="M28" s="14"/>
      <c r="N28" s="14"/>
      <c r="O28" s="14"/>
    </row>
    <row r="29" spans="1:32" x14ac:dyDescent="0.4">
      <c r="A29" s="14"/>
      <c r="B29" s="14"/>
      <c r="C29" s="14"/>
      <c r="D29" s="14"/>
      <c r="E29" s="14"/>
      <c r="F29" s="14"/>
      <c r="G29" s="14"/>
      <c r="H29" s="14"/>
      <c r="I29" s="14"/>
      <c r="J29" s="14"/>
      <c r="K29" s="14"/>
      <c r="L29" s="14"/>
      <c r="M29" s="14"/>
      <c r="N29" s="14"/>
      <c r="O29" s="14"/>
    </row>
    <row r="30" spans="1:32" x14ac:dyDescent="0.4">
      <c r="A30" s="14"/>
      <c r="B30" s="14"/>
      <c r="C30" s="14"/>
      <c r="D30" s="14"/>
      <c r="E30" s="14"/>
      <c r="F30" s="14"/>
      <c r="G30" s="14"/>
      <c r="H30" s="14"/>
      <c r="I30" s="14"/>
      <c r="J30" s="14"/>
      <c r="K30" s="14"/>
      <c r="L30" s="14"/>
      <c r="M30" s="14"/>
      <c r="N30" s="14"/>
      <c r="O30" s="14"/>
    </row>
    <row r="31" spans="1:32" x14ac:dyDescent="0.4">
      <c r="A31" s="14"/>
      <c r="B31" s="14"/>
      <c r="C31" s="14"/>
      <c r="D31" s="14"/>
      <c r="E31" s="14"/>
      <c r="F31" s="14"/>
      <c r="G31" s="14"/>
      <c r="H31" s="14"/>
      <c r="I31" s="14"/>
      <c r="J31" s="14"/>
      <c r="K31" s="14"/>
      <c r="L31" s="14"/>
      <c r="M31" s="14"/>
      <c r="N31" s="14"/>
      <c r="O31" s="14"/>
    </row>
    <row r="32" spans="1:32" x14ac:dyDescent="0.4">
      <c r="A32" s="14"/>
      <c r="B32" s="14"/>
      <c r="C32" s="14"/>
      <c r="D32" s="14"/>
      <c r="E32" s="14"/>
      <c r="F32" s="14"/>
      <c r="G32" s="14"/>
      <c r="H32" s="14"/>
      <c r="I32" s="14"/>
      <c r="J32" s="14"/>
      <c r="K32" s="14"/>
      <c r="L32" s="14"/>
      <c r="M32" s="14"/>
      <c r="N32" s="14"/>
      <c r="O32" s="14"/>
    </row>
    <row r="33" spans="1:15" x14ac:dyDescent="0.4">
      <c r="A33" s="14"/>
      <c r="B33" s="14"/>
      <c r="C33" s="14"/>
      <c r="D33" s="14"/>
      <c r="E33" s="14"/>
      <c r="F33" s="14"/>
      <c r="G33" s="14"/>
      <c r="H33" s="14"/>
      <c r="I33" s="14"/>
      <c r="J33" s="14"/>
      <c r="K33" s="14"/>
      <c r="L33" s="14"/>
      <c r="M33" s="14"/>
      <c r="N33" s="14"/>
      <c r="O33" s="14"/>
    </row>
    <row r="34" spans="1:15" x14ac:dyDescent="0.4">
      <c r="A34" s="14"/>
      <c r="B34" s="14"/>
      <c r="C34" s="14"/>
      <c r="D34" s="14"/>
      <c r="E34" s="14"/>
      <c r="F34" s="14"/>
      <c r="G34" s="14"/>
      <c r="H34" s="14"/>
      <c r="I34" s="14"/>
      <c r="J34" s="14"/>
      <c r="K34" s="14"/>
      <c r="L34" s="14"/>
      <c r="M34" s="14"/>
      <c r="N34" s="14"/>
      <c r="O34" s="14"/>
    </row>
  </sheetData>
  <sheetProtection algorithmName="SHA-512" hashValue="syCOi/PrRSGWXi7vV0U+fLzEm8u2PzCrtUz1//T/Hk04mCb4VKUdNTRPOiQZJlRZqdGwf2PIJT08gjBw3vO0fg==" saltValue="+yiHk2OZgIGyAPHigZRdrw==" spinCount="100000" sheet="1" objects="1" scenarios="1"/>
  <mergeCells count="3">
    <mergeCell ref="N3:S3"/>
    <mergeCell ref="T3:Y3"/>
    <mergeCell ref="Z3:AB3"/>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3:G16"/>
  <sheetViews>
    <sheetView workbookViewId="0">
      <selection activeCell="A15" sqref="A15"/>
    </sheetView>
  </sheetViews>
  <sheetFormatPr defaultRowHeight="14.6" x14ac:dyDescent="0.4"/>
  <cols>
    <col min="1" max="1" width="48.3828125" customWidth="1"/>
    <col min="2" max="2" width="18" customWidth="1"/>
    <col min="3" max="3" width="20.3828125" bestFit="1" customWidth="1"/>
    <col min="5" max="5" width="9.69140625" bestFit="1" customWidth="1"/>
    <col min="6" max="6" width="36" customWidth="1"/>
  </cols>
  <sheetData>
    <row r="3" spans="1:7" ht="15" thickBot="1" x14ac:dyDescent="0.45">
      <c r="A3" t="s">
        <v>484</v>
      </c>
    </row>
    <row r="4" spans="1:7" ht="15" customHeight="1" x14ac:dyDescent="0.4">
      <c r="A4" s="474" t="s">
        <v>485</v>
      </c>
      <c r="B4" s="1368" t="s">
        <v>486</v>
      </c>
      <c r="C4" s="1473"/>
      <c r="E4" s="1474" t="s">
        <v>787</v>
      </c>
      <c r="F4" s="1475"/>
    </row>
    <row r="5" spans="1:7" x14ac:dyDescent="0.4">
      <c r="A5" s="245"/>
      <c r="B5" s="246" t="s">
        <v>489</v>
      </c>
      <c r="C5" s="479" t="s">
        <v>490</v>
      </c>
      <c r="E5" s="332">
        <f>B7/B6</f>
        <v>2557.2647578947367</v>
      </c>
      <c r="F5" s="483" t="s">
        <v>781</v>
      </c>
    </row>
    <row r="6" spans="1:7" x14ac:dyDescent="0.4">
      <c r="A6" s="498" t="s">
        <v>521</v>
      </c>
      <c r="B6" s="496">
        <v>95000</v>
      </c>
      <c r="C6" s="499" t="s">
        <v>522</v>
      </c>
      <c r="E6" s="501">
        <f>E5*'Standalone AD ERF'!B60*(1/'Standalone AD ERF'!B73)*'Standalone AD ERF'!B61</f>
        <v>216.29435167619764</v>
      </c>
      <c r="F6" s="390" t="s">
        <v>372</v>
      </c>
      <c r="G6" s="296"/>
    </row>
    <row r="7" spans="1:7" x14ac:dyDescent="0.4">
      <c r="A7" s="498" t="s">
        <v>524</v>
      </c>
      <c r="B7" s="496">
        <v>242940152</v>
      </c>
      <c r="C7" s="499" t="s">
        <v>760</v>
      </c>
      <c r="E7" s="333">
        <f>E5*'Co-Ben ERFs'!B34/'GHG ERFs'!A207</f>
        <v>18.658843753664719</v>
      </c>
      <c r="F7" s="390" t="s">
        <v>373</v>
      </c>
      <c r="G7" s="296"/>
    </row>
    <row r="8" spans="1:7" x14ac:dyDescent="0.4">
      <c r="A8" s="247" t="s">
        <v>759</v>
      </c>
      <c r="B8" s="248">
        <v>4927429</v>
      </c>
      <c r="C8" s="500" t="s">
        <v>760</v>
      </c>
      <c r="E8" s="296"/>
      <c r="F8" s="296"/>
      <c r="G8" s="296"/>
    </row>
    <row r="9" spans="1:7" x14ac:dyDescent="0.4">
      <c r="A9" s="247" t="s">
        <v>761</v>
      </c>
      <c r="B9" s="248">
        <v>1810200</v>
      </c>
      <c r="C9" s="473" t="s">
        <v>59</v>
      </c>
      <c r="E9" s="1476" t="s">
        <v>782</v>
      </c>
      <c r="F9" s="1477"/>
      <c r="G9" s="296"/>
    </row>
    <row r="10" spans="1:7" x14ac:dyDescent="0.4">
      <c r="A10" s="247" t="s">
        <v>762</v>
      </c>
      <c r="B10" s="254">
        <v>71259</v>
      </c>
      <c r="C10" s="473" t="s">
        <v>59</v>
      </c>
      <c r="E10" s="502">
        <f>B13/B6</f>
        <v>0.1832</v>
      </c>
      <c r="F10" s="390" t="s">
        <v>384</v>
      </c>
      <c r="G10" s="296"/>
    </row>
    <row r="11" spans="1:7" x14ac:dyDescent="0.4">
      <c r="A11" s="247" t="s">
        <v>763</v>
      </c>
      <c r="B11" s="254">
        <v>4610526</v>
      </c>
      <c r="C11" s="473" t="s">
        <v>59</v>
      </c>
      <c r="E11" s="501">
        <f>B8/B6</f>
        <v>51.867673684210523</v>
      </c>
      <c r="F11" s="309" t="s">
        <v>543</v>
      </c>
      <c r="G11" s="296"/>
    </row>
    <row r="12" spans="1:7" x14ac:dyDescent="0.4">
      <c r="A12" s="247" t="s">
        <v>764</v>
      </c>
      <c r="B12" s="248">
        <f>SUM(B9:B11)</f>
        <v>6491985</v>
      </c>
      <c r="C12" s="473" t="s">
        <v>59</v>
      </c>
      <c r="E12" s="501">
        <f>B12/B6</f>
        <v>68.336684210526315</v>
      </c>
      <c r="F12" s="309" t="s">
        <v>372</v>
      </c>
      <c r="G12" s="296"/>
    </row>
    <row r="13" spans="1:7" ht="15" thickBot="1" x14ac:dyDescent="0.45">
      <c r="A13" s="480" t="s">
        <v>765</v>
      </c>
      <c r="B13" s="497">
        <v>17404</v>
      </c>
      <c r="C13" s="161" t="s">
        <v>766</v>
      </c>
      <c r="G13" s="296"/>
    </row>
    <row r="14" spans="1:7" x14ac:dyDescent="0.4">
      <c r="A14" s="1358" t="s">
        <v>515</v>
      </c>
      <c r="B14" s="1358"/>
      <c r="C14" s="1358"/>
      <c r="G14" s="296"/>
    </row>
    <row r="15" spans="1:7" x14ac:dyDescent="0.4">
      <c r="A15" s="767" t="s">
        <v>26</v>
      </c>
      <c r="B15" s="273"/>
      <c r="C15" s="274"/>
      <c r="G15" s="303"/>
    </row>
    <row r="16" spans="1:7" x14ac:dyDescent="0.4">
      <c r="A16" s="1363"/>
      <c r="B16" s="1363"/>
      <c r="C16" s="1363"/>
    </row>
  </sheetData>
  <sheetProtection algorithmName="SHA-512" hashValue="oCtRnOG6Oe1H3xP3GDeAcBw6h/rLpzOZrOL1B2ZVQakuudrUCXz5WyfSOCTgjgTC+RiXvIMPZX6BBJqf1RKvlA==" saltValue="rzFC9B5NbEWmxWDz25BRJw==" spinCount="100000" sheet="1" objects="1" scenarios="1"/>
  <mergeCells count="5">
    <mergeCell ref="A14:C14"/>
    <mergeCell ref="A16:C16"/>
    <mergeCell ref="B4:C4"/>
    <mergeCell ref="E4:F4"/>
    <mergeCell ref="E9:F9"/>
  </mergeCells>
  <hyperlinks>
    <hyperlink ref="A15" r:id="rId1" tooltip="Low Carbon Fuel Standard (LCFS) Pathway for the Production of Biomethane from High Solids Anaerobic Digestion" xr:uid="{00000000-0004-0000-1200-000000000000}"/>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B1:V176"/>
  <sheetViews>
    <sheetView showGridLines="0" zoomScaleNormal="100" workbookViewId="0">
      <selection activeCell="B9" sqref="B9:F9"/>
    </sheetView>
  </sheetViews>
  <sheetFormatPr defaultColWidth="9.15234375" defaultRowHeight="15" customHeight="1" x14ac:dyDescent="0.35"/>
  <cols>
    <col min="1" max="1" width="2.84375" style="850" customWidth="1"/>
    <col min="2" max="2" width="8.53515625" style="850" customWidth="1"/>
    <col min="3" max="3" width="35.69140625" style="850" customWidth="1"/>
    <col min="4" max="6" width="33.3046875" style="850" customWidth="1"/>
    <col min="7" max="7" width="2.84375" style="850" customWidth="1"/>
    <col min="8" max="16384" width="9.15234375" style="850"/>
  </cols>
  <sheetData>
    <row r="1" spans="2:6" ht="20.149999999999999" customHeight="1" x14ac:dyDescent="0.35">
      <c r="B1" s="1071" t="s">
        <v>411</v>
      </c>
      <c r="C1" s="1071"/>
      <c r="D1" s="1071"/>
      <c r="E1" s="1071"/>
      <c r="F1" s="1071"/>
    </row>
    <row r="2" spans="2:6" ht="15" customHeight="1" x14ac:dyDescent="0.35">
      <c r="B2" s="1072"/>
      <c r="C2" s="1072"/>
      <c r="D2" s="1072"/>
      <c r="E2" s="1072"/>
      <c r="F2" s="1072"/>
    </row>
    <row r="3" spans="2:6" ht="20.149999999999999" customHeight="1" x14ac:dyDescent="0.35">
      <c r="B3" s="1071" t="s">
        <v>1095</v>
      </c>
      <c r="C3" s="1071"/>
      <c r="D3" s="1071"/>
      <c r="E3" s="1071"/>
      <c r="F3" s="1071"/>
    </row>
    <row r="4" spans="2:6" ht="20.149999999999999" customHeight="1" x14ac:dyDescent="0.35">
      <c r="B4" s="1073" t="s">
        <v>1116</v>
      </c>
      <c r="C4" s="1074"/>
      <c r="D4" s="1074"/>
      <c r="E4" s="1074"/>
      <c r="F4" s="1074"/>
    </row>
    <row r="5" spans="2:6" ht="15" customHeight="1" x14ac:dyDescent="0.35">
      <c r="B5" s="1072"/>
      <c r="C5" s="1072"/>
      <c r="D5" s="1072"/>
      <c r="E5" s="1072"/>
      <c r="F5" s="1072"/>
    </row>
    <row r="6" spans="2:6" ht="20.149999999999999" customHeight="1" x14ac:dyDescent="0.35">
      <c r="B6" s="1071" t="s">
        <v>413</v>
      </c>
      <c r="C6" s="1071"/>
      <c r="D6" s="1071"/>
      <c r="E6" s="1071"/>
      <c r="F6" s="1071"/>
    </row>
    <row r="8" spans="2:6" ht="15" customHeight="1" x14ac:dyDescent="0.4">
      <c r="B8" s="851" t="s">
        <v>407</v>
      </c>
      <c r="C8" s="851"/>
    </row>
    <row r="9" spans="2:6" s="852" customFormat="1" ht="18.75" customHeight="1" x14ac:dyDescent="0.4">
      <c r="B9" s="1075" t="s">
        <v>1092</v>
      </c>
      <c r="C9" s="1076"/>
      <c r="D9" s="1076"/>
      <c r="E9" s="1076"/>
      <c r="F9" s="1077"/>
    </row>
    <row r="10" spans="2:6" ht="15" customHeight="1" x14ac:dyDescent="0.35">
      <c r="B10" s="853"/>
      <c r="C10" s="853"/>
      <c r="D10" s="854"/>
      <c r="E10" s="854"/>
      <c r="F10" s="854"/>
    </row>
    <row r="11" spans="2:6" ht="15" customHeight="1" x14ac:dyDescent="0.35">
      <c r="B11" s="1078" t="s">
        <v>1124</v>
      </c>
      <c r="C11" s="1078"/>
      <c r="D11" s="1078"/>
      <c r="E11" s="1078"/>
      <c r="F11" s="1078"/>
    </row>
    <row r="12" spans="2:6" ht="15" customHeight="1" x14ac:dyDescent="0.35">
      <c r="B12" s="1078"/>
      <c r="C12" s="1078"/>
      <c r="D12" s="1078"/>
      <c r="E12" s="1078"/>
      <c r="F12" s="1078"/>
    </row>
    <row r="13" spans="2:6" ht="15" customHeight="1" thickBot="1" x14ac:dyDescent="0.4">
      <c r="B13" s="853"/>
      <c r="C13" s="853"/>
      <c r="D13" s="854"/>
      <c r="E13" s="854"/>
      <c r="F13" s="854"/>
    </row>
    <row r="14" spans="2:6" ht="15" customHeight="1" x14ac:dyDescent="0.35">
      <c r="B14" s="1079" t="s">
        <v>1</v>
      </c>
      <c r="C14" s="1080"/>
      <c r="D14" s="1081"/>
      <c r="E14" s="1082"/>
      <c r="F14" s="1083"/>
    </row>
    <row r="15" spans="2:6" ht="15" customHeight="1" x14ac:dyDescent="0.35">
      <c r="B15" s="1084" t="s">
        <v>416</v>
      </c>
      <c r="C15" s="1085"/>
      <c r="D15" s="1086"/>
      <c r="E15" s="1087" t="s">
        <v>1093</v>
      </c>
      <c r="F15" s="1088"/>
    </row>
    <row r="16" spans="2:6" ht="15" customHeight="1" x14ac:dyDescent="0.35">
      <c r="B16" s="1084" t="s">
        <v>6</v>
      </c>
      <c r="C16" s="1086"/>
      <c r="D16" s="1086"/>
      <c r="E16" s="1089"/>
      <c r="F16" s="1090"/>
    </row>
    <row r="17" spans="2:22" ht="15" customHeight="1" x14ac:dyDescent="0.35">
      <c r="B17" s="1084" t="s">
        <v>7</v>
      </c>
      <c r="C17" s="1086"/>
      <c r="D17" s="1086"/>
      <c r="E17" s="1089"/>
      <c r="F17" s="1090"/>
    </row>
    <row r="18" spans="2:22" ht="15" customHeight="1" x14ac:dyDescent="0.35">
      <c r="B18" s="1084" t="s">
        <v>8</v>
      </c>
      <c r="C18" s="1085"/>
      <c r="D18" s="1086"/>
      <c r="E18" s="1091"/>
      <c r="F18" s="1092"/>
    </row>
    <row r="19" spans="2:22" ht="15" customHeight="1" x14ac:dyDescent="0.35">
      <c r="B19" s="1084" t="s">
        <v>417</v>
      </c>
      <c r="C19" s="1085"/>
      <c r="D19" s="1086"/>
      <c r="E19" s="1093"/>
      <c r="F19" s="1090"/>
    </row>
    <row r="20" spans="2:22" ht="15" customHeight="1" x14ac:dyDescent="0.35">
      <c r="B20" s="1084" t="s">
        <v>1094</v>
      </c>
      <c r="C20" s="1085"/>
      <c r="D20" s="1086"/>
      <c r="E20" s="1094"/>
      <c r="F20" s="1095"/>
    </row>
    <row r="21" spans="2:22" ht="15" customHeight="1" x14ac:dyDescent="0.35">
      <c r="B21" s="1084" t="s">
        <v>418</v>
      </c>
      <c r="C21" s="1085"/>
      <c r="D21" s="1086"/>
      <c r="E21" s="1094"/>
      <c r="F21" s="1095"/>
    </row>
    <row r="22" spans="2:22" ht="15" customHeight="1" x14ac:dyDescent="0.35">
      <c r="B22" s="1084" t="s">
        <v>419</v>
      </c>
      <c r="C22" s="1085"/>
      <c r="D22" s="1086"/>
      <c r="E22" s="1094"/>
      <c r="F22" s="1095"/>
    </row>
    <row r="23" spans="2:22" ht="15" customHeight="1" thickBot="1" x14ac:dyDescent="0.4">
      <c r="B23" s="1096" t="s">
        <v>420</v>
      </c>
      <c r="C23" s="1097"/>
      <c r="D23" s="1098"/>
      <c r="E23" s="1099">
        <f>SUM(E20:F22)</f>
        <v>0</v>
      </c>
      <c r="F23" s="1100"/>
    </row>
    <row r="24" spans="2:22" ht="15" customHeight="1" thickBot="1" x14ac:dyDescent="0.4">
      <c r="B24" s="854"/>
      <c r="C24" s="854"/>
      <c r="D24" s="854"/>
      <c r="E24" s="854"/>
      <c r="F24" s="854"/>
    </row>
    <row r="25" spans="2:22" ht="15" customHeight="1" thickBot="1" x14ac:dyDescent="0.45">
      <c r="B25" s="1101" t="s">
        <v>421</v>
      </c>
      <c r="C25" s="1102"/>
      <c r="D25" s="854"/>
      <c r="E25" s="854"/>
      <c r="F25" s="854"/>
      <c r="G25" s="855"/>
      <c r="H25" s="855"/>
      <c r="I25" s="855"/>
      <c r="J25" s="855"/>
      <c r="K25" s="855"/>
      <c r="L25" s="855"/>
      <c r="M25" s="855"/>
      <c r="N25" s="855"/>
      <c r="O25" s="855"/>
      <c r="P25" s="855"/>
      <c r="Q25" s="855"/>
      <c r="R25" s="855"/>
      <c r="S25" s="855"/>
      <c r="T25" s="856"/>
      <c r="U25" s="856"/>
      <c r="V25" s="855"/>
    </row>
    <row r="26" spans="2:22" ht="15" customHeight="1" thickTop="1" x14ac:dyDescent="0.4">
      <c r="B26" s="857" t="s">
        <v>422</v>
      </c>
      <c r="C26" s="858" t="s">
        <v>423</v>
      </c>
      <c r="D26" s="854"/>
      <c r="E26" s="854"/>
      <c r="F26" s="854"/>
      <c r="G26" s="855"/>
    </row>
    <row r="27" spans="2:22" ht="15" customHeight="1" x14ac:dyDescent="0.4">
      <c r="B27" s="859" t="s">
        <v>424</v>
      </c>
      <c r="C27" s="858" t="s">
        <v>425</v>
      </c>
      <c r="D27" s="860"/>
      <c r="E27" s="860"/>
      <c r="F27" s="860"/>
      <c r="G27" s="855"/>
    </row>
    <row r="28" spans="2:22" ht="15" customHeight="1" x14ac:dyDescent="0.4">
      <c r="B28" s="861" t="s">
        <v>426</v>
      </c>
      <c r="C28" s="858" t="s">
        <v>427</v>
      </c>
      <c r="D28" s="860"/>
      <c r="E28" s="860"/>
      <c r="F28" s="860"/>
      <c r="G28" s="855"/>
    </row>
    <row r="29" spans="2:22" ht="15" customHeight="1" x14ac:dyDescent="0.4">
      <c r="B29" s="862" t="s">
        <v>428</v>
      </c>
      <c r="C29" s="858" t="s">
        <v>429</v>
      </c>
      <c r="D29" s="860"/>
      <c r="E29" s="860"/>
      <c r="F29" s="860"/>
      <c r="G29" s="855"/>
    </row>
    <row r="30" spans="2:22" ht="15" customHeight="1" thickBot="1" x14ac:dyDescent="0.45">
      <c r="B30" s="863" t="s">
        <v>430</v>
      </c>
      <c r="C30" s="864" t="s">
        <v>431</v>
      </c>
      <c r="D30" s="860"/>
      <c r="E30" s="860"/>
      <c r="F30" s="860"/>
      <c r="G30" s="855"/>
    </row>
    <row r="31" spans="2:22" ht="15" customHeight="1" x14ac:dyDescent="0.4">
      <c r="B31" s="865" t="s">
        <v>432</v>
      </c>
      <c r="C31" s="860"/>
      <c r="D31" s="860"/>
      <c r="E31" s="860"/>
      <c r="F31" s="860"/>
      <c r="G31" s="855"/>
    </row>
    <row r="32" spans="2:22" ht="15" customHeight="1" x14ac:dyDescent="0.4">
      <c r="B32" s="860"/>
      <c r="C32" s="860"/>
      <c r="D32" s="860"/>
      <c r="E32" s="860"/>
      <c r="F32" s="860"/>
      <c r="G32" s="855"/>
    </row>
    <row r="33" spans="2:7" ht="15" customHeight="1" x14ac:dyDescent="0.4">
      <c r="B33" s="860"/>
      <c r="C33" s="860"/>
      <c r="D33" s="860"/>
      <c r="E33" s="860"/>
      <c r="F33" s="860"/>
      <c r="G33" s="855"/>
    </row>
    <row r="34" spans="2:7" ht="15" customHeight="1" x14ac:dyDescent="0.4">
      <c r="B34" s="860"/>
      <c r="C34" s="860"/>
      <c r="D34" s="860"/>
      <c r="E34" s="860"/>
      <c r="F34" s="860"/>
      <c r="G34" s="855"/>
    </row>
    <row r="35" spans="2:7" ht="15" customHeight="1" x14ac:dyDescent="0.4">
      <c r="B35" s="860"/>
      <c r="C35" s="860"/>
      <c r="D35" s="860"/>
      <c r="E35" s="860"/>
      <c r="F35" s="860"/>
      <c r="G35" s="855"/>
    </row>
    <row r="36" spans="2:7" ht="15" customHeight="1" x14ac:dyDescent="0.4">
      <c r="B36" s="860"/>
      <c r="C36" s="860"/>
      <c r="D36" s="860"/>
      <c r="E36" s="860"/>
      <c r="F36" s="860"/>
      <c r="G36" s="855"/>
    </row>
    <row r="37" spans="2:7" ht="15" customHeight="1" x14ac:dyDescent="0.4">
      <c r="B37" s="860"/>
      <c r="C37" s="860"/>
      <c r="D37" s="860"/>
      <c r="E37" s="860"/>
      <c r="F37" s="860"/>
      <c r="G37" s="855"/>
    </row>
    <row r="38" spans="2:7" ht="15" customHeight="1" x14ac:dyDescent="0.4">
      <c r="B38" s="860"/>
      <c r="C38" s="860"/>
      <c r="D38" s="860"/>
      <c r="E38" s="860"/>
      <c r="F38" s="860"/>
      <c r="G38" s="855"/>
    </row>
    <row r="39" spans="2:7" ht="15" customHeight="1" x14ac:dyDescent="0.4">
      <c r="B39" s="860"/>
      <c r="C39" s="860"/>
      <c r="D39" s="860"/>
      <c r="E39" s="860"/>
      <c r="F39" s="860"/>
      <c r="G39" s="855"/>
    </row>
    <row r="40" spans="2:7" ht="15" customHeight="1" x14ac:dyDescent="0.4">
      <c r="B40" s="860"/>
      <c r="C40" s="860"/>
      <c r="D40" s="860"/>
      <c r="E40" s="860"/>
      <c r="F40" s="860"/>
      <c r="G40" s="855"/>
    </row>
    <row r="41" spans="2:7" ht="15" customHeight="1" x14ac:dyDescent="0.4">
      <c r="B41" s="860"/>
      <c r="C41" s="860"/>
      <c r="D41" s="860"/>
      <c r="E41" s="860"/>
      <c r="F41" s="860"/>
      <c r="G41" s="855"/>
    </row>
    <row r="42" spans="2:7" ht="15" customHeight="1" x14ac:dyDescent="0.4">
      <c r="B42" s="860"/>
      <c r="C42" s="860"/>
      <c r="D42" s="860"/>
      <c r="E42" s="860"/>
      <c r="F42" s="860"/>
      <c r="G42" s="855"/>
    </row>
    <row r="43" spans="2:7" ht="15" customHeight="1" x14ac:dyDescent="0.4">
      <c r="B43" s="860"/>
      <c r="C43" s="860"/>
      <c r="D43" s="860"/>
      <c r="E43" s="860"/>
      <c r="F43" s="860"/>
      <c r="G43" s="855"/>
    </row>
    <row r="44" spans="2:7" ht="15" customHeight="1" x14ac:dyDescent="0.4">
      <c r="B44" s="860"/>
      <c r="C44" s="860"/>
      <c r="D44" s="860"/>
      <c r="E44" s="860"/>
      <c r="F44" s="860"/>
      <c r="G44" s="855"/>
    </row>
    <row r="45" spans="2:7" ht="15" customHeight="1" x14ac:dyDescent="0.4">
      <c r="B45" s="860"/>
      <c r="C45" s="860"/>
      <c r="D45" s="860"/>
      <c r="E45" s="860"/>
      <c r="F45" s="860"/>
      <c r="G45" s="855"/>
    </row>
    <row r="46" spans="2:7" ht="15" customHeight="1" x14ac:dyDescent="0.4">
      <c r="B46" s="860"/>
      <c r="C46" s="860"/>
      <c r="D46" s="860"/>
      <c r="E46" s="860"/>
      <c r="F46" s="860"/>
      <c r="G46" s="855"/>
    </row>
    <row r="47" spans="2:7" ht="15" customHeight="1" x14ac:dyDescent="0.4">
      <c r="B47" s="860"/>
      <c r="C47" s="860"/>
      <c r="D47" s="860"/>
      <c r="E47" s="860"/>
      <c r="F47" s="860"/>
      <c r="G47" s="855"/>
    </row>
    <row r="48" spans="2:7" ht="15" customHeight="1" x14ac:dyDescent="0.4">
      <c r="B48" s="860"/>
      <c r="C48" s="860"/>
      <c r="D48" s="860"/>
      <c r="E48" s="860"/>
      <c r="F48" s="860"/>
      <c r="G48" s="855"/>
    </row>
    <row r="49" spans="2:7" ht="15" customHeight="1" x14ac:dyDescent="0.4">
      <c r="B49" s="860"/>
      <c r="C49" s="860"/>
      <c r="D49" s="860"/>
      <c r="E49" s="860"/>
      <c r="F49" s="860"/>
      <c r="G49" s="855"/>
    </row>
    <row r="50" spans="2:7" ht="15" customHeight="1" x14ac:dyDescent="0.4">
      <c r="B50" s="860"/>
      <c r="C50" s="860"/>
      <c r="D50" s="860"/>
      <c r="E50" s="860"/>
      <c r="F50" s="860"/>
      <c r="G50" s="855"/>
    </row>
    <row r="51" spans="2:7" ht="15" customHeight="1" x14ac:dyDescent="0.4">
      <c r="B51" s="860"/>
      <c r="C51" s="860"/>
      <c r="D51" s="860"/>
      <c r="E51" s="860"/>
      <c r="F51" s="860"/>
      <c r="G51" s="855"/>
    </row>
    <row r="52" spans="2:7" ht="15" customHeight="1" x14ac:dyDescent="0.4">
      <c r="B52" s="860"/>
      <c r="C52" s="860"/>
      <c r="D52" s="860"/>
      <c r="E52" s="860"/>
      <c r="F52" s="860"/>
      <c r="G52" s="855"/>
    </row>
    <row r="53" spans="2:7" ht="15" customHeight="1" x14ac:dyDescent="0.4">
      <c r="B53" s="860"/>
      <c r="C53" s="860"/>
      <c r="D53" s="860"/>
      <c r="E53" s="860"/>
      <c r="F53" s="860"/>
      <c r="G53" s="855"/>
    </row>
    <row r="54" spans="2:7" ht="15" customHeight="1" x14ac:dyDescent="0.4">
      <c r="B54" s="860"/>
      <c r="C54" s="860"/>
      <c r="D54" s="860"/>
      <c r="E54" s="860"/>
      <c r="F54" s="860"/>
      <c r="G54" s="855"/>
    </row>
    <row r="55" spans="2:7" ht="15" customHeight="1" x14ac:dyDescent="0.4">
      <c r="G55" s="855"/>
    </row>
    <row r="56" spans="2:7" ht="15" customHeight="1" x14ac:dyDescent="0.4">
      <c r="B56" s="866"/>
      <c r="C56" s="866"/>
      <c r="G56" s="855"/>
    </row>
    <row r="57" spans="2:7" ht="15" customHeight="1" x14ac:dyDescent="0.4">
      <c r="B57" s="867"/>
      <c r="C57" s="867"/>
      <c r="G57" s="855"/>
    </row>
    <row r="58" spans="2:7" ht="15" customHeight="1" x14ac:dyDescent="0.4">
      <c r="G58" s="855"/>
    </row>
    <row r="59" spans="2:7" ht="15" customHeight="1" x14ac:dyDescent="0.4">
      <c r="G59" s="855"/>
    </row>
    <row r="60" spans="2:7" ht="15" customHeight="1" x14ac:dyDescent="0.4">
      <c r="G60" s="855"/>
    </row>
    <row r="61" spans="2:7" ht="15" customHeight="1" x14ac:dyDescent="0.4">
      <c r="G61" s="855"/>
    </row>
    <row r="62" spans="2:7" ht="15" customHeight="1" x14ac:dyDescent="0.4">
      <c r="G62" s="855"/>
    </row>
    <row r="63" spans="2:7" ht="15" customHeight="1" x14ac:dyDescent="0.4">
      <c r="G63" s="855"/>
    </row>
    <row r="64" spans="2:7" ht="15" customHeight="1" x14ac:dyDescent="0.4">
      <c r="G64" s="855"/>
    </row>
    <row r="65" spans="7:7" ht="15" customHeight="1" x14ac:dyDescent="0.4">
      <c r="G65" s="855"/>
    </row>
    <row r="66" spans="7:7" ht="15" customHeight="1" x14ac:dyDescent="0.4">
      <c r="G66" s="855"/>
    </row>
    <row r="67" spans="7:7" ht="15" customHeight="1" x14ac:dyDescent="0.4">
      <c r="G67" s="855"/>
    </row>
    <row r="68" spans="7:7" ht="15" customHeight="1" x14ac:dyDescent="0.4">
      <c r="G68" s="855"/>
    </row>
    <row r="69" spans="7:7" ht="15" customHeight="1" x14ac:dyDescent="0.4">
      <c r="G69" s="855"/>
    </row>
    <row r="70" spans="7:7" ht="15" customHeight="1" x14ac:dyDescent="0.4">
      <c r="G70" s="855"/>
    </row>
    <row r="71" spans="7:7" ht="15" customHeight="1" x14ac:dyDescent="0.4">
      <c r="G71" s="855"/>
    </row>
    <row r="72" spans="7:7" ht="15" customHeight="1" x14ac:dyDescent="0.4">
      <c r="G72" s="855"/>
    </row>
    <row r="73" spans="7:7" ht="15" customHeight="1" x14ac:dyDescent="0.4">
      <c r="G73" s="855"/>
    </row>
    <row r="74" spans="7:7" ht="15" customHeight="1" x14ac:dyDescent="0.4">
      <c r="G74" s="855"/>
    </row>
    <row r="75" spans="7:7" ht="15" customHeight="1" x14ac:dyDescent="0.4">
      <c r="G75" s="855"/>
    </row>
    <row r="76" spans="7:7" ht="15" customHeight="1" x14ac:dyDescent="0.4">
      <c r="G76" s="855"/>
    </row>
    <row r="77" spans="7:7" ht="15" customHeight="1" x14ac:dyDescent="0.4">
      <c r="G77" s="855"/>
    </row>
    <row r="78" spans="7:7" ht="15" customHeight="1" x14ac:dyDescent="0.4">
      <c r="G78" s="855"/>
    </row>
    <row r="79" spans="7:7" ht="15" customHeight="1" x14ac:dyDescent="0.4">
      <c r="G79" s="855"/>
    </row>
    <row r="80" spans="7:7" ht="15" customHeight="1" x14ac:dyDescent="0.4">
      <c r="G80" s="855"/>
    </row>
    <row r="81" spans="7:7" ht="15" customHeight="1" x14ac:dyDescent="0.4">
      <c r="G81" s="855"/>
    </row>
    <row r="82" spans="7:7" ht="15" customHeight="1" x14ac:dyDescent="0.4">
      <c r="G82" s="855"/>
    </row>
    <row r="83" spans="7:7" ht="15" customHeight="1" x14ac:dyDescent="0.4">
      <c r="G83" s="855"/>
    </row>
    <row r="84" spans="7:7" ht="15" customHeight="1" x14ac:dyDescent="0.4">
      <c r="G84" s="855"/>
    </row>
    <row r="85" spans="7:7" ht="15" customHeight="1" x14ac:dyDescent="0.4">
      <c r="G85" s="855"/>
    </row>
    <row r="86" spans="7:7" ht="15" customHeight="1" x14ac:dyDescent="0.4">
      <c r="G86" s="855"/>
    </row>
    <row r="87" spans="7:7" ht="15" customHeight="1" x14ac:dyDescent="0.4">
      <c r="G87" s="855"/>
    </row>
    <row r="88" spans="7:7" ht="15" customHeight="1" x14ac:dyDescent="0.4">
      <c r="G88" s="855"/>
    </row>
    <row r="89" spans="7:7" ht="15" customHeight="1" x14ac:dyDescent="0.4">
      <c r="G89" s="855"/>
    </row>
    <row r="90" spans="7:7" ht="15" customHeight="1" x14ac:dyDescent="0.4">
      <c r="G90" s="855"/>
    </row>
    <row r="91" spans="7:7" ht="15" customHeight="1" x14ac:dyDescent="0.4">
      <c r="G91" s="855"/>
    </row>
    <row r="92" spans="7:7" ht="15" customHeight="1" x14ac:dyDescent="0.4">
      <c r="G92" s="855"/>
    </row>
    <row r="93" spans="7:7" ht="15" customHeight="1" x14ac:dyDescent="0.4">
      <c r="G93" s="855"/>
    </row>
    <row r="94" spans="7:7" ht="15" customHeight="1" x14ac:dyDescent="0.4">
      <c r="G94" s="855"/>
    </row>
    <row r="95" spans="7:7" ht="15" customHeight="1" x14ac:dyDescent="0.4">
      <c r="G95" s="855"/>
    </row>
    <row r="96" spans="7:7" ht="15" customHeight="1" x14ac:dyDescent="0.4">
      <c r="G96" s="855"/>
    </row>
    <row r="97" spans="7:7" ht="15" customHeight="1" x14ac:dyDescent="0.4">
      <c r="G97" s="855"/>
    </row>
    <row r="98" spans="7:7" ht="15" customHeight="1" x14ac:dyDescent="0.4">
      <c r="G98" s="855"/>
    </row>
    <row r="99" spans="7:7" ht="15" customHeight="1" x14ac:dyDescent="0.4">
      <c r="G99" s="855"/>
    </row>
    <row r="100" spans="7:7" ht="15" customHeight="1" x14ac:dyDescent="0.4">
      <c r="G100" s="855"/>
    </row>
    <row r="101" spans="7:7" ht="15" customHeight="1" x14ac:dyDescent="0.4">
      <c r="G101" s="855"/>
    </row>
    <row r="102" spans="7:7" ht="15" customHeight="1" x14ac:dyDescent="0.4">
      <c r="G102" s="855"/>
    </row>
    <row r="103" spans="7:7" ht="15" customHeight="1" x14ac:dyDescent="0.4">
      <c r="G103" s="855"/>
    </row>
    <row r="104" spans="7:7" ht="15" customHeight="1" x14ac:dyDescent="0.4">
      <c r="G104" s="855"/>
    </row>
    <row r="105" spans="7:7" ht="15" customHeight="1" x14ac:dyDescent="0.4">
      <c r="G105" s="855"/>
    </row>
    <row r="106" spans="7:7" ht="15" customHeight="1" x14ac:dyDescent="0.4">
      <c r="G106" s="855"/>
    </row>
    <row r="107" spans="7:7" ht="15" customHeight="1" x14ac:dyDescent="0.4">
      <c r="G107" s="855"/>
    </row>
    <row r="108" spans="7:7" ht="15" customHeight="1" x14ac:dyDescent="0.4">
      <c r="G108" s="855"/>
    </row>
    <row r="109" spans="7:7" ht="15" customHeight="1" x14ac:dyDescent="0.4">
      <c r="G109" s="855"/>
    </row>
    <row r="110" spans="7:7" ht="15" customHeight="1" x14ac:dyDescent="0.4">
      <c r="G110" s="855"/>
    </row>
    <row r="111" spans="7:7" ht="15" customHeight="1" x14ac:dyDescent="0.4">
      <c r="G111" s="855"/>
    </row>
    <row r="112" spans="7:7" ht="15" customHeight="1" x14ac:dyDescent="0.4">
      <c r="G112" s="855"/>
    </row>
    <row r="113" spans="7:7" ht="15" customHeight="1" x14ac:dyDescent="0.4">
      <c r="G113" s="855"/>
    </row>
    <row r="114" spans="7:7" ht="15" customHeight="1" x14ac:dyDescent="0.4">
      <c r="G114" s="855"/>
    </row>
    <row r="115" spans="7:7" ht="15" customHeight="1" x14ac:dyDescent="0.4">
      <c r="G115" s="855"/>
    </row>
    <row r="116" spans="7:7" ht="15" customHeight="1" x14ac:dyDescent="0.4">
      <c r="G116" s="855"/>
    </row>
    <row r="117" spans="7:7" ht="15" customHeight="1" x14ac:dyDescent="0.4">
      <c r="G117" s="855"/>
    </row>
    <row r="118" spans="7:7" ht="15" customHeight="1" x14ac:dyDescent="0.4">
      <c r="G118" s="855"/>
    </row>
    <row r="119" spans="7:7" ht="15" customHeight="1" x14ac:dyDescent="0.4">
      <c r="G119" s="855"/>
    </row>
    <row r="120" spans="7:7" ht="15" customHeight="1" x14ac:dyDescent="0.4">
      <c r="G120" s="855"/>
    </row>
    <row r="121" spans="7:7" ht="15" customHeight="1" x14ac:dyDescent="0.4">
      <c r="G121" s="855"/>
    </row>
    <row r="122" spans="7:7" ht="15" customHeight="1" x14ac:dyDescent="0.4">
      <c r="G122" s="855"/>
    </row>
    <row r="123" spans="7:7" ht="15" customHeight="1" x14ac:dyDescent="0.4">
      <c r="G123" s="855"/>
    </row>
    <row r="124" spans="7:7" ht="15" customHeight="1" x14ac:dyDescent="0.4">
      <c r="G124" s="855"/>
    </row>
    <row r="125" spans="7:7" ht="15" customHeight="1" x14ac:dyDescent="0.4">
      <c r="G125" s="855"/>
    </row>
    <row r="126" spans="7:7" ht="15" customHeight="1" x14ac:dyDescent="0.4">
      <c r="G126" s="855"/>
    </row>
    <row r="127" spans="7:7" ht="15" customHeight="1" x14ac:dyDescent="0.4">
      <c r="G127" s="855"/>
    </row>
    <row r="128" spans="7:7" ht="15" customHeight="1" x14ac:dyDescent="0.4">
      <c r="G128" s="855"/>
    </row>
    <row r="129" spans="7:7" ht="15" customHeight="1" x14ac:dyDescent="0.4">
      <c r="G129" s="855"/>
    </row>
    <row r="130" spans="7:7" ht="15" customHeight="1" x14ac:dyDescent="0.4">
      <c r="G130" s="855"/>
    </row>
    <row r="131" spans="7:7" ht="15" customHeight="1" x14ac:dyDescent="0.4">
      <c r="G131" s="855"/>
    </row>
    <row r="132" spans="7:7" ht="15" customHeight="1" x14ac:dyDescent="0.4">
      <c r="G132" s="855"/>
    </row>
    <row r="133" spans="7:7" ht="15" customHeight="1" x14ac:dyDescent="0.4">
      <c r="G133" s="855"/>
    </row>
    <row r="134" spans="7:7" ht="15" customHeight="1" x14ac:dyDescent="0.4">
      <c r="G134" s="855"/>
    </row>
    <row r="135" spans="7:7" ht="15" customHeight="1" x14ac:dyDescent="0.4">
      <c r="G135" s="855"/>
    </row>
    <row r="136" spans="7:7" ht="15" customHeight="1" x14ac:dyDescent="0.4">
      <c r="G136" s="855"/>
    </row>
    <row r="137" spans="7:7" ht="15" customHeight="1" x14ac:dyDescent="0.4">
      <c r="G137" s="855"/>
    </row>
    <row r="138" spans="7:7" ht="15" customHeight="1" x14ac:dyDescent="0.4">
      <c r="G138" s="855"/>
    </row>
    <row r="139" spans="7:7" ht="15" customHeight="1" x14ac:dyDescent="0.4">
      <c r="G139" s="855"/>
    </row>
    <row r="140" spans="7:7" ht="15" customHeight="1" x14ac:dyDescent="0.4">
      <c r="G140" s="855"/>
    </row>
    <row r="141" spans="7:7" ht="15" customHeight="1" x14ac:dyDescent="0.4">
      <c r="G141" s="855"/>
    </row>
    <row r="142" spans="7:7" ht="15" customHeight="1" x14ac:dyDescent="0.4">
      <c r="G142" s="855"/>
    </row>
    <row r="143" spans="7:7" ht="15" customHeight="1" x14ac:dyDescent="0.4">
      <c r="G143" s="855"/>
    </row>
    <row r="144" spans="7:7" ht="15" customHeight="1" x14ac:dyDescent="0.4">
      <c r="G144" s="855"/>
    </row>
    <row r="145" spans="7:7" ht="15" customHeight="1" x14ac:dyDescent="0.4">
      <c r="G145" s="855"/>
    </row>
    <row r="146" spans="7:7" ht="15" customHeight="1" x14ac:dyDescent="0.4">
      <c r="G146" s="855"/>
    </row>
    <row r="147" spans="7:7" ht="15" customHeight="1" x14ac:dyDescent="0.4">
      <c r="G147" s="855"/>
    </row>
    <row r="148" spans="7:7" ht="15" customHeight="1" x14ac:dyDescent="0.4">
      <c r="G148" s="855"/>
    </row>
    <row r="149" spans="7:7" ht="15" customHeight="1" x14ac:dyDescent="0.4">
      <c r="G149" s="855"/>
    </row>
    <row r="150" spans="7:7" ht="15" customHeight="1" x14ac:dyDescent="0.4">
      <c r="G150" s="855"/>
    </row>
    <row r="151" spans="7:7" ht="15" customHeight="1" x14ac:dyDescent="0.4">
      <c r="G151" s="855"/>
    </row>
    <row r="152" spans="7:7" ht="15" customHeight="1" x14ac:dyDescent="0.4">
      <c r="G152" s="855"/>
    </row>
    <row r="153" spans="7:7" ht="15" customHeight="1" x14ac:dyDescent="0.4">
      <c r="G153" s="855"/>
    </row>
    <row r="154" spans="7:7" ht="15" customHeight="1" x14ac:dyDescent="0.4">
      <c r="G154" s="855"/>
    </row>
    <row r="155" spans="7:7" ht="15" customHeight="1" x14ac:dyDescent="0.4">
      <c r="G155" s="855"/>
    </row>
    <row r="156" spans="7:7" ht="15" customHeight="1" x14ac:dyDescent="0.4">
      <c r="G156" s="855"/>
    </row>
    <row r="157" spans="7:7" ht="15" customHeight="1" x14ac:dyDescent="0.4">
      <c r="G157" s="855"/>
    </row>
    <row r="158" spans="7:7" ht="15" customHeight="1" x14ac:dyDescent="0.4">
      <c r="G158" s="855"/>
    </row>
    <row r="159" spans="7:7" ht="15" customHeight="1" x14ac:dyDescent="0.4">
      <c r="G159" s="855"/>
    </row>
    <row r="160" spans="7:7" ht="15" customHeight="1" x14ac:dyDescent="0.4">
      <c r="G160" s="855"/>
    </row>
    <row r="161" spans="7:7" ht="15" customHeight="1" x14ac:dyDescent="0.4">
      <c r="G161" s="855"/>
    </row>
    <row r="162" spans="7:7" ht="15" customHeight="1" x14ac:dyDescent="0.4">
      <c r="G162" s="855"/>
    </row>
    <row r="163" spans="7:7" ht="15" customHeight="1" x14ac:dyDescent="0.4">
      <c r="G163" s="855"/>
    </row>
    <row r="164" spans="7:7" ht="15" customHeight="1" x14ac:dyDescent="0.4">
      <c r="G164" s="855"/>
    </row>
    <row r="165" spans="7:7" ht="15" customHeight="1" x14ac:dyDescent="0.4">
      <c r="G165" s="855"/>
    </row>
    <row r="166" spans="7:7" ht="15" customHeight="1" x14ac:dyDescent="0.4">
      <c r="G166" s="855"/>
    </row>
    <row r="167" spans="7:7" ht="15" customHeight="1" x14ac:dyDescent="0.4">
      <c r="G167" s="855"/>
    </row>
    <row r="168" spans="7:7" ht="15" customHeight="1" x14ac:dyDescent="0.4">
      <c r="G168" s="855"/>
    </row>
    <row r="169" spans="7:7" ht="15" customHeight="1" x14ac:dyDescent="0.4">
      <c r="G169" s="855"/>
    </row>
    <row r="170" spans="7:7" ht="15" customHeight="1" x14ac:dyDescent="0.4">
      <c r="G170" s="855"/>
    </row>
    <row r="171" spans="7:7" ht="15" customHeight="1" x14ac:dyDescent="0.4">
      <c r="G171" s="855"/>
    </row>
    <row r="172" spans="7:7" ht="15" customHeight="1" x14ac:dyDescent="0.4">
      <c r="G172" s="855"/>
    </row>
    <row r="173" spans="7:7" ht="15" customHeight="1" x14ac:dyDescent="0.4">
      <c r="G173" s="855"/>
    </row>
    <row r="174" spans="7:7" ht="15" customHeight="1" x14ac:dyDescent="0.4">
      <c r="G174" s="855"/>
    </row>
    <row r="175" spans="7:7" ht="15" customHeight="1" x14ac:dyDescent="0.4">
      <c r="G175" s="855"/>
    </row>
    <row r="176" spans="7:7" ht="15" customHeight="1" x14ac:dyDescent="0.4">
      <c r="G176" s="855"/>
    </row>
  </sheetData>
  <sheetProtection algorithmName="SHA-512" hashValue="lDNgx39nm0H5YY4pUOIIQhcmsRhiy5kU/qa0uSFL6Yp8KgctE2Rex1urfN+/EV1MbelTQn++qOqj/ib5GAJRnQ==" saltValue="9wDRczbMODF7jTwoFaujZQ==" spinCount="100000" sheet="1" objects="1" scenarios="1"/>
  <mergeCells count="29">
    <mergeCell ref="B22:D22"/>
    <mergeCell ref="E22:F22"/>
    <mergeCell ref="B23:D23"/>
    <mergeCell ref="E23:F23"/>
    <mergeCell ref="B25:C25"/>
    <mergeCell ref="B19:D19"/>
    <mergeCell ref="E19:F19"/>
    <mergeCell ref="B20:D20"/>
    <mergeCell ref="E20:F20"/>
    <mergeCell ref="B21:D21"/>
    <mergeCell ref="E21:F21"/>
    <mergeCell ref="B16:D16"/>
    <mergeCell ref="E16:F16"/>
    <mergeCell ref="B17:D17"/>
    <mergeCell ref="E17:F17"/>
    <mergeCell ref="B18:D18"/>
    <mergeCell ref="E18:F18"/>
    <mergeCell ref="B9:F9"/>
    <mergeCell ref="B11:F12"/>
    <mergeCell ref="B14:D14"/>
    <mergeCell ref="E14:F14"/>
    <mergeCell ref="B15:D15"/>
    <mergeCell ref="E15:F15"/>
    <mergeCell ref="B6:F6"/>
    <mergeCell ref="B1:F1"/>
    <mergeCell ref="B2:F2"/>
    <mergeCell ref="B3:F3"/>
    <mergeCell ref="B4:F4"/>
    <mergeCell ref="B5:F5"/>
  </mergeCells>
  <hyperlinks>
    <hyperlink ref="B9:F9" r:id="rId1" display="A step-by-step user guide, including project examples, for this Benefits Calculator Tool is available here." xr:uid="{00000000-0004-0000-0100-000000000000}"/>
  </hyperlinks>
  <pageMargins left="0.7" right="0.7" top="0.98479166666666662" bottom="0.75" header="0.3" footer="0.3"/>
  <pageSetup scale="84" fitToHeight="0" orientation="landscape" r:id="rId2"/>
  <headerFooter>
    <oddHeader>&amp;C&amp;G</oddHeader>
    <oddFooter>&amp;L&amp;"Arial,Regular"&amp;12&amp;K000000DRAFT January XX, 2019&amp;C&amp;"Arial,Regular"&amp;12Page &amp;P of &amp;N&amp;R&amp;"Arial,Regular"&amp;12&amp;K000000&amp;A</oddFooter>
  </headerFooter>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63"/>
  <sheetViews>
    <sheetView topLeftCell="A25" workbookViewId="0">
      <selection activeCell="J35" sqref="J35"/>
    </sheetView>
  </sheetViews>
  <sheetFormatPr defaultRowHeight="14.6" x14ac:dyDescent="0.4"/>
  <cols>
    <col min="1" max="1" width="29.3828125" customWidth="1"/>
    <col min="2" max="2" width="24.15234375" customWidth="1"/>
    <col min="3" max="3" width="26.3828125" customWidth="1"/>
    <col min="4" max="4" width="31.84375" customWidth="1"/>
    <col min="5" max="5" width="23" customWidth="1"/>
    <col min="6" max="6" width="21.69140625" customWidth="1"/>
    <col min="7" max="7" width="23.53515625" customWidth="1"/>
    <col min="8" max="8" width="22.84375" customWidth="1"/>
    <col min="9" max="9" width="22" customWidth="1"/>
    <col min="10" max="10" width="26.15234375" customWidth="1"/>
    <col min="11" max="11" width="29.69140625" customWidth="1"/>
    <col min="12" max="12" width="28.15234375" customWidth="1"/>
    <col min="13" max="13" width="26.15234375" customWidth="1"/>
    <col min="14" max="14" width="27.84375" customWidth="1"/>
    <col min="15" max="15" width="27.69140625" customWidth="1"/>
    <col min="16" max="16" width="16.3828125" customWidth="1"/>
  </cols>
  <sheetData>
    <row r="1" spans="1:16" x14ac:dyDescent="0.4">
      <c r="A1" s="14"/>
      <c r="B1" s="14"/>
      <c r="C1" s="14"/>
      <c r="D1" s="14"/>
      <c r="E1" s="14"/>
      <c r="F1" s="14"/>
      <c r="G1" s="14"/>
      <c r="H1" s="14"/>
      <c r="I1" s="14"/>
      <c r="J1" s="14"/>
      <c r="K1" s="14"/>
      <c r="L1" s="14"/>
      <c r="M1" s="14"/>
      <c r="N1" s="14"/>
      <c r="O1" s="14"/>
      <c r="P1" s="14"/>
    </row>
    <row r="2" spans="1:16" x14ac:dyDescent="0.4">
      <c r="A2" s="14"/>
      <c r="B2" s="14"/>
      <c r="C2" s="14"/>
      <c r="D2" s="14"/>
      <c r="E2" s="14"/>
      <c r="F2" s="14"/>
      <c r="G2" s="14"/>
      <c r="H2" s="14"/>
      <c r="I2" s="14"/>
      <c r="J2" s="14"/>
      <c r="K2" s="14"/>
      <c r="L2" s="14"/>
      <c r="M2" s="14"/>
      <c r="N2" s="14"/>
      <c r="O2" s="14"/>
      <c r="P2" s="14"/>
    </row>
    <row r="3" spans="1:16" x14ac:dyDescent="0.4">
      <c r="A3" s="14"/>
      <c r="B3" s="14"/>
      <c r="C3" s="14"/>
      <c r="D3" s="14"/>
      <c r="E3" s="14"/>
      <c r="F3" s="14"/>
      <c r="G3" s="14"/>
      <c r="H3" s="14"/>
      <c r="I3" s="14"/>
      <c r="J3" s="14"/>
      <c r="K3" s="14"/>
      <c r="L3" s="14"/>
      <c r="M3" s="14"/>
      <c r="N3" s="14"/>
      <c r="O3" s="14"/>
      <c r="P3" s="14"/>
    </row>
    <row r="4" spans="1:16" ht="18.75" customHeight="1" x14ac:dyDescent="0.5">
      <c r="A4" s="15" t="s">
        <v>134</v>
      </c>
      <c r="B4" s="16"/>
      <c r="C4" s="16"/>
      <c r="D4" s="16"/>
      <c r="E4" s="16"/>
      <c r="F4" s="16"/>
      <c r="G4" s="16"/>
      <c r="H4" s="16"/>
      <c r="I4" s="16"/>
      <c r="J4" s="14"/>
      <c r="K4" s="14"/>
      <c r="L4" s="14"/>
      <c r="M4" s="14"/>
      <c r="N4" s="14"/>
      <c r="O4" s="14"/>
      <c r="P4" s="14"/>
    </row>
    <row r="5" spans="1:16" ht="18.45" x14ac:dyDescent="0.5">
      <c r="A5" s="1480" t="s">
        <v>398</v>
      </c>
      <c r="B5" s="1480"/>
      <c r="C5" s="503">
        <f>'Standalone AD'!C13</f>
        <v>0</v>
      </c>
      <c r="D5" s="16"/>
      <c r="E5" s="16"/>
      <c r="F5" s="16"/>
      <c r="G5" s="16"/>
      <c r="H5" s="16"/>
      <c r="I5" s="14"/>
      <c r="J5" s="14"/>
      <c r="K5" s="14"/>
      <c r="L5" s="14"/>
      <c r="M5" s="14"/>
      <c r="N5" s="14"/>
      <c r="O5" s="14"/>
    </row>
    <row r="6" spans="1:16" ht="18.45" x14ac:dyDescent="0.5">
      <c r="A6" s="1480" t="s">
        <v>399</v>
      </c>
      <c r="B6" s="1480"/>
      <c r="C6" s="503">
        <f>'Standalone AD'!C14</f>
        <v>0</v>
      </c>
      <c r="D6" s="16"/>
      <c r="E6" s="16"/>
      <c r="F6" s="16"/>
      <c r="G6" s="16"/>
      <c r="H6" s="16"/>
      <c r="I6" s="14"/>
      <c r="J6" s="14"/>
      <c r="K6" s="14"/>
      <c r="L6" s="14"/>
      <c r="M6" s="14"/>
      <c r="N6" s="14"/>
      <c r="O6" s="14"/>
    </row>
    <row r="7" spans="1:16" ht="18.45" x14ac:dyDescent="0.5">
      <c r="A7" s="1478" t="s">
        <v>815</v>
      </c>
      <c r="B7" s="1479"/>
      <c r="C7" s="503">
        <f>'Standalone AD'!C15</f>
        <v>0</v>
      </c>
      <c r="D7" s="16"/>
      <c r="E7" s="16"/>
      <c r="F7" s="16"/>
      <c r="G7" s="16"/>
      <c r="H7" s="16"/>
      <c r="I7" s="14"/>
      <c r="J7" s="14"/>
      <c r="K7" s="14"/>
      <c r="L7" s="14"/>
      <c r="M7" s="14"/>
      <c r="N7" s="14"/>
      <c r="O7" s="14"/>
    </row>
    <row r="8" spans="1:16" ht="18.45" x14ac:dyDescent="0.5">
      <c r="A8" s="1480" t="s">
        <v>703</v>
      </c>
      <c r="B8" s="1480"/>
      <c r="C8" s="503">
        <f>'Standalone AD'!C16</f>
        <v>0</v>
      </c>
      <c r="D8" s="16"/>
      <c r="E8" s="16"/>
      <c r="F8" s="16"/>
      <c r="G8" s="16"/>
      <c r="H8" s="16"/>
      <c r="I8" s="14"/>
      <c r="J8" s="14"/>
      <c r="K8" s="14"/>
      <c r="L8" s="14"/>
      <c r="M8" s="14"/>
      <c r="N8" s="14"/>
      <c r="O8" s="14"/>
    </row>
    <row r="9" spans="1:16" ht="18.45" x14ac:dyDescent="0.5">
      <c r="A9" s="1480" t="s">
        <v>704</v>
      </c>
      <c r="B9" s="1480"/>
      <c r="C9" s="503">
        <f>'Standalone AD'!C17</f>
        <v>0</v>
      </c>
      <c r="D9" s="16"/>
      <c r="E9" s="16"/>
      <c r="F9" s="16"/>
      <c r="G9" s="16"/>
      <c r="H9" s="16"/>
      <c r="I9" s="14"/>
      <c r="J9" s="14"/>
      <c r="K9" s="14"/>
      <c r="L9" s="14"/>
      <c r="M9" s="14"/>
      <c r="N9" s="14"/>
      <c r="O9" s="14"/>
    </row>
    <row r="10" spans="1:16" ht="18.45" x14ac:dyDescent="0.5">
      <c r="A10" s="15"/>
      <c r="B10" s="16"/>
      <c r="C10" s="16"/>
      <c r="D10" s="16"/>
      <c r="E10" s="16"/>
      <c r="F10" s="16"/>
      <c r="G10" s="16"/>
      <c r="H10" s="16"/>
      <c r="I10" s="16"/>
      <c r="J10" s="14"/>
      <c r="K10" s="14"/>
      <c r="L10" s="14"/>
      <c r="M10" s="14"/>
      <c r="N10" s="14"/>
      <c r="O10" s="14"/>
      <c r="P10" s="14"/>
    </row>
    <row r="11" spans="1:16" ht="18.45" x14ac:dyDescent="0.5">
      <c r="A11" s="15"/>
      <c r="B11" s="16"/>
      <c r="C11" s="16"/>
      <c r="D11" s="16"/>
      <c r="E11" s="16"/>
      <c r="F11" s="16"/>
      <c r="G11" s="16"/>
      <c r="H11" s="16"/>
      <c r="I11" s="16"/>
      <c r="J11" s="14"/>
      <c r="K11" s="14"/>
      <c r="L11" s="14"/>
      <c r="M11" s="14"/>
      <c r="N11" s="14"/>
      <c r="O11" s="14"/>
      <c r="P11" s="14"/>
    </row>
    <row r="12" spans="1:16" ht="43.75" x14ac:dyDescent="0.4">
      <c r="A12" s="122" t="s">
        <v>786</v>
      </c>
      <c r="B12" s="486" t="s">
        <v>30</v>
      </c>
      <c r="C12" s="122" t="s">
        <v>38</v>
      </c>
      <c r="D12" s="122" t="s">
        <v>789</v>
      </c>
    </row>
    <row r="13" spans="1:16" x14ac:dyDescent="0.4">
      <c r="A13" s="85">
        <f>'Standalone AD'!B20</f>
        <v>0</v>
      </c>
      <c r="B13" s="85">
        <f>'Standalone AD'!C20</f>
        <v>0</v>
      </c>
      <c r="C13" s="149">
        <f>A13-B13</f>
        <v>0</v>
      </c>
      <c r="D13" s="550">
        <f>IF(A13=0,0,(C13/$C$23)*$F$26)</f>
        <v>0</v>
      </c>
    </row>
    <row r="14" spans="1:16" x14ac:dyDescent="0.4">
      <c r="A14" s="85">
        <f>'Standalone AD'!B21</f>
        <v>0</v>
      </c>
      <c r="B14" s="85">
        <f>'Standalone AD'!C21</f>
        <v>0</v>
      </c>
      <c r="C14" s="149">
        <f t="shared" ref="C14:C22" si="0">A14-B14</f>
        <v>0</v>
      </c>
      <c r="D14" s="550">
        <f t="shared" ref="D14:D22" si="1">IF(A14=0,0,(C14/$C$23)*$F$26)</f>
        <v>0</v>
      </c>
    </row>
    <row r="15" spans="1:16" x14ac:dyDescent="0.4">
      <c r="A15" s="85">
        <f>'Standalone AD'!B22</f>
        <v>0</v>
      </c>
      <c r="B15" s="85">
        <f>'Standalone AD'!C22</f>
        <v>0</v>
      </c>
      <c r="C15" s="149">
        <f t="shared" si="0"/>
        <v>0</v>
      </c>
      <c r="D15" s="550">
        <f t="shared" si="1"/>
        <v>0</v>
      </c>
    </row>
    <row r="16" spans="1:16" x14ac:dyDescent="0.4">
      <c r="A16" s="85">
        <f>'Standalone AD'!B23</f>
        <v>0</v>
      </c>
      <c r="B16" s="85">
        <f>'Standalone AD'!C23</f>
        <v>0</v>
      </c>
      <c r="C16" s="149">
        <f t="shared" si="0"/>
        <v>0</v>
      </c>
      <c r="D16" s="550">
        <f t="shared" si="1"/>
        <v>0</v>
      </c>
    </row>
    <row r="17" spans="1:16" x14ac:dyDescent="0.4">
      <c r="A17" s="85">
        <f>'Standalone AD'!B24</f>
        <v>0</v>
      </c>
      <c r="B17" s="85">
        <f>'Standalone AD'!C24</f>
        <v>0</v>
      </c>
      <c r="C17" s="149">
        <f t="shared" si="0"/>
        <v>0</v>
      </c>
      <c r="D17" s="550">
        <f t="shared" si="1"/>
        <v>0</v>
      </c>
    </row>
    <row r="18" spans="1:16" x14ac:dyDescent="0.4">
      <c r="A18" s="85">
        <f>'Standalone AD'!B25</f>
        <v>0</v>
      </c>
      <c r="B18" s="85">
        <f>'Standalone AD'!C25</f>
        <v>0</v>
      </c>
      <c r="C18" s="149">
        <f t="shared" si="0"/>
        <v>0</v>
      </c>
      <c r="D18" s="550">
        <f t="shared" si="1"/>
        <v>0</v>
      </c>
    </row>
    <row r="19" spans="1:16" x14ac:dyDescent="0.4">
      <c r="A19" s="85">
        <f>'Standalone AD'!B26</f>
        <v>0</v>
      </c>
      <c r="B19" s="85">
        <f>'Standalone AD'!C26</f>
        <v>0</v>
      </c>
      <c r="C19" s="149">
        <f t="shared" si="0"/>
        <v>0</v>
      </c>
      <c r="D19" s="550">
        <f t="shared" si="1"/>
        <v>0</v>
      </c>
    </row>
    <row r="20" spans="1:16" x14ac:dyDescent="0.4">
      <c r="A20" s="85">
        <f>'Standalone AD'!B27</f>
        <v>0</v>
      </c>
      <c r="B20" s="85">
        <f>'Standalone AD'!C27</f>
        <v>0</v>
      </c>
      <c r="C20" s="149">
        <f t="shared" si="0"/>
        <v>0</v>
      </c>
      <c r="D20" s="550">
        <f t="shared" si="1"/>
        <v>0</v>
      </c>
    </row>
    <row r="21" spans="1:16" x14ac:dyDescent="0.4">
      <c r="A21" s="85">
        <f>'Standalone AD'!B28</f>
        <v>0</v>
      </c>
      <c r="B21" s="85">
        <f>'Standalone AD'!C28</f>
        <v>0</v>
      </c>
      <c r="C21" s="149">
        <f t="shared" si="0"/>
        <v>0</v>
      </c>
      <c r="D21" s="550">
        <f t="shared" si="1"/>
        <v>0</v>
      </c>
    </row>
    <row r="22" spans="1:16" x14ac:dyDescent="0.4">
      <c r="A22" s="85">
        <f>'Standalone AD'!B29</f>
        <v>0</v>
      </c>
      <c r="B22" s="85">
        <f>'Standalone AD'!C29</f>
        <v>0</v>
      </c>
      <c r="C22" s="149">
        <f t="shared" si="0"/>
        <v>0</v>
      </c>
      <c r="D22" s="550">
        <f t="shared" si="1"/>
        <v>0</v>
      </c>
    </row>
    <row r="23" spans="1:16" x14ac:dyDescent="0.4">
      <c r="A23" s="505">
        <f>SUM(A13:A22)</f>
        <v>0</v>
      </c>
      <c r="B23" s="505">
        <f>SUM(B13:B22)</f>
        <v>0</v>
      </c>
      <c r="C23" s="505">
        <f>SUM(C13:C22)</f>
        <v>0</v>
      </c>
      <c r="D23" s="551">
        <f>SUM(D13:D22)</f>
        <v>0</v>
      </c>
    </row>
    <row r="24" spans="1:16" ht="15" thickBot="1" x14ac:dyDescent="0.45">
      <c r="A24" s="14"/>
      <c r="B24" s="14"/>
      <c r="C24" s="14"/>
      <c r="D24" s="14"/>
      <c r="E24" s="14"/>
      <c r="F24" s="14"/>
      <c r="G24" s="14"/>
      <c r="H24" s="14"/>
      <c r="I24" s="14"/>
      <c r="J24" s="14"/>
      <c r="K24" s="14"/>
      <c r="L24" s="14"/>
      <c r="M24" s="14"/>
      <c r="N24" s="14"/>
      <c r="O24" s="14"/>
      <c r="P24" s="14"/>
    </row>
    <row r="25" spans="1:16" ht="44.15" thickBot="1" x14ac:dyDescent="0.45">
      <c r="A25" s="487" t="s">
        <v>790</v>
      </c>
      <c r="B25" s="506" t="s">
        <v>791</v>
      </c>
      <c r="C25" s="507" t="s">
        <v>38</v>
      </c>
      <c r="D25" s="508" t="s">
        <v>792</v>
      </c>
      <c r="E25" s="508" t="s">
        <v>793</v>
      </c>
      <c r="F25" s="509" t="s">
        <v>169</v>
      </c>
      <c r="G25" s="623" t="s">
        <v>900</v>
      </c>
      <c r="H25" s="623" t="s">
        <v>921</v>
      </c>
      <c r="I25" s="623" t="s">
        <v>922</v>
      </c>
      <c r="J25" s="623" t="s">
        <v>955</v>
      </c>
    </row>
    <row r="26" spans="1:16" ht="15" thickBot="1" x14ac:dyDescent="0.45">
      <c r="A26" s="545">
        <f>A23</f>
        <v>0</v>
      </c>
      <c r="B26" s="546">
        <f>B23</f>
        <v>0</v>
      </c>
      <c r="C26" s="546">
        <f>C23</f>
        <v>0</v>
      </c>
      <c r="D26" s="547" t="str">
        <f>CONCATENATE(C6," - ",C5)</f>
        <v>0 - 0</v>
      </c>
      <c r="E26" s="548" t="e">
        <f>VLOOKUP(D26,'GHG ERFs'!A24:B32,2,FALSE)</f>
        <v>#N/A</v>
      </c>
      <c r="F26" s="549">
        <f>IF(A26=0,0,C26*E26)</f>
        <v>0</v>
      </c>
      <c r="G26" s="624">
        <f>IF(OR(D26='GHG ERFs'!A25,D26='GHG ERFs'!A28,D26='GHG ERFs'!A31),'Standalone AD Calcs'!C26*'Standalone AD ERF'!B64,0)</f>
        <v>0</v>
      </c>
      <c r="H26" s="631">
        <f>IF(C6=Misc!C10,'Standalone AD Calcs'!C23*'Standalone AD Co-ben'!E5,0)</f>
        <v>0</v>
      </c>
      <c r="I26" s="631">
        <f>IF(C6=Misc!C8,'Standalone AD Calcs'!A30,0)</f>
        <v>0</v>
      </c>
      <c r="J26" s="631">
        <f>IF(C6=Misc!C9,'Standalone AD Calcs'!B34,0)</f>
        <v>0</v>
      </c>
    </row>
    <row r="27" spans="1:16" ht="15" thickBot="1" x14ac:dyDescent="0.45">
      <c r="C27" s="128"/>
      <c r="D27" s="128"/>
      <c r="E27" s="128"/>
    </row>
    <row r="28" spans="1:16" ht="15" thickBot="1" x14ac:dyDescent="0.45">
      <c r="A28" s="1484" t="s">
        <v>819</v>
      </c>
      <c r="B28" s="1485"/>
      <c r="C28" s="1485"/>
      <c r="D28" s="1485"/>
      <c r="E28" s="1485"/>
      <c r="F28" s="1485"/>
      <c r="G28" s="1485"/>
      <c r="H28" s="1485"/>
      <c r="I28" s="1486"/>
    </row>
    <row r="29" spans="1:16" ht="30.75" customHeight="1" thickBot="1" x14ac:dyDescent="0.45">
      <c r="A29" s="521" t="s">
        <v>913</v>
      </c>
      <c r="B29" s="525" t="s">
        <v>703</v>
      </c>
      <c r="C29" s="525" t="s">
        <v>816</v>
      </c>
      <c r="D29" s="525" t="s">
        <v>807</v>
      </c>
      <c r="E29" s="525" t="s">
        <v>809</v>
      </c>
      <c r="F29" s="578" t="s">
        <v>804</v>
      </c>
      <c r="G29" s="628" t="s">
        <v>808</v>
      </c>
      <c r="H29" s="628" t="s">
        <v>805</v>
      </c>
      <c r="I29" s="629" t="s">
        <v>806</v>
      </c>
    </row>
    <row r="30" spans="1:16" ht="15" thickBot="1" x14ac:dyDescent="0.45">
      <c r="A30" s="531" t="e">
        <f>IF(C6="Electricity Generation",0,'Standalone AD Co-ben'!E7)*C23*C30</f>
        <v>#N/A</v>
      </c>
      <c r="B30" s="532">
        <f>IF(C6=Misc!C10,Misc!C18,C8)</f>
        <v>0</v>
      </c>
      <c r="C30" s="533" t="e">
        <f>IF(C6="Electricity Generation",0,VLOOKUP(B30,Factors!A32:B34,2,FALSE))</f>
        <v>#N/A</v>
      </c>
      <c r="D30" s="532">
        <f>C9</f>
        <v>0</v>
      </c>
      <c r="E30" s="534">
        <f>IF(D30=Misc!C15,0.1,1)</f>
        <v>1</v>
      </c>
      <c r="F30" s="532">
        <f>IF(B30=Misc!C19,(Factors!B15-Factors!B19)*Factors!F15*(1/454)*A30,0)</f>
        <v>0</v>
      </c>
      <c r="G30" s="532">
        <f>IF(A26=0,0,IF(B30=Misc!C19,(Factors!C15-Factors!C19)*Factors!F15*(1/454)*A30,(Factors!C15-(Factors!C16*E30))*Factors!F15*(1/454)*A30))</f>
        <v>0</v>
      </c>
      <c r="H30" s="532">
        <f>IF(B30=Misc!C19,(Factors!D15-Factors!D19)*Factors!F15*(1/454)*A30,0)</f>
        <v>0</v>
      </c>
      <c r="I30" s="535">
        <f>IF(A26=0,0,IF(B30=Misc!C19,(Factors!E15-Factors!E19)*Factors!F15*(1/454)*A30,(Factors!E15-Factors!E16)*Factors!F15*(1/454)*A30))</f>
        <v>0</v>
      </c>
    </row>
    <row r="31" spans="1:16" ht="15" thickBot="1" x14ac:dyDescent="0.45"/>
    <row r="32" spans="1:16" x14ac:dyDescent="0.4">
      <c r="A32" s="1481" t="s">
        <v>865</v>
      </c>
      <c r="B32" s="1482"/>
      <c r="C32" s="1482"/>
      <c r="D32" s="1482"/>
      <c r="E32" s="1482"/>
      <c r="F32" s="1483"/>
    </row>
    <row r="33" spans="1:7" ht="15" thickBot="1" x14ac:dyDescent="0.45">
      <c r="A33" s="480"/>
      <c r="B33" s="510" t="s">
        <v>864</v>
      </c>
      <c r="C33" s="510" t="s">
        <v>804</v>
      </c>
      <c r="D33" s="604" t="s">
        <v>808</v>
      </c>
      <c r="E33" s="604" t="s">
        <v>805</v>
      </c>
      <c r="F33" s="161" t="s">
        <v>806</v>
      </c>
    </row>
    <row r="34" spans="1:7" x14ac:dyDescent="0.4">
      <c r="A34" s="605" t="s">
        <v>825</v>
      </c>
      <c r="B34" s="606">
        <f>IF(C6="Electricity Generation",'Standalone AD Co-ben'!E6,0)*C23</f>
        <v>0</v>
      </c>
      <c r="C34" s="671">
        <f>$B$34*'Co-Ben ERFs'!B25</f>
        <v>0</v>
      </c>
      <c r="D34" s="671">
        <f>$B$34*'Co-Ben ERFs'!B26</f>
        <v>0</v>
      </c>
      <c r="E34" s="671">
        <f>$B$34*'Co-Ben ERFs'!B27</f>
        <v>0</v>
      </c>
      <c r="F34" s="672">
        <v>0</v>
      </c>
    </row>
    <row r="35" spans="1:7" ht="15" thickBot="1" x14ac:dyDescent="0.45">
      <c r="A35" s="607" t="s">
        <v>862</v>
      </c>
      <c r="B35" s="608">
        <f>'Standalone AD Co-ben'!E12*'Standalone AD Calcs'!C23</f>
        <v>0</v>
      </c>
      <c r="C35" s="673">
        <f>-$B$35*'Co-Ben ERFs'!B25</f>
        <v>0</v>
      </c>
      <c r="D35" s="673">
        <f>-$B$35*'Co-Ben ERFs'!B26</f>
        <v>0</v>
      </c>
      <c r="E35" s="673">
        <f>-$B$35*'Co-Ben ERFs'!B27</f>
        <v>0</v>
      </c>
      <c r="F35" s="674">
        <v>0</v>
      </c>
    </row>
    <row r="36" spans="1:7" ht="15" thickBot="1" x14ac:dyDescent="0.45">
      <c r="A36" s="609" t="s">
        <v>863</v>
      </c>
      <c r="B36" s="610"/>
      <c r="C36" s="544">
        <f>SUM(C34:C35)</f>
        <v>0</v>
      </c>
      <c r="D36" s="544">
        <f>SUM(D34:D35)</f>
        <v>0</v>
      </c>
      <c r="E36" s="544">
        <f>SUM(E34:E35)</f>
        <v>0</v>
      </c>
      <c r="F36" s="675">
        <f>SUM(F34:F35)</f>
        <v>0</v>
      </c>
    </row>
    <row r="37" spans="1:7" ht="15" thickBot="1" x14ac:dyDescent="0.45"/>
    <row r="38" spans="1:7" ht="15" thickBot="1" x14ac:dyDescent="0.45">
      <c r="A38" s="1484" t="s">
        <v>923</v>
      </c>
      <c r="B38" s="1485"/>
      <c r="C38" s="1485"/>
      <c r="D38" s="1485"/>
      <c r="E38" s="1486"/>
    </row>
    <row r="39" spans="1:7" ht="15" thickBot="1" x14ac:dyDescent="0.45">
      <c r="A39" s="632"/>
      <c r="B39" s="514" t="s">
        <v>804</v>
      </c>
      <c r="C39" s="633" t="s">
        <v>808</v>
      </c>
      <c r="D39" s="633" t="s">
        <v>805</v>
      </c>
      <c r="E39" s="562" t="s">
        <v>806</v>
      </c>
    </row>
    <row r="40" spans="1:7" ht="15" thickBot="1" x14ac:dyDescent="0.45">
      <c r="A40" s="609" t="s">
        <v>924</v>
      </c>
      <c r="B40" s="536">
        <f>C23*'Co-Ben ERFs'!B18</f>
        <v>0</v>
      </c>
      <c r="C40" s="536">
        <f>C23*'Co-Ben ERFs'!B19</f>
        <v>0</v>
      </c>
      <c r="D40" s="536">
        <f>C23*'Co-Ben ERFs'!B20</f>
        <v>0</v>
      </c>
      <c r="E40" s="537">
        <v>0</v>
      </c>
    </row>
    <row r="41" spans="1:7" ht="15" thickBot="1" x14ac:dyDescent="0.45">
      <c r="A41" s="597"/>
    </row>
    <row r="42" spans="1:7" x14ac:dyDescent="0.4">
      <c r="A42" s="1481" t="s">
        <v>821</v>
      </c>
      <c r="B42" s="1482"/>
      <c r="C42" s="1482"/>
      <c r="D42" s="1482"/>
      <c r="E42" s="1482"/>
      <c r="F42" s="1482"/>
      <c r="G42" s="1483"/>
    </row>
    <row r="43" spans="1:7" ht="15" thickBot="1" x14ac:dyDescent="0.45">
      <c r="A43" s="511"/>
      <c r="B43" s="512" t="s">
        <v>810</v>
      </c>
      <c r="C43" s="512" t="s">
        <v>13</v>
      </c>
      <c r="D43" s="512" t="s">
        <v>804</v>
      </c>
      <c r="E43" s="513" t="s">
        <v>808</v>
      </c>
      <c r="F43" s="513" t="s">
        <v>805</v>
      </c>
      <c r="G43" s="219" t="s">
        <v>806</v>
      </c>
    </row>
    <row r="44" spans="1:7" ht="30" customHeight="1" x14ac:dyDescent="0.4">
      <c r="A44" s="517" t="s">
        <v>860</v>
      </c>
      <c r="B44" s="726">
        <f>'Standalone AD Co-ben'!E10*'Standalone AD Calcs'!C23</f>
        <v>0</v>
      </c>
      <c r="C44" s="515" t="s">
        <v>811</v>
      </c>
      <c r="D44" s="665">
        <f>$B$44*Factors!D23</f>
        <v>0</v>
      </c>
      <c r="E44" s="665">
        <f>$B$44*Factors!E23</f>
        <v>0</v>
      </c>
      <c r="F44" s="665">
        <f>$B$44*Factors!F23</f>
        <v>0</v>
      </c>
      <c r="G44" s="666">
        <f>$B$44*Factors!G23</f>
        <v>0</v>
      </c>
    </row>
    <row r="45" spans="1:7" ht="31.5" customHeight="1" x14ac:dyDescent="0.4">
      <c r="A45" s="518" t="s">
        <v>859</v>
      </c>
      <c r="B45" s="727">
        <f>'Standalone AD Co-ben'!E11*'Standalone AD Calcs'!C23</f>
        <v>0</v>
      </c>
      <c r="C45" s="655" t="s">
        <v>813</v>
      </c>
      <c r="D45" s="667">
        <f>$B$45*Factors!D29</f>
        <v>0</v>
      </c>
      <c r="E45" s="667">
        <f>$B$45*Factors!E29</f>
        <v>0</v>
      </c>
      <c r="F45" s="667">
        <f>$B$45*Factors!F29</f>
        <v>0</v>
      </c>
      <c r="G45" s="668">
        <f>$B$45*Factors!G29</f>
        <v>0</v>
      </c>
    </row>
    <row r="46" spans="1:7" ht="15" thickBot="1" x14ac:dyDescent="0.45">
      <c r="A46" s="520" t="s">
        <v>814</v>
      </c>
      <c r="B46" s="632"/>
      <c r="C46" s="514"/>
      <c r="D46" s="669">
        <f>SUM(D44:D45)</f>
        <v>0</v>
      </c>
      <c r="E46" s="669">
        <f>SUM(E44:E45)</f>
        <v>0</v>
      </c>
      <c r="F46" s="669">
        <f>SUM(F44:F45)</f>
        <v>0</v>
      </c>
      <c r="G46" s="670">
        <f>SUM(G44:G45)</f>
        <v>0</v>
      </c>
    </row>
    <row r="47" spans="1:7" ht="15" thickBot="1" x14ac:dyDescent="0.45"/>
    <row r="48" spans="1:7" x14ac:dyDescent="0.4">
      <c r="A48" s="1481" t="s">
        <v>868</v>
      </c>
      <c r="B48" s="1482"/>
      <c r="C48" s="1482"/>
      <c r="D48" s="1482"/>
      <c r="E48" s="1482"/>
      <c r="F48" s="1482"/>
      <c r="G48" s="1483"/>
    </row>
    <row r="49" spans="1:7" ht="15" thickBot="1" x14ac:dyDescent="0.45">
      <c r="A49" s="480" t="s">
        <v>817</v>
      </c>
      <c r="B49" s="510" t="s">
        <v>818</v>
      </c>
      <c r="C49" s="510" t="s">
        <v>815</v>
      </c>
      <c r="D49" s="510" t="s">
        <v>804</v>
      </c>
      <c r="E49" s="510" t="s">
        <v>808</v>
      </c>
      <c r="F49" s="510" t="s">
        <v>805</v>
      </c>
      <c r="G49" s="161" t="s">
        <v>806</v>
      </c>
    </row>
    <row r="50" spans="1:7" ht="15" thickBot="1" x14ac:dyDescent="0.45">
      <c r="A50" s="636">
        <f>IF(B34=0,0,'Standalone AD Co-ben'!E5*'Standalone AD Calcs'!C23)</f>
        <v>0</v>
      </c>
      <c r="B50" s="637">
        <f>A50*1020/1000000</f>
        <v>0</v>
      </c>
      <c r="C50" s="637">
        <f>C7</f>
        <v>0</v>
      </c>
      <c r="D50" s="637">
        <f>IF(C50=0,0,VLOOKUP(C50,Factors!A4:F11,3)*'Standalone AD Calcs'!B50)</f>
        <v>0</v>
      </c>
      <c r="E50" s="637">
        <f>IF(C50=0,0,VLOOKUP(C50,Factors!A4:F11,4)*'Standalone AD Calcs'!B50)</f>
        <v>0</v>
      </c>
      <c r="F50" s="637">
        <f>IF(C50=0,0,VLOOKUP(C50,Factors!A4:F11,5)*'Standalone AD Calcs'!B50)</f>
        <v>0</v>
      </c>
      <c r="G50" s="638">
        <f>IF(C50=0,0,VLOOKUP(C50,Factors!A4:F11,6)*'Standalone AD Calcs'!B50)</f>
        <v>0</v>
      </c>
    </row>
    <row r="51" spans="1:7" ht="15" thickBot="1" x14ac:dyDescent="0.45"/>
    <row r="52" spans="1:7" x14ac:dyDescent="0.4">
      <c r="A52" s="1487" t="s">
        <v>823</v>
      </c>
      <c r="B52" s="1488"/>
      <c r="C52" s="1488"/>
      <c r="D52" s="1488"/>
      <c r="E52" s="1489"/>
    </row>
    <row r="53" spans="1:7" ht="15" thickBot="1" x14ac:dyDescent="0.45">
      <c r="A53" s="511"/>
      <c r="B53" s="512" t="s">
        <v>804</v>
      </c>
      <c r="C53" s="512" t="s">
        <v>808</v>
      </c>
      <c r="D53" s="512" t="s">
        <v>805</v>
      </c>
      <c r="E53" s="219" t="s">
        <v>806</v>
      </c>
    </row>
    <row r="54" spans="1:7" x14ac:dyDescent="0.4">
      <c r="A54" s="529" t="s">
        <v>824</v>
      </c>
      <c r="B54" s="530">
        <f>F30</f>
        <v>0</v>
      </c>
      <c r="C54" s="530">
        <f>G30</f>
        <v>0</v>
      </c>
      <c r="D54" s="530">
        <f>H30</f>
        <v>0</v>
      </c>
      <c r="E54" s="611">
        <f>I30</f>
        <v>0</v>
      </c>
    </row>
    <row r="55" spans="1:7" x14ac:dyDescent="0.4">
      <c r="A55" s="247" t="s">
        <v>867</v>
      </c>
      <c r="B55" s="463">
        <f>C36</f>
        <v>0</v>
      </c>
      <c r="C55" s="463">
        <f>D36</f>
        <v>0</v>
      </c>
      <c r="D55" s="463">
        <f>E36</f>
        <v>0</v>
      </c>
      <c r="E55" s="455">
        <f>F36</f>
        <v>0</v>
      </c>
    </row>
    <row r="56" spans="1:7" ht="15" thickBot="1" x14ac:dyDescent="0.45">
      <c r="A56" s="480" t="s">
        <v>924</v>
      </c>
      <c r="B56" s="634">
        <f>B40</f>
        <v>0</v>
      </c>
      <c r="C56" s="634">
        <f>C40</f>
        <v>0</v>
      </c>
      <c r="D56" s="634">
        <f>D40</f>
        <v>0</v>
      </c>
      <c r="E56" s="635">
        <f>E40</f>
        <v>0</v>
      </c>
    </row>
    <row r="57" spans="1:7" ht="15" thickBot="1" x14ac:dyDescent="0.45">
      <c r="A57" s="632" t="s">
        <v>826</v>
      </c>
      <c r="B57" s="532">
        <f>SUM(B54:B56)</f>
        <v>0</v>
      </c>
      <c r="C57" s="532">
        <f>SUM(C54:C56)</f>
        <v>0</v>
      </c>
      <c r="D57" s="532">
        <f>SUM(D54:D56)</f>
        <v>0</v>
      </c>
      <c r="E57" s="535">
        <f>SUM(E54:E56)</f>
        <v>0</v>
      </c>
    </row>
    <row r="58" spans="1:7" ht="15" thickBot="1" x14ac:dyDescent="0.45"/>
    <row r="59" spans="1:7" x14ac:dyDescent="0.4">
      <c r="A59" s="1487" t="s">
        <v>827</v>
      </c>
      <c r="B59" s="1488"/>
      <c r="C59" s="1488"/>
      <c r="D59" s="1488"/>
      <c r="E59" s="1489"/>
    </row>
    <row r="60" spans="1:7" ht="15" thickBot="1" x14ac:dyDescent="0.45">
      <c r="A60" s="480"/>
      <c r="B60" s="510" t="s">
        <v>804</v>
      </c>
      <c r="C60" s="510" t="s">
        <v>808</v>
      </c>
      <c r="D60" s="510" t="s">
        <v>805</v>
      </c>
      <c r="E60" s="161" t="s">
        <v>806</v>
      </c>
    </row>
    <row r="61" spans="1:7" x14ac:dyDescent="0.4">
      <c r="A61" s="616" t="s">
        <v>828</v>
      </c>
      <c r="B61" s="617">
        <f>-D46</f>
        <v>0</v>
      </c>
      <c r="C61" s="526">
        <f>-E46</f>
        <v>0</v>
      </c>
      <c r="D61" s="526">
        <f>-F46</f>
        <v>0</v>
      </c>
      <c r="E61" s="528">
        <f>-G46</f>
        <v>0</v>
      </c>
    </row>
    <row r="62" spans="1:7" ht="15" thickBot="1" x14ac:dyDescent="0.45">
      <c r="A62" s="512" t="s">
        <v>866</v>
      </c>
      <c r="B62" s="612">
        <f>-D50</f>
        <v>0</v>
      </c>
      <c r="C62" s="613">
        <f>-E50</f>
        <v>0</v>
      </c>
      <c r="D62" s="613">
        <f>-F50</f>
        <v>0</v>
      </c>
      <c r="E62" s="614">
        <f>-G50</f>
        <v>0</v>
      </c>
    </row>
    <row r="63" spans="1:7" ht="15" thickBot="1" x14ac:dyDescent="0.45">
      <c r="A63" s="401" t="s">
        <v>826</v>
      </c>
      <c r="B63" s="615">
        <f>SUM(B61:B62)</f>
        <v>0</v>
      </c>
      <c r="C63" s="615">
        <f>SUM(C61:C62)</f>
        <v>0</v>
      </c>
      <c r="D63" s="615">
        <f>SUM(D61:D62)</f>
        <v>0</v>
      </c>
      <c r="E63" s="615">
        <f>SUM(E61:E62)</f>
        <v>0</v>
      </c>
    </row>
  </sheetData>
  <sheetProtection algorithmName="SHA-512" hashValue="XKXoo1Rfci0kmuLgBqQXp3j+MaFNwtTIXeePxGJU+SbbmFVUy79ylF55HHhLLNFds5/OlfrmeAAnp9DuHIOJ3A==" saltValue="FVP21mRHiZrM313U69ODNA==" spinCount="100000" sheet="1" objects="1" scenarios="1"/>
  <mergeCells count="12">
    <mergeCell ref="A48:G48"/>
    <mergeCell ref="A28:I28"/>
    <mergeCell ref="A52:E52"/>
    <mergeCell ref="A59:E59"/>
    <mergeCell ref="A42:G42"/>
    <mergeCell ref="A32:F32"/>
    <mergeCell ref="A38:E38"/>
    <mergeCell ref="A7:B7"/>
    <mergeCell ref="A9:B9"/>
    <mergeCell ref="A5:B5"/>
    <mergeCell ref="A6:B6"/>
    <mergeCell ref="A8:B8"/>
  </mergeCells>
  <pageMargins left="0.7" right="0.7" top="0.75" bottom="0.75" header="0.3" footer="0.3"/>
  <pageSetup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5:T32"/>
  <sheetViews>
    <sheetView workbookViewId="0">
      <selection activeCell="N17" sqref="N17"/>
    </sheetView>
  </sheetViews>
  <sheetFormatPr defaultRowHeight="14.6" x14ac:dyDescent="0.4"/>
  <cols>
    <col min="1" max="1" width="44.53515625" customWidth="1"/>
    <col min="2" max="2" width="19.69140625" customWidth="1"/>
    <col min="3" max="3" width="14.15234375" customWidth="1"/>
    <col min="4" max="4" width="14.3046875" bestFit="1" customWidth="1"/>
    <col min="9" max="9" width="6.15234375" customWidth="1"/>
    <col min="10" max="10" width="9.53515625" bestFit="1" customWidth="1"/>
    <col min="15" max="15" width="3.69140625" customWidth="1"/>
    <col min="16" max="16" width="9.53515625" bestFit="1" customWidth="1"/>
  </cols>
  <sheetData>
    <row r="5" spans="1:8" ht="15" thickBot="1" x14ac:dyDescent="0.45">
      <c r="A5" t="s">
        <v>592</v>
      </c>
    </row>
    <row r="6" spans="1:8" ht="15" customHeight="1" x14ac:dyDescent="0.4">
      <c r="A6" s="1419" t="s">
        <v>485</v>
      </c>
      <c r="B6" s="1490" t="s">
        <v>490</v>
      </c>
      <c r="C6" s="1421" t="s">
        <v>593</v>
      </c>
      <c r="D6" s="1433" t="s">
        <v>594</v>
      </c>
      <c r="E6" s="1431" t="s">
        <v>832</v>
      </c>
      <c r="F6" s="1431"/>
      <c r="G6" s="1431"/>
      <c r="H6" s="1432"/>
    </row>
    <row r="7" spans="1:8" ht="15" thickBot="1" x14ac:dyDescent="0.45">
      <c r="A7" s="1420"/>
      <c r="B7" s="1491"/>
      <c r="C7" s="1422"/>
      <c r="D7" s="1434"/>
      <c r="E7" s="1494"/>
      <c r="F7" s="1494"/>
      <c r="G7" s="1494"/>
      <c r="H7" s="1495"/>
    </row>
    <row r="8" spans="1:8" x14ac:dyDescent="0.4">
      <c r="A8" s="322" t="s">
        <v>770</v>
      </c>
      <c r="B8" s="323" t="s">
        <v>767</v>
      </c>
      <c r="C8" s="566">
        <v>152163</v>
      </c>
      <c r="D8" s="567">
        <v>0</v>
      </c>
      <c r="E8" s="1496" t="s">
        <v>768</v>
      </c>
      <c r="F8" s="1496"/>
      <c r="G8" s="1496"/>
      <c r="H8" s="1497"/>
    </row>
    <row r="9" spans="1:8" x14ac:dyDescent="0.4">
      <c r="A9" s="322" t="s">
        <v>773</v>
      </c>
      <c r="B9" s="323" t="s">
        <v>769</v>
      </c>
      <c r="C9" s="568">
        <v>8709</v>
      </c>
      <c r="D9" s="569">
        <v>138241</v>
      </c>
      <c r="E9" s="1498" t="s">
        <v>771</v>
      </c>
      <c r="F9" s="1498"/>
      <c r="G9" s="1498"/>
      <c r="H9" s="1499"/>
    </row>
    <row r="10" spans="1:8" ht="15" customHeight="1" x14ac:dyDescent="0.4">
      <c r="A10" s="326" t="s">
        <v>772</v>
      </c>
      <c r="B10" s="323" t="s">
        <v>769</v>
      </c>
      <c r="C10" s="572">
        <v>8740</v>
      </c>
      <c r="D10" s="569">
        <v>138724</v>
      </c>
      <c r="E10" s="1498" t="s">
        <v>771</v>
      </c>
      <c r="F10" s="1498"/>
      <c r="G10" s="1498"/>
      <c r="H10" s="1499"/>
    </row>
    <row r="11" spans="1:8" x14ac:dyDescent="0.4">
      <c r="A11" s="326" t="s">
        <v>774</v>
      </c>
      <c r="B11" s="323" t="s">
        <v>775</v>
      </c>
      <c r="C11" s="572">
        <v>2.4</v>
      </c>
      <c r="D11" s="569">
        <v>12.02</v>
      </c>
      <c r="E11" s="1498" t="s">
        <v>776</v>
      </c>
      <c r="F11" s="1498"/>
      <c r="G11" s="1498"/>
      <c r="H11" s="1499"/>
    </row>
    <row r="12" spans="1:8" x14ac:dyDescent="0.4">
      <c r="A12" s="326" t="s">
        <v>777</v>
      </c>
      <c r="B12" s="323" t="s">
        <v>769</v>
      </c>
      <c r="C12" s="568">
        <v>7297</v>
      </c>
      <c r="D12" s="569">
        <v>115821</v>
      </c>
      <c r="E12" s="1498" t="s">
        <v>771</v>
      </c>
      <c r="F12" s="1498"/>
      <c r="G12" s="1498"/>
      <c r="H12" s="1499"/>
    </row>
    <row r="13" spans="1:8" x14ac:dyDescent="0.4">
      <c r="A13" s="326" t="s">
        <v>778</v>
      </c>
      <c r="B13" s="323" t="s">
        <v>769</v>
      </c>
      <c r="C13" s="568">
        <v>4541</v>
      </c>
      <c r="D13" s="569">
        <v>57709</v>
      </c>
      <c r="E13" s="1498" t="s">
        <v>771</v>
      </c>
      <c r="F13" s="1498"/>
      <c r="G13" s="1498"/>
      <c r="H13" s="1499"/>
    </row>
    <row r="14" spans="1:8" ht="15" customHeight="1" x14ac:dyDescent="0.4">
      <c r="A14" s="268" t="s">
        <v>871</v>
      </c>
      <c r="B14" s="114" t="s">
        <v>872</v>
      </c>
      <c r="C14" s="579">
        <v>0</v>
      </c>
      <c r="D14" s="621">
        <v>24022</v>
      </c>
      <c r="E14" s="1498"/>
      <c r="F14" s="1498"/>
      <c r="G14" s="1498"/>
      <c r="H14" s="1499"/>
    </row>
    <row r="15" spans="1:8" ht="16.75" thickBot="1" x14ac:dyDescent="0.45">
      <c r="A15" s="561" t="s">
        <v>612</v>
      </c>
      <c r="B15" s="571" t="s">
        <v>769</v>
      </c>
      <c r="C15" s="570">
        <v>0</v>
      </c>
      <c r="D15" s="573">
        <v>129364</v>
      </c>
      <c r="E15" s="1500"/>
      <c r="F15" s="1500"/>
      <c r="G15" s="1500"/>
      <c r="H15" s="1501"/>
    </row>
    <row r="16" spans="1:8" x14ac:dyDescent="0.4">
      <c r="A16" s="1340" t="s">
        <v>619</v>
      </c>
      <c r="B16" s="1340"/>
      <c r="C16" s="1340"/>
      <c r="D16" s="1340"/>
    </row>
    <row r="17" spans="1:20" x14ac:dyDescent="0.4">
      <c r="A17" s="767" t="s">
        <v>27</v>
      </c>
      <c r="B17" s="273"/>
      <c r="C17" s="274"/>
      <c r="D17" s="287"/>
    </row>
    <row r="18" spans="1:20" ht="15" customHeight="1" x14ac:dyDescent="0.4">
      <c r="A18" s="1363" t="s">
        <v>516</v>
      </c>
      <c r="B18" s="1363"/>
      <c r="C18" s="1363"/>
      <c r="D18" s="1363"/>
    </row>
    <row r="19" spans="1:20" x14ac:dyDescent="0.4">
      <c r="A19" s="482"/>
      <c r="B19" s="482"/>
      <c r="C19" s="482"/>
      <c r="D19" s="482"/>
    </row>
    <row r="20" spans="1:20" ht="15" thickBot="1" x14ac:dyDescent="0.45">
      <c r="A20" s="1493" t="s">
        <v>831</v>
      </c>
      <c r="B20" s="1493"/>
      <c r="C20" s="1493"/>
      <c r="D20" s="1493"/>
    </row>
    <row r="21" spans="1:20" x14ac:dyDescent="0.4">
      <c r="A21" s="1419" t="s">
        <v>485</v>
      </c>
      <c r="B21" s="1490" t="s">
        <v>490</v>
      </c>
      <c r="C21" s="1421" t="s">
        <v>593</v>
      </c>
      <c r="D21" s="1429" t="s">
        <v>594</v>
      </c>
      <c r="E21" s="1431" t="s">
        <v>832</v>
      </c>
      <c r="F21" s="1431"/>
      <c r="G21" s="1431"/>
      <c r="H21" s="1432"/>
    </row>
    <row r="22" spans="1:20" ht="15.75" customHeight="1" thickBot="1" x14ac:dyDescent="0.45">
      <c r="A22" s="1420"/>
      <c r="B22" s="1491"/>
      <c r="C22" s="1422"/>
      <c r="D22" s="1492"/>
      <c r="E22" s="1494"/>
      <c r="F22" s="1494"/>
      <c r="G22" s="1494"/>
      <c r="H22" s="1495"/>
    </row>
    <row r="23" spans="1:20" x14ac:dyDescent="0.4">
      <c r="A23" s="560" t="s">
        <v>770</v>
      </c>
      <c r="B23" s="160" t="s">
        <v>760</v>
      </c>
      <c r="C23" s="563">
        <f>C8*365</f>
        <v>55539495</v>
      </c>
      <c r="D23" s="567">
        <v>0</v>
      </c>
      <c r="E23" s="1513" t="s">
        <v>768</v>
      </c>
      <c r="F23" s="1496"/>
      <c r="G23" s="1496"/>
      <c r="H23" s="1497"/>
      <c r="J23" s="1509" t="s">
        <v>853</v>
      </c>
      <c r="K23" s="1509"/>
      <c r="L23" s="1509"/>
      <c r="M23" s="1509"/>
      <c r="N23" s="1509"/>
      <c r="P23" s="1509" t="s">
        <v>855</v>
      </c>
      <c r="Q23" s="1509"/>
      <c r="R23" s="1509"/>
      <c r="S23" s="1509"/>
      <c r="T23" s="1509"/>
    </row>
    <row r="24" spans="1:20" x14ac:dyDescent="0.4">
      <c r="A24" s="322" t="s">
        <v>773</v>
      </c>
      <c r="B24" s="192" t="s">
        <v>59</v>
      </c>
      <c r="C24" s="564">
        <f>C9*'GHG ERFs'!$A$206*365</f>
        <v>883702.2300000001</v>
      </c>
      <c r="D24" s="569">
        <f>D9*'GHG ERFs'!$A$206*365</f>
        <v>14027314.270000003</v>
      </c>
      <c r="E24" s="1504" t="s">
        <v>771</v>
      </c>
      <c r="F24" s="1498"/>
      <c r="G24" s="1498"/>
      <c r="H24" s="1499"/>
      <c r="J24" s="332">
        <f>C30/C31</f>
        <v>2765.0897350716959</v>
      </c>
      <c r="K24" s="1511" t="s">
        <v>781</v>
      </c>
      <c r="L24" s="1511"/>
      <c r="M24" s="1511"/>
      <c r="N24" s="1511"/>
      <c r="P24" s="332">
        <f>D30/D31</f>
        <v>2214.0860258134776</v>
      </c>
      <c r="Q24" s="1511" t="s">
        <v>781</v>
      </c>
      <c r="R24" s="1511"/>
      <c r="S24" s="1511"/>
      <c r="T24" s="1511"/>
    </row>
    <row r="25" spans="1:20" x14ac:dyDescent="0.4">
      <c r="A25" s="326" t="s">
        <v>772</v>
      </c>
      <c r="B25" s="192" t="s">
        <v>59</v>
      </c>
      <c r="C25" s="583">
        <f>C10*'GHG ERFs'!A206*365</f>
        <v>886847.8</v>
      </c>
      <c r="D25" s="569">
        <f>D10*'GHG ERFs'!A206*365</f>
        <v>14076324.280000001</v>
      </c>
      <c r="E25" s="1504" t="s">
        <v>771</v>
      </c>
      <c r="F25" s="1498"/>
      <c r="G25" s="1498"/>
      <c r="H25" s="1499"/>
      <c r="J25" s="501">
        <f>J24*'Co-Digestion ERF'!B55*(1/'Co-Digestion ERF'!B82)*'Co-Digestion ERF'!B56</f>
        <v>233.87226126175699</v>
      </c>
      <c r="K25" s="1510" t="s">
        <v>372</v>
      </c>
      <c r="L25" s="1510"/>
      <c r="M25" s="1510"/>
      <c r="N25" s="1510"/>
      <c r="P25" s="501">
        <f>P24*'Co-Digestion ERF'!B55*(1/'Co-Digestion ERF'!B82)*'Co-Digestion ERF'!B56</f>
        <v>187.26817394648805</v>
      </c>
      <c r="Q25" s="1510" t="s">
        <v>372</v>
      </c>
      <c r="R25" s="1510"/>
      <c r="S25" s="1510"/>
      <c r="T25" s="1510"/>
    </row>
    <row r="26" spans="1:20" ht="15" customHeight="1" x14ac:dyDescent="0.4">
      <c r="A26" s="326" t="s">
        <v>774</v>
      </c>
      <c r="B26" s="192" t="s">
        <v>766</v>
      </c>
      <c r="C26" s="583">
        <f>C11*1000000*(1/'GHG ERFs'!A207)*365</f>
        <v>6872.744390396987</v>
      </c>
      <c r="D26" s="569">
        <f>D11*1000000*(1/'GHG ERFs'!A207)*365</f>
        <v>34420.994821904911</v>
      </c>
      <c r="E26" s="1504" t="s">
        <v>776</v>
      </c>
      <c r="F26" s="1498"/>
      <c r="G26" s="1498"/>
      <c r="H26" s="1499"/>
      <c r="J26" s="333">
        <f>J24*'Co-Ben ERFs'!B34/'GHG ERFs'!A207</f>
        <v>20.175219312856406</v>
      </c>
      <c r="K26" s="1510" t="s">
        <v>373</v>
      </c>
      <c r="L26" s="1510"/>
      <c r="M26" s="1510"/>
      <c r="N26" s="1510"/>
      <c r="P26" s="333">
        <f>P24*'Co-Ben ERFs'!B34/'GHG ERFs'!A207</f>
        <v>16.154872148176167</v>
      </c>
      <c r="Q26" s="1510" t="s">
        <v>373</v>
      </c>
      <c r="R26" s="1510"/>
      <c r="S26" s="1510"/>
      <c r="T26" s="1510"/>
    </row>
    <row r="27" spans="1:20" x14ac:dyDescent="0.4">
      <c r="A27" s="326" t="s">
        <v>777</v>
      </c>
      <c r="B27" s="192" t="s">
        <v>59</v>
      </c>
      <c r="C27" s="564">
        <f>C12*'GHG ERFs'!A206*365</f>
        <v>740426.59000000008</v>
      </c>
      <c r="D27" s="569">
        <f>D12*'GHG ERFs'!A206*365</f>
        <v>11752356.870000001</v>
      </c>
      <c r="E27" s="1504" t="s">
        <v>771</v>
      </c>
      <c r="F27" s="1498"/>
      <c r="G27" s="1498"/>
      <c r="H27" s="1499"/>
      <c r="J27" s="296"/>
      <c r="K27" s="296"/>
      <c r="P27" s="296"/>
      <c r="Q27" s="296"/>
    </row>
    <row r="28" spans="1:20" x14ac:dyDescent="0.4">
      <c r="A28" s="326" t="s">
        <v>778</v>
      </c>
      <c r="B28" s="192" t="s">
        <v>59</v>
      </c>
      <c r="C28" s="564">
        <f>C13*'GHG ERFs'!A206*365</f>
        <v>460775.27000000008</v>
      </c>
      <c r="D28" s="569">
        <f>D13*'GHG ERFs'!A206*365</f>
        <v>5855732.2300000004</v>
      </c>
      <c r="E28" s="1504" t="s">
        <v>771</v>
      </c>
      <c r="F28" s="1498"/>
      <c r="G28" s="1498"/>
      <c r="H28" s="1499"/>
      <c r="J28" s="1503" t="s">
        <v>854</v>
      </c>
      <c r="K28" s="1503"/>
      <c r="L28" s="1503"/>
      <c r="M28" s="1503"/>
      <c r="N28" s="1503"/>
      <c r="P28" s="1503" t="s">
        <v>856</v>
      </c>
      <c r="Q28" s="1503"/>
      <c r="R28" s="1503"/>
      <c r="S28" s="1503"/>
      <c r="T28" s="1503"/>
    </row>
    <row r="29" spans="1:20" x14ac:dyDescent="0.4">
      <c r="A29" s="268" t="s">
        <v>871</v>
      </c>
      <c r="B29" s="192" t="s">
        <v>873</v>
      </c>
      <c r="C29" s="564">
        <v>0</v>
      </c>
      <c r="D29" s="564">
        <f>D14*'GHG ERFs'!A208*365</f>
        <v>307494.81209999998</v>
      </c>
      <c r="E29" s="1506"/>
      <c r="F29" s="1507"/>
      <c r="G29" s="1507"/>
      <c r="H29" s="1508"/>
      <c r="J29" s="586">
        <f>C26/C31</f>
        <v>0.45893113987224854</v>
      </c>
      <c r="K29" s="1512" t="s">
        <v>384</v>
      </c>
      <c r="L29" s="1512"/>
      <c r="M29" s="1512"/>
      <c r="N29" s="1512"/>
      <c r="P29" s="586">
        <f>D26/D31</f>
        <v>0.45970627625262411</v>
      </c>
      <c r="Q29" s="1512" t="s">
        <v>384</v>
      </c>
      <c r="R29" s="1512"/>
      <c r="S29" s="1512"/>
      <c r="T29" s="1512"/>
    </row>
    <row r="30" spans="1:20" x14ac:dyDescent="0.4">
      <c r="A30" s="268" t="s">
        <v>628</v>
      </c>
      <c r="B30" s="585" t="s">
        <v>760</v>
      </c>
      <c r="C30" s="584">
        <f>'Co-Digestion ERF'!B51</f>
        <v>41408728.487999998</v>
      </c>
      <c r="D30" s="579">
        <f>'Co-Digestion ERF'!C51</f>
        <v>165782038.59</v>
      </c>
      <c r="E30" s="1504"/>
      <c r="F30" s="1498"/>
      <c r="G30" s="1498"/>
      <c r="H30" s="1499"/>
      <c r="J30" s="586">
        <f>C23/C31</f>
        <v>3708.6791389904652</v>
      </c>
      <c r="K30" s="1502" t="s">
        <v>543</v>
      </c>
      <c r="L30" s="1502"/>
      <c r="M30" s="1502"/>
      <c r="N30" s="1502"/>
      <c r="P30" s="586">
        <f>D23/D31</f>
        <v>0</v>
      </c>
      <c r="Q30" s="1502" t="s">
        <v>543</v>
      </c>
      <c r="R30" s="1502"/>
      <c r="S30" s="1502"/>
      <c r="T30" s="1502"/>
    </row>
    <row r="31" spans="1:20" x14ac:dyDescent="0.4">
      <c r="A31" s="580" t="s">
        <v>622</v>
      </c>
      <c r="B31" s="585" t="s">
        <v>852</v>
      </c>
      <c r="C31" s="582">
        <f>'Co-Digestion ERF'!B48</f>
        <v>14975.545987814501</v>
      </c>
      <c r="D31" s="581">
        <f>'Co-Digestion ERF'!C48</f>
        <v>74876.060215000005</v>
      </c>
      <c r="E31" s="1506"/>
      <c r="F31" s="1507"/>
      <c r="G31" s="1507"/>
      <c r="H31" s="1508"/>
      <c r="J31" s="586">
        <f>(C24+C25+C27+C28)/C31</f>
        <v>198.44030343989422</v>
      </c>
      <c r="K31" s="1502" t="s">
        <v>372</v>
      </c>
      <c r="L31" s="1502"/>
      <c r="M31" s="1502"/>
      <c r="N31" s="1502"/>
      <c r="P31" s="586">
        <f>(D24+D25+D27+D28-D32)/D31</f>
        <v>435.18799568826921</v>
      </c>
      <c r="Q31" s="1502" t="s">
        <v>372</v>
      </c>
      <c r="R31" s="1502"/>
      <c r="S31" s="1502"/>
      <c r="T31" s="1502"/>
    </row>
    <row r="32" spans="1:20" ht="16.75" thickBot="1" x14ac:dyDescent="0.45">
      <c r="A32" s="561" t="s">
        <v>612</v>
      </c>
      <c r="B32" s="562" t="s">
        <v>59</v>
      </c>
      <c r="C32" s="565">
        <v>0</v>
      </c>
      <c r="D32" s="573">
        <f>D15*'GHG ERFs'!A206*365</f>
        <v>13126565.08</v>
      </c>
      <c r="E32" s="1505"/>
      <c r="F32" s="1500"/>
      <c r="G32" s="1500"/>
      <c r="H32" s="1501"/>
      <c r="P32" s="595">
        <f>D29/D31</f>
        <v>4.1067173034619575</v>
      </c>
      <c r="Q32" s="1498" t="s">
        <v>875</v>
      </c>
      <c r="R32" s="1498"/>
      <c r="S32" s="1498"/>
      <c r="T32" s="1498"/>
    </row>
  </sheetData>
  <sheetProtection algorithmName="SHA-512" hashValue="wgoTl7Wd2WpQVEq1yeCHasMBGvMknJ2w11lmUwGex69+dD1BX5EJWwG0BIXIkDyPp9f4Wg3Fgml0h081+G+/SQ==" saltValue="cTs3gS8XvDJ5wgViAbkfRg==" spinCount="100000" sheet="1" objects="1" scenarios="1"/>
  <mergeCells count="48">
    <mergeCell ref="Q32:T32"/>
    <mergeCell ref="Q29:T29"/>
    <mergeCell ref="Q30:T30"/>
    <mergeCell ref="Q31:T31"/>
    <mergeCell ref="P23:T23"/>
    <mergeCell ref="Q24:T24"/>
    <mergeCell ref="Q25:T25"/>
    <mergeCell ref="Q26:T26"/>
    <mergeCell ref="P28:T28"/>
    <mergeCell ref="E23:H23"/>
    <mergeCell ref="E24:H24"/>
    <mergeCell ref="E25:H25"/>
    <mergeCell ref="E26:H26"/>
    <mergeCell ref="E27:H27"/>
    <mergeCell ref="J23:N23"/>
    <mergeCell ref="K26:N26"/>
    <mergeCell ref="K25:N25"/>
    <mergeCell ref="K24:N24"/>
    <mergeCell ref="K29:N29"/>
    <mergeCell ref="K31:N31"/>
    <mergeCell ref="J28:N28"/>
    <mergeCell ref="E28:H28"/>
    <mergeCell ref="E30:H30"/>
    <mergeCell ref="E32:H32"/>
    <mergeCell ref="E31:H31"/>
    <mergeCell ref="K30:N30"/>
    <mergeCell ref="E29:H29"/>
    <mergeCell ref="E12:H12"/>
    <mergeCell ref="E13:H13"/>
    <mergeCell ref="E14:H14"/>
    <mergeCell ref="E15:H15"/>
    <mergeCell ref="E21:H22"/>
    <mergeCell ref="E6:H7"/>
    <mergeCell ref="E8:H8"/>
    <mergeCell ref="E9:H9"/>
    <mergeCell ref="E10:H10"/>
    <mergeCell ref="E11:H11"/>
    <mergeCell ref="A21:A22"/>
    <mergeCell ref="B21:B22"/>
    <mergeCell ref="C21:C22"/>
    <mergeCell ref="D21:D22"/>
    <mergeCell ref="A20:D20"/>
    <mergeCell ref="A16:D16"/>
    <mergeCell ref="A18:D18"/>
    <mergeCell ref="A6:A7"/>
    <mergeCell ref="C6:C7"/>
    <mergeCell ref="D6:D7"/>
    <mergeCell ref="B6:B7"/>
  </mergeCells>
  <hyperlinks>
    <hyperlink ref="A17" r:id="rId1" tooltip="Low Carbon Fuel Standard (LCFS) Pathway for the Production of Biomethane from Mesophilic Anaerobic Digestion of Wastewater Sludge at a Publicly Owned Treatment Works " xr:uid="{00000000-0004-0000-1400-000000000000}"/>
  </hyperlinks>
  <pageMargins left="0.7" right="0.7" top="0.75" bottom="0.75" header="0.3" footer="0.3"/>
  <pageSetup orientation="portrait" r:id="rId2"/>
  <ignoredErrors>
    <ignoredError sqref="C26" 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R15"/>
  <sheetViews>
    <sheetView workbookViewId="0">
      <selection activeCell="B4" sqref="B4"/>
    </sheetView>
  </sheetViews>
  <sheetFormatPr defaultRowHeight="14.6" x14ac:dyDescent="0.4"/>
  <cols>
    <col min="2" max="2" width="24.84375" bestFit="1" customWidth="1"/>
    <col min="3" max="3" width="24.84375" customWidth="1"/>
    <col min="4" max="4" width="22.15234375" customWidth="1"/>
    <col min="5" max="5" width="23.84375" customWidth="1"/>
    <col min="6" max="6" width="16" customWidth="1"/>
    <col min="7" max="7" width="16.53515625" customWidth="1"/>
    <col min="8" max="8" width="17.3046875" customWidth="1"/>
    <col min="9" max="9" width="11.84375" customWidth="1"/>
    <col min="10" max="10" width="12.53515625" customWidth="1"/>
    <col min="11" max="12" width="13.3828125" customWidth="1"/>
    <col min="13" max="13" width="12.3828125" customWidth="1"/>
    <col min="14" max="14" width="12.69140625" customWidth="1"/>
    <col min="15" max="15" width="9.84375" bestFit="1" customWidth="1"/>
    <col min="18" max="18" width="14.84375" customWidth="1"/>
    <col min="19" max="20" width="9.15234375" customWidth="1"/>
  </cols>
  <sheetData>
    <row r="1" spans="1:18" x14ac:dyDescent="0.4">
      <c r="B1" s="14"/>
      <c r="C1" s="14"/>
      <c r="D1" s="14"/>
      <c r="E1" s="14"/>
      <c r="F1" s="14"/>
      <c r="G1" s="14"/>
      <c r="H1" s="14"/>
      <c r="I1" s="14"/>
    </row>
    <row r="2" spans="1:18" ht="15" thickBot="1" x14ac:dyDescent="0.45">
      <c r="B2" s="14"/>
      <c r="C2" s="14"/>
      <c r="D2" s="14"/>
      <c r="E2" s="14"/>
      <c r="F2" s="14"/>
      <c r="G2" s="14"/>
      <c r="H2" s="14"/>
      <c r="I2" s="14"/>
    </row>
    <row r="3" spans="1:18" ht="36" customHeight="1" thickBot="1" x14ac:dyDescent="0.55000000000000004">
      <c r="B3" s="15" t="s">
        <v>1131</v>
      </c>
      <c r="C3" s="15"/>
      <c r="D3" s="16"/>
      <c r="E3" s="16"/>
      <c r="F3" s="14"/>
      <c r="G3" s="1465" t="s">
        <v>1079</v>
      </c>
      <c r="H3" s="1466"/>
      <c r="I3" s="1466"/>
      <c r="J3" s="1466"/>
      <c r="K3" s="1466"/>
      <c r="L3" s="1467"/>
      <c r="M3" s="1470" t="s">
        <v>901</v>
      </c>
      <c r="N3" s="1471"/>
      <c r="O3" s="1472"/>
    </row>
    <row r="4" spans="1:18" ht="44.15" thickBot="1" x14ac:dyDescent="0.45">
      <c r="B4" s="508" t="s">
        <v>1077</v>
      </c>
      <c r="C4" s="797" t="s">
        <v>1074</v>
      </c>
      <c r="D4" s="778" t="s">
        <v>22</v>
      </c>
      <c r="E4" s="778" t="s">
        <v>23</v>
      </c>
      <c r="F4" s="798" t="s">
        <v>169</v>
      </c>
      <c r="G4" s="799" t="s">
        <v>294</v>
      </c>
      <c r="H4" s="800" t="s">
        <v>295</v>
      </c>
      <c r="I4" s="801" t="s">
        <v>296</v>
      </c>
      <c r="J4" s="799" t="s">
        <v>297</v>
      </c>
      <c r="K4" s="800" t="s">
        <v>298</v>
      </c>
      <c r="L4" s="801" t="s">
        <v>299</v>
      </c>
      <c r="M4" s="799" t="s">
        <v>291</v>
      </c>
      <c r="N4" s="800" t="s">
        <v>292</v>
      </c>
      <c r="O4" s="801" t="s">
        <v>293</v>
      </c>
      <c r="Q4" s="190"/>
      <c r="R4" s="190"/>
    </row>
    <row r="5" spans="1:18" x14ac:dyDescent="0.4">
      <c r="B5" s="768">
        <f>'Community Compost'!C15</f>
        <v>0</v>
      </c>
      <c r="C5" s="804">
        <f>B5/'GHG ERFs'!$A$209/'GHG ERFs'!$A$210</f>
        <v>0</v>
      </c>
      <c r="D5" s="770">
        <f>'Community Compost'!D15</f>
        <v>0</v>
      </c>
      <c r="E5" s="821">
        <f>1-D5</f>
        <v>1</v>
      </c>
      <c r="F5" s="806">
        <f>C5*D5*'GHG ERFs'!$B$14+'Community Compost Calcs'!C5*'Community Compost Calcs'!E5*'GHG ERFs'!$B$15</f>
        <v>0</v>
      </c>
      <c r="G5" s="823">
        <f>((B5*E5))*'Co-Ben ERFs'!$B$15</f>
        <v>0</v>
      </c>
      <c r="H5" s="808">
        <f>((B5*E5))*'Co-Ben ERFs'!$B$16</f>
        <v>0</v>
      </c>
      <c r="I5" s="809">
        <f>((B5*E5))*'Co-Ben ERFs'!$B$17</f>
        <v>0</v>
      </c>
      <c r="J5" s="811">
        <f>((B5*D5))*'Co-Ben ERFs'!$B$18</f>
        <v>0</v>
      </c>
      <c r="K5" s="808">
        <f>((B5*D5))*'Co-Ben ERFs'!$B$19</f>
        <v>0</v>
      </c>
      <c r="L5" s="816">
        <f>((B5*D5))*'Co-Ben ERFs'!$B$20</f>
        <v>0</v>
      </c>
      <c r="M5" s="813">
        <f t="shared" ref="M5:O9" si="0">(G5+J5)</f>
        <v>0</v>
      </c>
      <c r="N5" s="814">
        <f t="shared" si="0"/>
        <v>0</v>
      </c>
      <c r="O5" s="815">
        <f t="shared" si="0"/>
        <v>0</v>
      </c>
      <c r="Q5" s="159"/>
      <c r="R5" s="159"/>
    </row>
    <row r="6" spans="1:18" x14ac:dyDescent="0.4">
      <c r="B6" s="805">
        <f>'Community Compost'!C16</f>
        <v>0</v>
      </c>
      <c r="C6" s="149">
        <f>B6/'GHG ERFs'!$A$209/'GHG ERFs'!$A$210</f>
        <v>0</v>
      </c>
      <c r="D6" s="802">
        <f>'Community Compost'!D16</f>
        <v>0</v>
      </c>
      <c r="E6" s="822">
        <f>1-D6</f>
        <v>1</v>
      </c>
      <c r="F6" s="807">
        <f>C6*D6*'GHG ERFs'!$B$14+'Community Compost Calcs'!C6*'Community Compost Calcs'!E6*'GHG ERFs'!$B$15</f>
        <v>0</v>
      </c>
      <c r="G6" s="824">
        <f>((B6*E6))*'Co-Ben ERFs'!$B$15</f>
        <v>0</v>
      </c>
      <c r="H6" s="803">
        <f>((B6*E6))*'Co-Ben ERFs'!$B$16</f>
        <v>0</v>
      </c>
      <c r="I6" s="810">
        <f>((B6*E6))*'Co-Ben ERFs'!$B$17</f>
        <v>0</v>
      </c>
      <c r="J6" s="812">
        <f>((B6*D6))*'Co-Ben ERFs'!$B$18</f>
        <v>0</v>
      </c>
      <c r="K6" s="803">
        <f>((B6*D6))*'Co-Ben ERFs'!$B$19</f>
        <v>0</v>
      </c>
      <c r="L6" s="817">
        <f>((B6*D6))*'Co-Ben ERFs'!$B$20</f>
        <v>0</v>
      </c>
      <c r="M6" s="718">
        <f t="shared" si="0"/>
        <v>0</v>
      </c>
      <c r="N6" s="719">
        <f t="shared" si="0"/>
        <v>0</v>
      </c>
      <c r="O6" s="720">
        <f t="shared" si="0"/>
        <v>0</v>
      </c>
    </row>
    <row r="7" spans="1:18" x14ac:dyDescent="0.4">
      <c r="B7" s="805">
        <f>'Community Compost'!C17</f>
        <v>0</v>
      </c>
      <c r="C7" s="149">
        <f>B7/'GHG ERFs'!$A$209/'GHG ERFs'!$A$210</f>
        <v>0</v>
      </c>
      <c r="D7" s="802">
        <f>'Community Compost'!D17</f>
        <v>0</v>
      </c>
      <c r="E7" s="822">
        <f>1-D7</f>
        <v>1</v>
      </c>
      <c r="F7" s="807">
        <f>C7*D7*'GHG ERFs'!$B$14+'Community Compost Calcs'!C7*'Community Compost Calcs'!E7*'GHG ERFs'!$B$15</f>
        <v>0</v>
      </c>
      <c r="G7" s="824">
        <f>((B7*E7))*'Co-Ben ERFs'!$B$15</f>
        <v>0</v>
      </c>
      <c r="H7" s="803">
        <f>((B7*E7))*'Co-Ben ERFs'!$B$16</f>
        <v>0</v>
      </c>
      <c r="I7" s="810">
        <f>((B7*E7))*'Co-Ben ERFs'!$B$17</f>
        <v>0</v>
      </c>
      <c r="J7" s="812">
        <f>((B7*D7))*'Co-Ben ERFs'!$B$18</f>
        <v>0</v>
      </c>
      <c r="K7" s="803">
        <f>((B7*D7))*'Co-Ben ERFs'!$B$19</f>
        <v>0</v>
      </c>
      <c r="L7" s="817">
        <f>((B7*D7))*'Co-Ben ERFs'!$B$20</f>
        <v>0</v>
      </c>
      <c r="M7" s="718">
        <f t="shared" si="0"/>
        <v>0</v>
      </c>
      <c r="N7" s="719">
        <f t="shared" si="0"/>
        <v>0</v>
      </c>
      <c r="O7" s="720">
        <f t="shared" si="0"/>
        <v>0</v>
      </c>
    </row>
    <row r="8" spans="1:18" x14ac:dyDescent="0.4">
      <c r="B8" s="805">
        <f>'Community Compost'!C18</f>
        <v>0</v>
      </c>
      <c r="C8" s="149">
        <f>B8/'GHG ERFs'!$A$209/'GHG ERFs'!$A$210</f>
        <v>0</v>
      </c>
      <c r="D8" s="802">
        <f>'Community Compost'!D18</f>
        <v>0</v>
      </c>
      <c r="E8" s="822">
        <f>1-D8</f>
        <v>1</v>
      </c>
      <c r="F8" s="807">
        <f>C8*D8*'GHG ERFs'!$B$14+'Community Compost Calcs'!C8*'Community Compost Calcs'!E8*'GHG ERFs'!$B$15</f>
        <v>0</v>
      </c>
      <c r="G8" s="824">
        <f>((B8*E8))*'Co-Ben ERFs'!$B$15</f>
        <v>0</v>
      </c>
      <c r="H8" s="803">
        <f>((B8*E8))*'Co-Ben ERFs'!$B$16</f>
        <v>0</v>
      </c>
      <c r="I8" s="810">
        <f>((B8*E8))*'Co-Ben ERFs'!$B$17</f>
        <v>0</v>
      </c>
      <c r="J8" s="812">
        <f>((B8*D8))*'Co-Ben ERFs'!$B$18</f>
        <v>0</v>
      </c>
      <c r="K8" s="803">
        <f>((B8*D8))*'Co-Ben ERFs'!$B$19</f>
        <v>0</v>
      </c>
      <c r="L8" s="817">
        <f>((B8*D8))*'Co-Ben ERFs'!$B$20</f>
        <v>0</v>
      </c>
      <c r="M8" s="718">
        <f t="shared" si="0"/>
        <v>0</v>
      </c>
      <c r="N8" s="719">
        <f t="shared" si="0"/>
        <v>0</v>
      </c>
      <c r="O8" s="720">
        <f t="shared" si="0"/>
        <v>0</v>
      </c>
    </row>
    <row r="9" spans="1:18" ht="15" thickBot="1" x14ac:dyDescent="0.45">
      <c r="B9" s="805">
        <f>'Community Compost'!C19</f>
        <v>0</v>
      </c>
      <c r="C9" s="149">
        <f>B9/'GHG ERFs'!$A$209/'GHG ERFs'!$A$210</f>
        <v>0</v>
      </c>
      <c r="D9" s="802">
        <f>'Community Compost'!D19</f>
        <v>0</v>
      </c>
      <c r="E9" s="822">
        <f>1-D9</f>
        <v>1</v>
      </c>
      <c r="F9" s="807">
        <f>C9*D9*'GHG ERFs'!$B$14+'Community Compost Calcs'!C9*'Community Compost Calcs'!E9*'GHG ERFs'!$B$15</f>
        <v>0</v>
      </c>
      <c r="G9" s="824">
        <f>((B9*E9))*'Co-Ben ERFs'!$B$15</f>
        <v>0</v>
      </c>
      <c r="H9" s="803">
        <f>((B9*E9))*'Co-Ben ERFs'!$B$16</f>
        <v>0</v>
      </c>
      <c r="I9" s="810">
        <f>((B9*E9))*'Co-Ben ERFs'!$B$17</f>
        <v>0</v>
      </c>
      <c r="J9" s="812">
        <f>((B9*D9))*'Co-Ben ERFs'!$B$18</f>
        <v>0</v>
      </c>
      <c r="K9" s="803">
        <f>((B9*D9))*'Co-Ben ERFs'!$B$19</f>
        <v>0</v>
      </c>
      <c r="L9" s="817">
        <f>((B9*D9))*'Co-Ben ERFs'!$B$20</f>
        <v>0</v>
      </c>
      <c r="M9" s="718">
        <f t="shared" si="0"/>
        <v>0</v>
      </c>
      <c r="N9" s="719">
        <f t="shared" si="0"/>
        <v>0</v>
      </c>
      <c r="O9" s="720">
        <f t="shared" si="0"/>
        <v>0</v>
      </c>
    </row>
    <row r="10" spans="1:18" ht="15" thickBot="1" x14ac:dyDescent="0.45">
      <c r="A10" t="s">
        <v>194</v>
      </c>
      <c r="B10" s="818">
        <f t="shared" ref="B10:O10" si="1">SUM(B5:B9)</f>
        <v>0</v>
      </c>
      <c r="C10" s="819">
        <f t="shared" si="1"/>
        <v>0</v>
      </c>
      <c r="D10" s="819">
        <f t="shared" si="1"/>
        <v>0</v>
      </c>
      <c r="E10" s="819">
        <f t="shared" si="1"/>
        <v>5</v>
      </c>
      <c r="F10" s="825">
        <f t="shared" si="1"/>
        <v>0</v>
      </c>
      <c r="G10" s="819">
        <f t="shared" si="1"/>
        <v>0</v>
      </c>
      <c r="H10" s="819">
        <f t="shared" si="1"/>
        <v>0</v>
      </c>
      <c r="I10" s="819">
        <f t="shared" si="1"/>
        <v>0</v>
      </c>
      <c r="J10" s="819">
        <f t="shared" si="1"/>
        <v>0</v>
      </c>
      <c r="K10" s="819">
        <f t="shared" si="1"/>
        <v>0</v>
      </c>
      <c r="L10" s="819">
        <f t="shared" si="1"/>
        <v>0</v>
      </c>
      <c r="M10" s="819">
        <f t="shared" si="1"/>
        <v>0</v>
      </c>
      <c r="N10" s="819">
        <f t="shared" si="1"/>
        <v>0</v>
      </c>
      <c r="O10" s="820">
        <f t="shared" si="1"/>
        <v>0</v>
      </c>
    </row>
    <row r="11" spans="1:18" x14ac:dyDescent="0.4">
      <c r="B11" s="14"/>
      <c r="C11" s="14"/>
      <c r="D11" s="14"/>
      <c r="E11" s="14"/>
      <c r="F11" s="14"/>
      <c r="G11" s="14"/>
      <c r="H11" s="14"/>
      <c r="I11" s="14"/>
    </row>
    <row r="12" spans="1:18" x14ac:dyDescent="0.4">
      <c r="B12" s="14"/>
      <c r="C12" s="14"/>
      <c r="D12" s="14"/>
      <c r="E12" s="14"/>
      <c r="F12" s="14"/>
      <c r="G12" s="14"/>
      <c r="H12" s="14"/>
      <c r="I12" s="14"/>
    </row>
    <row r="13" spans="1:18" x14ac:dyDescent="0.4">
      <c r="B13" s="14"/>
      <c r="C13" s="14"/>
      <c r="D13" s="14"/>
      <c r="E13" s="14"/>
      <c r="F13" s="14"/>
      <c r="G13" s="14"/>
      <c r="H13" s="14"/>
      <c r="I13" s="14"/>
    </row>
    <row r="14" spans="1:18" x14ac:dyDescent="0.4">
      <c r="B14" s="14"/>
      <c r="C14" s="14"/>
      <c r="D14" s="14"/>
      <c r="E14" s="14"/>
      <c r="F14" s="14"/>
      <c r="G14" s="14"/>
      <c r="H14" s="14"/>
      <c r="I14" s="14"/>
    </row>
    <row r="15" spans="1:18" x14ac:dyDescent="0.4">
      <c r="B15" s="14"/>
      <c r="C15" s="14"/>
      <c r="D15" s="14"/>
      <c r="E15" s="14"/>
      <c r="F15" s="14"/>
      <c r="G15" s="14"/>
      <c r="H15" s="14"/>
      <c r="I15" s="14"/>
    </row>
  </sheetData>
  <sheetProtection algorithmName="SHA-512" hashValue="3FWdfyesiLw5GhTzQtM8uMiTGFpRMJuV2jXQgvVCe0VWqe8lkLZZib8Vvq2orVgGLl3eSh1+9bFcK9j75e3SJg==" saltValue="rr+EAH1QR+3IaHn0pXzq8g==" spinCount="100000" sheet="1" objects="1" scenarios="1"/>
  <mergeCells count="2">
    <mergeCell ref="G3:L3"/>
    <mergeCell ref="M3:O3"/>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64"/>
  <sheetViews>
    <sheetView workbookViewId="0">
      <selection activeCell="E26" sqref="E26"/>
    </sheetView>
  </sheetViews>
  <sheetFormatPr defaultRowHeight="14.6" x14ac:dyDescent="0.4"/>
  <cols>
    <col min="1" max="1" width="35" customWidth="1"/>
    <col min="2" max="2" width="24.15234375" customWidth="1"/>
    <col min="3" max="3" width="26.3828125" customWidth="1"/>
    <col min="4" max="4" width="36.84375" customWidth="1"/>
    <col min="5" max="5" width="23" customWidth="1"/>
    <col min="6" max="6" width="21.69140625" customWidth="1"/>
    <col min="7" max="7" width="23.53515625" customWidth="1"/>
    <col min="8" max="8" width="22.84375" customWidth="1"/>
    <col min="9" max="9" width="22" customWidth="1"/>
    <col min="10" max="10" width="30.53515625" customWidth="1"/>
    <col min="11" max="11" width="29.69140625" customWidth="1"/>
    <col min="12" max="12" width="28.15234375" customWidth="1"/>
    <col min="13" max="13" width="26.15234375" customWidth="1"/>
    <col min="14" max="14" width="27.84375" customWidth="1"/>
    <col min="15" max="15" width="27.69140625" customWidth="1"/>
    <col min="16" max="16" width="16.3828125" customWidth="1"/>
  </cols>
  <sheetData>
    <row r="1" spans="1:16" x14ac:dyDescent="0.4">
      <c r="A1" s="14"/>
      <c r="B1" s="14"/>
      <c r="C1" s="14"/>
      <c r="D1" s="14"/>
      <c r="E1" s="14"/>
      <c r="F1" s="14"/>
      <c r="G1" s="14"/>
      <c r="H1" s="14"/>
      <c r="I1" s="14"/>
      <c r="J1" s="14"/>
      <c r="K1" s="14"/>
      <c r="L1" s="14"/>
      <c r="M1" s="14"/>
      <c r="N1" s="14"/>
      <c r="O1" s="14"/>
      <c r="P1" s="14"/>
    </row>
    <row r="2" spans="1:16" x14ac:dyDescent="0.4">
      <c r="A2" s="14"/>
      <c r="B2" s="14"/>
      <c r="C2" s="14"/>
      <c r="D2" s="14"/>
      <c r="E2" s="14"/>
      <c r="F2" s="14"/>
      <c r="G2" s="14"/>
      <c r="H2" s="14"/>
      <c r="I2" s="14"/>
      <c r="J2" s="14"/>
      <c r="K2" s="14"/>
      <c r="L2" s="14"/>
      <c r="M2" s="14"/>
      <c r="N2" s="14"/>
      <c r="O2" s="14"/>
      <c r="P2" s="14"/>
    </row>
    <row r="3" spans="1:16" x14ac:dyDescent="0.4">
      <c r="A3" s="14"/>
      <c r="B3" s="14"/>
      <c r="C3" s="14"/>
      <c r="D3" s="14"/>
      <c r="E3" s="14"/>
      <c r="F3" s="14"/>
      <c r="G3" s="14"/>
      <c r="H3" s="14"/>
      <c r="I3" s="14"/>
      <c r="J3" s="14"/>
      <c r="K3" s="14"/>
      <c r="L3" s="14"/>
      <c r="M3" s="14"/>
      <c r="N3" s="14"/>
      <c r="O3" s="14"/>
      <c r="P3" s="14"/>
    </row>
    <row r="4" spans="1:16" ht="18.75" customHeight="1" x14ac:dyDescent="0.5">
      <c r="A4" s="15" t="s">
        <v>833</v>
      </c>
      <c r="B4" s="16"/>
      <c r="C4" s="16"/>
      <c r="D4" s="16"/>
      <c r="E4" s="16"/>
      <c r="F4" s="16"/>
      <c r="G4" s="16"/>
      <c r="H4" s="16"/>
      <c r="I4" s="16"/>
      <c r="J4" s="14"/>
      <c r="K4" s="14"/>
      <c r="L4" s="14"/>
      <c r="M4" s="14"/>
      <c r="N4" s="14"/>
      <c r="O4" s="14"/>
      <c r="P4" s="14"/>
    </row>
    <row r="5" spans="1:16" ht="15.9" x14ac:dyDescent="0.45">
      <c r="A5" s="574" t="s">
        <v>397</v>
      </c>
      <c r="B5" s="575">
        <f>'Co-Digestion'!C14</f>
        <v>0</v>
      </c>
      <c r="C5" s="16" t="str">
        <f>IF(B5=Misc!C1,"Small-Medium Facility","Medium-Large Facility")</f>
        <v>Medium-Large Facility</v>
      </c>
      <c r="D5" s="16"/>
      <c r="E5" s="16"/>
      <c r="F5" s="16"/>
      <c r="G5" s="14"/>
      <c r="H5" s="14"/>
      <c r="I5" s="14"/>
      <c r="J5" s="14"/>
      <c r="K5" s="14"/>
      <c r="L5" s="14"/>
      <c r="M5" s="14"/>
    </row>
    <row r="6" spans="1:16" ht="15.9" x14ac:dyDescent="0.45">
      <c r="A6" s="574" t="s">
        <v>398</v>
      </c>
      <c r="B6" s="575">
        <f>'Co-Digestion'!C15</f>
        <v>0</v>
      </c>
      <c r="C6" s="16"/>
      <c r="D6" s="16"/>
      <c r="E6" s="16"/>
      <c r="F6" s="16"/>
      <c r="G6" s="14"/>
      <c r="H6" s="14"/>
      <c r="I6" s="14"/>
      <c r="J6" s="14"/>
      <c r="K6" s="14"/>
      <c r="L6" s="14"/>
      <c r="M6" s="14"/>
    </row>
    <row r="7" spans="1:16" ht="15.9" x14ac:dyDescent="0.45">
      <c r="A7" s="574" t="s">
        <v>399</v>
      </c>
      <c r="B7" s="575">
        <f>'Co-Digestion'!C16</f>
        <v>0</v>
      </c>
      <c r="C7" s="16"/>
      <c r="D7" s="16"/>
      <c r="E7" s="16"/>
      <c r="F7" s="16"/>
      <c r="G7" s="14"/>
      <c r="H7" s="14"/>
      <c r="I7" s="14"/>
      <c r="J7" s="14"/>
      <c r="K7" s="14"/>
      <c r="L7" s="14"/>
      <c r="M7" s="14"/>
    </row>
    <row r="8" spans="1:16" ht="15.9" x14ac:dyDescent="0.45">
      <c r="A8" s="576" t="s">
        <v>815</v>
      </c>
      <c r="B8" s="575">
        <f>'Co-Digestion'!C17</f>
        <v>0</v>
      </c>
      <c r="C8" s="16"/>
      <c r="D8" s="16"/>
      <c r="E8" s="16"/>
      <c r="F8" s="16"/>
      <c r="G8" s="14"/>
      <c r="H8" s="14"/>
      <c r="I8" s="14"/>
      <c r="J8" s="14"/>
      <c r="K8" s="14"/>
      <c r="L8" s="14"/>
      <c r="M8" s="14"/>
    </row>
    <row r="9" spans="1:16" ht="15.9" x14ac:dyDescent="0.45">
      <c r="A9" s="574" t="s">
        <v>703</v>
      </c>
      <c r="B9" s="575">
        <f>'Co-Digestion'!C18</f>
        <v>0</v>
      </c>
      <c r="C9" s="16"/>
      <c r="D9" s="16"/>
      <c r="E9" s="16"/>
      <c r="F9" s="16"/>
      <c r="G9" s="14"/>
      <c r="H9" s="14"/>
      <c r="I9" s="14"/>
      <c r="J9" s="14"/>
      <c r="K9" s="14"/>
      <c r="L9" s="14"/>
      <c r="M9" s="14"/>
    </row>
    <row r="10" spans="1:16" ht="15.9" x14ac:dyDescent="0.45">
      <c r="A10" s="574" t="s">
        <v>758</v>
      </c>
      <c r="B10" s="575">
        <f>'Co-Digestion'!C19</f>
        <v>0</v>
      </c>
      <c r="C10" s="16"/>
      <c r="D10" s="16"/>
      <c r="E10" s="16"/>
      <c r="F10" s="16"/>
      <c r="G10" s="16"/>
      <c r="H10" s="14"/>
      <c r="I10" s="14"/>
      <c r="J10" s="14"/>
      <c r="K10" s="14"/>
      <c r="L10" s="14"/>
      <c r="M10" s="14"/>
      <c r="N10" s="14"/>
    </row>
    <row r="11" spans="1:16" ht="18.45" x14ac:dyDescent="0.5">
      <c r="A11" s="15"/>
      <c r="B11" s="16"/>
      <c r="C11" s="16"/>
      <c r="D11" s="16"/>
      <c r="E11" s="16"/>
      <c r="F11" s="16"/>
      <c r="G11" s="16"/>
      <c r="H11" s="16"/>
      <c r="I11" s="16"/>
      <c r="J11" s="14"/>
      <c r="K11" s="14"/>
      <c r="L11" s="14"/>
      <c r="M11" s="14"/>
      <c r="N11" s="14"/>
      <c r="O11" s="14"/>
      <c r="P11" s="14"/>
    </row>
    <row r="12" spans="1:16" ht="43.75" x14ac:dyDescent="0.4">
      <c r="A12" s="122" t="s">
        <v>786</v>
      </c>
      <c r="B12" s="486" t="s">
        <v>30</v>
      </c>
      <c r="C12" s="122" t="s">
        <v>38</v>
      </c>
      <c r="D12" s="122" t="s">
        <v>789</v>
      </c>
    </row>
    <row r="13" spans="1:16" x14ac:dyDescent="0.4">
      <c r="A13" s="85">
        <f>'Co-Digestion'!B22</f>
        <v>0</v>
      </c>
      <c r="B13" s="85">
        <f>'Co-Digestion'!C22</f>
        <v>0</v>
      </c>
      <c r="C13" s="149">
        <f>A13-B13</f>
        <v>0</v>
      </c>
      <c r="D13" s="550">
        <f>IF(A13=0,0,(C13/$C$23)*$F$26)</f>
        <v>0</v>
      </c>
    </row>
    <row r="14" spans="1:16" x14ac:dyDescent="0.4">
      <c r="A14" s="85">
        <f>'Co-Digestion'!B23</f>
        <v>0</v>
      </c>
      <c r="B14" s="85">
        <f>'Co-Digestion'!C23</f>
        <v>0</v>
      </c>
      <c r="C14" s="149">
        <f t="shared" ref="C14:C22" si="0">A14-B14</f>
        <v>0</v>
      </c>
      <c r="D14" s="550">
        <f t="shared" ref="D14:D22" si="1">IF(A14=0,0,(C14/$C$23)*$F$26)</f>
        <v>0</v>
      </c>
    </row>
    <row r="15" spans="1:16" x14ac:dyDescent="0.4">
      <c r="A15" s="85">
        <f>'Co-Digestion'!B24</f>
        <v>0</v>
      </c>
      <c r="B15" s="85">
        <f>'Co-Digestion'!C24</f>
        <v>0</v>
      </c>
      <c r="C15" s="149">
        <f t="shared" si="0"/>
        <v>0</v>
      </c>
      <c r="D15" s="550">
        <f t="shared" si="1"/>
        <v>0</v>
      </c>
    </row>
    <row r="16" spans="1:16" x14ac:dyDescent="0.4">
      <c r="A16" s="85">
        <f>'Co-Digestion'!B25</f>
        <v>0</v>
      </c>
      <c r="B16" s="85">
        <f>'Co-Digestion'!C25</f>
        <v>0</v>
      </c>
      <c r="C16" s="149">
        <f t="shared" si="0"/>
        <v>0</v>
      </c>
      <c r="D16" s="550">
        <f t="shared" si="1"/>
        <v>0</v>
      </c>
    </row>
    <row r="17" spans="1:16" x14ac:dyDescent="0.4">
      <c r="A17" s="85">
        <f>'Co-Digestion'!B26</f>
        <v>0</v>
      </c>
      <c r="B17" s="85">
        <f>'Co-Digestion'!C26</f>
        <v>0</v>
      </c>
      <c r="C17" s="149">
        <f t="shared" si="0"/>
        <v>0</v>
      </c>
      <c r="D17" s="550">
        <f t="shared" si="1"/>
        <v>0</v>
      </c>
    </row>
    <row r="18" spans="1:16" x14ac:dyDescent="0.4">
      <c r="A18" s="85">
        <f>'Co-Digestion'!B27</f>
        <v>0</v>
      </c>
      <c r="B18" s="85">
        <f>'Co-Digestion'!C27</f>
        <v>0</v>
      </c>
      <c r="C18" s="149">
        <f t="shared" si="0"/>
        <v>0</v>
      </c>
      <c r="D18" s="550">
        <f t="shared" si="1"/>
        <v>0</v>
      </c>
    </row>
    <row r="19" spans="1:16" x14ac:dyDescent="0.4">
      <c r="A19" s="85">
        <f>'Co-Digestion'!B28</f>
        <v>0</v>
      </c>
      <c r="B19" s="85">
        <f>'Co-Digestion'!C28</f>
        <v>0</v>
      </c>
      <c r="C19" s="149">
        <f t="shared" si="0"/>
        <v>0</v>
      </c>
      <c r="D19" s="550">
        <f t="shared" si="1"/>
        <v>0</v>
      </c>
    </row>
    <row r="20" spans="1:16" x14ac:dyDescent="0.4">
      <c r="A20" s="85">
        <f>'Co-Digestion'!B29</f>
        <v>0</v>
      </c>
      <c r="B20" s="85">
        <f>'Co-Digestion'!C29</f>
        <v>0</v>
      </c>
      <c r="C20" s="149">
        <f t="shared" si="0"/>
        <v>0</v>
      </c>
      <c r="D20" s="550">
        <f t="shared" si="1"/>
        <v>0</v>
      </c>
    </row>
    <row r="21" spans="1:16" x14ac:dyDescent="0.4">
      <c r="A21" s="85">
        <f>'Co-Digestion'!B30</f>
        <v>0</v>
      </c>
      <c r="B21" s="85">
        <f>'Co-Digestion'!C30</f>
        <v>0</v>
      </c>
      <c r="C21" s="149">
        <f t="shared" si="0"/>
        <v>0</v>
      </c>
      <c r="D21" s="550">
        <f t="shared" si="1"/>
        <v>0</v>
      </c>
    </row>
    <row r="22" spans="1:16" x14ac:dyDescent="0.4">
      <c r="A22" s="85">
        <f>'Co-Digestion'!B31</f>
        <v>0</v>
      </c>
      <c r="B22" s="85">
        <f>'Co-Digestion'!C31</f>
        <v>0</v>
      </c>
      <c r="C22" s="149">
        <f t="shared" si="0"/>
        <v>0</v>
      </c>
      <c r="D22" s="550">
        <f t="shared" si="1"/>
        <v>0</v>
      </c>
    </row>
    <row r="23" spans="1:16" x14ac:dyDescent="0.4">
      <c r="A23" s="505">
        <f>SUM(A13:A22)</f>
        <v>0</v>
      </c>
      <c r="B23" s="505">
        <f>SUM(B13:B22)</f>
        <v>0</v>
      </c>
      <c r="C23" s="505">
        <f>SUM(C13:C22)</f>
        <v>0</v>
      </c>
      <c r="D23" s="551">
        <f>SUM(D13:D22)</f>
        <v>0</v>
      </c>
    </row>
    <row r="24" spans="1:16" ht="15" thickBot="1" x14ac:dyDescent="0.45">
      <c r="A24" s="14"/>
      <c r="B24" s="14"/>
      <c r="C24" s="14"/>
      <c r="D24" s="14"/>
      <c r="E24" s="14"/>
      <c r="F24" s="14"/>
      <c r="G24" s="14"/>
      <c r="H24" s="14"/>
      <c r="I24" s="14"/>
      <c r="J24" s="14"/>
      <c r="K24" s="14"/>
      <c r="L24" s="14"/>
      <c r="M24" s="14"/>
      <c r="N24" s="14"/>
      <c r="O24" s="14"/>
      <c r="P24" s="14"/>
    </row>
    <row r="25" spans="1:16" ht="44.15" thickBot="1" x14ac:dyDescent="0.45">
      <c r="A25" s="487" t="s">
        <v>790</v>
      </c>
      <c r="B25" s="506" t="s">
        <v>791</v>
      </c>
      <c r="C25" s="507" t="s">
        <v>38</v>
      </c>
      <c r="D25" s="508" t="s">
        <v>792</v>
      </c>
      <c r="E25" s="508" t="s">
        <v>793</v>
      </c>
      <c r="F25" s="509" t="s">
        <v>169</v>
      </c>
      <c r="G25" s="623" t="s">
        <v>900</v>
      </c>
      <c r="H25" s="623" t="s">
        <v>920</v>
      </c>
      <c r="I25" s="623" t="s">
        <v>922</v>
      </c>
    </row>
    <row r="26" spans="1:16" ht="15" thickBot="1" x14ac:dyDescent="0.45">
      <c r="A26" s="545">
        <f>A23</f>
        <v>0</v>
      </c>
      <c r="B26" s="546">
        <f>B23</f>
        <v>0</v>
      </c>
      <c r="C26" s="546">
        <f>C23</f>
        <v>0</v>
      </c>
      <c r="D26" s="547" t="str">
        <f>CONCATENATE(B7," - ",C5," - ",B6)</f>
        <v>0 - Medium-Large Facility - 0</v>
      </c>
      <c r="E26" s="548">
        <f>IF(A26=0,0,VLOOKUP(D26,'GHG ERFs'!A39:D62,2,FALSE))</f>
        <v>0</v>
      </c>
      <c r="F26" s="549">
        <f>C26*E26</f>
        <v>0</v>
      </c>
      <c r="G26" s="624">
        <f>IF(OR(D26='GHG ERFs'!A48,D26='GHG ERFs'!A49,D26='GHG ERFs'!A50,D26='GHG ERFs'!A52,D26='GHG ERFs'!A53,D26='GHG ERFs'!A54),'Standalone AD Calcs'!C26*'Standalone AD ERF'!B64,0)</f>
        <v>0</v>
      </c>
      <c r="H26" s="631">
        <f>IF(B7=Misc!C10,IF('Co-Digestion Calcs'!C5=Misc!C27,'Co-Digestion Calcs'!C23*'Co-Digestion Co-ben'!J24,'Co-Digestion Co-ben'!P24*'Co-Digestion Calcs'!C23),0)</f>
        <v>0</v>
      </c>
      <c r="I26" s="631">
        <f>IF(B7=Misc!C8,'Co-Digestion Calcs'!A30,0)</f>
        <v>0</v>
      </c>
    </row>
    <row r="27" spans="1:16" ht="15" thickBot="1" x14ac:dyDescent="0.45">
      <c r="C27" s="128"/>
      <c r="D27" s="128"/>
      <c r="E27" s="128"/>
    </row>
    <row r="28" spans="1:16" ht="15" thickBot="1" x14ac:dyDescent="0.45">
      <c r="A28" s="1484" t="s">
        <v>819</v>
      </c>
      <c r="B28" s="1485"/>
      <c r="C28" s="1485"/>
      <c r="D28" s="1485"/>
      <c r="E28" s="1485"/>
      <c r="F28" s="1485"/>
      <c r="G28" s="1485"/>
      <c r="H28" s="1485"/>
      <c r="I28" s="1486"/>
    </row>
    <row r="29" spans="1:16" ht="30.75" customHeight="1" thickBot="1" x14ac:dyDescent="0.45">
      <c r="A29" s="521" t="s">
        <v>803</v>
      </c>
      <c r="B29" s="525" t="s">
        <v>703</v>
      </c>
      <c r="C29" s="525" t="s">
        <v>816</v>
      </c>
      <c r="D29" s="525" t="s">
        <v>807</v>
      </c>
      <c r="E29" s="525" t="s">
        <v>809</v>
      </c>
      <c r="F29" s="522" t="s">
        <v>804</v>
      </c>
      <c r="G29" s="523" t="s">
        <v>808</v>
      </c>
      <c r="H29" s="523" t="s">
        <v>805</v>
      </c>
      <c r="I29" s="524" t="s">
        <v>806</v>
      </c>
    </row>
    <row r="30" spans="1:16" ht="15" thickBot="1" x14ac:dyDescent="0.45">
      <c r="A30" s="531" t="e">
        <f>IF(B7="Electricity Generation",0,IF(C5=Misc!C27,'Co-Digestion Co-ben'!J24,'Co-Digestion Co-ben'!P24)*C23*C30)</f>
        <v>#N/A</v>
      </c>
      <c r="B30" s="532">
        <f>IF(B7=Misc!C10,Misc!C18,B9)</f>
        <v>0</v>
      </c>
      <c r="C30" s="533" t="e">
        <f>IF(B7="Electricity Generation",0,VLOOKUP(B30,Factors!A32:B34,2,FALSE))</f>
        <v>#N/A</v>
      </c>
      <c r="D30" s="532">
        <f>B9</f>
        <v>0</v>
      </c>
      <c r="E30" s="534">
        <f>IF(D30=Misc!C15,0.1,1)</f>
        <v>1</v>
      </c>
      <c r="F30" s="532">
        <f>IF(B30=Misc!C19,(Factors!B15-Factors!B19)*Factors!F15*(1/454)*A30,0)</f>
        <v>0</v>
      </c>
      <c r="G30" s="532">
        <f>IF(A26=0,0,IF(B30=Misc!C19,(Factors!C15-Factors!C19)*Factors!F15*(1/454)*A30,(Factors!C15-(Factors!C16*E30))*Factors!F15*(1/454)*A30))</f>
        <v>0</v>
      </c>
      <c r="H30" s="532">
        <f>IF(B30=Misc!C19,(Factors!D15-Factors!D19)*Factors!F15*(1/454)*A30,0)</f>
        <v>0</v>
      </c>
      <c r="I30" s="535">
        <f>IF(A26=0,0,IF(B30=Misc!C19,(Factors!E15-Factors!E19)*Factors!F15*(1/454)*A30,(Factors!E15-Factors!E16)*Factors!F15*(1/454)*A30))</f>
        <v>0</v>
      </c>
    </row>
    <row r="31" spans="1:16" ht="15" thickBot="1" x14ac:dyDescent="0.45"/>
    <row r="32" spans="1:16" x14ac:dyDescent="0.4">
      <c r="A32" s="1481" t="s">
        <v>820</v>
      </c>
      <c r="B32" s="1482"/>
      <c r="C32" s="1482"/>
      <c r="D32" s="1482"/>
      <c r="E32" s="1482"/>
      <c r="F32" s="1483"/>
    </row>
    <row r="33" spans="1:7" ht="15" thickBot="1" x14ac:dyDescent="0.45">
      <c r="A33" s="480"/>
      <c r="B33" s="510" t="s">
        <v>870</v>
      </c>
      <c r="C33" s="510" t="s">
        <v>804</v>
      </c>
      <c r="D33" s="604" t="s">
        <v>808</v>
      </c>
      <c r="E33" s="604" t="s">
        <v>805</v>
      </c>
      <c r="F33" s="161" t="s">
        <v>806</v>
      </c>
    </row>
    <row r="34" spans="1:7" x14ac:dyDescent="0.4">
      <c r="A34" s="596" t="s">
        <v>825</v>
      </c>
      <c r="B34" s="603">
        <f>IF(B7="Electricity Generation",IF(C5=Misc!C27,'Co-Digestion Co-ben'!J25,'Co-Digestion Co-ben'!P25),0)*C23</f>
        <v>0</v>
      </c>
      <c r="C34" s="603">
        <f>$B$34*'Co-Ben ERFs'!B25</f>
        <v>0</v>
      </c>
      <c r="D34" s="603">
        <f>$B$34*'Co-Ben ERFs'!B26</f>
        <v>0</v>
      </c>
      <c r="E34" s="603">
        <f>$B$34*'Co-Ben ERFs'!B27</f>
        <v>0</v>
      </c>
      <c r="F34" s="707">
        <v>0</v>
      </c>
    </row>
    <row r="35" spans="1:7" ht="15" thickBot="1" x14ac:dyDescent="0.45">
      <c r="A35" s="511" t="s">
        <v>869</v>
      </c>
      <c r="B35" s="622">
        <f>IF(C5=Misc!C27,'Co-Digestion Co-ben'!J31,0)*'Co-Digestion Calcs'!C23</f>
        <v>0</v>
      </c>
      <c r="C35" s="673">
        <f>-$B$35*'Co-Ben ERFs'!B25</f>
        <v>0</v>
      </c>
      <c r="D35" s="673">
        <f>-$B$35*'Co-Ben ERFs'!B26</f>
        <v>0</v>
      </c>
      <c r="E35" s="673">
        <f>-$B$35*'Co-Ben ERFs'!B27</f>
        <v>0</v>
      </c>
      <c r="F35" s="674">
        <v>0</v>
      </c>
    </row>
    <row r="36" spans="1:7" ht="15" thickBot="1" x14ac:dyDescent="0.45">
      <c r="A36" s="401" t="s">
        <v>863</v>
      </c>
      <c r="B36" s="544"/>
      <c r="C36" s="544">
        <f>SUM(C34:C35)</f>
        <v>0</v>
      </c>
      <c r="D36" s="544">
        <f>SUM(D34:D35)</f>
        <v>0</v>
      </c>
      <c r="E36" s="544">
        <f>SUM(E34:E35)</f>
        <v>0</v>
      </c>
      <c r="F36" s="544">
        <f>SUM(F34:F35)</f>
        <v>0</v>
      </c>
    </row>
    <row r="37" spans="1:7" ht="15" thickBot="1" x14ac:dyDescent="0.45">
      <c r="A37" s="618"/>
      <c r="B37" s="619"/>
      <c r="C37" s="619"/>
      <c r="D37" s="619"/>
      <c r="E37" s="619"/>
      <c r="F37" s="620"/>
    </row>
    <row r="38" spans="1:7" ht="15" thickBot="1" x14ac:dyDescent="0.45">
      <c r="A38" s="1484" t="s">
        <v>923</v>
      </c>
      <c r="B38" s="1485"/>
      <c r="C38" s="1485"/>
      <c r="D38" s="1485"/>
      <c r="E38" s="1486"/>
    </row>
    <row r="39" spans="1:7" ht="15" thickBot="1" x14ac:dyDescent="0.45">
      <c r="A39" s="632"/>
      <c r="B39" s="514" t="s">
        <v>804</v>
      </c>
      <c r="C39" s="633" t="s">
        <v>808</v>
      </c>
      <c r="D39" s="633" t="s">
        <v>805</v>
      </c>
      <c r="E39" s="562" t="s">
        <v>806</v>
      </c>
    </row>
    <row r="40" spans="1:7" ht="15" thickBot="1" x14ac:dyDescent="0.45">
      <c r="A40" s="609" t="s">
        <v>924</v>
      </c>
      <c r="B40" s="536">
        <f>C23*'Co-Ben ERFs'!B18</f>
        <v>0</v>
      </c>
      <c r="C40" s="536">
        <f>C23*'Co-Ben ERFs'!B19</f>
        <v>0</v>
      </c>
      <c r="D40" s="536">
        <f>C23*'Co-Ben ERFs'!B20</f>
        <v>0</v>
      </c>
      <c r="E40" s="537">
        <v>0</v>
      </c>
    </row>
    <row r="41" spans="1:7" ht="15" thickBot="1" x14ac:dyDescent="0.45">
      <c r="A41" s="597"/>
    </row>
    <row r="42" spans="1:7" x14ac:dyDescent="0.4">
      <c r="A42" s="1481" t="s">
        <v>821</v>
      </c>
      <c r="B42" s="1482"/>
      <c r="C42" s="1482"/>
      <c r="D42" s="1482"/>
      <c r="E42" s="1482"/>
      <c r="F42" s="1482"/>
      <c r="G42" s="1483"/>
    </row>
    <row r="43" spans="1:7" ht="15" thickBot="1" x14ac:dyDescent="0.45">
      <c r="A43" s="511"/>
      <c r="B43" s="512" t="s">
        <v>810</v>
      </c>
      <c r="C43" s="512" t="s">
        <v>13</v>
      </c>
      <c r="D43" s="512" t="s">
        <v>804</v>
      </c>
      <c r="E43" s="513" t="s">
        <v>808</v>
      </c>
      <c r="F43" s="513" t="s">
        <v>805</v>
      </c>
      <c r="G43" s="219" t="s">
        <v>806</v>
      </c>
    </row>
    <row r="44" spans="1:7" ht="30" customHeight="1" x14ac:dyDescent="0.4">
      <c r="A44" s="517" t="s">
        <v>860</v>
      </c>
      <c r="B44" s="538">
        <f>IF(C5=Misc!C27,'Co-Digestion Co-ben'!J29,'Co-Digestion Co-ben'!P29)*'Co-Digestion Calcs'!C23</f>
        <v>0</v>
      </c>
      <c r="C44" s="515" t="s">
        <v>811</v>
      </c>
      <c r="D44" s="665">
        <f>$B$44*Factors!D23</f>
        <v>0</v>
      </c>
      <c r="E44" s="665">
        <f>$B$44*Factors!E23</f>
        <v>0</v>
      </c>
      <c r="F44" s="665">
        <f>$B$44*Factors!F23</f>
        <v>0</v>
      </c>
      <c r="G44" s="666">
        <f>$B$44*Factors!G23</f>
        <v>0</v>
      </c>
    </row>
    <row r="45" spans="1:7" ht="31.5" customHeight="1" x14ac:dyDescent="0.4">
      <c r="A45" s="518" t="s">
        <v>859</v>
      </c>
      <c r="B45" s="539">
        <f>IF(C5=Misc!C27,'Co-Digestion Co-ben'!J30,'Co-Digestion Co-ben'!P30)*'Co-Digestion Calcs'!C23</f>
        <v>0</v>
      </c>
      <c r="C45" s="655" t="s">
        <v>813</v>
      </c>
      <c r="D45" s="667">
        <f>$B$45*Factors!D29</f>
        <v>0</v>
      </c>
      <c r="E45" s="667">
        <f>$B$45*Factors!E29</f>
        <v>0</v>
      </c>
      <c r="F45" s="667">
        <f>$B$45*Factors!F29</f>
        <v>0</v>
      </c>
      <c r="G45" s="668">
        <f>$B$45*Factors!G29</f>
        <v>0</v>
      </c>
    </row>
    <row r="46" spans="1:7" ht="15" thickBot="1" x14ac:dyDescent="0.45">
      <c r="A46" s="519" t="s">
        <v>876</v>
      </c>
      <c r="B46" s="540">
        <f>IF(C5=Misc!C27,0,'Co-Digestion Co-ben'!P32)*'Co-Digestion Calcs'!C23</f>
        <v>0</v>
      </c>
      <c r="C46" s="759" t="s">
        <v>877</v>
      </c>
      <c r="D46" s="708">
        <f>$B$46*Factors!C10</f>
        <v>0</v>
      </c>
      <c r="E46" s="708">
        <f>$B$46*Factors!D10</f>
        <v>0</v>
      </c>
      <c r="F46" s="708">
        <f>$B$46*Factors!E10</f>
        <v>0</v>
      </c>
      <c r="G46" s="709">
        <v>0</v>
      </c>
    </row>
    <row r="47" spans="1:7" ht="15" thickBot="1" x14ac:dyDescent="0.45">
      <c r="A47" s="520" t="s">
        <v>878</v>
      </c>
      <c r="B47" s="516"/>
      <c r="C47" s="514"/>
      <c r="D47" s="669">
        <f>SUM(D44:D46)</f>
        <v>0</v>
      </c>
      <c r="E47" s="669">
        <f>SUM(E44:E46)</f>
        <v>0</v>
      </c>
      <c r="F47" s="669">
        <f>SUM(F44:F46)</f>
        <v>0</v>
      </c>
      <c r="G47" s="670">
        <f>SUM(G44:G46)</f>
        <v>0</v>
      </c>
    </row>
    <row r="49" spans="1:7" x14ac:dyDescent="0.4">
      <c r="A49" s="1509" t="s">
        <v>822</v>
      </c>
      <c r="B49" s="1509"/>
      <c r="C49" s="1509"/>
      <c r="D49" s="1509"/>
      <c r="E49" s="1509"/>
      <c r="F49" s="1509"/>
      <c r="G49" s="1509"/>
    </row>
    <row r="50" spans="1:7" x14ac:dyDescent="0.4">
      <c r="A50" s="483" t="s">
        <v>817</v>
      </c>
      <c r="B50" s="483" t="s">
        <v>818</v>
      </c>
      <c r="C50" s="483" t="s">
        <v>815</v>
      </c>
      <c r="D50" s="483" t="s">
        <v>804</v>
      </c>
      <c r="E50" s="483" t="s">
        <v>808</v>
      </c>
      <c r="F50" s="483" t="s">
        <v>805</v>
      </c>
      <c r="G50" s="483" t="s">
        <v>806</v>
      </c>
    </row>
    <row r="51" spans="1:7" x14ac:dyDescent="0.4">
      <c r="A51" s="541">
        <f>IF(B34=0,0,IF(C5=Misc!C27,'Co-Digestion Co-ben'!J24,'Co-Digestion Co-ben'!P24)*'Co-Digestion Calcs'!C23)</f>
        <v>0</v>
      </c>
      <c r="B51" s="541">
        <f>A51*1020/1000000</f>
        <v>0</v>
      </c>
      <c r="C51" s="541">
        <f>B8</f>
        <v>0</v>
      </c>
      <c r="D51" s="541">
        <f>IF(C51=0,0,VLOOKUP(C51,Factors!A4:F11,3)*'Co-Digestion Calcs'!B51)</f>
        <v>0</v>
      </c>
      <c r="E51" s="541">
        <f>IF(C51=0,0,VLOOKUP(C51,Factors!A4:F11,4)*'Co-Digestion Calcs'!B51)</f>
        <v>0</v>
      </c>
      <c r="F51" s="541">
        <f>IF(C51=0,0,VLOOKUP(C51,Factors!A4:F11,5)*'Co-Digestion Calcs'!B51)</f>
        <v>0</v>
      </c>
      <c r="G51" s="541">
        <f>IF(C51=0,0,VLOOKUP(C51,Factors!A4:F11,6)*'Co-Digestion Calcs'!B51)</f>
        <v>0</v>
      </c>
    </row>
    <row r="52" spans="1:7" ht="15" thickBot="1" x14ac:dyDescent="0.45"/>
    <row r="53" spans="1:7" x14ac:dyDescent="0.4">
      <c r="A53" s="1481" t="s">
        <v>823</v>
      </c>
      <c r="B53" s="1482"/>
      <c r="C53" s="1482"/>
      <c r="D53" s="1482"/>
      <c r="E53" s="1483"/>
    </row>
    <row r="54" spans="1:7" ht="15" thickBot="1" x14ac:dyDescent="0.45">
      <c r="A54" s="511"/>
      <c r="B54" s="512" t="s">
        <v>804</v>
      </c>
      <c r="C54" s="512" t="s">
        <v>808</v>
      </c>
      <c r="D54" s="512" t="s">
        <v>805</v>
      </c>
      <c r="E54" s="219" t="s">
        <v>806</v>
      </c>
    </row>
    <row r="55" spans="1:7" x14ac:dyDescent="0.4">
      <c r="A55" s="529" t="s">
        <v>824</v>
      </c>
      <c r="B55" s="530">
        <f>F30</f>
        <v>0</v>
      </c>
      <c r="C55" s="530">
        <f>G30</f>
        <v>0</v>
      </c>
      <c r="D55" s="530">
        <f>H30</f>
        <v>0</v>
      </c>
      <c r="E55" s="611">
        <f>I30</f>
        <v>0</v>
      </c>
    </row>
    <row r="56" spans="1:7" x14ac:dyDescent="0.4">
      <c r="A56" s="247" t="s">
        <v>867</v>
      </c>
      <c r="B56" s="463">
        <f>C36</f>
        <v>0</v>
      </c>
      <c r="C56" s="463">
        <f>D36</f>
        <v>0</v>
      </c>
      <c r="D56" s="463">
        <f>E36</f>
        <v>0</v>
      </c>
      <c r="E56" s="455">
        <f>F36</f>
        <v>0</v>
      </c>
    </row>
    <row r="57" spans="1:7" ht="15" thickBot="1" x14ac:dyDescent="0.45">
      <c r="A57" s="480" t="s">
        <v>924</v>
      </c>
      <c r="B57" s="634">
        <f>B40</f>
        <v>0</v>
      </c>
      <c r="C57" s="634">
        <f>C40</f>
        <v>0</v>
      </c>
      <c r="D57" s="634">
        <f>D40</f>
        <v>0</v>
      </c>
      <c r="E57" s="635">
        <f>E40</f>
        <v>0</v>
      </c>
    </row>
    <row r="58" spans="1:7" ht="15" thickBot="1" x14ac:dyDescent="0.45">
      <c r="A58" s="632" t="s">
        <v>826</v>
      </c>
      <c r="B58" s="532">
        <f>SUM(B55:B57)</f>
        <v>0</v>
      </c>
      <c r="C58" s="532">
        <f>SUM(C55:C57)</f>
        <v>0</v>
      </c>
      <c r="D58" s="532">
        <f>SUM(D55:D57)</f>
        <v>0</v>
      </c>
      <c r="E58" s="532">
        <f>SUM(E55:E57)</f>
        <v>0</v>
      </c>
    </row>
    <row r="59" spans="1:7" ht="15" thickBot="1" x14ac:dyDescent="0.45"/>
    <row r="60" spans="1:7" x14ac:dyDescent="0.4">
      <c r="A60" s="1481" t="s">
        <v>827</v>
      </c>
      <c r="B60" s="1482"/>
      <c r="C60" s="1482"/>
      <c r="D60" s="1482"/>
      <c r="E60" s="1483"/>
    </row>
    <row r="61" spans="1:7" ht="15" thickBot="1" x14ac:dyDescent="0.45">
      <c r="A61" s="480"/>
      <c r="B61" s="510" t="s">
        <v>804</v>
      </c>
      <c r="C61" s="510" t="s">
        <v>808</v>
      </c>
      <c r="D61" s="510" t="s">
        <v>805</v>
      </c>
      <c r="E61" s="161" t="s">
        <v>806</v>
      </c>
    </row>
    <row r="62" spans="1:7" x14ac:dyDescent="0.4">
      <c r="A62" s="529" t="s">
        <v>828</v>
      </c>
      <c r="B62" s="530">
        <f>-D47</f>
        <v>0</v>
      </c>
      <c r="C62" s="530">
        <f>-E47</f>
        <v>0</v>
      </c>
      <c r="D62" s="530">
        <f>-F47</f>
        <v>0</v>
      </c>
      <c r="E62" s="530">
        <f>-G47</f>
        <v>0</v>
      </c>
    </row>
    <row r="63" spans="1:7" ht="15" thickBot="1" x14ac:dyDescent="0.45">
      <c r="A63" s="511" t="s">
        <v>866</v>
      </c>
      <c r="B63" s="613">
        <f>-D51</f>
        <v>0</v>
      </c>
      <c r="C63" s="613">
        <f>-E51</f>
        <v>0</v>
      </c>
      <c r="D63" s="613">
        <f>-F51</f>
        <v>0</v>
      </c>
      <c r="E63" s="614">
        <f>-G51</f>
        <v>0</v>
      </c>
    </row>
    <row r="64" spans="1:7" ht="15" thickBot="1" x14ac:dyDescent="0.45">
      <c r="A64" s="401" t="s">
        <v>826</v>
      </c>
      <c r="B64" s="542">
        <f>SUM(B62:B63)</f>
        <v>0</v>
      </c>
      <c r="C64" s="542">
        <f>SUM(C62:C63)</f>
        <v>0</v>
      </c>
      <c r="D64" s="542">
        <f>SUM(D62:D63)</f>
        <v>0</v>
      </c>
      <c r="E64" s="543">
        <f>SUM(E62:E63)</f>
        <v>0</v>
      </c>
    </row>
  </sheetData>
  <sheetProtection algorithmName="SHA-512" hashValue="tgxkofquvc/lRprZ/raUU6KvQT70ERAWmhIZl6EfbonzBcdPzwdDKW/MhTPYQdusLSzxYh7UuYnIAXyHRlv0MA==" saltValue="HQQ1bBvtwMGnmUPyuP41xA==" spinCount="100000" sheet="1" objects="1" scenarios="1"/>
  <mergeCells count="7">
    <mergeCell ref="A60:E60"/>
    <mergeCell ref="A32:F32"/>
    <mergeCell ref="A28:I28"/>
    <mergeCell ref="A42:G42"/>
    <mergeCell ref="A49:G49"/>
    <mergeCell ref="A53:E53"/>
    <mergeCell ref="A38:E38"/>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AC37"/>
  <sheetViews>
    <sheetView topLeftCell="A7" workbookViewId="0">
      <selection activeCell="R26" sqref="R26"/>
    </sheetView>
  </sheetViews>
  <sheetFormatPr defaultRowHeight="14.6" x14ac:dyDescent="0.4"/>
  <cols>
    <col min="1" max="1" width="39.3046875" customWidth="1"/>
    <col min="2" max="2" width="16.3828125" customWidth="1"/>
    <col min="3" max="3" width="15.69140625" customWidth="1"/>
    <col min="4" max="4" width="18.15234375" customWidth="1"/>
    <col min="5" max="6" width="25.3828125" customWidth="1"/>
    <col min="7" max="7" width="24.3046875" customWidth="1"/>
    <col min="8" max="8" width="26.3046875" customWidth="1"/>
    <col min="9" max="9" width="27.3828125" customWidth="1"/>
    <col min="10" max="10" width="21.3046875" customWidth="1"/>
    <col min="11" max="11" width="14.3046875" customWidth="1"/>
    <col min="12" max="12" width="16.84375" customWidth="1"/>
    <col min="13" max="13" width="19.69140625" customWidth="1"/>
    <col min="14" max="14" width="19.84375" customWidth="1"/>
    <col min="15" max="15" width="17.84375" customWidth="1"/>
    <col min="16" max="16" width="18.3828125" customWidth="1"/>
    <col min="17" max="18" width="17.3046875" customWidth="1"/>
    <col min="19" max="19" width="24.3046875" customWidth="1"/>
    <col min="20" max="20" width="18.84375" customWidth="1"/>
    <col min="21" max="21" width="16" customWidth="1"/>
    <col min="22" max="22" width="16.53515625" customWidth="1"/>
    <col min="23" max="23" width="11.84375" customWidth="1"/>
    <col min="24" max="24" width="23.53515625" customWidth="1"/>
    <col min="25" max="26" width="20.3046875" customWidth="1"/>
    <col min="27" max="27" width="11.3828125" customWidth="1"/>
    <col min="28" max="29" width="13.15234375" customWidth="1"/>
  </cols>
  <sheetData>
    <row r="2" spans="1:29" x14ac:dyDescent="0.4">
      <c r="J2" s="1529" t="s">
        <v>209</v>
      </c>
      <c r="K2" s="1529"/>
      <c r="L2" s="1529"/>
      <c r="M2" s="1529"/>
      <c r="N2" s="1529"/>
      <c r="O2" s="1529"/>
      <c r="P2" s="1529"/>
      <c r="Q2" s="1529"/>
      <c r="R2" s="1529"/>
      <c r="S2" s="1529"/>
      <c r="T2" s="1529"/>
      <c r="U2" s="1529"/>
      <c r="V2" s="1529"/>
      <c r="W2" s="1529"/>
      <c r="X2" s="1529"/>
    </row>
    <row r="3" spans="1:29" ht="47.25" customHeight="1" x14ac:dyDescent="0.4">
      <c r="A3" s="105" t="s">
        <v>48</v>
      </c>
      <c r="B3" s="105" t="s">
        <v>191</v>
      </c>
      <c r="C3" s="104" t="s">
        <v>47</v>
      </c>
      <c r="D3" s="104" t="s">
        <v>46</v>
      </c>
      <c r="E3" s="104" t="s">
        <v>187</v>
      </c>
      <c r="F3" s="104" t="s">
        <v>188</v>
      </c>
      <c r="G3" s="105" t="s">
        <v>49</v>
      </c>
      <c r="H3" s="105" t="s">
        <v>190</v>
      </c>
      <c r="I3" s="105" t="s">
        <v>76</v>
      </c>
      <c r="J3" s="110" t="s">
        <v>120</v>
      </c>
      <c r="K3" s="110" t="s">
        <v>121</v>
      </c>
      <c r="L3" s="110" t="s">
        <v>122</v>
      </c>
      <c r="M3" s="111" t="s">
        <v>115</v>
      </c>
      <c r="N3" s="111" t="s">
        <v>116</v>
      </c>
      <c r="O3" s="111" t="s">
        <v>117</v>
      </c>
      <c r="P3" s="111" t="s">
        <v>118</v>
      </c>
      <c r="Q3" s="1532" t="s">
        <v>119</v>
      </c>
      <c r="R3" s="1532"/>
      <c r="S3" s="1532"/>
      <c r="T3" s="112" t="s">
        <v>184</v>
      </c>
      <c r="U3" s="112" t="s">
        <v>183</v>
      </c>
      <c r="V3" s="113" t="s">
        <v>185</v>
      </c>
      <c r="W3" s="112" t="s">
        <v>186</v>
      </c>
      <c r="X3" s="115" t="s">
        <v>208</v>
      </c>
      <c r="Y3" s="115" t="s">
        <v>192</v>
      </c>
      <c r="Z3" s="145" t="s">
        <v>203</v>
      </c>
      <c r="AA3" s="121" t="s">
        <v>238</v>
      </c>
      <c r="AB3" s="121" t="s">
        <v>254</v>
      </c>
      <c r="AC3" s="121" t="s">
        <v>255</v>
      </c>
    </row>
    <row r="4" spans="1:29" x14ac:dyDescent="0.4">
      <c r="A4" s="18">
        <f>Food!A16</f>
        <v>0</v>
      </c>
      <c r="B4" s="18">
        <f>IF(Food!B16="",1,Food!B16)</f>
        <v>1</v>
      </c>
      <c r="C4" s="18">
        <f>IF(OR(A4="Residential Refrigerator/Freezer Combination",A4="Residential Freezer Only",A4="Residential Refrigerator Only"),30,Food!C16)</f>
        <v>0</v>
      </c>
      <c r="D4" s="50">
        <f>IF(OR(A4="Residential Refrigerator/Freezer Combination",A4="Residential Freezer Only",A4="Residential Refrigerator Only"),'GHG ERFs'!$B$175,IF(OR(A4="Small Walk In Refrigerator",A4="Small Walk In Freezer"),'GHG ERFs'!$B$177,IF(OR(A4="Large Walk In Refrigerator",A4="Large Walk In Freezer"),'GHG ERFs'!$B$178,'GHG ERFs'!$B$176)))</f>
        <v>7.1</v>
      </c>
      <c r="E4" s="50">
        <f>Food!D16</f>
        <v>0</v>
      </c>
      <c r="F4" s="50">
        <f>IF(A4=0,0,IF(D4=0.31,D4,IF(E4&gt;0,E4,D4)))</f>
        <v>0</v>
      </c>
      <c r="G4" s="18" t="str">
        <f>Food!E16</f>
        <v>Default Value</v>
      </c>
      <c r="H4" s="50">
        <f>IF(OR(A4="Residential Refrigerator/Freezer Combination",A4="Residential Freezer Only",A4="Residential Refrigerator Only"),0.01,0.15)</f>
        <v>0.15</v>
      </c>
      <c r="I4" s="20">
        <f>IF(Food!E16="",'GHG ERFs'!$B$89,VLOOKUP(Food!E16,'GHG ERFs'!$A$89:$B$163,2,0))</f>
        <v>3327.7550000000001</v>
      </c>
      <c r="J4" s="106">
        <f>IF(A4=Misc!$A$1,('Food Calcs'!C4*'GHG ERFs'!$B$70+'GHG ERFs'!$B$71)*'GHG ERFs'!$B$87,0)</f>
        <v>0</v>
      </c>
      <c r="K4" s="106">
        <f>IF(A4=Misc!$A$2,('Food Calcs'!C4*'GHG ERFs'!$B$72+'GHG ERFs'!$B$73)*'GHG ERFs'!$B$87,0)</f>
        <v>0</v>
      </c>
      <c r="L4" s="106">
        <f>IF(A4=Misc!$A$3,('Food Calcs'!C4*'GHG ERFs'!$B$74+'GHG ERFs'!$B$75)*'GHG ERFs'!$B$87,0)</f>
        <v>0</v>
      </c>
      <c r="M4" s="106">
        <f>IF(A4=Misc!$A$4,('Food Calcs'!C4*'GHG ERFs'!$B$76+'GHG ERFs'!$B$77)*'GHG ERFs'!$B$87,0)</f>
        <v>0</v>
      </c>
      <c r="N4" s="106">
        <f>IF(A4=Misc!$A$5,('Food Calcs'!C4*'GHG ERFs'!$B$78+'GHG ERFs'!$B$79)*'GHG ERFs'!$B$87,0)</f>
        <v>0</v>
      </c>
      <c r="O4" s="106">
        <f>IF(A4=Misc!$A$6,('Food Calcs'!C4*'GHG ERFs'!$B$80+'GHG ERFs'!$B$81)*'GHG ERFs'!$B$87,0)</f>
        <v>0</v>
      </c>
      <c r="P4" s="106">
        <f>IF(A4=Misc!$A$7,('Food Calcs'!C4*'GHG ERFs'!$B$82+'GHG ERFs'!$B$83)*'GHG ERFs'!$B$87,0)</f>
        <v>0</v>
      </c>
      <c r="Q4" s="106">
        <f>IF(A4=Misc!$A$8,('Food Calcs'!C4*'GHG ERFs'!$B$84+'GHG ERFs'!$B$85),0)</f>
        <v>0</v>
      </c>
      <c r="R4" s="106">
        <f>IF(Q4=0,0,IF(Q4&lt;'GHG ERFs'!$B$86,'GHG ERFs'!$B$86,'Food Calcs'!Q4))</f>
        <v>0</v>
      </c>
      <c r="S4" s="106">
        <f>R4*'GHG ERFs'!$B$87</f>
        <v>0</v>
      </c>
      <c r="T4" s="106">
        <f>IF(A4=Misc!$A$9,('Food Calcs'!C4*'GHG ERFs'!$B$76+'GHG ERFs'!$B$77)*'GHG ERFs'!$B$87,0)</f>
        <v>0</v>
      </c>
      <c r="U4" s="106">
        <f>IF(A4=Misc!$A$10,('Food Calcs'!C4*'GHG ERFs'!$B$76+'GHG ERFs'!$B$77)*'GHG ERFs'!$B$87,0)</f>
        <v>0</v>
      </c>
      <c r="V4" s="114">
        <f>IF(A4=Misc!$A$11,('Food Calcs'!C4*'GHG ERFs'!$B$80+'GHG ERFs'!$B$81)*'GHG ERFs'!$B$87,0)</f>
        <v>0</v>
      </c>
      <c r="W4" s="106">
        <f>IF(A4=Misc!$A$12,('Food Calcs'!C4*'GHG ERFs'!$B$80+'GHG ERFs'!$B$81)*'GHG ERFs'!$B$87,0)</f>
        <v>0</v>
      </c>
      <c r="X4" s="146">
        <f>MAX(J4:W4)*B4</f>
        <v>0</v>
      </c>
      <c r="Y4" s="146">
        <f>(B4*F4*H4*I4)/'GHG ERFs'!$A$201</f>
        <v>0</v>
      </c>
      <c r="Z4" s="710">
        <f>SUM(X4:Y4)</f>
        <v>0</v>
      </c>
      <c r="AA4" s="711">
        <f>MAX(J4:W4)*'Co-Ben ERFs'!$B$25</f>
        <v>0</v>
      </c>
      <c r="AB4" s="711">
        <f>MAX(J4:W4)*'Co-Ben ERFs'!$B$26</f>
        <v>0</v>
      </c>
      <c r="AC4" s="711">
        <f>MAX(J4:W4)*'Co-Ben ERFs'!$B$27</f>
        <v>0</v>
      </c>
    </row>
    <row r="5" spans="1:29" x14ac:dyDescent="0.4">
      <c r="A5" s="18">
        <f>Food!A17</f>
        <v>0</v>
      </c>
      <c r="B5" s="18">
        <f>IF(Food!B17="",1,Food!B17)</f>
        <v>1</v>
      </c>
      <c r="C5" s="18">
        <f>IF(OR(A5="Residential Refrigerator/Freezer Combination",A5="Residential Freezer Only",A5="Residential Refrigerator Only"),30,Food!C17)</f>
        <v>0</v>
      </c>
      <c r="D5" s="50">
        <f>IF(OR(A5="Residential Refrigerator/Freezer Combination",A5="Residential Freezer Only",A5="Residential Refrigerator Only"),'GHG ERFs'!$B$175,IF(OR(A5="Small Walk In Refrigerator",A5="Small Walk In Freezer"),'GHG ERFs'!$B$177,IF(OR(A5="Large Walk In Refrigerator",A5="Large Walk In Freezer"),'GHG ERFs'!$B$178,'GHG ERFs'!$B$176)))</f>
        <v>7.1</v>
      </c>
      <c r="E5" s="50">
        <f>Food!D17</f>
        <v>0</v>
      </c>
      <c r="F5" s="50">
        <f t="shared" ref="F5:F13" si="0">IF(A5=0,0,IF(E5&gt;0,E5,D5))</f>
        <v>0</v>
      </c>
      <c r="G5" s="18" t="str">
        <f>Food!E17</f>
        <v>Default Value</v>
      </c>
      <c r="H5" s="50">
        <f t="shared" ref="H5:H13" si="1">IF(OR(A5="Residential Refrigerator/Freezer Combination",A5="Residential Freezer Only",A5="Residential Refrigerator Only"),0.01,0.15)</f>
        <v>0.15</v>
      </c>
      <c r="I5" s="20">
        <f>IF(Food!E17="",'GHG ERFs'!$B$89,VLOOKUP(Food!E17,'GHG ERFs'!$A$89:$B$163,2,0))</f>
        <v>3327.7550000000001</v>
      </c>
      <c r="J5" s="106">
        <f>IF(A5=Misc!$A$1,('Food Calcs'!C5*'GHG ERFs'!$B$70+'GHG ERFs'!$B$71)*'GHG ERFs'!$B$87,0)</f>
        <v>0</v>
      </c>
      <c r="K5" s="106">
        <f>IF(A5=Misc!$A$2,('Food Calcs'!C5*'GHG ERFs'!$B$72+'GHG ERFs'!$B$73)*'GHG ERFs'!$B$87,0)</f>
        <v>0</v>
      </c>
      <c r="L5" s="106">
        <f>IF(A5=Misc!$A$3,('Food Calcs'!C5*'GHG ERFs'!$B$74+'GHG ERFs'!$B$75)*'GHG ERFs'!$B$87,0)</f>
        <v>0</v>
      </c>
      <c r="M5" s="106">
        <f>IF(A5=Misc!$A$4,('Food Calcs'!C5*'GHG ERFs'!$B$76+'GHG ERFs'!$B$77)*'GHG ERFs'!$B$87,0)</f>
        <v>0</v>
      </c>
      <c r="N5" s="106">
        <f>IF(A5=Misc!$A$5,('Food Calcs'!C5*'GHG ERFs'!$B$78+'GHG ERFs'!$B$79)*'GHG ERFs'!$B$87,0)</f>
        <v>0</v>
      </c>
      <c r="O5" s="106">
        <f>IF(A5=Misc!$A$6,('Food Calcs'!C5*'GHG ERFs'!$B$80+'GHG ERFs'!$B$81)*'GHG ERFs'!$B$87,0)</f>
        <v>0</v>
      </c>
      <c r="P5" s="106">
        <f>IF(A5=Misc!$A$7,('Food Calcs'!C5*'GHG ERFs'!$B$82+'GHG ERFs'!$B$83)*'GHG ERFs'!$B$87,0)</f>
        <v>0</v>
      </c>
      <c r="Q5" s="106">
        <f>IF(A5=Misc!$A$8,('Food Calcs'!C5*'GHG ERFs'!$B$84+'GHG ERFs'!$B$85),0)</f>
        <v>0</v>
      </c>
      <c r="R5" s="106">
        <f>IF(Q5=0,0,IF(Q5&lt;'GHG ERFs'!$B$86,'GHG ERFs'!$B$86,'Food Calcs'!Q5))</f>
        <v>0</v>
      </c>
      <c r="S5" s="106">
        <f>R5*'GHG ERFs'!$B$87</f>
        <v>0</v>
      </c>
      <c r="T5" s="106">
        <f>IF(A5=Misc!$A$9,('Food Calcs'!C5*'GHG ERFs'!$B$76+'GHG ERFs'!$B$77)*'GHG ERFs'!$B$87,0)</f>
        <v>0</v>
      </c>
      <c r="U5" s="106">
        <f>IF(A5=Misc!$A$10,('Food Calcs'!C5*'GHG ERFs'!$B$76+'GHG ERFs'!$B$77)*'GHG ERFs'!$B$87,0)</f>
        <v>0</v>
      </c>
      <c r="V5" s="114">
        <f>IF(A5=Misc!$A$11,('Food Calcs'!C5*'GHG ERFs'!$B$80+'GHG ERFs'!$B$81)*'GHG ERFs'!$B$87,0)</f>
        <v>0</v>
      </c>
      <c r="W5" s="106">
        <f>IF(A5=Misc!$A$12,('Food Calcs'!C5*'GHG ERFs'!$B$80+'GHG ERFs'!$B$81)*'GHG ERFs'!$B$87,0)</f>
        <v>0</v>
      </c>
      <c r="X5" s="146">
        <f t="shared" ref="X5:X13" si="2">MAX(J5:W5)*B5</f>
        <v>0</v>
      </c>
      <c r="Y5" s="146">
        <f>(B5*F5*H5*I5)/'GHG ERFs'!$A$201</f>
        <v>0</v>
      </c>
      <c r="Z5" s="710">
        <f t="shared" ref="Z5:Z13" si="3">SUM(X5:Y5)</f>
        <v>0</v>
      </c>
      <c r="AA5" s="711">
        <f>MAX(J5:W5)*'Co-Ben ERFs'!$B$25</f>
        <v>0</v>
      </c>
      <c r="AB5" s="711">
        <f>MAX(J5:W5)*'Co-Ben ERFs'!$B$26</f>
        <v>0</v>
      </c>
      <c r="AC5" s="711">
        <f>MAX(J5:W5)*'Co-Ben ERFs'!$B$27</f>
        <v>0</v>
      </c>
    </row>
    <row r="6" spans="1:29" x14ac:dyDescent="0.4">
      <c r="A6" s="18">
        <f>Food!A18</f>
        <v>0</v>
      </c>
      <c r="B6" s="18">
        <f>IF(Food!B18="",1,Food!B18)</f>
        <v>1</v>
      </c>
      <c r="C6" s="18">
        <f>IF(OR(A6="Residential Refrigerator/Freezer Combination",A6="Residential Freezer Only",A6="Residential Refrigerator Only"),30,Food!C18)</f>
        <v>0</v>
      </c>
      <c r="D6" s="50">
        <f>IF(OR(A6="Residential Refrigerator/Freezer Combination",A6="Residential Freezer Only",A6="Residential Refrigerator Only"),'GHG ERFs'!$B$175,IF(OR(A6="Small Walk In Refrigerator",A6="Small Walk In Freezer"),'GHG ERFs'!$B$177,IF(OR(A6="Large Walk In Refrigerator",A6="Large Walk In Freezer"),'GHG ERFs'!$B$178,'GHG ERFs'!$B$176)))</f>
        <v>7.1</v>
      </c>
      <c r="E6" s="50">
        <f>Food!D18</f>
        <v>0</v>
      </c>
      <c r="F6" s="50">
        <f t="shared" si="0"/>
        <v>0</v>
      </c>
      <c r="G6" s="18" t="str">
        <f>Food!E18</f>
        <v>Default Value</v>
      </c>
      <c r="H6" s="50">
        <f t="shared" si="1"/>
        <v>0.15</v>
      </c>
      <c r="I6" s="20">
        <f>IF(Food!E18="",'GHG ERFs'!$B$89,VLOOKUP(Food!E18,'GHG ERFs'!$A$89:$B$163,2,0))</f>
        <v>3327.7550000000001</v>
      </c>
      <c r="J6" s="106">
        <f>IF(A6=Misc!$A$1,('Food Calcs'!C6*'GHG ERFs'!$B$70+'GHG ERFs'!$B$71)*'GHG ERFs'!$B$87,0)</f>
        <v>0</v>
      </c>
      <c r="K6" s="106">
        <f>IF(A6=Misc!$A$2,('Food Calcs'!C6*'GHG ERFs'!$B$72+'GHG ERFs'!$B$73)*'GHG ERFs'!$B$87,0)</f>
        <v>0</v>
      </c>
      <c r="L6" s="106">
        <f>IF(A6=Misc!$A$3,('Food Calcs'!C6*'GHG ERFs'!$B$74+'GHG ERFs'!$B$75)*'GHG ERFs'!$B$87,0)</f>
        <v>0</v>
      </c>
      <c r="M6" s="106">
        <f>IF(A6=Misc!$A$4,('Food Calcs'!C6*'GHG ERFs'!$B$76+'GHG ERFs'!$B$77)*'GHG ERFs'!$B$87,0)</f>
        <v>0</v>
      </c>
      <c r="N6" s="106">
        <f>IF(A6=Misc!$A$5,('Food Calcs'!C6*'GHG ERFs'!$B$78+'GHG ERFs'!$B$79)*'GHG ERFs'!$B$87,0)</f>
        <v>0</v>
      </c>
      <c r="O6" s="106">
        <f>IF(A6=Misc!$A$6,('Food Calcs'!C6*'GHG ERFs'!$B$80+'GHG ERFs'!$B$81)*'GHG ERFs'!$B$87,0)</f>
        <v>0</v>
      </c>
      <c r="P6" s="106">
        <f>IF(A6=Misc!$A$7,('Food Calcs'!C6*'GHG ERFs'!$B$82+'GHG ERFs'!$B$83)*'GHG ERFs'!$B$87,0)</f>
        <v>0</v>
      </c>
      <c r="Q6" s="106">
        <f>IF(A6=Misc!$A$8,('Food Calcs'!C6*'GHG ERFs'!$B$84+'GHG ERFs'!$B$85),0)</f>
        <v>0</v>
      </c>
      <c r="R6" s="106">
        <f>IF(Q6=0,0,IF(Q6&lt;'GHG ERFs'!$B$86,'GHG ERFs'!$B$86,'Food Calcs'!Q6))</f>
        <v>0</v>
      </c>
      <c r="S6" s="106">
        <f>R6*'GHG ERFs'!$B$87</f>
        <v>0</v>
      </c>
      <c r="T6" s="106">
        <f>IF(A6=Misc!$A$9,('Food Calcs'!C6*'GHG ERFs'!$B$76+'GHG ERFs'!$B$77)*'GHG ERFs'!$B$87,0)</f>
        <v>0</v>
      </c>
      <c r="U6" s="106">
        <f>IF(A6=Misc!$A$10,('Food Calcs'!C6*'GHG ERFs'!$B$76+'GHG ERFs'!$B$77)*'GHG ERFs'!$B$87,0)</f>
        <v>0</v>
      </c>
      <c r="V6" s="114">
        <f>IF(A6=Misc!$A$11,('Food Calcs'!C6*'GHG ERFs'!$B$80+'GHG ERFs'!$B$81)*'GHG ERFs'!$B$87,0)</f>
        <v>0</v>
      </c>
      <c r="W6" s="106">
        <f>IF(A6=Misc!$A$12,('Food Calcs'!C6*'GHG ERFs'!$B$80+'GHG ERFs'!$B$81)*'GHG ERFs'!$B$87,0)</f>
        <v>0</v>
      </c>
      <c r="X6" s="146">
        <f t="shared" si="2"/>
        <v>0</v>
      </c>
      <c r="Y6" s="146">
        <f>(B6*F6*H6*I6)/'GHG ERFs'!$A$201</f>
        <v>0</v>
      </c>
      <c r="Z6" s="710">
        <f t="shared" si="3"/>
        <v>0</v>
      </c>
      <c r="AA6" s="711">
        <f>MAX(J6:W6)*'Co-Ben ERFs'!$B$25</f>
        <v>0</v>
      </c>
      <c r="AB6" s="711">
        <f>MAX(J6:W6)*'Co-Ben ERFs'!$B$26</f>
        <v>0</v>
      </c>
      <c r="AC6" s="711">
        <f>MAX(J6:W6)*'Co-Ben ERFs'!$B$27</f>
        <v>0</v>
      </c>
    </row>
    <row r="7" spans="1:29" x14ac:dyDescent="0.4">
      <c r="A7" s="18">
        <f>Food!A19</f>
        <v>0</v>
      </c>
      <c r="B7" s="18">
        <f>IF(Food!B19="",1,Food!B19)</f>
        <v>1</v>
      </c>
      <c r="C7" s="18">
        <f>IF(OR(A7="Residential Refrigerator/Freezer Combination",A7="Residential Freezer Only",A7="Residential Refrigerator Only"),30,Food!C19)</f>
        <v>0</v>
      </c>
      <c r="D7" s="50">
        <f>IF(OR(A7="Residential Refrigerator/Freezer Combination",A7="Residential Freezer Only",A7="Residential Refrigerator Only"),'GHG ERFs'!$B$175,IF(OR(A7="Small Walk In Refrigerator",A7="Small Walk In Freezer"),'GHG ERFs'!$B$177,IF(OR(A7="Large Walk In Refrigerator",A7="Large Walk In Freezer"),'GHG ERFs'!$B$178,'GHG ERFs'!$B$176)))</f>
        <v>7.1</v>
      </c>
      <c r="E7" s="50">
        <f>Food!D19</f>
        <v>0</v>
      </c>
      <c r="F7" s="50">
        <f t="shared" si="0"/>
        <v>0</v>
      </c>
      <c r="G7" s="18" t="str">
        <f>Food!E19</f>
        <v>Default Value</v>
      </c>
      <c r="H7" s="50">
        <f t="shared" si="1"/>
        <v>0.15</v>
      </c>
      <c r="I7" s="20">
        <f>IF(Food!E19="",'GHG ERFs'!$B$89,VLOOKUP(Food!E19,'GHG ERFs'!$A$89:$B$163,2,0))</f>
        <v>3327.7550000000001</v>
      </c>
      <c r="J7" s="106">
        <f>IF(A7=Misc!$A$1,('Food Calcs'!C7*'GHG ERFs'!$B$70+'GHG ERFs'!$B$71)*'GHG ERFs'!$B$87,0)</f>
        <v>0</v>
      </c>
      <c r="K7" s="106">
        <f>IF(A7=Misc!$A$2,('Food Calcs'!C7*'GHG ERFs'!$B$72+'GHG ERFs'!$B$73)*'GHG ERFs'!$B$87,0)</f>
        <v>0</v>
      </c>
      <c r="L7" s="106">
        <f>IF(A7=Misc!$A$3,('Food Calcs'!C7*'GHG ERFs'!$B$74+'GHG ERFs'!$B$75)*'GHG ERFs'!$B$87,0)</f>
        <v>0</v>
      </c>
      <c r="M7" s="106">
        <f>IF(A7=Misc!$A$4,('Food Calcs'!C7*'GHG ERFs'!$B$76+'GHG ERFs'!$B$77)*'GHG ERFs'!$B$87,0)</f>
        <v>0</v>
      </c>
      <c r="N7" s="106">
        <f>IF(A7=Misc!$A$5,('Food Calcs'!C7*'GHG ERFs'!$B$78+'GHG ERFs'!$B$79)*'GHG ERFs'!$B$87,0)</f>
        <v>0</v>
      </c>
      <c r="O7" s="106">
        <f>IF(A7=Misc!$A$6,('Food Calcs'!C7*'GHG ERFs'!$B$80+'GHG ERFs'!$B$81)*'GHG ERFs'!$B$87,0)</f>
        <v>0</v>
      </c>
      <c r="P7" s="106">
        <f>IF(A7=Misc!$A$7,('Food Calcs'!C7*'GHG ERFs'!$B$82+'GHG ERFs'!$B$83)*'GHG ERFs'!$B$87,0)</f>
        <v>0</v>
      </c>
      <c r="Q7" s="106">
        <f>IF(A7=Misc!$A$8,('Food Calcs'!C7*'GHG ERFs'!$B$84+'GHG ERFs'!$B$85),0)</f>
        <v>0</v>
      </c>
      <c r="R7" s="106">
        <f>IF(Q7=0,0,IF(Q7&lt;'GHG ERFs'!$B$86,'GHG ERFs'!$B$86,'Food Calcs'!Q7))</f>
        <v>0</v>
      </c>
      <c r="S7" s="106">
        <f>R7*'GHG ERFs'!$B$87</f>
        <v>0</v>
      </c>
      <c r="T7" s="106">
        <f>IF(A7=Misc!$A$9,('Food Calcs'!C7*'GHG ERFs'!$B$76+'GHG ERFs'!$B$77)*'GHG ERFs'!$B$87,0)</f>
        <v>0</v>
      </c>
      <c r="U7" s="106">
        <f>IF(A7=Misc!$A$10,('Food Calcs'!C7*'GHG ERFs'!$B$76+'GHG ERFs'!$B$77)*'GHG ERFs'!$B$87,0)</f>
        <v>0</v>
      </c>
      <c r="V7" s="114">
        <f>IF(A7=Misc!$A$11,('Food Calcs'!C7*'GHG ERFs'!$B$80+'GHG ERFs'!$B$81)*'GHG ERFs'!$B$87,0)</f>
        <v>0</v>
      </c>
      <c r="W7" s="106">
        <f>IF(A7=Misc!$A$12,('Food Calcs'!C7*'GHG ERFs'!$B$80+'GHG ERFs'!$B$81)*'GHG ERFs'!$B$87,0)</f>
        <v>0</v>
      </c>
      <c r="X7" s="146">
        <f t="shared" si="2"/>
        <v>0</v>
      </c>
      <c r="Y7" s="146">
        <f>(B7*F7*H7*I7)/'GHG ERFs'!$A$201</f>
        <v>0</v>
      </c>
      <c r="Z7" s="710">
        <f t="shared" si="3"/>
        <v>0</v>
      </c>
      <c r="AA7" s="711">
        <f>MAX(J7:W7)*'Co-Ben ERFs'!$B$25</f>
        <v>0</v>
      </c>
      <c r="AB7" s="711">
        <f>MAX(J7:W7)*'Co-Ben ERFs'!$B$26</f>
        <v>0</v>
      </c>
      <c r="AC7" s="711">
        <f>MAX(J7:W7)*'Co-Ben ERFs'!$B$27</f>
        <v>0</v>
      </c>
    </row>
    <row r="8" spans="1:29" x14ac:dyDescent="0.4">
      <c r="A8" s="18">
        <f>Food!A20</f>
        <v>0</v>
      </c>
      <c r="B8" s="18">
        <f>IF(Food!B20="",1,Food!B20)</f>
        <v>1</v>
      </c>
      <c r="C8" s="18">
        <f>IF(OR(A8="Residential Refrigerator/Freezer Combination",A8="Residential Freezer Only",A8="Residential Refrigerator Only"),30,Food!C20)</f>
        <v>0</v>
      </c>
      <c r="D8" s="50">
        <f>IF(OR(A8="Residential Refrigerator/Freezer Combination",A8="Residential Freezer Only",A8="Residential Refrigerator Only"),'GHG ERFs'!$B$175,IF(OR(A8="Small Walk In Refrigerator",A8="Small Walk In Freezer"),'GHG ERFs'!$B$177,IF(OR(A8="Large Walk In Refrigerator",A8="Large Walk In Freezer"),'GHG ERFs'!$B$178,'GHG ERFs'!$B$176)))</f>
        <v>7.1</v>
      </c>
      <c r="E8" s="50">
        <f>Food!D20</f>
        <v>0</v>
      </c>
      <c r="F8" s="50">
        <f t="shared" si="0"/>
        <v>0</v>
      </c>
      <c r="G8" s="18" t="str">
        <f>Food!E20</f>
        <v>Default Value</v>
      </c>
      <c r="H8" s="50">
        <f t="shared" si="1"/>
        <v>0.15</v>
      </c>
      <c r="I8" s="20">
        <f>IF(Food!E20="",'GHG ERFs'!$B$89,VLOOKUP(Food!E20,'GHG ERFs'!$A$89:$B$163,2,0))</f>
        <v>3327.7550000000001</v>
      </c>
      <c r="J8" s="106">
        <f>IF(A8=Misc!$A$1,('Food Calcs'!C8*'GHG ERFs'!$B$70+'GHG ERFs'!$B$71)*'GHG ERFs'!$B$87,0)</f>
        <v>0</v>
      </c>
      <c r="K8" s="106">
        <f>IF(A8=Misc!$A$2,('Food Calcs'!C8*'GHG ERFs'!$B$72+'GHG ERFs'!$B$73)*'GHG ERFs'!$B$87,0)</f>
        <v>0</v>
      </c>
      <c r="L8" s="106">
        <f>IF(A8=Misc!$A$3,('Food Calcs'!C8*'GHG ERFs'!$B$74+'GHG ERFs'!$B$75)*'GHG ERFs'!$B$87,0)</f>
        <v>0</v>
      </c>
      <c r="M8" s="106">
        <f>IF(A8=Misc!$A$4,('Food Calcs'!C8*'GHG ERFs'!$B$76+'GHG ERFs'!$B$77)*'GHG ERFs'!$B$87,0)</f>
        <v>0</v>
      </c>
      <c r="N8" s="106">
        <f>IF(A8=Misc!$A$5,('Food Calcs'!C8*'GHG ERFs'!$B$78+'GHG ERFs'!$B$79)*'GHG ERFs'!$B$87,0)</f>
        <v>0</v>
      </c>
      <c r="O8" s="106">
        <f>IF(A8=Misc!$A$6,('Food Calcs'!C8*'GHG ERFs'!$B$80+'GHG ERFs'!$B$81)*'GHG ERFs'!$B$87,0)</f>
        <v>0</v>
      </c>
      <c r="P8" s="106">
        <f>IF(A8=Misc!$A$7,('Food Calcs'!C8*'GHG ERFs'!$B$82+'GHG ERFs'!$B$83)*'GHG ERFs'!$B$87,0)</f>
        <v>0</v>
      </c>
      <c r="Q8" s="106">
        <f>IF(A8=Misc!$A$8,('Food Calcs'!C8*'GHG ERFs'!$B$84+'GHG ERFs'!$B$85),0)</f>
        <v>0</v>
      </c>
      <c r="R8" s="106">
        <f>IF(Q8=0,0,IF(Q8&lt;'GHG ERFs'!$B$86,'GHG ERFs'!$B$86,'Food Calcs'!Q8))</f>
        <v>0</v>
      </c>
      <c r="S8" s="106">
        <f>R8*'GHG ERFs'!$B$87</f>
        <v>0</v>
      </c>
      <c r="T8" s="106">
        <f>IF(A8=Misc!$A$9,('Food Calcs'!C8*'GHG ERFs'!$B$76+'GHG ERFs'!$B$77)*'GHG ERFs'!$B$87,0)</f>
        <v>0</v>
      </c>
      <c r="U8" s="106">
        <f>IF(A8=Misc!$A$10,('Food Calcs'!C8*'GHG ERFs'!$B$76+'GHG ERFs'!$B$77)*'GHG ERFs'!$B$87,0)</f>
        <v>0</v>
      </c>
      <c r="V8" s="114">
        <f>IF(A8=Misc!$A$11,('Food Calcs'!C8*'GHG ERFs'!$B$80+'GHG ERFs'!$B$81)*'GHG ERFs'!$B$87,0)</f>
        <v>0</v>
      </c>
      <c r="W8" s="106">
        <f>IF(A8=Misc!$A$12,('Food Calcs'!C8*'GHG ERFs'!$B$80+'GHG ERFs'!$B$81)*'GHG ERFs'!$B$87,0)</f>
        <v>0</v>
      </c>
      <c r="X8" s="146">
        <f t="shared" si="2"/>
        <v>0</v>
      </c>
      <c r="Y8" s="146">
        <f>(B8*F8*H8*I8)/'GHG ERFs'!$A$201</f>
        <v>0</v>
      </c>
      <c r="Z8" s="710">
        <f t="shared" si="3"/>
        <v>0</v>
      </c>
      <c r="AA8" s="711">
        <f>MAX(J8:W8)*'Co-Ben ERFs'!$B$25</f>
        <v>0</v>
      </c>
      <c r="AB8" s="711">
        <f>MAX(J8:W8)*'Co-Ben ERFs'!$B$26</f>
        <v>0</v>
      </c>
      <c r="AC8" s="711">
        <f>MAX(J8:W8)*'Co-Ben ERFs'!$B$27</f>
        <v>0</v>
      </c>
    </row>
    <row r="9" spans="1:29" x14ac:dyDescent="0.4">
      <c r="A9" s="18">
        <f>Food!A21</f>
        <v>0</v>
      </c>
      <c r="B9" s="18">
        <f>IF(Food!B21="",1,Food!B21)</f>
        <v>1</v>
      </c>
      <c r="C9" s="18">
        <f>IF(OR(A9="Residential Refrigerator/Freezer Combination",A9="Residential Freezer Only",A9="Residential Refrigerator Only"),30,Food!C21)</f>
        <v>0</v>
      </c>
      <c r="D9" s="50">
        <f>IF(OR(A9="Residential Refrigerator/Freezer Combination",A9="Residential Freezer Only",A9="Residential Refrigerator Only"),'GHG ERFs'!$B$175,IF(OR(A9="Small Walk In Refrigerator",A9="Small Walk In Freezer"),'GHG ERFs'!$B$177,IF(OR(A9="Large Walk In Refrigerator",A9="Large Walk In Freezer"),'GHG ERFs'!$B$178,'GHG ERFs'!$B$176)))</f>
        <v>7.1</v>
      </c>
      <c r="E9" s="50">
        <f>Food!D21</f>
        <v>0</v>
      </c>
      <c r="F9" s="50">
        <f t="shared" si="0"/>
        <v>0</v>
      </c>
      <c r="G9" s="18" t="str">
        <f>Food!E21</f>
        <v>Default Value</v>
      </c>
      <c r="H9" s="50">
        <f t="shared" si="1"/>
        <v>0.15</v>
      </c>
      <c r="I9" s="20">
        <f>IF(Food!E21="",'GHG ERFs'!$B$89,VLOOKUP(Food!E21,'GHG ERFs'!$A$89:$B$163,2,0))</f>
        <v>3327.7550000000001</v>
      </c>
      <c r="J9" s="106">
        <f>IF(A9=Misc!$A$1,('Food Calcs'!C9*'GHG ERFs'!$B$70+'GHG ERFs'!$B$71)*'GHG ERFs'!$B$87,0)</f>
        <v>0</v>
      </c>
      <c r="K9" s="106">
        <f>IF(A9=Misc!$A$2,('Food Calcs'!C9*'GHG ERFs'!$B$72+'GHG ERFs'!$B$73)*'GHG ERFs'!$B$87,0)</f>
        <v>0</v>
      </c>
      <c r="L9" s="106">
        <f>IF(A9=Misc!$A$3,('Food Calcs'!C9*'GHG ERFs'!$B$74+'GHG ERFs'!$B$75)*'GHG ERFs'!$B$87,0)</f>
        <v>0</v>
      </c>
      <c r="M9" s="106">
        <f>IF(A9=Misc!$A$4,('Food Calcs'!C9*'GHG ERFs'!$B$76+'GHG ERFs'!$B$77)*'GHG ERFs'!$B$87,0)</f>
        <v>0</v>
      </c>
      <c r="N9" s="106">
        <f>IF(A9=Misc!$A$5,('Food Calcs'!C9*'GHG ERFs'!$B$78+'GHG ERFs'!$B$79)*'GHG ERFs'!$B$87,0)</f>
        <v>0</v>
      </c>
      <c r="O9" s="106">
        <f>IF(A9=Misc!$A$6,('Food Calcs'!C9*'GHG ERFs'!$B$80+'GHG ERFs'!$B$81)*'GHG ERFs'!$B$87,0)</f>
        <v>0</v>
      </c>
      <c r="P9" s="106">
        <f>IF(A9=Misc!$A$7,('Food Calcs'!C9*'GHG ERFs'!$B$82+'GHG ERFs'!$B$83)*'GHG ERFs'!$B$87,0)</f>
        <v>0</v>
      </c>
      <c r="Q9" s="106">
        <f>IF(A9=Misc!$A$8,('Food Calcs'!C9*'GHG ERFs'!$B$84+'GHG ERFs'!$B$85),0)</f>
        <v>0</v>
      </c>
      <c r="R9" s="106">
        <f>IF(Q9=0,0,IF(Q9&lt;'GHG ERFs'!$B$86,'GHG ERFs'!$B$86,'Food Calcs'!Q9))</f>
        <v>0</v>
      </c>
      <c r="S9" s="106">
        <f>R9*'GHG ERFs'!$B$87</f>
        <v>0</v>
      </c>
      <c r="T9" s="106">
        <f>IF(A9=Misc!$A$9,('Food Calcs'!C9*'GHG ERFs'!$B$76+'GHG ERFs'!$B$77)*'GHG ERFs'!$B$87,0)</f>
        <v>0</v>
      </c>
      <c r="U9" s="106">
        <f>IF(A9=Misc!$A$10,('Food Calcs'!C9*'GHG ERFs'!$B$76+'GHG ERFs'!$B$77)*'GHG ERFs'!$B$87,0)</f>
        <v>0</v>
      </c>
      <c r="V9" s="114">
        <f>IF(A9=Misc!$A$11,('Food Calcs'!C9*'GHG ERFs'!$B$80+'GHG ERFs'!$B$81)*'GHG ERFs'!$B$87,0)</f>
        <v>0</v>
      </c>
      <c r="W9" s="106">
        <f>IF(A9=Misc!$A$12,('Food Calcs'!C9*'GHG ERFs'!$B$80+'GHG ERFs'!$B$81)*'GHG ERFs'!$B$87,0)</f>
        <v>0</v>
      </c>
      <c r="X9" s="146">
        <f t="shared" si="2"/>
        <v>0</v>
      </c>
      <c r="Y9" s="146">
        <f>(B9*F9*H9*I9)/'GHG ERFs'!$A$201</f>
        <v>0</v>
      </c>
      <c r="Z9" s="710">
        <f t="shared" si="3"/>
        <v>0</v>
      </c>
      <c r="AA9" s="711">
        <f>MAX(J9:W9)*'Co-Ben ERFs'!$B$25</f>
        <v>0</v>
      </c>
      <c r="AB9" s="711">
        <f>MAX(J9:W9)*'Co-Ben ERFs'!$B$26</f>
        <v>0</v>
      </c>
      <c r="AC9" s="711">
        <f>MAX(J9:W9)*'Co-Ben ERFs'!$B$27</f>
        <v>0</v>
      </c>
    </row>
    <row r="10" spans="1:29" x14ac:dyDescent="0.4">
      <c r="A10" s="18">
        <f>Food!A22</f>
        <v>0</v>
      </c>
      <c r="B10" s="18">
        <f>IF(Food!B22="",1,Food!B22)</f>
        <v>1</v>
      </c>
      <c r="C10" s="18">
        <f>IF(OR(A10="Residential Refrigerator/Freezer Combination",A10="Residential Freezer Only",A10="Residential Refrigerator Only"),30,Food!C22)</f>
        <v>0</v>
      </c>
      <c r="D10" s="50">
        <f>IF(OR(A10="Residential Refrigerator/Freezer Combination",A10="Residential Freezer Only",A10="Residential Refrigerator Only"),'GHG ERFs'!$B$175,IF(OR(A10="Small Walk In Refrigerator",A10="Small Walk In Freezer"),'GHG ERFs'!$B$177,IF(OR(A10="Large Walk In Refrigerator",A10="Large Walk In Freezer"),'GHG ERFs'!$B$178,'GHG ERFs'!$B$176)))</f>
        <v>7.1</v>
      </c>
      <c r="E10" s="50">
        <f>Food!D22</f>
        <v>0</v>
      </c>
      <c r="F10" s="50">
        <f t="shared" si="0"/>
        <v>0</v>
      </c>
      <c r="G10" s="18" t="str">
        <f>Food!E22</f>
        <v>Default Value</v>
      </c>
      <c r="H10" s="50">
        <f t="shared" si="1"/>
        <v>0.15</v>
      </c>
      <c r="I10" s="20">
        <f>IF(Food!E22="",'GHG ERFs'!$B$89,VLOOKUP(Food!E22,'GHG ERFs'!$A$89:$B$163,2,0))</f>
        <v>3327.7550000000001</v>
      </c>
      <c r="J10" s="106">
        <f>IF(A10=Misc!$A$1,('Food Calcs'!C10*'GHG ERFs'!$B$70+'GHG ERFs'!$B$71)*'GHG ERFs'!$B$87,0)</f>
        <v>0</v>
      </c>
      <c r="K10" s="106">
        <f>IF(A10=Misc!$A$2,('Food Calcs'!C10*'GHG ERFs'!$B$72+'GHG ERFs'!$B$73)*'GHG ERFs'!$B$87,0)</f>
        <v>0</v>
      </c>
      <c r="L10" s="106">
        <f>IF(A10=Misc!$A$3,('Food Calcs'!C10*'GHG ERFs'!$B$74+'GHG ERFs'!$B$75)*'GHG ERFs'!$B$87,0)</f>
        <v>0</v>
      </c>
      <c r="M10" s="106">
        <f>IF(A10=Misc!$A$4,('Food Calcs'!C10*'GHG ERFs'!$B$76+'GHG ERFs'!$B$77)*'GHG ERFs'!$B$87,0)</f>
        <v>0</v>
      </c>
      <c r="N10" s="106">
        <f>IF(A10=Misc!$A$5,('Food Calcs'!C10*'GHG ERFs'!$B$78+'GHG ERFs'!$B$79)*'GHG ERFs'!$B$87,0)</f>
        <v>0</v>
      </c>
      <c r="O10" s="106">
        <f>IF(A10=Misc!$A$6,('Food Calcs'!C10*'GHG ERFs'!$B$80+'GHG ERFs'!$B$81)*'GHG ERFs'!$B$87,0)</f>
        <v>0</v>
      </c>
      <c r="P10" s="106">
        <f>IF(A10=Misc!$A$7,('Food Calcs'!C10*'GHG ERFs'!$B$82+'GHG ERFs'!$B$83)*'GHG ERFs'!$B$87,0)</f>
        <v>0</v>
      </c>
      <c r="Q10" s="106">
        <f>IF(A10=Misc!$A$8,('Food Calcs'!C10*'GHG ERFs'!$B$84+'GHG ERFs'!$B$85),0)</f>
        <v>0</v>
      </c>
      <c r="R10" s="106">
        <f>IF(Q10=0,0,IF(Q10&lt;'GHG ERFs'!$B$86,'GHG ERFs'!$B$86,'Food Calcs'!Q10))</f>
        <v>0</v>
      </c>
      <c r="S10" s="106">
        <f>R10*'GHG ERFs'!$B$87</f>
        <v>0</v>
      </c>
      <c r="T10" s="106">
        <f>IF(A10=Misc!$A$9,('Food Calcs'!C10*'GHG ERFs'!$B$76+'GHG ERFs'!$B$77)*'GHG ERFs'!$B$87,0)</f>
        <v>0</v>
      </c>
      <c r="U10" s="106">
        <f>IF(A10=Misc!$A$10,('Food Calcs'!C10*'GHG ERFs'!$B$76+'GHG ERFs'!$B$77)*'GHG ERFs'!$B$87,0)</f>
        <v>0</v>
      </c>
      <c r="V10" s="114">
        <f>IF(A10=Misc!$A$11,('Food Calcs'!C10*'GHG ERFs'!$B$80+'GHG ERFs'!$B$81)*'GHG ERFs'!$B$87,0)</f>
        <v>0</v>
      </c>
      <c r="W10" s="106">
        <f>IF(A10=Misc!$A$12,('Food Calcs'!C10*'GHG ERFs'!$B$80+'GHG ERFs'!$B$81)*'GHG ERFs'!$B$87,0)</f>
        <v>0</v>
      </c>
      <c r="X10" s="146">
        <f t="shared" si="2"/>
        <v>0</v>
      </c>
      <c r="Y10" s="146">
        <f>(B10*F10*H10*I10)/'GHG ERFs'!$A$201</f>
        <v>0</v>
      </c>
      <c r="Z10" s="710">
        <f t="shared" si="3"/>
        <v>0</v>
      </c>
      <c r="AA10" s="711">
        <f>MAX(J10:W10)*'Co-Ben ERFs'!$B$25</f>
        <v>0</v>
      </c>
      <c r="AB10" s="711">
        <f>MAX(J10:W10)*'Co-Ben ERFs'!$B$26</f>
        <v>0</v>
      </c>
      <c r="AC10" s="711">
        <f>MAX(J10:W10)*'Co-Ben ERFs'!$B$27</f>
        <v>0</v>
      </c>
    </row>
    <row r="11" spans="1:29" x14ac:dyDescent="0.4">
      <c r="A11" s="18">
        <f>Food!A23</f>
        <v>0</v>
      </c>
      <c r="B11" s="18">
        <f>IF(Food!B23="",1,Food!B23)</f>
        <v>1</v>
      </c>
      <c r="C11" s="18">
        <f>IF(OR(A11="Residential Refrigerator/Freezer Combination",A11="Residential Freezer Only",A11="Residential Refrigerator Only"),30,Food!C23)</f>
        <v>0</v>
      </c>
      <c r="D11" s="50">
        <f>IF(OR(A11="Residential Refrigerator/Freezer Combination",A11="Residential Freezer Only",A11="Residential Refrigerator Only"),'GHG ERFs'!$B$175,IF(OR(A11="Small Walk In Refrigerator",A11="Small Walk In Freezer"),'GHG ERFs'!$B$177,IF(OR(A11="Large Walk In Refrigerator",A11="Large Walk In Freezer"),'GHG ERFs'!$B$178,'GHG ERFs'!$B$176)))</f>
        <v>7.1</v>
      </c>
      <c r="E11" s="50">
        <f>Food!D23</f>
        <v>0</v>
      </c>
      <c r="F11" s="50">
        <f t="shared" si="0"/>
        <v>0</v>
      </c>
      <c r="G11" s="18" t="str">
        <f>Food!E23</f>
        <v>Default Value</v>
      </c>
      <c r="H11" s="50">
        <f t="shared" si="1"/>
        <v>0.15</v>
      </c>
      <c r="I11" s="20">
        <f>IF(Food!E23="",'GHG ERFs'!$B$89,VLOOKUP(Food!E23,'GHG ERFs'!$A$89:$B$163,2,0))</f>
        <v>3327.7550000000001</v>
      </c>
      <c r="J11" s="106">
        <f>IF(A11=Misc!$A$1,('Food Calcs'!C11*'GHG ERFs'!$B$70+'GHG ERFs'!$B$71)*'GHG ERFs'!$B$87,0)</f>
        <v>0</v>
      </c>
      <c r="K11" s="106">
        <f>IF(A11=Misc!$A$2,('Food Calcs'!C11*'GHG ERFs'!$B$72+'GHG ERFs'!$B$73)*'GHG ERFs'!$B$87,0)</f>
        <v>0</v>
      </c>
      <c r="L11" s="106">
        <f>IF(A11=Misc!$A$3,('Food Calcs'!C11*'GHG ERFs'!$B$74+'GHG ERFs'!$B$75)*'GHG ERFs'!$B$87,0)</f>
        <v>0</v>
      </c>
      <c r="M11" s="106">
        <f>IF(A11=Misc!$A$4,('Food Calcs'!C11*'GHG ERFs'!$B$76+'GHG ERFs'!$B$77)*'GHG ERFs'!$B$87,0)</f>
        <v>0</v>
      </c>
      <c r="N11" s="106">
        <f>IF(A11=Misc!$A$5,('Food Calcs'!C11*'GHG ERFs'!$B$78+'GHG ERFs'!$B$79)*'GHG ERFs'!$B$87,0)</f>
        <v>0</v>
      </c>
      <c r="O11" s="106">
        <f>IF(A11=Misc!$A$6,('Food Calcs'!C11*'GHG ERFs'!$B$80+'GHG ERFs'!$B$81)*'GHG ERFs'!$B$87,0)</f>
        <v>0</v>
      </c>
      <c r="P11" s="106">
        <f>IF(A11=Misc!$A$7,('Food Calcs'!C11*'GHG ERFs'!$B$82+'GHG ERFs'!$B$83)*'GHG ERFs'!$B$87,0)</f>
        <v>0</v>
      </c>
      <c r="Q11" s="106">
        <f>IF(A11=Misc!$A$8,('Food Calcs'!C11*'GHG ERFs'!$B$84+'GHG ERFs'!$B$85),0)</f>
        <v>0</v>
      </c>
      <c r="R11" s="106">
        <f>IF(Q11=0,0,IF(Q11&lt;'GHG ERFs'!$B$86,'GHG ERFs'!$B$86,'Food Calcs'!Q11))</f>
        <v>0</v>
      </c>
      <c r="S11" s="106">
        <f>R11*'GHG ERFs'!$B$87</f>
        <v>0</v>
      </c>
      <c r="T11" s="106">
        <f>IF(A11=Misc!$A$9,('Food Calcs'!C11*'GHG ERFs'!$B$76+'GHG ERFs'!$B$77)*'GHG ERFs'!$B$87,0)</f>
        <v>0</v>
      </c>
      <c r="U11" s="106">
        <f>IF(A11=Misc!$A$10,('Food Calcs'!C11*'GHG ERFs'!$B$76+'GHG ERFs'!$B$77)*'GHG ERFs'!$B$87,0)</f>
        <v>0</v>
      </c>
      <c r="V11" s="114">
        <f>IF(A11=Misc!$A$11,('Food Calcs'!C11*'GHG ERFs'!$B$80+'GHG ERFs'!$B$81)*'GHG ERFs'!$B$87,0)</f>
        <v>0</v>
      </c>
      <c r="W11" s="106">
        <f>IF(A11=Misc!$A$12,('Food Calcs'!C11*'GHG ERFs'!$B$80+'GHG ERFs'!$B$81)*'GHG ERFs'!$B$87,0)</f>
        <v>0</v>
      </c>
      <c r="X11" s="146">
        <f t="shared" si="2"/>
        <v>0</v>
      </c>
      <c r="Y11" s="146">
        <f>(B11*F11*H11*I11)/'GHG ERFs'!$A$201</f>
        <v>0</v>
      </c>
      <c r="Z11" s="710">
        <f t="shared" si="3"/>
        <v>0</v>
      </c>
      <c r="AA11" s="711">
        <f>MAX(J11:W11)*'Co-Ben ERFs'!$B$25</f>
        <v>0</v>
      </c>
      <c r="AB11" s="711">
        <f>MAX(J11:W11)*'Co-Ben ERFs'!$B$26</f>
        <v>0</v>
      </c>
      <c r="AC11" s="711">
        <f>MAX(J11:W11)*'Co-Ben ERFs'!$B$27</f>
        <v>0</v>
      </c>
    </row>
    <row r="12" spans="1:29" x14ac:dyDescent="0.4">
      <c r="A12" s="18">
        <f>Food!A24</f>
        <v>0</v>
      </c>
      <c r="B12" s="18">
        <f>IF(Food!B24="",1,Food!B24)</f>
        <v>1</v>
      </c>
      <c r="C12" s="18">
        <f>IF(OR(A12="Residential Refrigerator/Freezer Combination",A12="Residential Freezer Only",A12="Residential Refrigerator Only"),30,Food!C24)</f>
        <v>0</v>
      </c>
      <c r="D12" s="50">
        <f>IF(OR(A12="Residential Refrigerator/Freezer Combination",A12="Residential Freezer Only",A12="Residential Refrigerator Only"),'GHG ERFs'!$B$175,IF(OR(A12="Small Walk In Refrigerator",A12="Small Walk In Freezer"),'GHG ERFs'!$B$177,IF(OR(A12="Large Walk In Refrigerator",A12="Large Walk In Freezer"),'GHG ERFs'!$B$178,'GHG ERFs'!$B$176)))</f>
        <v>7.1</v>
      </c>
      <c r="E12" s="50">
        <f>Food!D24</f>
        <v>0</v>
      </c>
      <c r="F12" s="50">
        <f t="shared" si="0"/>
        <v>0</v>
      </c>
      <c r="G12" s="18" t="str">
        <f>Food!E24</f>
        <v>Default Value</v>
      </c>
      <c r="H12" s="50">
        <f t="shared" si="1"/>
        <v>0.15</v>
      </c>
      <c r="I12" s="20">
        <f>IF(Food!E24="",'GHG ERFs'!$B$89,VLOOKUP(Food!E24,'GHG ERFs'!$A$89:$B$163,2,0))</f>
        <v>3327.7550000000001</v>
      </c>
      <c r="J12" s="106">
        <f>IF(A12=Misc!$A$1,('Food Calcs'!C12*'GHG ERFs'!$B$70+'GHG ERFs'!$B$71)*'GHG ERFs'!$B$87,0)</f>
        <v>0</v>
      </c>
      <c r="K12" s="106">
        <f>IF(A12=Misc!$A$2,('Food Calcs'!C12*'GHG ERFs'!$B$72+'GHG ERFs'!$B$73)*'GHG ERFs'!$B$87,0)</f>
        <v>0</v>
      </c>
      <c r="L12" s="106">
        <f>IF(A12=Misc!$A$3,('Food Calcs'!C12*'GHG ERFs'!$B$74+'GHG ERFs'!$B$75)*'GHG ERFs'!$B$87,0)</f>
        <v>0</v>
      </c>
      <c r="M12" s="106">
        <f>IF(A12=Misc!$A$4,('Food Calcs'!C12*'GHG ERFs'!$B$76+'GHG ERFs'!$B$77)*'GHG ERFs'!$B$87,0)</f>
        <v>0</v>
      </c>
      <c r="N12" s="106">
        <f>IF(A12=Misc!$A$5,('Food Calcs'!C12*'GHG ERFs'!$B$78+'GHG ERFs'!$B$79)*'GHG ERFs'!$B$87,0)</f>
        <v>0</v>
      </c>
      <c r="O12" s="106">
        <f>IF(A12=Misc!$A$6,('Food Calcs'!C12*'GHG ERFs'!$B$80+'GHG ERFs'!$B$81)*'GHG ERFs'!$B$87,0)</f>
        <v>0</v>
      </c>
      <c r="P12" s="106">
        <f>IF(A12=Misc!$A$7,('Food Calcs'!C12*'GHG ERFs'!$B$82+'GHG ERFs'!$B$83)*'GHG ERFs'!$B$87,0)</f>
        <v>0</v>
      </c>
      <c r="Q12" s="106">
        <f>IF(A12=Misc!$A$8,('Food Calcs'!C12*'GHG ERFs'!$B$84+'GHG ERFs'!$B$85),0)</f>
        <v>0</v>
      </c>
      <c r="R12" s="106">
        <f>IF(Q12=0,0,IF(Q12&lt;'GHG ERFs'!$B$86,'GHG ERFs'!$B$86,'Food Calcs'!Q12))</f>
        <v>0</v>
      </c>
      <c r="S12" s="106">
        <f>R12*'GHG ERFs'!$B$87</f>
        <v>0</v>
      </c>
      <c r="T12" s="106">
        <f>IF(A12=Misc!$A$9,('Food Calcs'!C12*'GHG ERFs'!$B$76+'GHG ERFs'!$B$77)*'GHG ERFs'!$B$87,0)</f>
        <v>0</v>
      </c>
      <c r="U12" s="106">
        <f>IF(A12=Misc!$A$10,('Food Calcs'!C12*'GHG ERFs'!$B$76+'GHG ERFs'!$B$77)*'GHG ERFs'!$B$87,0)</f>
        <v>0</v>
      </c>
      <c r="V12" s="114">
        <f>IF(A12=Misc!$A$11,('Food Calcs'!C12*'GHG ERFs'!$B$80+'GHG ERFs'!$B$81)*'GHG ERFs'!$B$87,0)</f>
        <v>0</v>
      </c>
      <c r="W12" s="106">
        <f>IF(A12=Misc!$A$12,('Food Calcs'!C12*'GHG ERFs'!$B$80+'GHG ERFs'!$B$81)*'GHG ERFs'!$B$87,0)</f>
        <v>0</v>
      </c>
      <c r="X12" s="146">
        <f t="shared" si="2"/>
        <v>0</v>
      </c>
      <c r="Y12" s="146">
        <f>(B12*F12*H12*I12)/'GHG ERFs'!$A$201</f>
        <v>0</v>
      </c>
      <c r="Z12" s="710">
        <f t="shared" si="3"/>
        <v>0</v>
      </c>
      <c r="AA12" s="711">
        <f>MAX(J12:W12)*'Co-Ben ERFs'!$B$25</f>
        <v>0</v>
      </c>
      <c r="AB12" s="711">
        <f>MAX(J12:W12)*'Co-Ben ERFs'!$B$26</f>
        <v>0</v>
      </c>
      <c r="AC12" s="711">
        <f>MAX(J12:W12)*'Co-Ben ERFs'!$B$27</f>
        <v>0</v>
      </c>
    </row>
    <row r="13" spans="1:29" x14ac:dyDescent="0.4">
      <c r="A13" s="18">
        <f>Food!A25</f>
        <v>0</v>
      </c>
      <c r="B13" s="18">
        <f>IF(Food!B25="",1,Food!B25)</f>
        <v>1</v>
      </c>
      <c r="C13" s="18">
        <f>IF(OR(A13="Residential Refrigerator/Freezer Combination",A13="Residential Freezer Only",A13="Residential Refrigerator Only"),30,Food!C25)</f>
        <v>0</v>
      </c>
      <c r="D13" s="50">
        <f>IF(OR(A13="Residential Refrigerator/Freezer Combination",A13="Residential Freezer Only",A13="Residential Refrigerator Only"),'GHG ERFs'!$B$175,IF(OR(A13="Small Walk In Refrigerator",A13="Small Walk In Freezer"),'GHG ERFs'!$B$177,IF(OR(A13="Large Walk In Refrigerator",A13="Large Walk In Freezer"),'GHG ERFs'!$B$178,'GHG ERFs'!$B$176)))</f>
        <v>7.1</v>
      </c>
      <c r="E13" s="50">
        <f>Food!D25</f>
        <v>0</v>
      </c>
      <c r="F13" s="50">
        <f t="shared" si="0"/>
        <v>0</v>
      </c>
      <c r="G13" s="18" t="str">
        <f>Food!E25</f>
        <v>Default Value</v>
      </c>
      <c r="H13" s="50">
        <f t="shared" si="1"/>
        <v>0.15</v>
      </c>
      <c r="I13" s="20">
        <f>IF(Food!E25="",'GHG ERFs'!$B$89,VLOOKUP(Food!E25,'GHG ERFs'!$A$89:$B$163,2,0))</f>
        <v>3327.7550000000001</v>
      </c>
      <c r="J13" s="106">
        <f>IF(A13=Misc!$A$1,('Food Calcs'!C13*'GHG ERFs'!$B$70+'GHG ERFs'!$B$71)*'GHG ERFs'!$B$87,0)</f>
        <v>0</v>
      </c>
      <c r="K13" s="106">
        <f>IF(A13=Misc!$A$2,('Food Calcs'!C13*'GHG ERFs'!$B$72+'GHG ERFs'!$B$73)*'GHG ERFs'!$B$87,0)</f>
        <v>0</v>
      </c>
      <c r="L13" s="106">
        <f>IF(A13=Misc!$A$3,('Food Calcs'!C13*'GHG ERFs'!$B$74+'GHG ERFs'!$B$75)*'GHG ERFs'!$B$87,0)</f>
        <v>0</v>
      </c>
      <c r="M13" s="106">
        <f>IF(A13=Misc!$A$4,('Food Calcs'!C13*'GHG ERFs'!$B$76+'GHG ERFs'!$B$77)*'GHG ERFs'!$B$87,0)</f>
        <v>0</v>
      </c>
      <c r="N13" s="106">
        <f>IF(A13=Misc!$A$5,('Food Calcs'!C13*'GHG ERFs'!$B$78+'GHG ERFs'!$B$79)*'GHG ERFs'!$B$87,0)</f>
        <v>0</v>
      </c>
      <c r="O13" s="106">
        <f>IF(A13=Misc!$A$6,('Food Calcs'!C13*'GHG ERFs'!$B$80+'GHG ERFs'!$B$81)*'GHG ERFs'!$B$87,0)</f>
        <v>0</v>
      </c>
      <c r="P13" s="106">
        <f>IF(A13=Misc!$A$7,('Food Calcs'!C13*'GHG ERFs'!$B$82+'GHG ERFs'!$B$83)*'GHG ERFs'!$B$87,0)</f>
        <v>0</v>
      </c>
      <c r="Q13" s="106">
        <f>IF(A13=Misc!$A$8,('Food Calcs'!C13*'GHG ERFs'!$B$84+'GHG ERFs'!$B$85),0)</f>
        <v>0</v>
      </c>
      <c r="R13" s="106">
        <f>IF(Q13=0,0,IF(Q13&lt;'GHG ERFs'!$B$86,'GHG ERFs'!$B$86,'Food Calcs'!Q13))</f>
        <v>0</v>
      </c>
      <c r="S13" s="106">
        <f>R13*'GHG ERFs'!$B$87</f>
        <v>0</v>
      </c>
      <c r="T13" s="106">
        <f>IF(A13=Misc!$A$9,('Food Calcs'!C13*'GHG ERFs'!$B$76+'GHG ERFs'!$B$77)*'GHG ERFs'!$B$87,0)</f>
        <v>0</v>
      </c>
      <c r="U13" s="106">
        <f>IF(A13=Misc!$A$10,('Food Calcs'!C13*'GHG ERFs'!$B$76+'GHG ERFs'!$B$77)*'GHG ERFs'!$B$87,0)</f>
        <v>0</v>
      </c>
      <c r="V13" s="114">
        <f>IF(A13=Misc!$A$11,('Food Calcs'!C13*'GHG ERFs'!$B$80+'GHG ERFs'!$B$81)*'GHG ERFs'!$B$87,0)</f>
        <v>0</v>
      </c>
      <c r="W13" s="106">
        <f>IF(A13=Misc!$A$12,('Food Calcs'!C13*'GHG ERFs'!$B$80+'GHG ERFs'!$B$81)*'GHG ERFs'!$B$87,0)</f>
        <v>0</v>
      </c>
      <c r="X13" s="146">
        <f t="shared" si="2"/>
        <v>0</v>
      </c>
      <c r="Y13" s="146">
        <f>(B13*F13*H13*I13)/'GHG ERFs'!$A$201</f>
        <v>0</v>
      </c>
      <c r="Z13" s="710">
        <f t="shared" si="3"/>
        <v>0</v>
      </c>
      <c r="AA13" s="711">
        <f>MAX(J13:W13)*'Co-Ben ERFs'!$B$25</f>
        <v>0</v>
      </c>
      <c r="AB13" s="711">
        <f>MAX(J13:W13)*'Co-Ben ERFs'!$B$26</f>
        <v>0</v>
      </c>
      <c r="AC13" s="711">
        <f>MAX(J13:W13)*'Co-Ben ERFs'!$B$27</f>
        <v>0</v>
      </c>
    </row>
    <row r="14" spans="1:29" ht="15" thickBot="1" x14ac:dyDescent="0.45">
      <c r="A14" s="107"/>
      <c r="B14" s="107"/>
      <c r="C14" s="107"/>
      <c r="D14" s="108"/>
      <c r="E14" s="108"/>
      <c r="F14" s="108"/>
      <c r="G14" s="107"/>
      <c r="H14" s="108"/>
      <c r="I14" s="17"/>
      <c r="W14" s="106" t="s">
        <v>194</v>
      </c>
      <c r="X14" s="146">
        <f t="shared" ref="X14:AC14" si="4">SUM(X4:X13)</f>
        <v>0</v>
      </c>
      <c r="Y14" s="146">
        <f t="shared" si="4"/>
        <v>0</v>
      </c>
      <c r="Z14" s="710">
        <f t="shared" si="4"/>
        <v>0</v>
      </c>
      <c r="AA14" s="712">
        <f t="shared" si="4"/>
        <v>0</v>
      </c>
      <c r="AB14" s="712">
        <f t="shared" si="4"/>
        <v>0</v>
      </c>
      <c r="AC14" s="712">
        <f t="shared" si="4"/>
        <v>0</v>
      </c>
    </row>
    <row r="15" spans="1:29" s="14" customFormat="1" ht="43.75" x14ac:dyDescent="0.4">
      <c r="A15" s="132" t="s">
        <v>196</v>
      </c>
      <c r="B15" s="155" t="s">
        <v>197</v>
      </c>
      <c r="C15" s="87" t="s">
        <v>207</v>
      </c>
      <c r="D15" s="87" t="s">
        <v>12</v>
      </c>
      <c r="E15" s="157" t="s">
        <v>231</v>
      </c>
      <c r="F15" s="155" t="s">
        <v>229</v>
      </c>
      <c r="G15" s="156" t="s">
        <v>68</v>
      </c>
      <c r="H15" s="156" t="s">
        <v>230</v>
      </c>
      <c r="I15" s="157" t="s">
        <v>233</v>
      </c>
      <c r="J15" s="140" t="s">
        <v>232</v>
      </c>
      <c r="K15" s="155" t="s">
        <v>238</v>
      </c>
      <c r="L15" s="156" t="s">
        <v>253</v>
      </c>
      <c r="M15" s="156" t="s">
        <v>235</v>
      </c>
      <c r="N15" s="157" t="s">
        <v>236</v>
      </c>
      <c r="O15" s="728" t="s">
        <v>975</v>
      </c>
    </row>
    <row r="16" spans="1:29" s="14" customFormat="1" x14ac:dyDescent="0.4">
      <c r="A16" s="133">
        <f>Food!A29</f>
        <v>0</v>
      </c>
      <c r="B16" s="130">
        <f>Food!B29</f>
        <v>0</v>
      </c>
      <c r="C16" s="18">
        <f>IF(B16&gt;0,'GHG ERFs'!$B$184*B16,0)</f>
        <v>0</v>
      </c>
      <c r="D16" s="50">
        <f>IF(B16&gt;=1,VLOOKUP(A16,Misc!$A$34:$H$54,2,FALSE),0)</f>
        <v>0</v>
      </c>
      <c r="E16" s="135">
        <f>(C16*D16)/'GHG ERFs'!$A$202</f>
        <v>0</v>
      </c>
      <c r="F16" s="137">
        <f>IF(B16&gt;=1,VLOOKUP(A16,Misc!$A$34:$H$54,8,FALSE),0)</f>
        <v>0</v>
      </c>
      <c r="G16" s="129">
        <f>IF(B16&gt;=1,VLOOKUP(A16,Misc!$A$34:$H$54,7,FALSE),0)</f>
        <v>0</v>
      </c>
      <c r="H16" s="86">
        <f>'GHG ERFs'!$B$90</f>
        <v>1430</v>
      </c>
      <c r="I16" s="138">
        <f>(F16*G16*H16*B16)/'GHG ERFs'!$A$201</f>
        <v>0</v>
      </c>
      <c r="J16" s="141">
        <f t="shared" ref="J16:J21" si="5">E16+I16</f>
        <v>0</v>
      </c>
      <c r="K16" s="713">
        <f>IF(B16&gt;=1,(VLOOKUP(A16,Misc!$A$34:$H$54,3,FALSE)*B16*C16)/'GHG ERFs'!$A$204,0)</f>
        <v>0</v>
      </c>
      <c r="L16" s="711">
        <f>IF(B16&gt;=1,(VLOOKUP(A16,Misc!$A$34:$H$54,4,FALSE)*B16*C16)/'GHG ERFs'!$A$204,0)</f>
        <v>0</v>
      </c>
      <c r="M16" s="711">
        <f>IF(B16&gt;=1,(VLOOKUP(A16,Misc!$A$34:$H$54,5,FALSE)*B16*C16)/'GHG ERFs'!$A$204,0)</f>
        <v>0</v>
      </c>
      <c r="N16" s="714">
        <f>IF(B16&gt;=1,(VLOOKUP(A16,Misc!$A$34:$H$54,6,FALSE)*B16*C16)/'GHG ERFs'!$A$204,0)</f>
        <v>0</v>
      </c>
      <c r="O16" s="729">
        <f>-IF(A16&gt;0,(VLOOKUP(A16,Misc!$A$34:$I$54,9,FALSE)*B16),0)</f>
        <v>0</v>
      </c>
    </row>
    <row r="17" spans="1:19" s="14" customFormat="1" x14ac:dyDescent="0.4">
      <c r="A17" s="133">
        <f>Food!A30</f>
        <v>0</v>
      </c>
      <c r="B17" s="130">
        <f>Food!B30</f>
        <v>0</v>
      </c>
      <c r="C17" s="18">
        <f>IF(B17&gt;0,'GHG ERFs'!$B$184*B17,0)</f>
        <v>0</v>
      </c>
      <c r="D17" s="50">
        <f>IF(B17&gt;=1,VLOOKUP(A17,Misc!$A$34:$H$54,2,FALSE),0)</f>
        <v>0</v>
      </c>
      <c r="E17" s="135">
        <f>(C17*D17)/'GHG ERFs'!$A$202</f>
        <v>0</v>
      </c>
      <c r="F17" s="137">
        <f>IF(B17&gt;=1,VLOOKUP(A17,Misc!$A$34:$H$54,8,FALSE),0)</f>
        <v>0</v>
      </c>
      <c r="G17" s="129">
        <f>IF(B17&gt;=1,VLOOKUP(A17,Misc!$A$34:$H$54,7,FALSE),0)</f>
        <v>0</v>
      </c>
      <c r="H17" s="86">
        <f>'GHG ERFs'!$B$90</f>
        <v>1430</v>
      </c>
      <c r="I17" s="138">
        <f>(F17*G17*H17*B17)/'GHG ERFs'!$A$201</f>
        <v>0</v>
      </c>
      <c r="J17" s="141">
        <f t="shared" si="5"/>
        <v>0</v>
      </c>
      <c r="K17" s="713">
        <f>IF(B17&gt;=1,(VLOOKUP(A17,Misc!$A$34:$H$54,3,FALSE)*B17*C17)/'GHG ERFs'!$A$204,0)</f>
        <v>0</v>
      </c>
      <c r="L17" s="711">
        <f>IF(B17&gt;=1,(VLOOKUP(A17,Misc!$A$34:$H$54,4,FALSE)*B17*C17)/'GHG ERFs'!$A$204,0)</f>
        <v>0</v>
      </c>
      <c r="M17" s="711">
        <f>IF(B17&gt;=1,(VLOOKUP(A17,Misc!$A$34:$H$54,5,FALSE)*B17*C17)/'GHG ERFs'!$A$204,0)</f>
        <v>0</v>
      </c>
      <c r="N17" s="714">
        <f>IF(B17&gt;=1,(VLOOKUP(A17,Misc!$A$34:$H$54,6,FALSE)*B17*C17)/'GHG ERFs'!$A$204,0)</f>
        <v>0</v>
      </c>
      <c r="O17" s="729">
        <f>-IF(A17&gt;0,(VLOOKUP(A17,[17]Sheet1!$A$34:$I$54,9,FALSE)*B17),0)</f>
        <v>0</v>
      </c>
    </row>
    <row r="18" spans="1:19" s="14" customFormat="1" x14ac:dyDescent="0.4">
      <c r="A18" s="133">
        <f>Food!A31</f>
        <v>0</v>
      </c>
      <c r="B18" s="130">
        <f>Food!B31</f>
        <v>0</v>
      </c>
      <c r="C18" s="18">
        <f>IF(B18&gt;0,'GHG ERFs'!$B$184*B18,0)</f>
        <v>0</v>
      </c>
      <c r="D18" s="50">
        <f>IF(B18&gt;=1,VLOOKUP(A18,Misc!$A$34:$H$54,2,FALSE),0)</f>
        <v>0</v>
      </c>
      <c r="E18" s="135">
        <f>(C18*D18)/'GHG ERFs'!$A$202</f>
        <v>0</v>
      </c>
      <c r="F18" s="137">
        <f>IF(B18&gt;=1,VLOOKUP(A18,Misc!$A$34:$H$54,8,FALSE),0)</f>
        <v>0</v>
      </c>
      <c r="G18" s="129">
        <f>IF(B18&gt;=1,VLOOKUP(A18,Misc!$A$34:$H$54,7,FALSE),0)</f>
        <v>0</v>
      </c>
      <c r="H18" s="86">
        <f>'GHG ERFs'!$B$90</f>
        <v>1430</v>
      </c>
      <c r="I18" s="138">
        <f>(F18*G18*H18*B18)/'GHG ERFs'!$A$201</f>
        <v>0</v>
      </c>
      <c r="J18" s="141">
        <f t="shared" si="5"/>
        <v>0</v>
      </c>
      <c r="K18" s="713">
        <f>IF(B18&gt;=1,(VLOOKUP(A18,Misc!$A$34:$H$54,3,FALSE)*B18*C18)/'GHG ERFs'!$A$204,0)</f>
        <v>0</v>
      </c>
      <c r="L18" s="711">
        <f>IF(B18&gt;=1,(VLOOKUP(A18,Misc!$A$34:$H$54,4,FALSE)*B18*C18)/'GHG ERFs'!$A$204,0)</f>
        <v>0</v>
      </c>
      <c r="M18" s="711">
        <f>IF(B18&gt;=1,(VLOOKUP(A18,Misc!$A$34:$H$54,5,FALSE)*B18*C18)/'GHG ERFs'!$A$204,0)</f>
        <v>0</v>
      </c>
      <c r="N18" s="714">
        <f>IF(B18&gt;=1,(VLOOKUP(A18,Misc!$A$34:$H$54,6,FALSE)*B18*C18)/'GHG ERFs'!$A$204,0)</f>
        <v>0</v>
      </c>
      <c r="O18" s="729">
        <f>-IF(A18&gt;0,(VLOOKUP(A18,[17]Sheet1!$A$34:$I$54,9,FALSE)*B18),0)</f>
        <v>0</v>
      </c>
    </row>
    <row r="19" spans="1:19" s="14" customFormat="1" x14ac:dyDescent="0.4">
      <c r="A19" s="133">
        <f>Food!A32</f>
        <v>0</v>
      </c>
      <c r="B19" s="130">
        <f>Food!B32</f>
        <v>0</v>
      </c>
      <c r="C19" s="18">
        <f>IF(B19&gt;0,'GHG ERFs'!$B$184*B19,0)</f>
        <v>0</v>
      </c>
      <c r="D19" s="50">
        <f>IF(B19&gt;=1,VLOOKUP(A19,Misc!$A$34:$H$54,2,FALSE),0)</f>
        <v>0</v>
      </c>
      <c r="E19" s="135">
        <f>(C19*D19)/'GHG ERFs'!$A$202</f>
        <v>0</v>
      </c>
      <c r="F19" s="137">
        <f>IF(B19&gt;=1,VLOOKUP(A19,Misc!$A$34:$H$54,8,FALSE),0)</f>
        <v>0</v>
      </c>
      <c r="G19" s="129">
        <f>IF(B19&gt;=1,VLOOKUP(A19,Misc!$A$34:$H$54,7,FALSE),0)</f>
        <v>0</v>
      </c>
      <c r="H19" s="86">
        <f>'GHG ERFs'!$B$90</f>
        <v>1430</v>
      </c>
      <c r="I19" s="138">
        <f>(F19*G19*H19*B19)/'GHG ERFs'!$A$201</f>
        <v>0</v>
      </c>
      <c r="J19" s="141">
        <f t="shared" si="5"/>
        <v>0</v>
      </c>
      <c r="K19" s="713">
        <f>IF(B19&gt;=1,(VLOOKUP(A19,Misc!$A$34:$H$54,3,FALSE)*B19*C19)/'GHG ERFs'!$A$204,0)</f>
        <v>0</v>
      </c>
      <c r="L19" s="711">
        <f>IF(B19&gt;=1,(VLOOKUP(A19,Misc!$A$34:$H$54,4,FALSE)*B19*C19)/'GHG ERFs'!$A$204,0)</f>
        <v>0</v>
      </c>
      <c r="M19" s="711">
        <f>IF(B19&gt;=1,(VLOOKUP(A19,Misc!$A$34:$H$54,5,FALSE)*B19*C19)/'GHG ERFs'!$A$204,0)</f>
        <v>0</v>
      </c>
      <c r="N19" s="714">
        <f>IF(B19&gt;=1,(VLOOKUP(A19,Misc!$A$34:$H$54,6,FALSE)*B19*C19)/'GHG ERFs'!$A$204,0)</f>
        <v>0</v>
      </c>
      <c r="O19" s="729">
        <f>-IF(A19&gt;0,(VLOOKUP(A19,[17]Sheet1!$A$34:$I$54,9,FALSE)*B19),0)</f>
        <v>0</v>
      </c>
    </row>
    <row r="20" spans="1:19" s="14" customFormat="1" x14ac:dyDescent="0.4">
      <c r="A20" s="133">
        <f>Food!A33</f>
        <v>0</v>
      </c>
      <c r="B20" s="130">
        <f>Food!B33</f>
        <v>0</v>
      </c>
      <c r="C20" s="18">
        <f>IF(B20&gt;0,'GHG ERFs'!$B$184*B20,0)</f>
        <v>0</v>
      </c>
      <c r="D20" s="50">
        <f>IF(B20&gt;=1,VLOOKUP(A20,Misc!$A$34:$H$54,2,FALSE),0)</f>
        <v>0</v>
      </c>
      <c r="E20" s="135">
        <f>(C20*D20)/'GHG ERFs'!$A$202</f>
        <v>0</v>
      </c>
      <c r="F20" s="137">
        <f>IF(B20&gt;=1,VLOOKUP(A20,Misc!$A$34:$H$54,8,FALSE),0)</f>
        <v>0</v>
      </c>
      <c r="G20" s="129">
        <f>IF(B20&gt;=1,VLOOKUP(A20,Misc!$A$34:$H$54,7,FALSE),0)</f>
        <v>0</v>
      </c>
      <c r="H20" s="86">
        <f>'GHG ERFs'!$B$90</f>
        <v>1430</v>
      </c>
      <c r="I20" s="138">
        <f>(F20*G20*H20*B20)/'GHG ERFs'!$A$201</f>
        <v>0</v>
      </c>
      <c r="J20" s="141">
        <f t="shared" si="5"/>
        <v>0</v>
      </c>
      <c r="K20" s="713">
        <f>IF(B20&gt;=1,(VLOOKUP(A20,Misc!$A$34:$H$54,3,FALSE)*B20*C20)/'GHG ERFs'!$A$204,0)</f>
        <v>0</v>
      </c>
      <c r="L20" s="711">
        <f>IF(B20&gt;=1,(VLOOKUP(A20,Misc!$A$34:$H$54,4,FALSE)*B20*C20)/'GHG ERFs'!$A$204,0)</f>
        <v>0</v>
      </c>
      <c r="M20" s="711">
        <f>IF(B20&gt;=1,(VLOOKUP(A20,Misc!$A$34:$H$54,5,FALSE)*B20*C20)/'GHG ERFs'!$A$204,0)</f>
        <v>0</v>
      </c>
      <c r="N20" s="714">
        <f>IF(B20&gt;=1,(VLOOKUP(A20,Misc!$A$34:$H$54,6,FALSE)*B20*C20)/'GHG ERFs'!$A$204,0)</f>
        <v>0</v>
      </c>
      <c r="O20" s="729">
        <f>-IF(A20&gt;0,(VLOOKUP(A20,[17]Sheet1!$A$34:$I$54,9,FALSE)*B20),0)</f>
        <v>0</v>
      </c>
    </row>
    <row r="21" spans="1:19" s="14" customFormat="1" ht="15" thickBot="1" x14ac:dyDescent="0.45">
      <c r="A21" s="134">
        <f>Food!A34</f>
        <v>0</v>
      </c>
      <c r="B21" s="131">
        <f>Food!B34</f>
        <v>0</v>
      </c>
      <c r="C21" s="119">
        <f>IF(B21&gt;0,'GHG ERFs'!$B$184*B21,0)</f>
        <v>0</v>
      </c>
      <c r="D21" s="211">
        <f>IF(B21&gt;=1,VLOOKUP(A21,Misc!$A$34:$H$54,2,FALSE),0)</f>
        <v>0</v>
      </c>
      <c r="E21" s="136">
        <f>(C21*D21)/'GHG ERFs'!$A$202</f>
        <v>0</v>
      </c>
      <c r="F21" s="212">
        <f>IF(B21&gt;=1,VLOOKUP(A21,Misc!$A$34:$H$54,8,FALSE),0)</f>
        <v>0</v>
      </c>
      <c r="G21" s="213">
        <f>IF(B21&gt;=1,VLOOKUP(A21,Misc!$A$34:$H$54,7,FALSE),0)</f>
        <v>0</v>
      </c>
      <c r="H21" s="91">
        <f>'GHG ERFs'!$B$90</f>
        <v>1430</v>
      </c>
      <c r="I21" s="139">
        <f>(F21*G21*H21*B21)/'GHG ERFs'!$A$201</f>
        <v>0</v>
      </c>
      <c r="J21" s="142">
        <f t="shared" si="5"/>
        <v>0</v>
      </c>
      <c r="K21" s="715">
        <f>IF(B21&gt;=1,(VLOOKUP(A21,Misc!$A$34:$H$54,3,FALSE)*B21*C21)/'GHG ERFs'!$A$204,0)</f>
        <v>0</v>
      </c>
      <c r="L21" s="716">
        <f>IF(B21&gt;=1,(VLOOKUP(A21,Misc!$A$34:$H$54,4,FALSE)*B21*C21)/'GHG ERFs'!$A$204,0)</f>
        <v>0</v>
      </c>
      <c r="M21" s="716">
        <f>IF(B21&gt;=1,(VLOOKUP(A21,Misc!$A$34:$H$54,5,FALSE)*B21*C21)/'GHG ERFs'!$A$204,0)</f>
        <v>0</v>
      </c>
      <c r="N21" s="717">
        <f>IF(B21&gt;=1,(VLOOKUP(A21,Misc!$A$34:$H$54,6,FALSE)*B21*C21)/'GHG ERFs'!$A$204,0)</f>
        <v>0</v>
      </c>
      <c r="O21" s="730">
        <f>-IF(A21&gt;0,(VLOOKUP(A21,[17]Sheet1!$A$34:$I$54,9,FALSE)*B21),0)</f>
        <v>0</v>
      </c>
    </row>
    <row r="22" spans="1:19" x14ac:dyDescent="0.4">
      <c r="A22" s="107"/>
      <c r="B22" s="107"/>
      <c r="C22" s="107"/>
      <c r="D22" s="108"/>
      <c r="E22" s="108"/>
      <c r="F22" s="108"/>
      <c r="G22" s="107"/>
      <c r="H22" s="108"/>
      <c r="I22" s="17"/>
    </row>
    <row r="23" spans="1:19" ht="15" thickBot="1" x14ac:dyDescent="0.45">
      <c r="J23" s="1493" t="s">
        <v>278</v>
      </c>
      <c r="K23" s="1493"/>
      <c r="L23" s="1493"/>
      <c r="M23" s="1493"/>
    </row>
    <row r="24" spans="1:19" ht="15" customHeight="1" x14ac:dyDescent="0.4">
      <c r="A24" s="1465"/>
      <c r="B24" s="1523" t="s">
        <v>3</v>
      </c>
      <c r="C24" s="1523" t="s">
        <v>42</v>
      </c>
      <c r="D24" s="1471" t="s">
        <v>195</v>
      </c>
      <c r="E24" s="1514" t="s">
        <v>220</v>
      </c>
      <c r="F24" s="1514" t="s">
        <v>221</v>
      </c>
      <c r="G24" s="1514" t="s">
        <v>263</v>
      </c>
      <c r="H24" s="1516" t="s">
        <v>234</v>
      </c>
      <c r="I24" s="1530" t="s">
        <v>264</v>
      </c>
      <c r="J24" s="1518" t="s">
        <v>259</v>
      </c>
      <c r="K24" s="1520" t="s">
        <v>260</v>
      </c>
      <c r="L24" s="1520" t="s">
        <v>261</v>
      </c>
      <c r="M24" s="1535" t="s">
        <v>272</v>
      </c>
      <c r="N24" s="1533" t="s">
        <v>256</v>
      </c>
      <c r="O24" s="1525" t="s">
        <v>257</v>
      </c>
      <c r="P24" s="1525" t="s">
        <v>258</v>
      </c>
      <c r="Q24" s="1527" t="s">
        <v>262</v>
      </c>
      <c r="R24" s="1538" t="s">
        <v>975</v>
      </c>
      <c r="S24" s="1537" t="s">
        <v>973</v>
      </c>
    </row>
    <row r="25" spans="1:19" ht="30" customHeight="1" x14ac:dyDescent="0.4">
      <c r="A25" s="1522"/>
      <c r="B25" s="1524"/>
      <c r="C25" s="1524"/>
      <c r="D25" s="1496"/>
      <c r="E25" s="1515"/>
      <c r="F25" s="1515"/>
      <c r="G25" s="1515"/>
      <c r="H25" s="1517"/>
      <c r="I25" s="1531"/>
      <c r="J25" s="1519"/>
      <c r="K25" s="1521"/>
      <c r="L25" s="1521"/>
      <c r="M25" s="1536"/>
      <c r="N25" s="1534"/>
      <c r="O25" s="1526"/>
      <c r="P25" s="1526"/>
      <c r="Q25" s="1528"/>
      <c r="R25" s="1539"/>
      <c r="S25" s="1537"/>
    </row>
    <row r="26" spans="1:19" x14ac:dyDescent="0.4">
      <c r="A26" s="88"/>
      <c r="B26" s="18">
        <f>Food!B37</f>
        <v>0</v>
      </c>
      <c r="C26" s="18">
        <f>Food!C37</f>
        <v>0</v>
      </c>
      <c r="D26" s="106">
        <f>(B26+C26)*'GHG ERFs'!$B$67</f>
        <v>0</v>
      </c>
      <c r="E26" s="109">
        <f>IF(OR(B26&gt;0,C26&gt;0),$X$14,0)</f>
        <v>0</v>
      </c>
      <c r="F26" s="109">
        <f>IF(OR(B26&gt;0,C26&gt;0),$Y$14,0)</f>
        <v>0</v>
      </c>
      <c r="G26" s="109">
        <f>IF(OR(B26&gt;0,C26&gt;0),SUM($E$16:$E$21),0)</f>
        <v>0</v>
      </c>
      <c r="H26" s="214">
        <f>IF(OR(B26&gt;0,C26&gt;0),SUM($I$16:$I$21),0)</f>
        <v>0</v>
      </c>
      <c r="I26" s="152">
        <f>D26-E26-F26-G26-H26</f>
        <v>0</v>
      </c>
      <c r="J26" s="718">
        <f>(B26+C26)*'Co-Ben ERFs'!$B$18+(B26+C26)*'Co-Ben ERFs'!$B$71</f>
        <v>0</v>
      </c>
      <c r="K26" s="719">
        <f>(B26+C26)*'Co-Ben ERFs'!$B$19+(B26+C26)*'Co-Ben ERFs'!$B$72</f>
        <v>0</v>
      </c>
      <c r="L26" s="719">
        <f>(B26+C26)*'Co-Ben ERFs'!$B$20+(B26+C26)*'Co-Ben ERFs'!$B$73</f>
        <v>0</v>
      </c>
      <c r="M26" s="720">
        <f>+(B26+C26)*'Co-Ben ERFs'!$B$74</f>
        <v>0</v>
      </c>
      <c r="N26" s="721">
        <f t="shared" ref="N26:N35" si="6">IF(OR(B26&gt;0,C26&gt;0),J26-(SUM($K$16:$K$21)+$AA$14),0)</f>
        <v>0</v>
      </c>
      <c r="O26" s="719">
        <f t="shared" ref="O26:O35" si="7">IF(OR(B26&gt;0,C26&gt;0),K26-(SUM($L$16:$L$21)+$AB$14),0)</f>
        <v>0</v>
      </c>
      <c r="P26" s="719">
        <f t="shared" ref="P26:P35" si="8">IF(OR(B26&gt;0,C26&gt;0),L26-(SUM($M$16:$M$21)+$AC$14),0)</f>
        <v>0</v>
      </c>
      <c r="Q26" s="720">
        <f>IF(OR(B26&gt;0,C26&gt;0),M26-(SUM($N$16:$N$21)),0)</f>
        <v>0</v>
      </c>
      <c r="R26" s="745">
        <f>IF(B26&gt;0,(SUM($O$16:$O$21)),0)</f>
        <v>0</v>
      </c>
      <c r="S26">
        <f>IF(B26&gt;0,1,0)</f>
        <v>0</v>
      </c>
    </row>
    <row r="27" spans="1:19" x14ac:dyDescent="0.4">
      <c r="A27" s="88"/>
      <c r="B27" s="18">
        <f>Food!B38</f>
        <v>0</v>
      </c>
      <c r="C27" s="18">
        <f>Food!C38</f>
        <v>0</v>
      </c>
      <c r="D27" s="106">
        <f>(B27+C27)*'GHG ERFs'!$B$67</f>
        <v>0</v>
      </c>
      <c r="E27" s="109">
        <f t="shared" ref="E27:E35" si="9">IF(OR(B27&gt;0,C27&gt;0),$X$14,0)</f>
        <v>0</v>
      </c>
      <c r="F27" s="109">
        <f t="shared" ref="F27:F35" si="10">IF(OR(B27&gt;0,C27&gt;0),$Y$14,0)</f>
        <v>0</v>
      </c>
      <c r="G27" s="109">
        <f t="shared" ref="G27:G35" si="11">IF(OR(B27&gt;0,C27&gt;0),SUM($E$16:$E$21),0)</f>
        <v>0</v>
      </c>
      <c r="H27" s="214">
        <f t="shared" ref="H27:H35" si="12">IF(OR(B27&gt;0,C27&gt;0),SUM($I$16:$I$21),0)</f>
        <v>0</v>
      </c>
      <c r="I27" s="153">
        <f t="shared" ref="I27:I35" si="13">D27-E27-F27-G27-H27</f>
        <v>0</v>
      </c>
      <c r="J27" s="718">
        <f>(B27+C27)*'Co-Ben ERFs'!$B$18+(B27+C27)*'Co-Ben ERFs'!$B$71</f>
        <v>0</v>
      </c>
      <c r="K27" s="719">
        <f>(B27+C27)*'Co-Ben ERFs'!$B$19+(B27+C27)*'Co-Ben ERFs'!$B$72</f>
        <v>0</v>
      </c>
      <c r="L27" s="719">
        <f>(B27+C27)*'Co-Ben ERFs'!$B$20+(B27+C27)*'Co-Ben ERFs'!$B$73</f>
        <v>0</v>
      </c>
      <c r="M27" s="720">
        <f>+(B27+C27)*'Co-Ben ERFs'!$B$74</f>
        <v>0</v>
      </c>
      <c r="N27" s="721">
        <f t="shared" si="6"/>
        <v>0</v>
      </c>
      <c r="O27" s="719">
        <f t="shared" si="7"/>
        <v>0</v>
      </c>
      <c r="P27" s="719">
        <f t="shared" si="8"/>
        <v>0</v>
      </c>
      <c r="Q27" s="720">
        <f t="shared" ref="Q27:Q35" si="14">IF(OR(B27&gt;0,C27&gt;0),M27-(SUM($N$16:$N$21)),0)</f>
        <v>0</v>
      </c>
      <c r="R27" s="745">
        <f t="shared" ref="R27:R35" si="15">IF(B27&gt;0,(SUM($O$16:$O$21)),0)</f>
        <v>0</v>
      </c>
      <c r="S27">
        <f t="shared" ref="S27:S35" si="16">IF(B27&gt;0,1,0)</f>
        <v>0</v>
      </c>
    </row>
    <row r="28" spans="1:19" x14ac:dyDescent="0.4">
      <c r="A28" s="88"/>
      <c r="B28" s="18">
        <f>Food!B39</f>
        <v>0</v>
      </c>
      <c r="C28" s="18">
        <f>Food!C39</f>
        <v>0</v>
      </c>
      <c r="D28" s="106">
        <f>(B28+C28)*'GHG ERFs'!$B$67</f>
        <v>0</v>
      </c>
      <c r="E28" s="109">
        <f t="shared" si="9"/>
        <v>0</v>
      </c>
      <c r="F28" s="109">
        <f t="shared" si="10"/>
        <v>0</v>
      </c>
      <c r="G28" s="109">
        <f t="shared" si="11"/>
        <v>0</v>
      </c>
      <c r="H28" s="214">
        <f t="shared" si="12"/>
        <v>0</v>
      </c>
      <c r="I28" s="153">
        <f t="shared" si="13"/>
        <v>0</v>
      </c>
      <c r="J28" s="718">
        <f>(B28+C28)*'Co-Ben ERFs'!$B$18+(B28+C28)*'Co-Ben ERFs'!$B$71</f>
        <v>0</v>
      </c>
      <c r="K28" s="719">
        <f>(B28+C28)*'Co-Ben ERFs'!$B$19+(B28+C28)*'Co-Ben ERFs'!$B$72</f>
        <v>0</v>
      </c>
      <c r="L28" s="719">
        <f>(B28+C28)*'Co-Ben ERFs'!$B$20+(B28+C28)*'Co-Ben ERFs'!$B$73</f>
        <v>0</v>
      </c>
      <c r="M28" s="720">
        <f>+(B28+C28)*'Co-Ben ERFs'!$B$74</f>
        <v>0</v>
      </c>
      <c r="N28" s="721">
        <f t="shared" si="6"/>
        <v>0</v>
      </c>
      <c r="O28" s="719">
        <f t="shared" si="7"/>
        <v>0</v>
      </c>
      <c r="P28" s="719">
        <f t="shared" si="8"/>
        <v>0</v>
      </c>
      <c r="Q28" s="720">
        <f t="shared" si="14"/>
        <v>0</v>
      </c>
      <c r="R28" s="745">
        <f t="shared" si="15"/>
        <v>0</v>
      </c>
      <c r="S28">
        <f t="shared" si="16"/>
        <v>0</v>
      </c>
    </row>
    <row r="29" spans="1:19" x14ac:dyDescent="0.4">
      <c r="A29" s="88"/>
      <c r="B29" s="18">
        <f>Food!B40</f>
        <v>0</v>
      </c>
      <c r="C29" s="18">
        <f>Food!C40</f>
        <v>0</v>
      </c>
      <c r="D29" s="106">
        <f>(B29+C29)*'GHG ERFs'!$B$67</f>
        <v>0</v>
      </c>
      <c r="E29" s="109">
        <f t="shared" si="9"/>
        <v>0</v>
      </c>
      <c r="F29" s="109">
        <f t="shared" si="10"/>
        <v>0</v>
      </c>
      <c r="G29" s="109">
        <f t="shared" si="11"/>
        <v>0</v>
      </c>
      <c r="H29" s="214">
        <f t="shared" si="12"/>
        <v>0</v>
      </c>
      <c r="I29" s="153">
        <f t="shared" si="13"/>
        <v>0</v>
      </c>
      <c r="J29" s="718">
        <f>(B29+C29)*'Co-Ben ERFs'!$B$18+(B29+C29)*'Co-Ben ERFs'!$B$71</f>
        <v>0</v>
      </c>
      <c r="K29" s="719">
        <f>(B29+C29)*'Co-Ben ERFs'!$B$19+(B29+C29)*'Co-Ben ERFs'!$B$72</f>
        <v>0</v>
      </c>
      <c r="L29" s="719">
        <f>(B29+C29)*'Co-Ben ERFs'!$B$20+(B29+C29)*'Co-Ben ERFs'!$B$73</f>
        <v>0</v>
      </c>
      <c r="M29" s="720">
        <f>+(B29+C29)*'Co-Ben ERFs'!$B$74</f>
        <v>0</v>
      </c>
      <c r="N29" s="721">
        <f t="shared" si="6"/>
        <v>0</v>
      </c>
      <c r="O29" s="719">
        <f t="shared" si="7"/>
        <v>0</v>
      </c>
      <c r="P29" s="719">
        <f t="shared" si="8"/>
        <v>0</v>
      </c>
      <c r="Q29" s="720">
        <f t="shared" si="14"/>
        <v>0</v>
      </c>
      <c r="R29" s="745">
        <f t="shared" si="15"/>
        <v>0</v>
      </c>
      <c r="S29">
        <f t="shared" si="16"/>
        <v>0</v>
      </c>
    </row>
    <row r="30" spans="1:19" x14ac:dyDescent="0.4">
      <c r="A30" s="88"/>
      <c r="B30" s="18">
        <f>Food!B41</f>
        <v>0</v>
      </c>
      <c r="C30" s="18">
        <f>Food!C41</f>
        <v>0</v>
      </c>
      <c r="D30" s="106">
        <f>(B30+C30)*'GHG ERFs'!$B$67</f>
        <v>0</v>
      </c>
      <c r="E30" s="109">
        <f t="shared" si="9"/>
        <v>0</v>
      </c>
      <c r="F30" s="109">
        <f t="shared" si="10"/>
        <v>0</v>
      </c>
      <c r="G30" s="109">
        <f t="shared" si="11"/>
        <v>0</v>
      </c>
      <c r="H30" s="214">
        <f t="shared" si="12"/>
        <v>0</v>
      </c>
      <c r="I30" s="153">
        <f t="shared" si="13"/>
        <v>0</v>
      </c>
      <c r="J30" s="718">
        <f>(B30+C30)*'Co-Ben ERFs'!$B$18+(B30+C30)*'Co-Ben ERFs'!$B$71</f>
        <v>0</v>
      </c>
      <c r="K30" s="719">
        <f>(B30+C30)*'Co-Ben ERFs'!$B$19+(B30+C30)*'Co-Ben ERFs'!$B$72</f>
        <v>0</v>
      </c>
      <c r="L30" s="719">
        <f>(B30+C30)*'Co-Ben ERFs'!$B$20+(B30+C30)*'Co-Ben ERFs'!$B$73</f>
        <v>0</v>
      </c>
      <c r="M30" s="720">
        <f>+(B30+C30)*'Co-Ben ERFs'!$B$74</f>
        <v>0</v>
      </c>
      <c r="N30" s="721">
        <f t="shared" si="6"/>
        <v>0</v>
      </c>
      <c r="O30" s="719">
        <f t="shared" si="7"/>
        <v>0</v>
      </c>
      <c r="P30" s="719">
        <f t="shared" si="8"/>
        <v>0</v>
      </c>
      <c r="Q30" s="720">
        <f t="shared" si="14"/>
        <v>0</v>
      </c>
      <c r="R30" s="745">
        <f t="shared" si="15"/>
        <v>0</v>
      </c>
      <c r="S30">
        <f t="shared" si="16"/>
        <v>0</v>
      </c>
    </row>
    <row r="31" spans="1:19" x14ac:dyDescent="0.4">
      <c r="A31" s="88"/>
      <c r="B31" s="18">
        <f>Food!B42</f>
        <v>0</v>
      </c>
      <c r="C31" s="18">
        <f>Food!C42</f>
        <v>0</v>
      </c>
      <c r="D31" s="106">
        <f>(B31+C31)*'GHG ERFs'!$B$67</f>
        <v>0</v>
      </c>
      <c r="E31" s="109">
        <f t="shared" si="9"/>
        <v>0</v>
      </c>
      <c r="F31" s="109">
        <f t="shared" si="10"/>
        <v>0</v>
      </c>
      <c r="G31" s="109">
        <f t="shared" si="11"/>
        <v>0</v>
      </c>
      <c r="H31" s="214">
        <f t="shared" si="12"/>
        <v>0</v>
      </c>
      <c r="I31" s="153">
        <f t="shared" si="13"/>
        <v>0</v>
      </c>
      <c r="J31" s="718">
        <f>(B31+C31)*'Co-Ben ERFs'!$B$18+(B31+C31)*'Co-Ben ERFs'!$B$71</f>
        <v>0</v>
      </c>
      <c r="K31" s="719">
        <f>(B31+C31)*'Co-Ben ERFs'!$B$19+(B31+C31)*'Co-Ben ERFs'!$B$72</f>
        <v>0</v>
      </c>
      <c r="L31" s="719">
        <f>(B31+C31)*'Co-Ben ERFs'!$B$20+(B31+C31)*'Co-Ben ERFs'!$B$73</f>
        <v>0</v>
      </c>
      <c r="M31" s="720">
        <f>+(B31+C31)*'Co-Ben ERFs'!$B$74</f>
        <v>0</v>
      </c>
      <c r="N31" s="721">
        <f t="shared" si="6"/>
        <v>0</v>
      </c>
      <c r="O31" s="719">
        <f t="shared" si="7"/>
        <v>0</v>
      </c>
      <c r="P31" s="719">
        <f t="shared" si="8"/>
        <v>0</v>
      </c>
      <c r="Q31" s="720">
        <f t="shared" si="14"/>
        <v>0</v>
      </c>
      <c r="R31" s="745">
        <f t="shared" si="15"/>
        <v>0</v>
      </c>
      <c r="S31">
        <f t="shared" si="16"/>
        <v>0</v>
      </c>
    </row>
    <row r="32" spans="1:19" x14ac:dyDescent="0.4">
      <c r="A32" s="88"/>
      <c r="B32" s="18">
        <f>Food!B43</f>
        <v>0</v>
      </c>
      <c r="C32" s="18">
        <f>Food!C43</f>
        <v>0</v>
      </c>
      <c r="D32" s="106">
        <f>(B32+C32)*'GHG ERFs'!$B$67</f>
        <v>0</v>
      </c>
      <c r="E32" s="109">
        <f t="shared" si="9"/>
        <v>0</v>
      </c>
      <c r="F32" s="109">
        <f t="shared" si="10"/>
        <v>0</v>
      </c>
      <c r="G32" s="109">
        <f t="shared" si="11"/>
        <v>0</v>
      </c>
      <c r="H32" s="214">
        <f t="shared" si="12"/>
        <v>0</v>
      </c>
      <c r="I32" s="153">
        <f t="shared" si="13"/>
        <v>0</v>
      </c>
      <c r="J32" s="718">
        <f>(B32+C32)*'Co-Ben ERFs'!$B$18+(B32+C32)*'Co-Ben ERFs'!$B$71</f>
        <v>0</v>
      </c>
      <c r="K32" s="719">
        <f>(B32+C32)*'Co-Ben ERFs'!$B$19+(B32+C32)*'Co-Ben ERFs'!$B$72</f>
        <v>0</v>
      </c>
      <c r="L32" s="719">
        <f>(B32+C32)*'Co-Ben ERFs'!$B$20+(B32+C32)*'Co-Ben ERFs'!$B$73</f>
        <v>0</v>
      </c>
      <c r="M32" s="720">
        <f>+(B32+C32)*'Co-Ben ERFs'!$B$74</f>
        <v>0</v>
      </c>
      <c r="N32" s="721">
        <f t="shared" si="6"/>
        <v>0</v>
      </c>
      <c r="O32" s="719">
        <f t="shared" si="7"/>
        <v>0</v>
      </c>
      <c r="P32" s="719">
        <f t="shared" si="8"/>
        <v>0</v>
      </c>
      <c r="Q32" s="720">
        <f t="shared" si="14"/>
        <v>0</v>
      </c>
      <c r="R32" s="745">
        <f t="shared" si="15"/>
        <v>0</v>
      </c>
      <c r="S32">
        <f t="shared" si="16"/>
        <v>0</v>
      </c>
    </row>
    <row r="33" spans="1:19" x14ac:dyDescent="0.4">
      <c r="A33" s="88"/>
      <c r="B33" s="18">
        <f>Food!B44</f>
        <v>0</v>
      </c>
      <c r="C33" s="18">
        <f>Food!C44</f>
        <v>0</v>
      </c>
      <c r="D33" s="106">
        <f>(B33+C33)*'GHG ERFs'!$B$67</f>
        <v>0</v>
      </c>
      <c r="E33" s="109">
        <f t="shared" si="9"/>
        <v>0</v>
      </c>
      <c r="F33" s="109">
        <f t="shared" si="10"/>
        <v>0</v>
      </c>
      <c r="G33" s="109">
        <f t="shared" si="11"/>
        <v>0</v>
      </c>
      <c r="H33" s="214">
        <f t="shared" si="12"/>
        <v>0</v>
      </c>
      <c r="I33" s="153">
        <f t="shared" si="13"/>
        <v>0</v>
      </c>
      <c r="J33" s="718">
        <f>(B33+C33)*'Co-Ben ERFs'!$B$18+(B33+C33)*'Co-Ben ERFs'!$B$71</f>
        <v>0</v>
      </c>
      <c r="K33" s="719">
        <f>(B33+C33)*'Co-Ben ERFs'!$B$19+(B33+C33)*'Co-Ben ERFs'!$B$72</f>
        <v>0</v>
      </c>
      <c r="L33" s="719">
        <f>(B33+C33)*'Co-Ben ERFs'!$B$20+(B33+C33)*'Co-Ben ERFs'!$B$73</f>
        <v>0</v>
      </c>
      <c r="M33" s="720">
        <f>+(B33+C33)*'Co-Ben ERFs'!$B$74</f>
        <v>0</v>
      </c>
      <c r="N33" s="721">
        <f t="shared" si="6"/>
        <v>0</v>
      </c>
      <c r="O33" s="719">
        <f t="shared" si="7"/>
        <v>0</v>
      </c>
      <c r="P33" s="719">
        <f t="shared" si="8"/>
        <v>0</v>
      </c>
      <c r="Q33" s="720">
        <f t="shared" si="14"/>
        <v>0</v>
      </c>
      <c r="R33" s="745">
        <f t="shared" si="15"/>
        <v>0</v>
      </c>
      <c r="S33">
        <f t="shared" si="16"/>
        <v>0</v>
      </c>
    </row>
    <row r="34" spans="1:19" x14ac:dyDescent="0.4">
      <c r="A34" s="88"/>
      <c r="B34" s="18">
        <f>Food!B45</f>
        <v>0</v>
      </c>
      <c r="C34" s="18">
        <f>Food!C45</f>
        <v>0</v>
      </c>
      <c r="D34" s="106">
        <f>(B34+C34)*'GHG ERFs'!$B$67</f>
        <v>0</v>
      </c>
      <c r="E34" s="109">
        <f t="shared" si="9"/>
        <v>0</v>
      </c>
      <c r="F34" s="109">
        <f t="shared" si="10"/>
        <v>0</v>
      </c>
      <c r="G34" s="109">
        <f t="shared" si="11"/>
        <v>0</v>
      </c>
      <c r="H34" s="214">
        <f t="shared" si="12"/>
        <v>0</v>
      </c>
      <c r="I34" s="153">
        <f t="shared" si="13"/>
        <v>0</v>
      </c>
      <c r="J34" s="718">
        <f>(B34+C34)*'Co-Ben ERFs'!$B$18+(B34+C34)*'Co-Ben ERFs'!$B$71</f>
        <v>0</v>
      </c>
      <c r="K34" s="719">
        <f>(B34+C34)*'Co-Ben ERFs'!$B$19+(B34+C34)*'Co-Ben ERFs'!$B$72</f>
        <v>0</v>
      </c>
      <c r="L34" s="719">
        <f>(B34+C34)*'Co-Ben ERFs'!$B$20+(B34+C34)*'Co-Ben ERFs'!$B$73</f>
        <v>0</v>
      </c>
      <c r="M34" s="720">
        <f>+(B34+C34)*'Co-Ben ERFs'!$B$74</f>
        <v>0</v>
      </c>
      <c r="N34" s="721">
        <f t="shared" si="6"/>
        <v>0</v>
      </c>
      <c r="O34" s="719">
        <f t="shared" si="7"/>
        <v>0</v>
      </c>
      <c r="P34" s="719">
        <f t="shared" si="8"/>
        <v>0</v>
      </c>
      <c r="Q34" s="720">
        <f t="shared" si="14"/>
        <v>0</v>
      </c>
      <c r="R34" s="745">
        <f t="shared" si="15"/>
        <v>0</v>
      </c>
      <c r="S34">
        <f t="shared" si="16"/>
        <v>0</v>
      </c>
    </row>
    <row r="35" spans="1:19" x14ac:dyDescent="0.4">
      <c r="A35" s="88"/>
      <c r="B35" s="18">
        <f>Food!B46</f>
        <v>0</v>
      </c>
      <c r="C35" s="18">
        <f>Food!C46</f>
        <v>0</v>
      </c>
      <c r="D35" s="106">
        <f>(B35+C35)*'GHG ERFs'!$B$67</f>
        <v>0</v>
      </c>
      <c r="E35" s="109">
        <f t="shared" si="9"/>
        <v>0</v>
      </c>
      <c r="F35" s="109">
        <f t="shared" si="10"/>
        <v>0</v>
      </c>
      <c r="G35" s="109">
        <f t="shared" si="11"/>
        <v>0</v>
      </c>
      <c r="H35" s="214">
        <f t="shared" si="12"/>
        <v>0</v>
      </c>
      <c r="I35" s="153">
        <f t="shared" si="13"/>
        <v>0</v>
      </c>
      <c r="J35" s="718">
        <f>(B35+C35)*'Co-Ben ERFs'!$B$18+(B35+C35)*'Co-Ben ERFs'!$B$71</f>
        <v>0</v>
      </c>
      <c r="K35" s="719">
        <f>(B35+C35)*'Co-Ben ERFs'!$B$19+(B35+C35)*'Co-Ben ERFs'!$B$72</f>
        <v>0</v>
      </c>
      <c r="L35" s="719">
        <f>(B35+C35)*'Co-Ben ERFs'!$B$20+(B35+C35)*'Co-Ben ERFs'!$B$73</f>
        <v>0</v>
      </c>
      <c r="M35" s="720">
        <f>+(B35+C35)*'Co-Ben ERFs'!$B$74</f>
        <v>0</v>
      </c>
      <c r="N35" s="721">
        <f t="shared" si="6"/>
        <v>0</v>
      </c>
      <c r="O35" s="719">
        <f t="shared" si="7"/>
        <v>0</v>
      </c>
      <c r="P35" s="719">
        <f t="shared" si="8"/>
        <v>0</v>
      </c>
      <c r="Q35" s="720">
        <f t="shared" si="14"/>
        <v>0</v>
      </c>
      <c r="R35" s="745">
        <f t="shared" si="15"/>
        <v>0</v>
      </c>
      <c r="S35">
        <f t="shared" si="16"/>
        <v>0</v>
      </c>
    </row>
    <row r="36" spans="1:19" ht="15" thickBot="1" x14ac:dyDescent="0.45">
      <c r="A36" s="90" t="s">
        <v>0</v>
      </c>
      <c r="B36" s="120">
        <f t="shared" ref="B36:Q36" si="17">SUM(B26:B35)</f>
        <v>0</v>
      </c>
      <c r="C36" s="120">
        <f t="shared" si="17"/>
        <v>0</v>
      </c>
      <c r="D36" s="147">
        <f t="shared" si="17"/>
        <v>0</v>
      </c>
      <c r="E36" s="147">
        <f t="shared" si="17"/>
        <v>0</v>
      </c>
      <c r="F36" s="147">
        <f t="shared" si="17"/>
        <v>0</v>
      </c>
      <c r="G36" s="147">
        <f t="shared" si="17"/>
        <v>0</v>
      </c>
      <c r="H36" s="148">
        <f t="shared" si="17"/>
        <v>0</v>
      </c>
      <c r="I36" s="154">
        <f t="shared" si="17"/>
        <v>0</v>
      </c>
      <c r="J36" s="722">
        <f t="shared" si="17"/>
        <v>0</v>
      </c>
      <c r="K36" s="723">
        <f t="shared" si="17"/>
        <v>0</v>
      </c>
      <c r="L36" s="723">
        <f t="shared" si="17"/>
        <v>0</v>
      </c>
      <c r="M36" s="724">
        <f t="shared" si="17"/>
        <v>0</v>
      </c>
      <c r="N36" s="725">
        <f t="shared" si="17"/>
        <v>0</v>
      </c>
      <c r="O36" s="723">
        <f t="shared" si="17"/>
        <v>0</v>
      </c>
      <c r="P36" s="723">
        <f t="shared" si="17"/>
        <v>0</v>
      </c>
      <c r="Q36" s="724">
        <f t="shared" si="17"/>
        <v>0</v>
      </c>
      <c r="R36" s="746">
        <f>SUM(R26:R35)</f>
        <v>0</v>
      </c>
    </row>
    <row r="37" spans="1:19" x14ac:dyDescent="0.4">
      <c r="S37">
        <f>SUM(S26:S35)</f>
        <v>0</v>
      </c>
    </row>
  </sheetData>
  <sheetProtection algorithmName="SHA-512" hashValue="g/GzLsQcK6t8nwpbodaLL2uyCH9e5IANntLo21WUW1cNoqYzG6lx/LHQShLc0OqAEkoC5v0CFGJbjU5AgRlobg==" saltValue="jwTan7kCliT8eTJsCVlZ6g==" spinCount="100000" sheet="1" objects="1" scenarios="1"/>
  <mergeCells count="22">
    <mergeCell ref="P24:P25"/>
    <mergeCell ref="Q24:Q25"/>
    <mergeCell ref="J2:X2"/>
    <mergeCell ref="I24:I25"/>
    <mergeCell ref="Q3:S3"/>
    <mergeCell ref="L24:L25"/>
    <mergeCell ref="N24:N25"/>
    <mergeCell ref="O24:O25"/>
    <mergeCell ref="M24:M25"/>
    <mergeCell ref="J23:M23"/>
    <mergeCell ref="S24:S25"/>
    <mergeCell ref="R24:R25"/>
    <mergeCell ref="A24:A25"/>
    <mergeCell ref="B24:B25"/>
    <mergeCell ref="C24:C25"/>
    <mergeCell ref="D24:D25"/>
    <mergeCell ref="E24:E25"/>
    <mergeCell ref="F24:F25"/>
    <mergeCell ref="G24:G25"/>
    <mergeCell ref="H24:H25"/>
    <mergeCell ref="J24:J25"/>
    <mergeCell ref="K24:K25"/>
  </mergeCells>
  <dataValidations disablePrompts="1" count="1">
    <dataValidation type="whole" operator="greaterThan" allowBlank="1" showInputMessage="1" showErrorMessage="1" sqref="B16:B21" xr:uid="{00000000-0002-0000-1700-000000000000}">
      <formula1>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1700-000001000000}">
          <x14:formula1>
            <xm:f>Misc!$A$1:$A$12</xm:f>
          </x14:formula1>
          <xm:sqref>A4:A13</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Q34"/>
  <sheetViews>
    <sheetView topLeftCell="A7" zoomScaleNormal="100" workbookViewId="0">
      <selection activeCell="M29" sqref="M29"/>
    </sheetView>
  </sheetViews>
  <sheetFormatPr defaultRowHeight="14.6" x14ac:dyDescent="0.4"/>
  <cols>
    <col min="1" max="1" width="48" customWidth="1"/>
    <col min="2" max="2" width="14.3828125" bestFit="1" customWidth="1"/>
    <col min="3" max="3" width="16.69140625" customWidth="1"/>
    <col min="4" max="4" width="12" customWidth="1"/>
    <col min="5" max="5" width="12.84375" customWidth="1"/>
    <col min="6" max="6" width="15.69140625" customWidth="1"/>
    <col min="7" max="7" width="15.53515625" customWidth="1"/>
    <col min="10" max="10" width="12.3046875" customWidth="1"/>
    <col min="11" max="11" width="9.15234375" customWidth="1"/>
    <col min="14" max="14" width="17.3828125" customWidth="1"/>
    <col min="15" max="15" width="13.53515625" customWidth="1"/>
    <col min="16" max="16" width="13.15234375" customWidth="1"/>
    <col min="17" max="17" width="12.53515625" hidden="1" customWidth="1"/>
    <col min="18" max="18" width="12.53515625" bestFit="1" customWidth="1"/>
    <col min="19" max="19" width="12.53515625" customWidth="1"/>
    <col min="20" max="21" width="12.53515625" bestFit="1" customWidth="1"/>
  </cols>
  <sheetData>
    <row r="1" spans="1:10" ht="15" thickBot="1" x14ac:dyDescent="0.45"/>
    <row r="2" spans="1:10" ht="15.9" x14ac:dyDescent="0.45">
      <c r="A2" s="1546" t="s">
        <v>728</v>
      </c>
      <c r="B2" s="1547"/>
      <c r="C2" s="1547"/>
      <c r="D2" s="1547"/>
      <c r="E2" s="1547"/>
      <c r="F2" s="1547"/>
      <c r="G2" s="1547"/>
      <c r="H2" s="1547"/>
      <c r="I2" s="1547"/>
      <c r="J2" s="1548"/>
    </row>
    <row r="3" spans="1:10" ht="15" thickBot="1" x14ac:dyDescent="0.45">
      <c r="A3" s="480"/>
      <c r="B3" s="510" t="s">
        <v>13</v>
      </c>
      <c r="C3" s="510" t="s">
        <v>182</v>
      </c>
      <c r="D3" s="510" t="s">
        <v>729</v>
      </c>
      <c r="E3" s="510" t="s">
        <v>730</v>
      </c>
      <c r="F3" s="510" t="s">
        <v>181</v>
      </c>
      <c r="G3" s="1563" t="s">
        <v>16</v>
      </c>
      <c r="H3" s="1564"/>
      <c r="I3" s="1564"/>
      <c r="J3" s="1565"/>
    </row>
    <row r="4" spans="1:10" x14ac:dyDescent="0.4">
      <c r="A4" s="643" t="s">
        <v>731</v>
      </c>
      <c r="B4" s="527" t="s">
        <v>732</v>
      </c>
      <c r="C4" s="616">
        <v>5.1999999999999998E-2</v>
      </c>
      <c r="D4" s="616">
        <v>3.5999999999999997E-2</v>
      </c>
      <c r="E4" s="616">
        <v>1.0999999999999999E-2</v>
      </c>
      <c r="F4" s="616">
        <v>0</v>
      </c>
      <c r="G4" s="1540" t="s">
        <v>733</v>
      </c>
      <c r="H4" s="1540"/>
      <c r="I4" s="1540"/>
      <c r="J4" s="1541"/>
    </row>
    <row r="5" spans="1:10" x14ac:dyDescent="0.4">
      <c r="A5" s="641" t="s">
        <v>734</v>
      </c>
      <c r="B5" s="247" t="s">
        <v>732</v>
      </c>
      <c r="C5" s="598">
        <v>5.1999999999999998E-2</v>
      </c>
      <c r="D5" s="598">
        <v>3.5999999999999997E-2</v>
      </c>
      <c r="E5" s="598">
        <v>1.0999999999999999E-2</v>
      </c>
      <c r="F5" s="598">
        <v>0</v>
      </c>
      <c r="G5" s="1542" t="s">
        <v>733</v>
      </c>
      <c r="H5" s="1542"/>
      <c r="I5" s="1542"/>
      <c r="J5" s="1543"/>
    </row>
    <row r="6" spans="1:10" x14ac:dyDescent="0.4">
      <c r="A6" s="641" t="s">
        <v>735</v>
      </c>
      <c r="B6" s="247" t="s">
        <v>732</v>
      </c>
      <c r="C6" s="598">
        <v>0.13800000000000001</v>
      </c>
      <c r="D6" s="598">
        <v>4.3999999999999997E-2</v>
      </c>
      <c r="E6" s="598">
        <v>1.9E-2</v>
      </c>
      <c r="F6" s="598">
        <v>0</v>
      </c>
      <c r="G6" s="1542" t="s">
        <v>733</v>
      </c>
      <c r="H6" s="1542"/>
      <c r="I6" s="1542"/>
      <c r="J6" s="1543"/>
    </row>
    <row r="7" spans="1:10" x14ac:dyDescent="0.4">
      <c r="A7" s="641" t="s">
        <v>736</v>
      </c>
      <c r="B7" s="247" t="s">
        <v>732</v>
      </c>
      <c r="C7" s="598">
        <v>0.13800000000000001</v>
      </c>
      <c r="D7" s="598">
        <v>4.3999999999999997E-2</v>
      </c>
      <c r="E7" s="598">
        <v>1.9E-2</v>
      </c>
      <c r="F7" s="598">
        <v>0</v>
      </c>
      <c r="G7" s="1542" t="s">
        <v>925</v>
      </c>
      <c r="H7" s="1542"/>
      <c r="I7" s="1542"/>
      <c r="J7" s="1543"/>
    </row>
    <row r="8" spans="1:10" x14ac:dyDescent="0.4">
      <c r="A8" s="641" t="s">
        <v>737</v>
      </c>
      <c r="B8" s="247" t="s">
        <v>732</v>
      </c>
      <c r="C8" s="390">
        <v>6.0000000000000001E-3</v>
      </c>
      <c r="D8" s="390">
        <v>8.5000000000000006E-2</v>
      </c>
      <c r="E8" s="390">
        <v>8.0000000000000002E-3</v>
      </c>
      <c r="F8" s="390">
        <v>0</v>
      </c>
      <c r="G8" s="1542" t="s">
        <v>926</v>
      </c>
      <c r="H8" s="1542"/>
      <c r="I8" s="1542"/>
      <c r="J8" s="1543"/>
    </row>
    <row r="9" spans="1:10" x14ac:dyDescent="0.4">
      <c r="A9" s="641" t="s">
        <v>737</v>
      </c>
      <c r="B9" s="247" t="s">
        <v>738</v>
      </c>
      <c r="C9" s="640">
        <f>C8*1020/1000000</f>
        <v>6.1199999999999999E-6</v>
      </c>
      <c r="D9" s="640">
        <f>D8*1020/1000000</f>
        <v>8.6700000000000007E-5</v>
      </c>
      <c r="E9" s="640">
        <f>E8*1020/1000000</f>
        <v>8.1599999999999998E-6</v>
      </c>
      <c r="F9" s="390">
        <f>F8*1020/1000000</f>
        <v>0</v>
      </c>
      <c r="G9" s="1542" t="s">
        <v>733</v>
      </c>
      <c r="H9" s="1542"/>
      <c r="I9" s="1542"/>
      <c r="J9" s="1543"/>
    </row>
    <row r="10" spans="1:10" x14ac:dyDescent="0.4">
      <c r="A10" s="641" t="s">
        <v>739</v>
      </c>
      <c r="B10" s="247" t="s">
        <v>732</v>
      </c>
      <c r="C10" s="598">
        <v>2E-3</v>
      </c>
      <c r="D10" s="598">
        <v>7.0000000000000007E-2</v>
      </c>
      <c r="E10" s="598">
        <v>8.0000000000000002E-3</v>
      </c>
      <c r="F10" s="598">
        <v>0</v>
      </c>
      <c r="G10" s="1542" t="s">
        <v>733</v>
      </c>
      <c r="H10" s="1542"/>
      <c r="I10" s="1542"/>
      <c r="J10" s="1543"/>
    </row>
    <row r="11" spans="1:10" ht="15" thickBot="1" x14ac:dyDescent="0.45">
      <c r="A11" s="642" t="s">
        <v>740</v>
      </c>
      <c r="B11" s="480" t="s">
        <v>732</v>
      </c>
      <c r="C11" s="510">
        <v>8.0000000000000002E-3</v>
      </c>
      <c r="D11" s="510">
        <v>2.5999999999999999E-3</v>
      </c>
      <c r="E11" s="510">
        <v>1.2999999999999999E-3</v>
      </c>
      <c r="F11" s="510">
        <v>0</v>
      </c>
      <c r="G11" s="1544" t="s">
        <v>741</v>
      </c>
      <c r="H11" s="1544"/>
      <c r="I11" s="1544"/>
      <c r="J11" s="1545"/>
    </row>
    <row r="12" spans="1:10" ht="15" thickBot="1" x14ac:dyDescent="0.45"/>
    <row r="13" spans="1:10" ht="15.9" x14ac:dyDescent="0.45">
      <c r="A13" s="1546" t="s">
        <v>931</v>
      </c>
      <c r="B13" s="1547"/>
      <c r="C13" s="1547"/>
      <c r="D13" s="1547"/>
      <c r="E13" s="1547"/>
      <c r="F13" s="1547"/>
      <c r="G13" s="1547"/>
      <c r="H13" s="1547"/>
      <c r="I13" s="1548"/>
    </row>
    <row r="14" spans="1:10" ht="30.75" customHeight="1" thickBot="1" x14ac:dyDescent="0.45">
      <c r="A14" s="480"/>
      <c r="B14" s="189" t="s">
        <v>932</v>
      </c>
      <c r="C14" s="189" t="s">
        <v>933</v>
      </c>
      <c r="D14" s="189" t="s">
        <v>934</v>
      </c>
      <c r="E14" s="189" t="s">
        <v>935</v>
      </c>
      <c r="F14" s="189" t="s">
        <v>742</v>
      </c>
      <c r="G14" s="1500" t="s">
        <v>16</v>
      </c>
      <c r="H14" s="1500"/>
      <c r="I14" s="1501"/>
    </row>
    <row r="15" spans="1:10" x14ac:dyDescent="0.4">
      <c r="A15" s="645" t="s">
        <v>744</v>
      </c>
      <c r="B15" s="616">
        <f>'Co-Ben ERFs'!B124</f>
        <v>7.6600000000000001E-2</v>
      </c>
      <c r="C15" s="616">
        <f>'Co-Ben ERFs'!B125</f>
        <v>1.4040999999999999</v>
      </c>
      <c r="D15" s="616">
        <f>'Co-Ben ERFs'!B127</f>
        <v>4.0399999999999998E-2</v>
      </c>
      <c r="E15" s="616">
        <f>'Co-Ben ERFs'!B128</f>
        <v>5.1000000000000004E-3</v>
      </c>
      <c r="F15" s="646">
        <v>6.1</v>
      </c>
      <c r="G15" s="1209" t="s">
        <v>743</v>
      </c>
      <c r="H15" s="1549"/>
      <c r="I15" s="1550"/>
    </row>
    <row r="16" spans="1:10" x14ac:dyDescent="0.4">
      <c r="A16" s="268" t="s">
        <v>745</v>
      </c>
      <c r="B16" s="598">
        <f>'Co-Ben ERFs'!B124</f>
        <v>7.6600000000000001E-2</v>
      </c>
      <c r="C16" s="598">
        <f>'Co-Ben ERFs'!B125</f>
        <v>1.4040999999999999</v>
      </c>
      <c r="D16" s="598">
        <f>'Co-Ben ERFs'!B127</f>
        <v>4.0399999999999998E-2</v>
      </c>
      <c r="E16" s="598">
        <v>0</v>
      </c>
      <c r="F16" s="598">
        <v>6.1</v>
      </c>
      <c r="G16" s="1551"/>
      <c r="H16" s="1552"/>
      <c r="I16" s="1553"/>
    </row>
    <row r="17" spans="1:17" x14ac:dyDescent="0.4">
      <c r="A17" s="268" t="s">
        <v>746</v>
      </c>
      <c r="B17" s="598">
        <f>'Co-Ben ERFs'!B124</f>
        <v>7.6600000000000001E-2</v>
      </c>
      <c r="C17" s="598">
        <f>'Co-Ben ERFs'!B126</f>
        <v>0.1404</v>
      </c>
      <c r="D17" s="598">
        <f>'Co-Ben ERFs'!B127</f>
        <v>4.0399999999999998E-2</v>
      </c>
      <c r="E17" s="598">
        <v>0</v>
      </c>
      <c r="F17" s="598">
        <v>6.1</v>
      </c>
      <c r="G17" s="1551"/>
      <c r="H17" s="1552"/>
      <c r="I17" s="1553"/>
    </row>
    <row r="18" spans="1:17" x14ac:dyDescent="0.4">
      <c r="A18" s="268" t="s">
        <v>708</v>
      </c>
      <c r="B18" s="598">
        <f>'Co-Ben ERFs'!B124</f>
        <v>7.6600000000000001E-2</v>
      </c>
      <c r="C18" s="598">
        <f>'Co-Ben ERFs'!B125</f>
        <v>1.4040999999999999</v>
      </c>
      <c r="D18" s="598">
        <f>'Co-Ben ERFs'!B127</f>
        <v>4.0399999999999998E-2</v>
      </c>
      <c r="E18" s="598">
        <v>0</v>
      </c>
      <c r="F18" s="598">
        <v>6.1</v>
      </c>
      <c r="G18" s="1551"/>
      <c r="H18" s="1552"/>
      <c r="I18" s="1553"/>
    </row>
    <row r="19" spans="1:17" ht="15" thickBot="1" x14ac:dyDescent="0.45">
      <c r="A19" s="644" t="s">
        <v>747</v>
      </c>
      <c r="B19" s="510">
        <v>0</v>
      </c>
      <c r="C19" s="510">
        <v>0</v>
      </c>
      <c r="D19" s="510">
        <v>0</v>
      </c>
      <c r="E19" s="510">
        <v>0</v>
      </c>
      <c r="F19" s="510">
        <v>6.1</v>
      </c>
      <c r="G19" s="1210"/>
      <c r="H19" s="1554"/>
      <c r="I19" s="1555"/>
    </row>
    <row r="20" spans="1:17" ht="15" thickBot="1" x14ac:dyDescent="0.45"/>
    <row r="21" spans="1:17" ht="15.9" x14ac:dyDescent="0.45">
      <c r="A21" s="1546" t="s">
        <v>969</v>
      </c>
      <c r="B21" s="1547"/>
      <c r="C21" s="1547"/>
      <c r="D21" s="1547"/>
      <c r="E21" s="1547"/>
      <c r="F21" s="1547"/>
      <c r="G21" s="1547"/>
      <c r="H21" s="1547"/>
      <c r="I21" s="1547"/>
      <c r="J21" s="1548"/>
    </row>
    <row r="22" spans="1:17" x14ac:dyDescent="0.4">
      <c r="A22" s="511"/>
      <c r="B22" s="512" t="s">
        <v>748</v>
      </c>
      <c r="C22" s="512"/>
      <c r="D22" s="512" t="s">
        <v>936</v>
      </c>
      <c r="E22" s="512" t="s">
        <v>937</v>
      </c>
      <c r="F22" s="512" t="s">
        <v>938</v>
      </c>
      <c r="G22" s="512" t="s">
        <v>939</v>
      </c>
      <c r="H22" s="1556" t="s">
        <v>16</v>
      </c>
      <c r="I22" s="1556"/>
      <c r="J22" s="1557"/>
    </row>
    <row r="23" spans="1:17" x14ac:dyDescent="0.4">
      <c r="A23" s="268" t="s">
        <v>750</v>
      </c>
      <c r="B23" s="655">
        <v>0.13900000000000001</v>
      </c>
      <c r="C23" s="655" t="s">
        <v>751</v>
      </c>
      <c r="D23" s="655">
        <f>'Co-Ben ERFs'!B38</f>
        <v>2.1700000000000001E-2</v>
      </c>
      <c r="E23" s="655">
        <f>'Co-Ben ERFs'!B39</f>
        <v>0.1653</v>
      </c>
      <c r="F23" s="655">
        <f>'Co-Ben ERFs'!B40</f>
        <v>5.7999999999999996E-3</v>
      </c>
      <c r="G23" s="655">
        <f>'Co-Ben ERFs'!B41</f>
        <v>6.3E-3</v>
      </c>
      <c r="H23" s="1506" t="s">
        <v>749</v>
      </c>
      <c r="I23" s="1507"/>
      <c r="J23" s="1508"/>
    </row>
    <row r="24" spans="1:17" ht="15" thickBot="1" x14ac:dyDescent="0.45">
      <c r="A24" s="480" t="s">
        <v>752</v>
      </c>
      <c r="B24" s="510">
        <v>0.125</v>
      </c>
      <c r="C24" s="510" t="s">
        <v>751</v>
      </c>
      <c r="D24" s="510"/>
      <c r="E24" s="510">
        <v>7.7600000000000002E-2</v>
      </c>
      <c r="F24" s="510">
        <v>8.3199999999999996E-2</v>
      </c>
      <c r="G24" s="510">
        <v>7.4000000000000003E-3</v>
      </c>
      <c r="H24" s="1563" t="s">
        <v>749</v>
      </c>
      <c r="I24" s="1564"/>
      <c r="J24" s="1565"/>
      <c r="Q24" s="262" t="s">
        <v>753</v>
      </c>
    </row>
    <row r="25" spans="1:17" ht="15" thickBot="1" x14ac:dyDescent="0.45">
      <c r="A25" s="45"/>
      <c r="B25" s="45"/>
      <c r="C25" s="45"/>
      <c r="D25" s="45"/>
      <c r="E25" s="45"/>
      <c r="F25" s="45"/>
      <c r="G25" s="45"/>
      <c r="H25" s="45"/>
      <c r="I25" s="45"/>
      <c r="J25" s="45"/>
      <c r="Q25" s="262"/>
    </row>
    <row r="26" spans="1:17" ht="15.9" x14ac:dyDescent="0.45">
      <c r="A26" s="1560" t="s">
        <v>968</v>
      </c>
      <c r="B26" s="1561"/>
      <c r="C26" s="1561"/>
      <c r="D26" s="1561"/>
      <c r="E26" s="1561"/>
      <c r="F26" s="1561"/>
      <c r="G26" s="1561"/>
      <c r="H26" s="1561"/>
      <c r="I26" s="1561"/>
      <c r="J26" s="1562"/>
      <c r="Q26" s="262"/>
    </row>
    <row r="27" spans="1:17" ht="15" thickBot="1" x14ac:dyDescent="0.45">
      <c r="A27" s="480"/>
      <c r="B27" s="510" t="s">
        <v>748</v>
      </c>
      <c r="C27" s="510" t="s">
        <v>13</v>
      </c>
      <c r="D27" s="510" t="s">
        <v>970</v>
      </c>
      <c r="E27" s="510" t="s">
        <v>971</v>
      </c>
      <c r="F27" s="510" t="s">
        <v>180</v>
      </c>
      <c r="G27" s="510" t="s">
        <v>972</v>
      </c>
      <c r="H27" s="1500" t="s">
        <v>16</v>
      </c>
      <c r="I27" s="1500"/>
      <c r="J27" s="1501"/>
      <c r="Q27" s="262"/>
    </row>
    <row r="28" spans="1:17" x14ac:dyDescent="0.4">
      <c r="A28" s="527" t="s">
        <v>754</v>
      </c>
      <c r="B28" s="616">
        <v>1</v>
      </c>
      <c r="C28" s="616" t="s">
        <v>732</v>
      </c>
      <c r="D28" s="616">
        <f>C8</f>
        <v>6.0000000000000001E-3</v>
      </c>
      <c r="E28" s="616">
        <f>D8</f>
        <v>8.5000000000000006E-2</v>
      </c>
      <c r="F28" s="616">
        <f>E8</f>
        <v>8.0000000000000002E-3</v>
      </c>
      <c r="G28" s="616">
        <v>0</v>
      </c>
      <c r="H28" s="1496" t="s">
        <v>733</v>
      </c>
      <c r="I28" s="1496"/>
      <c r="J28" s="1497"/>
      <c r="Q28">
        <v>0.6</v>
      </c>
    </row>
    <row r="29" spans="1:17" ht="15" thickBot="1" x14ac:dyDescent="0.45">
      <c r="A29" s="480" t="s">
        <v>755</v>
      </c>
      <c r="B29" s="510">
        <v>1.0200000000000001E-3</v>
      </c>
      <c r="C29" s="510" t="s">
        <v>738</v>
      </c>
      <c r="D29" s="510">
        <v>6.1199999999999999E-6</v>
      </c>
      <c r="E29" s="510">
        <v>8.6700000000000007E-5</v>
      </c>
      <c r="F29" s="510">
        <v>8.1599999999999998E-6</v>
      </c>
      <c r="G29" s="510">
        <v>0</v>
      </c>
      <c r="H29" s="1500" t="s">
        <v>733</v>
      </c>
      <c r="I29" s="1500"/>
      <c r="J29" s="1501"/>
    </row>
    <row r="30" spans="1:17" ht="15" thickBot="1" x14ac:dyDescent="0.45"/>
    <row r="31" spans="1:17" ht="16.3" thickBot="1" x14ac:dyDescent="0.5">
      <c r="A31" s="1567" t="s">
        <v>757</v>
      </c>
      <c r="B31" s="1568"/>
      <c r="C31" s="1568"/>
      <c r="D31" s="1568"/>
      <c r="E31" s="1568"/>
      <c r="F31" s="1568"/>
      <c r="G31" s="1568"/>
      <c r="H31" s="1569"/>
    </row>
    <row r="32" spans="1:17" x14ac:dyDescent="0.4">
      <c r="A32" s="527" t="s">
        <v>747</v>
      </c>
      <c r="B32" s="648">
        <v>0.72</v>
      </c>
      <c r="C32" s="1558" t="s">
        <v>733</v>
      </c>
      <c r="D32" s="1558"/>
      <c r="E32" s="1558"/>
      <c r="F32" s="1558"/>
      <c r="G32" s="1558"/>
      <c r="H32" s="1559"/>
    </row>
    <row r="33" spans="1:8" x14ac:dyDescent="0.4">
      <c r="A33" s="247" t="s">
        <v>708</v>
      </c>
      <c r="B33" s="472">
        <v>0.7</v>
      </c>
      <c r="C33" s="1511" t="s">
        <v>756</v>
      </c>
      <c r="D33" s="1511"/>
      <c r="E33" s="1511"/>
      <c r="F33" s="1511"/>
      <c r="G33" s="1511"/>
      <c r="H33" s="1566"/>
    </row>
    <row r="34" spans="1:8" ht="15" thickBot="1" x14ac:dyDescent="0.45">
      <c r="A34" s="561" t="s">
        <v>707</v>
      </c>
      <c r="B34" s="649">
        <v>1</v>
      </c>
      <c r="C34" s="1500"/>
      <c r="D34" s="1500"/>
      <c r="E34" s="1500"/>
      <c r="F34" s="1500"/>
      <c r="G34" s="1500"/>
      <c r="H34" s="1501"/>
    </row>
  </sheetData>
  <sheetProtection algorithmName="SHA-512" hashValue="IY031pTWzfQfy8voHg8qGHpk9DXMGjSn9ubag+nP/rocbawwcOXyecWCTsR3q38Lhwor01MSwIOzvBK2toP1Dw==" saltValue="fyVGLIxOo3xFXgV+bgRBTA==" spinCount="100000" sheet="1" objects="1" scenarios="1"/>
  <mergeCells count="25">
    <mergeCell ref="A2:J2"/>
    <mergeCell ref="G3:J3"/>
    <mergeCell ref="G14:I14"/>
    <mergeCell ref="C33:H33"/>
    <mergeCell ref="A31:H31"/>
    <mergeCell ref="H23:J23"/>
    <mergeCell ref="H28:J28"/>
    <mergeCell ref="H29:J29"/>
    <mergeCell ref="H27:J27"/>
    <mergeCell ref="C34:H34"/>
    <mergeCell ref="G4:J4"/>
    <mergeCell ref="G5:J5"/>
    <mergeCell ref="G6:J6"/>
    <mergeCell ref="G7:J7"/>
    <mergeCell ref="G8:J8"/>
    <mergeCell ref="G9:J9"/>
    <mergeCell ref="G10:J10"/>
    <mergeCell ref="G11:J11"/>
    <mergeCell ref="A13:I13"/>
    <mergeCell ref="G15:I19"/>
    <mergeCell ref="H22:J22"/>
    <mergeCell ref="A21:J21"/>
    <mergeCell ref="C32:H32"/>
    <mergeCell ref="A26:J26"/>
    <mergeCell ref="H24:J24"/>
  </mergeCells>
  <pageMargins left="0.7" right="0.7" top="0.75" bottom="0.75" header="0.3" footer="0.3"/>
  <pageSetup scale="74"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U54"/>
  <sheetViews>
    <sheetView workbookViewId="0">
      <selection activeCell="P46" sqref="P46"/>
    </sheetView>
  </sheetViews>
  <sheetFormatPr defaultRowHeight="14.6" x14ac:dyDescent="0.4"/>
  <cols>
    <col min="1" max="1" width="45.69140625" bestFit="1" customWidth="1"/>
    <col min="16" max="17" width="12.53515625" bestFit="1" customWidth="1"/>
    <col min="18" max="19" width="10.53515625" bestFit="1" customWidth="1"/>
  </cols>
  <sheetData>
    <row r="1" spans="1:10" x14ac:dyDescent="0.4">
      <c r="A1" t="s">
        <v>120</v>
      </c>
      <c r="C1" t="s">
        <v>400</v>
      </c>
      <c r="J1" s="101">
        <v>0</v>
      </c>
    </row>
    <row r="2" spans="1:10" x14ac:dyDescent="0.4">
      <c r="A2" t="s">
        <v>121</v>
      </c>
      <c r="C2" t="s">
        <v>861</v>
      </c>
      <c r="J2" s="101">
        <v>0.05</v>
      </c>
    </row>
    <row r="3" spans="1:10" x14ac:dyDescent="0.4">
      <c r="A3" t="s">
        <v>122</v>
      </c>
      <c r="J3" s="101">
        <v>0.1</v>
      </c>
    </row>
    <row r="4" spans="1:10" x14ac:dyDescent="0.4">
      <c r="A4" t="s">
        <v>115</v>
      </c>
      <c r="C4" t="s">
        <v>402</v>
      </c>
      <c r="J4" s="101">
        <v>0.15</v>
      </c>
    </row>
    <row r="5" spans="1:10" x14ac:dyDescent="0.4">
      <c r="A5" t="s">
        <v>116</v>
      </c>
      <c r="C5" t="s">
        <v>401</v>
      </c>
      <c r="J5" s="101">
        <v>0.2</v>
      </c>
    </row>
    <row r="6" spans="1:10" x14ac:dyDescent="0.4">
      <c r="A6" t="s">
        <v>117</v>
      </c>
      <c r="C6" t="s">
        <v>709</v>
      </c>
      <c r="J6" s="101">
        <v>0.25</v>
      </c>
    </row>
    <row r="7" spans="1:10" x14ac:dyDescent="0.4">
      <c r="A7" t="s">
        <v>118</v>
      </c>
      <c r="J7" s="101">
        <v>0.3</v>
      </c>
    </row>
    <row r="8" spans="1:10" x14ac:dyDescent="0.4">
      <c r="A8" t="s">
        <v>119</v>
      </c>
      <c r="C8" t="s">
        <v>403</v>
      </c>
      <c r="J8" s="101">
        <v>0.35</v>
      </c>
    </row>
    <row r="9" spans="1:10" x14ac:dyDescent="0.4">
      <c r="A9" t="s">
        <v>184</v>
      </c>
      <c r="C9" t="s">
        <v>404</v>
      </c>
      <c r="J9" s="101">
        <v>0.4</v>
      </c>
    </row>
    <row r="10" spans="1:10" x14ac:dyDescent="0.4">
      <c r="A10" t="s">
        <v>183</v>
      </c>
      <c r="C10" t="s">
        <v>405</v>
      </c>
      <c r="J10" s="101">
        <v>0.45</v>
      </c>
    </row>
    <row r="11" spans="1:10" x14ac:dyDescent="0.4">
      <c r="A11" t="s">
        <v>185</v>
      </c>
      <c r="J11" s="101">
        <v>0.5</v>
      </c>
    </row>
    <row r="12" spans="1:10" x14ac:dyDescent="0.4">
      <c r="A12" t="s">
        <v>186</v>
      </c>
      <c r="C12" t="s">
        <v>408</v>
      </c>
      <c r="J12" s="101">
        <v>0.55000000000000004</v>
      </c>
    </row>
    <row r="13" spans="1:10" x14ac:dyDescent="0.4">
      <c r="C13" t="s">
        <v>409</v>
      </c>
      <c r="J13" s="101">
        <v>0.6</v>
      </c>
    </row>
    <row r="14" spans="1:10" x14ac:dyDescent="0.4">
      <c r="A14" t="s">
        <v>126</v>
      </c>
      <c r="J14" s="101">
        <v>0.65</v>
      </c>
    </row>
    <row r="15" spans="1:10" x14ac:dyDescent="0.4">
      <c r="A15" t="s">
        <v>127</v>
      </c>
      <c r="C15" t="s">
        <v>705</v>
      </c>
      <c r="J15" s="101">
        <v>0.7</v>
      </c>
    </row>
    <row r="16" spans="1:10" x14ac:dyDescent="0.4">
      <c r="A16" t="s">
        <v>128</v>
      </c>
      <c r="C16" t="s">
        <v>706</v>
      </c>
      <c r="J16" s="101">
        <v>0.75</v>
      </c>
    </row>
    <row r="17" spans="1:10" x14ac:dyDescent="0.4">
      <c r="A17" t="s">
        <v>129</v>
      </c>
      <c r="J17" s="101">
        <v>0.8</v>
      </c>
    </row>
    <row r="18" spans="1:10" x14ac:dyDescent="0.4">
      <c r="C18" t="s">
        <v>707</v>
      </c>
      <c r="J18" s="101">
        <v>0.85</v>
      </c>
    </row>
    <row r="19" spans="1:10" x14ac:dyDescent="0.4">
      <c r="A19">
        <v>0</v>
      </c>
      <c r="C19" t="s">
        <v>747</v>
      </c>
      <c r="J19" s="101">
        <v>0.9</v>
      </c>
    </row>
    <row r="20" spans="1:10" x14ac:dyDescent="0.4">
      <c r="A20">
        <v>1</v>
      </c>
      <c r="C20" t="s">
        <v>708</v>
      </c>
      <c r="J20" s="101">
        <v>0.95</v>
      </c>
    </row>
    <row r="21" spans="1:10" x14ac:dyDescent="0.4">
      <c r="A21">
        <v>2</v>
      </c>
      <c r="J21" s="101">
        <v>1</v>
      </c>
    </row>
    <row r="22" spans="1:10" x14ac:dyDescent="0.4">
      <c r="A22">
        <v>3</v>
      </c>
      <c r="C22" t="s">
        <v>735</v>
      </c>
    </row>
    <row r="23" spans="1:10" x14ac:dyDescent="0.4">
      <c r="A23">
        <v>4</v>
      </c>
      <c r="C23" t="s">
        <v>736</v>
      </c>
    </row>
    <row r="24" spans="1:10" x14ac:dyDescent="0.4">
      <c r="A24">
        <v>5</v>
      </c>
      <c r="C24" t="s">
        <v>739</v>
      </c>
    </row>
    <row r="25" spans="1:10" x14ac:dyDescent="0.4">
      <c r="A25">
        <v>6</v>
      </c>
      <c r="C25" t="s">
        <v>740</v>
      </c>
    </row>
    <row r="26" spans="1:10" x14ac:dyDescent="0.4">
      <c r="A26">
        <v>7</v>
      </c>
    </row>
    <row r="27" spans="1:10" x14ac:dyDescent="0.4">
      <c r="A27">
        <v>8</v>
      </c>
      <c r="C27" t="s">
        <v>857</v>
      </c>
    </row>
    <row r="28" spans="1:10" x14ac:dyDescent="0.4">
      <c r="A28">
        <v>9</v>
      </c>
      <c r="C28" t="s">
        <v>858</v>
      </c>
    </row>
    <row r="29" spans="1:10" x14ac:dyDescent="0.4">
      <c r="A29">
        <v>10</v>
      </c>
    </row>
    <row r="31" spans="1:10" x14ac:dyDescent="0.4">
      <c r="A31" t="s">
        <v>167</v>
      </c>
    </row>
    <row r="32" spans="1:10" x14ac:dyDescent="0.4">
      <c r="A32" t="s">
        <v>168</v>
      </c>
    </row>
    <row r="34" spans="1:21" x14ac:dyDescent="0.4">
      <c r="B34" t="s">
        <v>223</v>
      </c>
      <c r="C34" t="s">
        <v>182</v>
      </c>
      <c r="D34" t="s">
        <v>224</v>
      </c>
      <c r="E34" t="s">
        <v>180</v>
      </c>
      <c r="F34" t="s">
        <v>181</v>
      </c>
      <c r="G34" t="s">
        <v>68</v>
      </c>
      <c r="H34" t="s">
        <v>228</v>
      </c>
      <c r="I34" t="s">
        <v>976</v>
      </c>
      <c r="L34" t="s">
        <v>265</v>
      </c>
      <c r="P34" t="s">
        <v>182</v>
      </c>
      <c r="Q34" t="s">
        <v>224</v>
      </c>
      <c r="R34" t="s">
        <v>180</v>
      </c>
      <c r="S34" t="s">
        <v>181</v>
      </c>
      <c r="U34" t="s">
        <v>279</v>
      </c>
    </row>
    <row r="35" spans="1:21" x14ac:dyDescent="0.4">
      <c r="A35" t="s">
        <v>198</v>
      </c>
      <c r="B35" s="159">
        <f>'GHG ERFs'!B189</f>
        <v>1013</v>
      </c>
      <c r="C35" s="128">
        <f>'Co-Ben ERFs'!B97</f>
        <v>8.5000000000000006E-3</v>
      </c>
      <c r="D35">
        <f>'Co-Ben ERFs'!B98</f>
        <v>5.6500000000000002E-2</v>
      </c>
      <c r="E35">
        <f>'Co-Ben ERFs'!B99</f>
        <v>3.6299999999999999E-2</v>
      </c>
      <c r="F35">
        <v>0</v>
      </c>
      <c r="G35">
        <v>0</v>
      </c>
      <c r="H35">
        <v>0</v>
      </c>
      <c r="I35" s="731">
        <f>'[17]Co-Ben ERFs'!B79</f>
        <v>3594.7583641362667</v>
      </c>
      <c r="L35">
        <v>2200</v>
      </c>
      <c r="M35" t="s">
        <v>266</v>
      </c>
      <c r="O35" t="s">
        <v>267</v>
      </c>
      <c r="P35" s="128">
        <f>C51*L35</f>
        <v>168.52</v>
      </c>
      <c r="Q35" s="128">
        <f>D52*L35</f>
        <v>3089.02</v>
      </c>
      <c r="R35" s="128">
        <f>E52*L35</f>
        <v>88.88</v>
      </c>
      <c r="S35" s="128">
        <f>F52*L35</f>
        <v>11.22</v>
      </c>
    </row>
    <row r="36" spans="1:21" x14ac:dyDescent="0.4">
      <c r="A36" t="s">
        <v>199</v>
      </c>
      <c r="B36" s="159">
        <f>'GHG ERFs'!B189</f>
        <v>1013</v>
      </c>
      <c r="C36">
        <f>'Co-Ben ERFs'!B97</f>
        <v>8.5000000000000006E-3</v>
      </c>
      <c r="D36">
        <f>'Co-Ben ERFs'!B98</f>
        <v>5.6500000000000002E-2</v>
      </c>
      <c r="E36">
        <f>'Co-Ben ERFs'!B99</f>
        <v>3.6299999999999999E-2</v>
      </c>
      <c r="F36">
        <v>0</v>
      </c>
      <c r="G36" s="128">
        <f>'GHG ERFs'!B179</f>
        <v>4</v>
      </c>
      <c r="H36">
        <f>'GHG ERFs'!B173</f>
        <v>0.24</v>
      </c>
      <c r="I36" s="731">
        <f>'[17]Co-Ben ERFs'!B79</f>
        <v>3594.7583641362667</v>
      </c>
      <c r="L36">
        <v>46400</v>
      </c>
      <c r="M36" t="s">
        <v>269</v>
      </c>
      <c r="O36" t="s">
        <v>268</v>
      </c>
      <c r="P36" s="128">
        <f>P35/'GHG ERFs'!$A$204</f>
        <v>0.37118942731277538</v>
      </c>
      <c r="Q36" s="128">
        <f>Q35/'GHG ERFs'!$A$204</f>
        <v>6.8040088105726868</v>
      </c>
      <c r="R36" s="128">
        <f>R35/'GHG ERFs'!$A$204</f>
        <v>0.19577092511013214</v>
      </c>
      <c r="S36" s="128">
        <f>S35/'GHG ERFs'!$A$204</f>
        <v>2.4713656387665199E-2</v>
      </c>
    </row>
    <row r="37" spans="1:21" x14ac:dyDescent="0.4">
      <c r="A37" t="s">
        <v>356</v>
      </c>
      <c r="B37" s="159">
        <f>'GHG ERFs'!B190</f>
        <v>811</v>
      </c>
      <c r="C37">
        <f>'Co-Ben ERFs'!B100</f>
        <v>6.7999999999999996E-3</v>
      </c>
      <c r="D37">
        <f>'Co-Ben ERFs'!B101</f>
        <v>4.5199999999999997E-2</v>
      </c>
      <c r="E37">
        <f>'Co-Ben ERFs'!B102</f>
        <v>1.9599999999999999E-2</v>
      </c>
      <c r="F37">
        <v>0</v>
      </c>
      <c r="G37" s="128">
        <v>0</v>
      </c>
      <c r="H37">
        <v>0</v>
      </c>
      <c r="I37" s="731">
        <f>'[17]Co-Ben ERFs'!B80</f>
        <v>2874.4214279702323</v>
      </c>
      <c r="O37" t="s">
        <v>270</v>
      </c>
      <c r="P37" s="151">
        <f>P36/$L$36</f>
        <v>7.9997721403615376E-6</v>
      </c>
      <c r="Q37" s="151">
        <f>Q36/$L$36</f>
        <v>1.4663812091751481E-4</v>
      </c>
      <c r="R37" s="151">
        <f>R36/$L$36</f>
        <v>4.2192009722011236E-6</v>
      </c>
      <c r="S37" s="151">
        <f>S36/$L$36</f>
        <v>5.326219049065776E-7</v>
      </c>
    </row>
    <row r="38" spans="1:21" x14ac:dyDescent="0.4">
      <c r="A38" t="s">
        <v>357</v>
      </c>
      <c r="B38" s="159">
        <f>'GHG ERFs'!B190</f>
        <v>811</v>
      </c>
      <c r="C38">
        <f>'Co-Ben ERFs'!B100</f>
        <v>6.7999999999999996E-3</v>
      </c>
      <c r="D38">
        <f>'Co-Ben ERFs'!B101</f>
        <v>4.5199999999999997E-2</v>
      </c>
      <c r="E38">
        <f>'Co-Ben ERFs'!B102</f>
        <v>1.9599999999999999E-2</v>
      </c>
      <c r="F38">
        <v>0</v>
      </c>
      <c r="G38" s="128">
        <v>4</v>
      </c>
      <c r="H38">
        <v>0.24</v>
      </c>
      <c r="I38" s="731">
        <f>'[17]Co-Ben ERFs'!B80</f>
        <v>2874.4214279702323</v>
      </c>
      <c r="O38" t="s">
        <v>271</v>
      </c>
      <c r="P38" s="150">
        <f>P37*2000</f>
        <v>1.5999544280723074E-2</v>
      </c>
      <c r="Q38" s="150">
        <f>Q37*2000</f>
        <v>0.29327624183502965</v>
      </c>
      <c r="R38" s="150">
        <f>R37*2000</f>
        <v>8.4384019444022473E-3</v>
      </c>
      <c r="S38" s="150">
        <f>S37*2000</f>
        <v>1.0652438098131551E-3</v>
      </c>
    </row>
    <row r="39" spans="1:21" x14ac:dyDescent="0.4">
      <c r="A39" t="s">
        <v>358</v>
      </c>
      <c r="B39" s="159">
        <f>'GHG ERFs'!B191</f>
        <v>599</v>
      </c>
      <c r="C39">
        <f>'Co-Ben ERFs'!B103</f>
        <v>4.1000000000000003E-3</v>
      </c>
      <c r="D39">
        <f>'Co-Ben ERFs'!B104</f>
        <v>2.7099999999999999E-2</v>
      </c>
      <c r="E39">
        <f>'Co-Ben ERFs'!B105</f>
        <v>1.9099999999999999E-2</v>
      </c>
      <c r="F39">
        <v>0</v>
      </c>
      <c r="G39" s="128">
        <v>0</v>
      </c>
      <c r="H39">
        <v>0</v>
      </c>
      <c r="I39" s="731">
        <f>'[17]Co-Ben ERFs'!B81</f>
        <v>2178.3266002328628</v>
      </c>
    </row>
    <row r="40" spans="1:21" x14ac:dyDescent="0.4">
      <c r="A40" t="s">
        <v>359</v>
      </c>
      <c r="B40" s="159">
        <f>'GHG ERFs'!B191</f>
        <v>599</v>
      </c>
      <c r="C40">
        <f>'Co-Ben ERFs'!B103</f>
        <v>4.1000000000000003E-3</v>
      </c>
      <c r="D40">
        <f>'Co-Ben ERFs'!B104</f>
        <v>2.7099999999999999E-2</v>
      </c>
      <c r="E40">
        <f>'Co-Ben ERFs'!B105</f>
        <v>1.9099999999999999E-2</v>
      </c>
      <c r="F40">
        <v>0</v>
      </c>
      <c r="G40" s="128">
        <v>4</v>
      </c>
      <c r="H40">
        <v>0.24</v>
      </c>
      <c r="I40" s="731">
        <f>'[17]Co-Ben ERFs'!B81</f>
        <v>2178.3266002328628</v>
      </c>
    </row>
    <row r="41" spans="1:21" x14ac:dyDescent="0.4">
      <c r="A41" t="s">
        <v>360</v>
      </c>
      <c r="B41" s="159">
        <f>'GHG ERFs'!B192</f>
        <v>281</v>
      </c>
      <c r="C41">
        <f>'Co-Ben ERFs'!B106</f>
        <v>0</v>
      </c>
      <c r="D41">
        <f>'Co-Ben ERFs'!B107</f>
        <v>0</v>
      </c>
      <c r="E41">
        <f>'Co-Ben ERFs'!B108</f>
        <v>1.84E-2</v>
      </c>
      <c r="F41">
        <v>0</v>
      </c>
      <c r="G41" s="128">
        <v>0</v>
      </c>
      <c r="H41">
        <v>0</v>
      </c>
      <c r="I41" s="731">
        <f>'[17]Co-Ben ERFs'!B82</f>
        <v>2191.3752897976433</v>
      </c>
    </row>
    <row r="42" spans="1:21" x14ac:dyDescent="0.4">
      <c r="A42" t="s">
        <v>361</v>
      </c>
      <c r="B42" s="159">
        <f>'GHG ERFs'!B192</f>
        <v>281</v>
      </c>
      <c r="C42">
        <f>'Co-Ben ERFs'!B106</f>
        <v>0</v>
      </c>
      <c r="D42">
        <f>'Co-Ben ERFs'!B107</f>
        <v>0</v>
      </c>
      <c r="E42">
        <f>'Co-Ben ERFs'!B108</f>
        <v>1.84E-2</v>
      </c>
      <c r="F42">
        <v>0</v>
      </c>
      <c r="G42" s="128">
        <v>4</v>
      </c>
      <c r="H42">
        <v>0.24</v>
      </c>
      <c r="I42" s="731">
        <f>'[17]Co-Ben ERFs'!B82</f>
        <v>2191.3752897976433</v>
      </c>
    </row>
    <row r="43" spans="1:21" x14ac:dyDescent="0.4">
      <c r="A43" t="s">
        <v>362</v>
      </c>
      <c r="B43" s="159">
        <f>'GHG ERFs'!B193</f>
        <v>455</v>
      </c>
      <c r="C43">
        <f>'Co-Ben ERFs'!B109</f>
        <v>0</v>
      </c>
      <c r="D43">
        <f>'Co-Ben ERFs'!B110</f>
        <v>0</v>
      </c>
      <c r="E43">
        <f>'Co-Ben ERFs'!B111</f>
        <v>1.84E-2</v>
      </c>
      <c r="F43">
        <v>0</v>
      </c>
      <c r="G43" s="128">
        <v>0</v>
      </c>
      <c r="H43">
        <v>0</v>
      </c>
      <c r="I43" s="731">
        <f>'[17]Co-Ben ERFs'!B83</f>
        <v>0</v>
      </c>
    </row>
    <row r="44" spans="1:21" x14ac:dyDescent="0.4">
      <c r="A44" t="s">
        <v>363</v>
      </c>
      <c r="B44" s="159">
        <f>'GHG ERFs'!B193</f>
        <v>455</v>
      </c>
      <c r="C44">
        <f>'Co-Ben ERFs'!B109</f>
        <v>0</v>
      </c>
      <c r="D44">
        <f>'Co-Ben ERFs'!B110</f>
        <v>0</v>
      </c>
      <c r="E44">
        <f>'Co-Ben ERFs'!B111</f>
        <v>1.84E-2</v>
      </c>
      <c r="F44">
        <v>0</v>
      </c>
      <c r="G44" s="128">
        <v>4</v>
      </c>
      <c r="H44">
        <v>0.24</v>
      </c>
      <c r="I44" s="731">
        <f>'[17]Co-Ben ERFs'!B83</f>
        <v>0</v>
      </c>
    </row>
    <row r="45" spans="1:21" x14ac:dyDescent="0.4">
      <c r="A45" t="s">
        <v>200</v>
      </c>
      <c r="B45" s="159">
        <f>'GHG ERFs'!B194</f>
        <v>1519</v>
      </c>
      <c r="C45">
        <f>'Co-Ben ERFs'!B112</f>
        <v>3.6799999999999999E-2</v>
      </c>
      <c r="D45">
        <f>'Co-Ben ERFs'!B113</f>
        <v>0.85360000000000003</v>
      </c>
      <c r="E45">
        <f>'Co-Ben ERFs'!B114</f>
        <v>6.1600000000000002E-2</v>
      </c>
      <c r="F45">
        <f>'Co-Ben ERFs'!B115</f>
        <v>2.8E-3</v>
      </c>
      <c r="G45">
        <v>0</v>
      </c>
      <c r="H45">
        <v>0</v>
      </c>
      <c r="I45" s="731">
        <f>'[17]Co-Ben ERFs'!B84</f>
        <v>4611.1167921948027</v>
      </c>
    </row>
    <row r="46" spans="1:21" x14ac:dyDescent="0.4">
      <c r="A46" t="s">
        <v>201</v>
      </c>
      <c r="B46" s="159">
        <f>'GHG ERFs'!B194</f>
        <v>1519</v>
      </c>
      <c r="C46">
        <f>'Co-Ben ERFs'!B112</f>
        <v>3.6799999999999999E-2</v>
      </c>
      <c r="D46">
        <f>'Co-Ben ERFs'!B113</f>
        <v>0.85360000000000003</v>
      </c>
      <c r="E46">
        <f>'Co-Ben ERFs'!B114</f>
        <v>6.1600000000000002E-2</v>
      </c>
      <c r="F46">
        <f>'Co-Ben ERFs'!B115</f>
        <v>2.8E-3</v>
      </c>
      <c r="G46" s="128">
        <f>'GHG ERFs'!B180</f>
        <v>12</v>
      </c>
      <c r="H46">
        <f>'GHG ERFs'!B173</f>
        <v>0.24</v>
      </c>
      <c r="I46" s="731">
        <f>'[17]Co-Ben ERFs'!B84</f>
        <v>4611.1167921948027</v>
      </c>
    </row>
    <row r="47" spans="1:21" x14ac:dyDescent="0.4">
      <c r="A47" t="s">
        <v>364</v>
      </c>
      <c r="B47" s="159">
        <f>'GHG ERFs'!B195</f>
        <v>1215</v>
      </c>
      <c r="C47">
        <f>'Co-Ben ERFs'!B116</f>
        <v>2.9499999999999998E-2</v>
      </c>
      <c r="D47">
        <f>'Co-Ben ERFs'!B117</f>
        <v>0.68289999999999995</v>
      </c>
      <c r="E47">
        <f>'Co-Ben ERFs'!B118</f>
        <v>3.3099999999999997E-2</v>
      </c>
      <c r="F47">
        <f>'Co-Ben ERFs'!B119</f>
        <v>2.3E-3</v>
      </c>
      <c r="G47" s="128">
        <v>0</v>
      </c>
      <c r="H47">
        <v>0</v>
      </c>
      <c r="I47" s="731">
        <f>'[17]Co-Ben ERFs'!B85</f>
        <v>3688.8934337558426</v>
      </c>
    </row>
    <row r="48" spans="1:21" x14ac:dyDescent="0.4">
      <c r="A48" t="s">
        <v>365</v>
      </c>
      <c r="B48" s="159">
        <f>'GHG ERFs'!B195</f>
        <v>1215</v>
      </c>
      <c r="C48">
        <f>'Co-Ben ERFs'!B116</f>
        <v>2.9499999999999998E-2</v>
      </c>
      <c r="D48">
        <f>'Co-Ben ERFs'!B117</f>
        <v>0.68289999999999995</v>
      </c>
      <c r="E48">
        <f>'Co-Ben ERFs'!B118</f>
        <v>3.3099999999999997E-2</v>
      </c>
      <c r="F48">
        <f>'Co-Ben ERFs'!B119</f>
        <v>2.3E-3</v>
      </c>
      <c r="G48" s="128">
        <v>12</v>
      </c>
      <c r="H48">
        <v>0.24</v>
      </c>
      <c r="I48" s="731">
        <f>'[17]Co-Ben ERFs'!B85</f>
        <v>3688.8934337558426</v>
      </c>
    </row>
    <row r="49" spans="1:9" x14ac:dyDescent="0.4">
      <c r="A49" t="s">
        <v>366</v>
      </c>
      <c r="B49" s="159">
        <f>'GHG ERFs'!B196</f>
        <v>283</v>
      </c>
      <c r="C49">
        <f>'Co-Ben ERFs'!B120</f>
        <v>0</v>
      </c>
      <c r="D49">
        <f>'Co-Ben ERFs'!B121</f>
        <v>0</v>
      </c>
      <c r="E49">
        <f>'Co-Ben ERFs'!B122</f>
        <v>3.09E-2</v>
      </c>
      <c r="F49">
        <f>'Co-Ben ERFs'!B123</f>
        <v>0</v>
      </c>
      <c r="G49" s="128">
        <v>0</v>
      </c>
      <c r="H49">
        <v>0</v>
      </c>
      <c r="I49" s="731">
        <f>'[17]Co-Ben ERFs'!B86</f>
        <v>1942.6609164157019</v>
      </c>
    </row>
    <row r="50" spans="1:9" x14ac:dyDescent="0.4">
      <c r="A50" t="s">
        <v>367</v>
      </c>
      <c r="B50" s="159">
        <f>'GHG ERFs'!B196</f>
        <v>283</v>
      </c>
      <c r="C50">
        <f>'Co-Ben ERFs'!B120</f>
        <v>0</v>
      </c>
      <c r="D50">
        <f>'Co-Ben ERFs'!B121</f>
        <v>0</v>
      </c>
      <c r="E50">
        <f>'Co-Ben ERFs'!B122</f>
        <v>3.09E-2</v>
      </c>
      <c r="F50">
        <f>'Co-Ben ERFs'!B123</f>
        <v>0</v>
      </c>
      <c r="G50" s="128">
        <v>12</v>
      </c>
      <c r="H50">
        <v>0.24</v>
      </c>
      <c r="I50" s="731">
        <f>'[17]Co-Ben ERFs'!B86</f>
        <v>1942.6609164157019</v>
      </c>
    </row>
    <row r="51" spans="1:9" x14ac:dyDescent="0.4">
      <c r="A51" t="s">
        <v>202</v>
      </c>
      <c r="B51" s="159">
        <f>'GHG ERFs'!B197</f>
        <v>2101</v>
      </c>
      <c r="C51">
        <f>'Co-Ben ERFs'!B124</f>
        <v>7.6600000000000001E-2</v>
      </c>
      <c r="D51">
        <f>'Co-Ben ERFs'!B125</f>
        <v>1.4040999999999999</v>
      </c>
      <c r="E51">
        <f>'Co-Ben ERFs'!B127</f>
        <v>4.0399999999999998E-2</v>
      </c>
      <c r="F51">
        <f>'Co-Ben ERFs'!B128</f>
        <v>5.1000000000000004E-3</v>
      </c>
      <c r="G51">
        <v>0</v>
      </c>
      <c r="H51">
        <v>0</v>
      </c>
      <c r="I51" s="731">
        <f>'[17]Co-Ben ERFs'!B87</f>
        <v>6656.1770318500303</v>
      </c>
    </row>
    <row r="52" spans="1:9" x14ac:dyDescent="0.4">
      <c r="A52" t="s">
        <v>368</v>
      </c>
      <c r="B52" s="159">
        <f>'GHG ERFs'!B197</f>
        <v>2101</v>
      </c>
      <c r="C52">
        <f>'Co-Ben ERFs'!B124</f>
        <v>7.6600000000000001E-2</v>
      </c>
      <c r="D52">
        <f>'Co-Ben ERFs'!B125</f>
        <v>1.4040999999999999</v>
      </c>
      <c r="E52">
        <f>'Co-Ben ERFs'!B127</f>
        <v>4.0399999999999998E-2</v>
      </c>
      <c r="F52">
        <f>'Co-Ben ERFs'!B128</f>
        <v>5.1000000000000004E-3</v>
      </c>
      <c r="G52" s="128">
        <f>'GHG ERFs'!B181</f>
        <v>22</v>
      </c>
      <c r="H52">
        <f>'GHG ERFs'!B173</f>
        <v>0.24</v>
      </c>
      <c r="I52" s="731">
        <f>'[17]Co-Ben ERFs'!B87</f>
        <v>6656.1770318500303</v>
      </c>
    </row>
    <row r="53" spans="1:9" x14ac:dyDescent="0.4">
      <c r="A53" t="s">
        <v>322</v>
      </c>
      <c r="B53" s="159">
        <f>'GHG ERFs'!B198</f>
        <v>392</v>
      </c>
      <c r="C53">
        <f>'Co-Ben ERFs'!B129</f>
        <v>0</v>
      </c>
      <c r="D53">
        <f>'Co-Ben ERFs'!B130</f>
        <v>0</v>
      </c>
      <c r="E53">
        <f>'Co-Ben ERFs'!B131</f>
        <v>2.2200000000000001E-2</v>
      </c>
      <c r="F53">
        <f>'Co-Ben ERFs'!B132</f>
        <v>0</v>
      </c>
      <c r="G53" s="128">
        <v>0</v>
      </c>
      <c r="H53">
        <v>0</v>
      </c>
      <c r="I53" s="731">
        <f>'[17]Co-Ben ERFs'!B88</f>
        <v>2803.0782081153902</v>
      </c>
    </row>
    <row r="54" spans="1:9" x14ac:dyDescent="0.4">
      <c r="A54" t="s">
        <v>369</v>
      </c>
      <c r="B54" s="159">
        <f>'GHG ERFs'!B198</f>
        <v>392</v>
      </c>
      <c r="C54">
        <f>'Co-Ben ERFs'!B129</f>
        <v>0</v>
      </c>
      <c r="D54">
        <f>'Co-Ben ERFs'!B130</f>
        <v>0</v>
      </c>
      <c r="E54">
        <f>'Co-Ben ERFs'!B131</f>
        <v>2.2200000000000001E-2</v>
      </c>
      <c r="F54">
        <f>'Co-Ben ERFs'!B132</f>
        <v>0</v>
      </c>
      <c r="G54" s="128">
        <v>22</v>
      </c>
      <c r="H54">
        <v>0.24</v>
      </c>
      <c r="I54" s="731">
        <f>'[17]Co-Ben ERFs'!B88</f>
        <v>2803.0782081153902</v>
      </c>
    </row>
  </sheetData>
  <sheetProtection algorithmName="SHA-512" hashValue="rUOLEQesr5OhE5TpoPljADeymKyuOHnBzTWoot+4IBMU9Ylyozvx+H6XfV0MyYBGaDRRv1Euq0nm5fA227FttQ==" saltValue="TuO7zcAL0pIhN5UTXLb2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pageSetUpPr fitToPage="1"/>
  </sheetPr>
  <dimension ref="A1:M27"/>
  <sheetViews>
    <sheetView showGridLines="0" showRuler="0" zoomScaleNormal="100" workbookViewId="0">
      <selection activeCell="A11" sqref="A11:E11"/>
    </sheetView>
  </sheetViews>
  <sheetFormatPr defaultColWidth="9.15234375" defaultRowHeight="14.15" x14ac:dyDescent="0.35"/>
  <cols>
    <col min="1" max="1" width="24.69140625" style="868" customWidth="1"/>
    <col min="2" max="2" width="29.3046875" style="868" customWidth="1"/>
    <col min="3" max="3" width="28.53515625" style="868" customWidth="1"/>
    <col min="4" max="4" width="27.3828125" style="868" customWidth="1"/>
    <col min="5" max="5" width="26.15234375" style="868" customWidth="1"/>
    <col min="6" max="9" width="24.69140625" style="868" customWidth="1"/>
    <col min="10" max="10" width="21.69140625" style="868" hidden="1" customWidth="1"/>
    <col min="11" max="11" width="20.69140625" style="868" hidden="1" customWidth="1"/>
    <col min="12" max="12" width="23.69140625" style="868" hidden="1" customWidth="1"/>
    <col min="13" max="13" width="18.53515625" style="868" customWidth="1"/>
    <col min="14" max="15" width="9.15234375" style="868" customWidth="1"/>
    <col min="16" max="16384" width="9.15234375" style="868"/>
  </cols>
  <sheetData>
    <row r="1" spans="1:13" ht="20.149999999999999" x14ac:dyDescent="0.35">
      <c r="C1" s="869" t="s">
        <v>411</v>
      </c>
      <c r="D1" s="870"/>
      <c r="F1" s="871"/>
      <c r="G1" s="871"/>
      <c r="H1" s="871"/>
      <c r="I1" s="871"/>
    </row>
    <row r="2" spans="1:13" x14ac:dyDescent="0.35">
      <c r="C2" s="872"/>
      <c r="D2" s="870"/>
      <c r="F2" s="873"/>
      <c r="G2" s="873"/>
      <c r="H2" s="873"/>
      <c r="I2" s="873"/>
    </row>
    <row r="3" spans="1:13" ht="20.149999999999999" x14ac:dyDescent="0.35">
      <c r="C3" s="869" t="s">
        <v>1083</v>
      </c>
      <c r="D3" s="870"/>
      <c r="F3" s="871"/>
      <c r="G3" s="871"/>
      <c r="H3" s="871"/>
      <c r="I3" s="871"/>
    </row>
    <row r="4" spans="1:13" ht="20.149999999999999" x14ac:dyDescent="0.35">
      <c r="C4" s="874" t="s">
        <v>1116</v>
      </c>
      <c r="D4" s="870"/>
      <c r="F4" s="875"/>
      <c r="G4" s="875"/>
      <c r="H4" s="875"/>
      <c r="I4" s="875"/>
    </row>
    <row r="5" spans="1:13" x14ac:dyDescent="0.35">
      <c r="C5" s="872"/>
      <c r="D5" s="870"/>
      <c r="F5" s="873"/>
      <c r="G5" s="873"/>
      <c r="H5" s="873"/>
      <c r="I5" s="873"/>
    </row>
    <row r="6" spans="1:13" ht="20.149999999999999" x14ac:dyDescent="0.35">
      <c r="C6" s="869" t="s">
        <v>413</v>
      </c>
      <c r="F6" s="871"/>
      <c r="G6" s="871"/>
      <c r="H6" s="871"/>
      <c r="I6" s="871"/>
    </row>
    <row r="7" spans="1:13" ht="18" x14ac:dyDescent="0.45">
      <c r="A7" s="876"/>
      <c r="B7" s="876"/>
      <c r="C7" s="876"/>
      <c r="E7" s="877"/>
    </row>
    <row r="8" spans="1:13" ht="18" x14ac:dyDescent="0.45">
      <c r="A8" s="876"/>
      <c r="B8" s="876"/>
      <c r="C8" s="876"/>
      <c r="E8" s="877"/>
    </row>
    <row r="9" spans="1:13" x14ac:dyDescent="0.35">
      <c r="F9" s="1103"/>
      <c r="G9" s="1103"/>
    </row>
    <row r="10" spans="1:13" ht="15.45" x14ac:dyDescent="0.4">
      <c r="A10" s="851" t="s">
        <v>407</v>
      </c>
      <c r="B10" s="851"/>
      <c r="C10" s="850"/>
      <c r="D10" s="850"/>
      <c r="F10" s="878"/>
      <c r="G10" s="878"/>
    </row>
    <row r="11" spans="1:13" ht="15" customHeight="1" x14ac:dyDescent="0.35">
      <c r="A11" s="1075" t="s">
        <v>1092</v>
      </c>
      <c r="B11" s="1076"/>
      <c r="C11" s="1076"/>
      <c r="D11" s="1076"/>
      <c r="E11" s="1077"/>
      <c r="F11" s="879"/>
      <c r="G11" s="879"/>
    </row>
    <row r="12" spans="1:13" ht="15.45" x14ac:dyDescent="0.35">
      <c r="A12" s="880"/>
      <c r="B12" s="880"/>
      <c r="C12" s="880"/>
      <c r="D12" s="880"/>
      <c r="E12" s="881"/>
      <c r="F12" s="879"/>
      <c r="G12" s="879"/>
    </row>
    <row r="13" spans="1:13" ht="18" x14ac:dyDescent="0.45">
      <c r="A13" s="882" t="s">
        <v>410</v>
      </c>
      <c r="B13" s="882"/>
      <c r="C13" s="883"/>
      <c r="D13" s="883"/>
      <c r="E13" s="883"/>
      <c r="F13" s="883"/>
      <c r="G13" s="883"/>
      <c r="H13" s="883"/>
      <c r="I13" s="883"/>
      <c r="J13" s="883"/>
    </row>
    <row r="14" spans="1:13" ht="72" x14ac:dyDescent="0.35">
      <c r="A14" s="884" t="s">
        <v>1078</v>
      </c>
      <c r="B14" s="884" t="s">
        <v>701</v>
      </c>
      <c r="C14" s="884" t="s">
        <v>1021</v>
      </c>
      <c r="D14" s="884" t="s">
        <v>956</v>
      </c>
      <c r="E14" s="884" t="s">
        <v>957</v>
      </c>
      <c r="F14" s="884" t="s">
        <v>702</v>
      </c>
      <c r="G14" s="885" t="s">
        <v>1096</v>
      </c>
      <c r="I14" s="883"/>
      <c r="J14" s="883"/>
      <c r="K14" s="883"/>
      <c r="L14" s="883"/>
      <c r="M14" s="883"/>
    </row>
    <row r="15" spans="1:13" x14ac:dyDescent="0.35">
      <c r="A15" s="886" t="s">
        <v>941</v>
      </c>
      <c r="B15" s="887"/>
      <c r="C15" s="887"/>
      <c r="D15" s="888"/>
      <c r="E15" s="889" t="str">
        <f>IF(OR(B15&gt;0,C15&gt;0),'Composting Calcs'!D5,"")</f>
        <v/>
      </c>
      <c r="F15" s="887"/>
      <c r="G15" s="890">
        <f>'Composting Calcs'!M5</f>
        <v>0</v>
      </c>
      <c r="I15" s="891"/>
      <c r="J15" s="892"/>
      <c r="K15" s="892"/>
    </row>
    <row r="16" spans="1:13" x14ac:dyDescent="0.35">
      <c r="A16" s="886" t="s">
        <v>942</v>
      </c>
      <c r="B16" s="887"/>
      <c r="C16" s="887"/>
      <c r="D16" s="888"/>
      <c r="E16" s="889" t="str">
        <f>IF(OR(B16&gt;0,C16&gt;0),'Composting Calcs'!D6,"")</f>
        <v/>
      </c>
      <c r="F16" s="887"/>
      <c r="G16" s="890">
        <f>'Composting Calcs'!M6</f>
        <v>0</v>
      </c>
      <c r="I16" s="893"/>
      <c r="J16" s="893"/>
      <c r="K16" s="893"/>
    </row>
    <row r="17" spans="1:11" x14ac:dyDescent="0.35">
      <c r="A17" s="886" t="s">
        <v>943</v>
      </c>
      <c r="B17" s="887"/>
      <c r="C17" s="887"/>
      <c r="D17" s="888"/>
      <c r="E17" s="889" t="str">
        <f>IF(OR(B17&gt;0,C17&gt;0),'Composting Calcs'!D7,"")</f>
        <v/>
      </c>
      <c r="F17" s="887"/>
      <c r="G17" s="890">
        <f>'Composting Calcs'!M7</f>
        <v>0</v>
      </c>
      <c r="I17" s="893"/>
      <c r="J17" s="893"/>
      <c r="K17" s="893"/>
    </row>
    <row r="18" spans="1:11" x14ac:dyDescent="0.35">
      <c r="A18" s="886" t="s">
        <v>944</v>
      </c>
      <c r="B18" s="887"/>
      <c r="C18" s="887"/>
      <c r="D18" s="888"/>
      <c r="E18" s="889" t="str">
        <f>IF(OR(B18&gt;0,C18&gt;0),'Composting Calcs'!D8,"")</f>
        <v/>
      </c>
      <c r="F18" s="887"/>
      <c r="G18" s="890">
        <f>'Composting Calcs'!M8</f>
        <v>0</v>
      </c>
      <c r="I18" s="893"/>
      <c r="J18" s="893"/>
      <c r="K18" s="893"/>
    </row>
    <row r="19" spans="1:11" x14ac:dyDescent="0.35">
      <c r="A19" s="886" t="s">
        <v>945</v>
      </c>
      <c r="B19" s="887"/>
      <c r="C19" s="887"/>
      <c r="D19" s="888"/>
      <c r="E19" s="889" t="str">
        <f>IF(OR(B19&gt;0,C19&gt;0),'Composting Calcs'!D9,"")</f>
        <v/>
      </c>
      <c r="F19" s="887"/>
      <c r="G19" s="890">
        <f>'Composting Calcs'!M9</f>
        <v>0</v>
      </c>
      <c r="I19" s="893"/>
      <c r="J19" s="893"/>
      <c r="K19" s="893"/>
    </row>
    <row r="20" spans="1:11" x14ac:dyDescent="0.35">
      <c r="A20" s="886" t="s">
        <v>946</v>
      </c>
      <c r="B20" s="887"/>
      <c r="C20" s="887"/>
      <c r="D20" s="888"/>
      <c r="E20" s="889" t="str">
        <f>IF(OR(B20&gt;0,C20&gt;0),'Composting Calcs'!D10,"")</f>
        <v/>
      </c>
      <c r="F20" s="887"/>
      <c r="G20" s="890">
        <f>'Composting Calcs'!M10</f>
        <v>0</v>
      </c>
      <c r="I20" s="893"/>
      <c r="J20" s="893"/>
      <c r="K20" s="893"/>
    </row>
    <row r="21" spans="1:11" x14ac:dyDescent="0.35">
      <c r="A21" s="886" t="s">
        <v>947</v>
      </c>
      <c r="B21" s="887"/>
      <c r="C21" s="887"/>
      <c r="D21" s="888"/>
      <c r="E21" s="889" t="str">
        <f>IF(OR(B21&gt;0,C21&gt;0),'Composting Calcs'!D11,"")</f>
        <v/>
      </c>
      <c r="F21" s="887"/>
      <c r="G21" s="890">
        <f>'Composting Calcs'!M11</f>
        <v>0</v>
      </c>
      <c r="I21" s="893"/>
      <c r="J21" s="893"/>
      <c r="K21" s="893"/>
    </row>
    <row r="22" spans="1:11" x14ac:dyDescent="0.35">
      <c r="A22" s="886" t="s">
        <v>948</v>
      </c>
      <c r="B22" s="887"/>
      <c r="C22" s="887"/>
      <c r="D22" s="888"/>
      <c r="E22" s="889" t="str">
        <f>IF(OR(B22&gt;0,C22&gt;0),'Composting Calcs'!D12,"")</f>
        <v/>
      </c>
      <c r="F22" s="887"/>
      <c r="G22" s="890">
        <f>'Composting Calcs'!M12</f>
        <v>0</v>
      </c>
      <c r="I22" s="893"/>
      <c r="J22" s="893"/>
      <c r="K22" s="893"/>
    </row>
    <row r="23" spans="1:11" x14ac:dyDescent="0.35">
      <c r="A23" s="886" t="s">
        <v>949</v>
      </c>
      <c r="B23" s="887"/>
      <c r="C23" s="887"/>
      <c r="D23" s="888"/>
      <c r="E23" s="889" t="str">
        <f>IF(OR(B23&gt;0,C23&gt;0),'Composting Calcs'!D13,"")</f>
        <v/>
      </c>
      <c r="F23" s="887"/>
      <c r="G23" s="890">
        <f>'Composting Calcs'!M13</f>
        <v>0</v>
      </c>
      <c r="I23" s="893"/>
      <c r="J23" s="893"/>
      <c r="K23" s="893"/>
    </row>
    <row r="24" spans="1:11" x14ac:dyDescent="0.35">
      <c r="A24" s="886" t="s">
        <v>950</v>
      </c>
      <c r="B24" s="887"/>
      <c r="C24" s="887"/>
      <c r="D24" s="888"/>
      <c r="E24" s="889" t="str">
        <f>IF(OR(B24&gt;0,C24&gt;0),'Composting Calcs'!D14,"")</f>
        <v/>
      </c>
      <c r="F24" s="887"/>
      <c r="G24" s="890">
        <f>'Composting Calcs'!M14</f>
        <v>0</v>
      </c>
      <c r="I24" s="893"/>
      <c r="J24" s="893"/>
      <c r="K24" s="893"/>
    </row>
    <row r="25" spans="1:11" x14ac:dyDescent="0.35">
      <c r="A25" s="886" t="s">
        <v>0</v>
      </c>
      <c r="B25" s="894">
        <f>SUM(B15:B24)</f>
        <v>0</v>
      </c>
      <c r="C25" s="894">
        <f>SUM(C15:C24)</f>
        <v>0</v>
      </c>
      <c r="D25" s="895" t="s">
        <v>954</v>
      </c>
      <c r="E25" s="895" t="s">
        <v>954</v>
      </c>
      <c r="F25" s="894">
        <f>SUM(F15:F24)</f>
        <v>0</v>
      </c>
      <c r="G25" s="896">
        <f>SUM(G15:G24)</f>
        <v>0</v>
      </c>
      <c r="I25" s="893"/>
      <c r="J25" s="893"/>
      <c r="K25" s="893"/>
    </row>
    <row r="26" spans="1:11" x14ac:dyDescent="0.35">
      <c r="E26" s="893"/>
      <c r="F26" s="893"/>
      <c r="G26" s="893"/>
      <c r="H26" s="897"/>
    </row>
    <row r="27" spans="1:11" x14ac:dyDescent="0.35">
      <c r="C27" s="898"/>
    </row>
  </sheetData>
  <sheetProtection algorithmName="SHA-512" hashValue="f3Z5jCfe+AR/eRRDZmrZniFv5DQyGrzO2JPpayTiNVcd2kcSbl29TQUOHiMbJQNx0jXXpZD1/1JNRMAULsbONg==" saltValue="+nN0ujh3X6J2EaAT7oJYCA==" spinCount="100000" sheet="1" objects="1" scenarios="1"/>
  <mergeCells count="2">
    <mergeCell ref="F9:G9"/>
    <mergeCell ref="A11:E11"/>
  </mergeCells>
  <hyperlinks>
    <hyperlink ref="A11:E11" r:id="rId1" display="A step-by-step user guide, including project examples, for this Benefits Calculator Tool is available here." xr:uid="{D3CF518A-BED9-45C9-AF0A-84A21E3EC885}"/>
  </hyperlinks>
  <pageMargins left="0" right="0.7" top="0" bottom="0.75" header="0.3" footer="0.3"/>
  <pageSetup scale="54" orientation="landscape" r:id="rId2"/>
  <headerFooter>
    <oddFooter>&amp;LDRAFT January XX, 2019&amp;CPage &amp;P of &amp;N&amp;RCompost Facility Worksheet</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pageSetUpPr fitToPage="1"/>
  </sheetPr>
  <dimension ref="A1:L32"/>
  <sheetViews>
    <sheetView showGridLines="0" showRuler="0" zoomScaleNormal="100" workbookViewId="0">
      <selection activeCell="A10" sqref="A10:F10"/>
    </sheetView>
  </sheetViews>
  <sheetFormatPr defaultColWidth="9.15234375" defaultRowHeight="14.15" x14ac:dyDescent="0.35"/>
  <cols>
    <col min="1" max="1" width="25.84375" style="868" customWidth="1"/>
    <col min="2" max="2" width="29.15234375" style="868" customWidth="1"/>
    <col min="3" max="3" width="23.3046875" style="868" bestFit="1" customWidth="1"/>
    <col min="4" max="4" width="2.3828125" style="868" customWidth="1"/>
    <col min="5" max="5" width="34.3046875" style="868" customWidth="1"/>
    <col min="6" max="9" width="24.69140625" style="868" customWidth="1"/>
    <col min="10" max="10" width="21.69140625" style="868" hidden="1" customWidth="1"/>
    <col min="11" max="11" width="20.69140625" style="868" hidden="1" customWidth="1"/>
    <col min="12" max="12" width="23.69140625" style="868" hidden="1" customWidth="1"/>
    <col min="13" max="13" width="18.53515625" style="868" customWidth="1"/>
    <col min="14" max="15" width="9.15234375" style="868" customWidth="1"/>
    <col min="16" max="16384" width="9.15234375" style="868"/>
  </cols>
  <sheetData>
    <row r="1" spans="1:10" ht="20.149999999999999" x14ac:dyDescent="0.35">
      <c r="C1" s="869" t="s">
        <v>411</v>
      </c>
      <c r="D1" s="870"/>
      <c r="F1" s="870"/>
      <c r="G1" s="870"/>
      <c r="H1" s="870"/>
      <c r="I1" s="870"/>
    </row>
    <row r="2" spans="1:10" x14ac:dyDescent="0.35">
      <c r="C2" s="872"/>
      <c r="D2" s="870"/>
      <c r="F2" s="870"/>
      <c r="G2" s="870"/>
      <c r="H2" s="870"/>
      <c r="I2" s="870"/>
    </row>
    <row r="3" spans="1:10" ht="20.149999999999999" x14ac:dyDescent="0.35">
      <c r="C3" s="869" t="s">
        <v>1083</v>
      </c>
      <c r="D3" s="870"/>
      <c r="F3" s="870"/>
      <c r="G3" s="870"/>
      <c r="H3" s="870"/>
      <c r="I3" s="870"/>
    </row>
    <row r="4" spans="1:10" ht="20.149999999999999" x14ac:dyDescent="0.35">
      <c r="C4" s="874" t="s">
        <v>1116</v>
      </c>
      <c r="D4" s="870"/>
      <c r="F4" s="870"/>
      <c r="G4" s="870"/>
      <c r="H4" s="870"/>
      <c r="I4" s="870"/>
    </row>
    <row r="5" spans="1:10" x14ac:dyDescent="0.35">
      <c r="C5" s="872"/>
      <c r="D5" s="870"/>
      <c r="F5" s="870"/>
      <c r="G5" s="870"/>
      <c r="H5" s="870"/>
      <c r="I5" s="870"/>
    </row>
    <row r="6" spans="1:10" ht="20.149999999999999" x14ac:dyDescent="0.35">
      <c r="C6" s="869" t="s">
        <v>413</v>
      </c>
    </row>
    <row r="7" spans="1:10" ht="18" x14ac:dyDescent="0.45">
      <c r="A7" s="876"/>
      <c r="B7" s="876"/>
      <c r="C7" s="876"/>
      <c r="E7" s="877"/>
    </row>
    <row r="8" spans="1:10" x14ac:dyDescent="0.35">
      <c r="F8" s="1103"/>
      <c r="G8" s="1103"/>
    </row>
    <row r="9" spans="1:10" ht="15.45" x14ac:dyDescent="0.4">
      <c r="A9" s="851" t="s">
        <v>407</v>
      </c>
      <c r="B9" s="851"/>
      <c r="C9" s="850"/>
      <c r="D9" s="850"/>
      <c r="F9" s="878"/>
      <c r="G9" s="878"/>
    </row>
    <row r="10" spans="1:10" ht="15" customHeight="1" x14ac:dyDescent="0.35">
      <c r="A10" s="1075" t="s">
        <v>1092</v>
      </c>
      <c r="B10" s="1076"/>
      <c r="C10" s="1076"/>
      <c r="D10" s="1076"/>
      <c r="E10" s="1076"/>
      <c r="F10" s="1077"/>
      <c r="G10" s="879"/>
    </row>
    <row r="11" spans="1:10" ht="15.45" x14ac:dyDescent="0.35">
      <c r="A11" s="880"/>
      <c r="B11" s="880"/>
      <c r="C11" s="880"/>
      <c r="D11" s="880"/>
      <c r="E11" s="881"/>
      <c r="F11" s="879"/>
      <c r="G11" s="879"/>
    </row>
    <row r="12" spans="1:10" ht="18" x14ac:dyDescent="0.45">
      <c r="A12" s="882" t="s">
        <v>134</v>
      </c>
      <c r="B12" s="882"/>
      <c r="C12" s="883"/>
      <c r="D12" s="883"/>
      <c r="E12" s="883"/>
      <c r="F12" s="883"/>
      <c r="G12" s="883"/>
      <c r="H12" s="883"/>
      <c r="I12" s="883"/>
      <c r="J12" s="883"/>
    </row>
    <row r="13" spans="1:10" ht="18" x14ac:dyDescent="0.45">
      <c r="A13" s="1106" t="s">
        <v>398</v>
      </c>
      <c r="B13" s="1106"/>
      <c r="C13" s="1109"/>
      <c r="D13" s="1109"/>
      <c r="E13" s="1109"/>
      <c r="F13" s="883"/>
      <c r="G13" s="883"/>
      <c r="H13" s="883"/>
    </row>
    <row r="14" spans="1:10" ht="18" x14ac:dyDescent="0.45">
      <c r="A14" s="1106" t="s">
        <v>399</v>
      </c>
      <c r="B14" s="1106"/>
      <c r="C14" s="1109"/>
      <c r="D14" s="1109"/>
      <c r="E14" s="1109"/>
      <c r="F14" s="883"/>
      <c r="G14" s="883"/>
      <c r="H14" s="883"/>
    </row>
    <row r="15" spans="1:10" ht="18" x14ac:dyDescent="0.45">
      <c r="A15" s="1107" t="s">
        <v>815</v>
      </c>
      <c r="B15" s="1108"/>
      <c r="C15" s="1104"/>
      <c r="D15" s="1104"/>
      <c r="E15" s="1104"/>
      <c r="F15" s="883"/>
      <c r="G15" s="883"/>
      <c r="H15" s="883"/>
    </row>
    <row r="16" spans="1:10" ht="18" x14ac:dyDescent="0.45">
      <c r="A16" s="1105" t="s">
        <v>703</v>
      </c>
      <c r="B16" s="1105"/>
      <c r="C16" s="1104"/>
      <c r="D16" s="1104"/>
      <c r="E16" s="1104"/>
      <c r="F16" s="883"/>
      <c r="G16" s="883"/>
      <c r="H16" s="883"/>
    </row>
    <row r="17" spans="1:10" ht="18" x14ac:dyDescent="0.45">
      <c r="A17" s="1105" t="s">
        <v>704</v>
      </c>
      <c r="B17" s="1105"/>
      <c r="C17" s="1104"/>
      <c r="D17" s="1104"/>
      <c r="E17" s="1104"/>
      <c r="F17" s="883"/>
      <c r="G17" s="883"/>
      <c r="H17" s="883"/>
    </row>
    <row r="18" spans="1:10" ht="18" x14ac:dyDescent="0.45">
      <c r="A18" s="899"/>
      <c r="B18" s="899"/>
      <c r="C18" s="900"/>
      <c r="D18" s="900"/>
      <c r="E18" s="883"/>
      <c r="F18" s="883"/>
      <c r="G18" s="883"/>
      <c r="H18" s="883"/>
      <c r="I18" s="883"/>
    </row>
    <row r="19" spans="1:10" ht="54" x14ac:dyDescent="0.35">
      <c r="A19" s="884" t="s">
        <v>1078</v>
      </c>
      <c r="B19" s="884" t="s">
        <v>406</v>
      </c>
      <c r="C19" s="884" t="s">
        <v>702</v>
      </c>
      <c r="E19" s="885" t="s">
        <v>1096</v>
      </c>
      <c r="F19" s="883"/>
      <c r="G19" s="883"/>
      <c r="H19" s="883"/>
      <c r="I19" s="883"/>
      <c r="J19" s="883"/>
    </row>
    <row r="20" spans="1:10" x14ac:dyDescent="0.35">
      <c r="A20" s="886" t="s">
        <v>941</v>
      </c>
      <c r="B20" s="887"/>
      <c r="C20" s="887"/>
      <c r="E20" s="901">
        <f>'Standalone AD Calcs'!D13</f>
        <v>0</v>
      </c>
      <c r="F20" s="891"/>
      <c r="G20" s="892"/>
      <c r="H20" s="892"/>
    </row>
    <row r="21" spans="1:10" x14ac:dyDescent="0.35">
      <c r="A21" s="886" t="s">
        <v>942</v>
      </c>
      <c r="B21" s="887"/>
      <c r="C21" s="887"/>
      <c r="E21" s="901">
        <f>'Standalone AD Calcs'!D14</f>
        <v>0</v>
      </c>
      <c r="F21" s="893"/>
      <c r="G21" s="893"/>
      <c r="H21" s="893"/>
    </row>
    <row r="22" spans="1:10" x14ac:dyDescent="0.35">
      <c r="A22" s="886" t="s">
        <v>943</v>
      </c>
      <c r="B22" s="887"/>
      <c r="C22" s="887"/>
      <c r="E22" s="901">
        <f>'Standalone AD Calcs'!D15</f>
        <v>0</v>
      </c>
      <c r="F22" s="893"/>
      <c r="G22" s="893"/>
      <c r="H22" s="893"/>
    </row>
    <row r="23" spans="1:10" x14ac:dyDescent="0.35">
      <c r="A23" s="886" t="s">
        <v>944</v>
      </c>
      <c r="B23" s="887"/>
      <c r="C23" s="887"/>
      <c r="E23" s="901">
        <f>'Standalone AD Calcs'!D16</f>
        <v>0</v>
      </c>
      <c r="F23" s="893"/>
      <c r="G23" s="893"/>
      <c r="H23" s="893"/>
    </row>
    <row r="24" spans="1:10" x14ac:dyDescent="0.35">
      <c r="A24" s="886" t="s">
        <v>945</v>
      </c>
      <c r="B24" s="887"/>
      <c r="C24" s="887"/>
      <c r="E24" s="901">
        <f>'Standalone AD Calcs'!D17</f>
        <v>0</v>
      </c>
      <c r="F24" s="893"/>
      <c r="G24" s="893"/>
      <c r="H24" s="893"/>
    </row>
    <row r="25" spans="1:10" x14ac:dyDescent="0.35">
      <c r="A25" s="886" t="s">
        <v>946</v>
      </c>
      <c r="B25" s="887"/>
      <c r="C25" s="887"/>
      <c r="E25" s="901">
        <f>'Standalone AD Calcs'!D18</f>
        <v>0</v>
      </c>
      <c r="F25" s="893"/>
      <c r="G25" s="893"/>
      <c r="H25" s="893"/>
    </row>
    <row r="26" spans="1:10" x14ac:dyDescent="0.35">
      <c r="A26" s="886" t="s">
        <v>947</v>
      </c>
      <c r="B26" s="887"/>
      <c r="C26" s="887"/>
      <c r="E26" s="901">
        <f>'Standalone AD Calcs'!D19</f>
        <v>0</v>
      </c>
      <c r="F26" s="893"/>
      <c r="G26" s="893"/>
      <c r="H26" s="893"/>
    </row>
    <row r="27" spans="1:10" x14ac:dyDescent="0.35">
      <c r="A27" s="886" t="s">
        <v>948</v>
      </c>
      <c r="B27" s="887"/>
      <c r="C27" s="887"/>
      <c r="E27" s="901">
        <f>'Standalone AD Calcs'!D20</f>
        <v>0</v>
      </c>
      <c r="F27" s="893"/>
      <c r="G27" s="893"/>
      <c r="H27" s="893"/>
    </row>
    <row r="28" spans="1:10" x14ac:dyDescent="0.35">
      <c r="A28" s="886" t="s">
        <v>949</v>
      </c>
      <c r="B28" s="887"/>
      <c r="C28" s="887"/>
      <c r="E28" s="901">
        <f>'Standalone AD Calcs'!D21</f>
        <v>0</v>
      </c>
      <c r="F28" s="893"/>
      <c r="G28" s="893"/>
      <c r="H28" s="893"/>
    </row>
    <row r="29" spans="1:10" x14ac:dyDescent="0.35">
      <c r="A29" s="886" t="s">
        <v>950</v>
      </c>
      <c r="B29" s="887"/>
      <c r="C29" s="887"/>
      <c r="E29" s="901">
        <f>'Standalone AD Calcs'!D22</f>
        <v>0</v>
      </c>
      <c r="F29" s="893"/>
      <c r="G29" s="893"/>
      <c r="H29" s="893"/>
    </row>
    <row r="30" spans="1:10" x14ac:dyDescent="0.35">
      <c r="A30" s="886" t="s">
        <v>0</v>
      </c>
      <c r="B30" s="894">
        <f>SUM(B20:B29)</f>
        <v>0</v>
      </c>
      <c r="C30" s="894">
        <f>SUM(C20:C29)</f>
        <v>0</v>
      </c>
      <c r="E30" s="896">
        <f>'Standalone AD Calcs'!F26</f>
        <v>0</v>
      </c>
      <c r="F30" s="893"/>
      <c r="G30" s="893"/>
      <c r="H30" s="893"/>
    </row>
    <row r="31" spans="1:10" x14ac:dyDescent="0.35">
      <c r="F31" s="893"/>
      <c r="G31" s="893"/>
      <c r="H31" s="897"/>
    </row>
    <row r="32" spans="1:10" x14ac:dyDescent="0.35">
      <c r="C32" s="898"/>
    </row>
  </sheetData>
  <sheetProtection algorithmName="SHA-512" hashValue="Uk4wlIIDo2jVbvw48o7oMH0oQHTKnUIgdCR8EuFknXtPHGO7Vre5qBNoZSi/vHD4ts7HcuE/7easCKxZtjGVjg==" saltValue="107wjUxUfiu4j7mH2zCqOA==" spinCount="100000" sheet="1" objects="1" scenarios="1"/>
  <mergeCells count="12">
    <mergeCell ref="C17:E17"/>
    <mergeCell ref="A17:B17"/>
    <mergeCell ref="A14:B14"/>
    <mergeCell ref="A15:B15"/>
    <mergeCell ref="F8:G8"/>
    <mergeCell ref="A13:B13"/>
    <mergeCell ref="A16:B16"/>
    <mergeCell ref="A10:F10"/>
    <mergeCell ref="C13:E13"/>
    <mergeCell ref="C14:E14"/>
    <mergeCell ref="C15:E15"/>
    <mergeCell ref="C16:E16"/>
  </mergeCells>
  <conditionalFormatting sqref="A15:B15">
    <cfRule type="expression" dxfId="27" priority="8">
      <formula>ISNUMBER(SEARCH("Electricity Generation",$C$14))</formula>
    </cfRule>
  </conditionalFormatting>
  <conditionalFormatting sqref="C15:E15">
    <cfRule type="expression" dxfId="26" priority="7">
      <formula>ISNUMBER(SEARCH("Electricity Generation",$C$14))</formula>
    </cfRule>
  </conditionalFormatting>
  <conditionalFormatting sqref="A16:B16">
    <cfRule type="expression" dxfId="25" priority="6">
      <formula>ISNUMBER(SEARCH("Vehicle Fuel",$C$14))</formula>
    </cfRule>
  </conditionalFormatting>
  <conditionalFormatting sqref="C16:E16">
    <cfRule type="expression" dxfId="24" priority="5">
      <formula>ISNUMBER(SEARCH("Vehicle Fuel",$C$14))</formula>
    </cfRule>
  </conditionalFormatting>
  <conditionalFormatting sqref="A17:B17">
    <cfRule type="expression" dxfId="23" priority="3">
      <formula>ISNUMBER(SEARCH("DME",$C$16))</formula>
    </cfRule>
    <cfRule type="expression" dxfId="22" priority="4">
      <formula>ISNUMBER(SEARCH("RNG",$C$16))</formula>
    </cfRule>
  </conditionalFormatting>
  <conditionalFormatting sqref="C17:E17">
    <cfRule type="expression" dxfId="21" priority="1">
      <formula>ISNUMBER(SEARCH("DME",$C$16))</formula>
    </cfRule>
    <cfRule type="expression" dxfId="20" priority="2">
      <formula>ISNUMBER(SEARCH("RNG",$C$16))</formula>
    </cfRule>
  </conditionalFormatting>
  <hyperlinks>
    <hyperlink ref="A10:E10" r:id="rId1" display="A step-by-step user guide, including project examples, for this Benefits Calculator Tool is available here." xr:uid="{00000000-0004-0000-0300-000000000000}"/>
    <hyperlink ref="A10:F10" r:id="rId2" display="A step-by-step user guide, including project examples, for this Benefits Calculator Tool is available here." xr:uid="{00000000-0004-0000-0300-000001000000}"/>
  </hyperlinks>
  <pageMargins left="0" right="0.7" top="0" bottom="0.75" header="0.3" footer="0.3"/>
  <pageSetup scale="60" orientation="landscape" r:id="rId3"/>
  <headerFooter>
    <oddFooter>&amp;LDRAFT January XX, 2019&amp;CPage &amp;P of &amp;N&amp;RStandalone AD Facility Worksheet</oddFooter>
  </headerFooter>
  <drawing r:id="rId4"/>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300-000000000000}">
          <x14:formula1>
            <xm:f>Misc!$C$8:$C$10</xm:f>
          </x14:formula1>
          <xm:sqref>C14</xm:sqref>
        </x14:dataValidation>
        <x14:dataValidation type="list" allowBlank="1" showInputMessage="1" showErrorMessage="1" xr:uid="{00000000-0002-0000-0300-000001000000}">
          <x14:formula1>
            <xm:f>Misc!$C$15:$C$16</xm:f>
          </x14:formula1>
          <xm:sqref>C17</xm:sqref>
        </x14:dataValidation>
        <x14:dataValidation type="list" allowBlank="1" showInputMessage="1" showErrorMessage="1" xr:uid="{00000000-0002-0000-0300-000002000000}">
          <x14:formula1>
            <xm:f>Misc!$C$18:$C$20</xm:f>
          </x14:formula1>
          <xm:sqref>C16</xm:sqref>
        </x14:dataValidation>
        <x14:dataValidation type="list" allowBlank="1" showInputMessage="1" showErrorMessage="1" xr:uid="{00000000-0002-0000-0300-000003000000}">
          <x14:formula1>
            <xm:f>Misc!$C$4:$C$6</xm:f>
          </x14:formula1>
          <xm:sqref>C13</xm:sqref>
        </x14:dataValidation>
        <x14:dataValidation type="list" allowBlank="1" showInputMessage="1" showErrorMessage="1" xr:uid="{00000000-0002-0000-0300-000004000000}">
          <x14:formula1>
            <xm:f>Misc!$C$22:$C$25</xm:f>
          </x14:formula1>
          <xm:sqref>C15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pageSetUpPr fitToPage="1"/>
  </sheetPr>
  <dimension ref="A1:L34"/>
  <sheetViews>
    <sheetView showGridLines="0" showRuler="0" zoomScaleNormal="100" workbookViewId="0">
      <selection activeCell="A11" sqref="A11:E11"/>
    </sheetView>
  </sheetViews>
  <sheetFormatPr defaultColWidth="9.15234375" defaultRowHeight="14.15" x14ac:dyDescent="0.35"/>
  <cols>
    <col min="1" max="1" width="25" style="868" customWidth="1"/>
    <col min="2" max="2" width="29.15234375" style="868" customWidth="1"/>
    <col min="3" max="3" width="28" style="868" customWidth="1"/>
    <col min="4" max="4" width="38" style="868" customWidth="1"/>
    <col min="5" max="5" width="34.3046875" style="868" customWidth="1"/>
    <col min="6" max="9" width="24.69140625" style="868" customWidth="1"/>
    <col min="10" max="10" width="21.69140625" style="868" hidden="1" customWidth="1"/>
    <col min="11" max="11" width="20.69140625" style="868" hidden="1" customWidth="1"/>
    <col min="12" max="12" width="23.69140625" style="868" hidden="1" customWidth="1"/>
    <col min="13" max="13" width="18.53515625" style="868" customWidth="1"/>
    <col min="14" max="15" width="9.15234375" style="868" customWidth="1"/>
    <col min="16" max="16384" width="9.15234375" style="868"/>
  </cols>
  <sheetData>
    <row r="1" spans="1:10" ht="20.149999999999999" x14ac:dyDescent="0.35">
      <c r="D1" s="869" t="s">
        <v>411</v>
      </c>
      <c r="F1" s="870"/>
      <c r="G1" s="870"/>
      <c r="H1" s="870"/>
      <c r="I1" s="870"/>
    </row>
    <row r="2" spans="1:10" x14ac:dyDescent="0.35">
      <c r="D2" s="872"/>
      <c r="F2" s="870"/>
      <c r="G2" s="870"/>
      <c r="H2" s="870"/>
      <c r="I2" s="870"/>
    </row>
    <row r="3" spans="1:10" ht="20.149999999999999" x14ac:dyDescent="0.35">
      <c r="D3" s="869" t="s">
        <v>1095</v>
      </c>
      <c r="F3" s="870"/>
      <c r="G3" s="870"/>
      <c r="H3" s="870"/>
      <c r="I3" s="870"/>
    </row>
    <row r="4" spans="1:10" ht="20.149999999999999" x14ac:dyDescent="0.35">
      <c r="D4" s="874" t="s">
        <v>1116</v>
      </c>
      <c r="F4" s="870"/>
      <c r="G4" s="870"/>
      <c r="H4" s="870"/>
      <c r="I4" s="870"/>
    </row>
    <row r="5" spans="1:10" x14ac:dyDescent="0.35">
      <c r="D5" s="872"/>
      <c r="F5" s="870"/>
      <c r="G5" s="870"/>
      <c r="H5" s="870"/>
      <c r="I5" s="870"/>
    </row>
    <row r="6" spans="1:10" ht="20.149999999999999" x14ac:dyDescent="0.35">
      <c r="D6" s="869" t="s">
        <v>413</v>
      </c>
    </row>
    <row r="7" spans="1:10" ht="18" x14ac:dyDescent="0.45">
      <c r="A7" s="876"/>
      <c r="B7" s="876"/>
      <c r="C7" s="876"/>
      <c r="E7" s="877"/>
    </row>
    <row r="8" spans="1:10" ht="18" x14ac:dyDescent="0.45">
      <c r="A8" s="876"/>
      <c r="B8" s="876"/>
      <c r="C8" s="876"/>
      <c r="E8" s="877"/>
    </row>
    <row r="9" spans="1:10" x14ac:dyDescent="0.35">
      <c r="F9" s="1103"/>
      <c r="G9" s="1103"/>
    </row>
    <row r="10" spans="1:10" ht="15.45" x14ac:dyDescent="0.4">
      <c r="A10" s="851" t="s">
        <v>407</v>
      </c>
      <c r="B10" s="851"/>
      <c r="C10" s="850"/>
      <c r="D10" s="850"/>
      <c r="F10" s="878"/>
      <c r="G10" s="878"/>
    </row>
    <row r="11" spans="1:10" ht="15" customHeight="1" x14ac:dyDescent="0.35">
      <c r="A11" s="1075" t="s">
        <v>1092</v>
      </c>
      <c r="B11" s="1076"/>
      <c r="C11" s="1076"/>
      <c r="D11" s="1076"/>
      <c r="E11" s="1077"/>
      <c r="F11" s="879"/>
      <c r="G11" s="879"/>
    </row>
    <row r="12" spans="1:10" ht="15.45" x14ac:dyDescent="0.35">
      <c r="A12" s="880"/>
      <c r="B12" s="880"/>
      <c r="C12" s="880"/>
      <c r="D12" s="880"/>
      <c r="E12" s="881"/>
      <c r="F12" s="879"/>
      <c r="G12" s="879"/>
    </row>
    <row r="13" spans="1:10" ht="18" x14ac:dyDescent="0.45">
      <c r="A13" s="882" t="s">
        <v>135</v>
      </c>
      <c r="B13" s="882"/>
      <c r="C13" s="883"/>
      <c r="D13" s="883"/>
      <c r="E13" s="883"/>
      <c r="F13" s="883"/>
      <c r="G13" s="883"/>
      <c r="H13" s="883"/>
      <c r="I13" s="883"/>
      <c r="J13" s="883"/>
    </row>
    <row r="14" spans="1:10" ht="18" x14ac:dyDescent="0.45">
      <c r="A14" s="1106" t="s">
        <v>397</v>
      </c>
      <c r="B14" s="1106"/>
      <c r="C14" s="1109"/>
      <c r="D14" s="1109"/>
      <c r="E14" s="883"/>
      <c r="G14" s="883"/>
      <c r="H14" s="883"/>
      <c r="I14" s="883"/>
    </row>
    <row r="15" spans="1:10" ht="18" x14ac:dyDescent="0.45">
      <c r="A15" s="1106" t="s">
        <v>398</v>
      </c>
      <c r="B15" s="1106"/>
      <c r="C15" s="1109"/>
      <c r="D15" s="1109"/>
      <c r="E15" s="883"/>
      <c r="G15" s="883"/>
      <c r="H15" s="883"/>
      <c r="I15" s="883"/>
    </row>
    <row r="16" spans="1:10" ht="18" x14ac:dyDescent="0.45">
      <c r="A16" s="1106" t="s">
        <v>399</v>
      </c>
      <c r="B16" s="1106"/>
      <c r="C16" s="1109"/>
      <c r="D16" s="1109"/>
      <c r="E16" s="883"/>
      <c r="F16" s="883"/>
      <c r="G16" s="883"/>
      <c r="H16" s="883"/>
      <c r="I16" s="883"/>
    </row>
    <row r="17" spans="1:10" ht="18" x14ac:dyDescent="0.45">
      <c r="A17" s="1105" t="s">
        <v>815</v>
      </c>
      <c r="B17" s="1105"/>
      <c r="C17" s="1104"/>
      <c r="D17" s="1104"/>
      <c r="E17" s="902"/>
      <c r="F17" s="883"/>
      <c r="G17" s="883"/>
      <c r="H17" s="883"/>
      <c r="I17" s="883"/>
    </row>
    <row r="18" spans="1:10" ht="18" x14ac:dyDescent="0.45">
      <c r="A18" s="1105" t="s">
        <v>703</v>
      </c>
      <c r="B18" s="1105"/>
      <c r="C18" s="1104"/>
      <c r="D18" s="1104"/>
      <c r="E18" s="883"/>
      <c r="F18" s="883"/>
      <c r="G18" s="883"/>
      <c r="H18" s="883"/>
      <c r="I18" s="883"/>
    </row>
    <row r="19" spans="1:10" ht="18" x14ac:dyDescent="0.45">
      <c r="A19" s="1105" t="s">
        <v>758</v>
      </c>
      <c r="B19" s="1105"/>
      <c r="C19" s="1104"/>
      <c r="D19" s="1104"/>
      <c r="E19" s="883"/>
      <c r="F19" s="883"/>
      <c r="G19" s="883"/>
      <c r="H19" s="883"/>
      <c r="I19" s="883"/>
    </row>
    <row r="20" spans="1:10" ht="18" x14ac:dyDescent="0.45">
      <c r="A20" s="899"/>
      <c r="B20" s="899"/>
      <c r="C20" s="900"/>
      <c r="D20" s="900"/>
      <c r="E20" s="883"/>
      <c r="F20" s="883"/>
      <c r="G20" s="883"/>
      <c r="H20" s="883"/>
      <c r="I20" s="883"/>
    </row>
    <row r="21" spans="1:10" ht="54" x14ac:dyDescent="0.35">
      <c r="A21" s="884" t="s">
        <v>1078</v>
      </c>
      <c r="B21" s="884" t="s">
        <v>406</v>
      </c>
      <c r="C21" s="884" t="s">
        <v>702</v>
      </c>
      <c r="D21" s="885" t="s">
        <v>1096</v>
      </c>
      <c r="F21" s="883"/>
      <c r="G21" s="883"/>
      <c r="H21" s="883"/>
      <c r="I21" s="883"/>
      <c r="J21" s="883"/>
    </row>
    <row r="22" spans="1:10" x14ac:dyDescent="0.35">
      <c r="A22" s="886" t="s">
        <v>941</v>
      </c>
      <c r="B22" s="887"/>
      <c r="C22" s="887"/>
      <c r="D22" s="890">
        <f>'Co-Digestion Calcs'!D13</f>
        <v>0</v>
      </c>
      <c r="F22" s="891"/>
      <c r="G22" s="892"/>
      <c r="H22" s="892"/>
    </row>
    <row r="23" spans="1:10" x14ac:dyDescent="0.35">
      <c r="A23" s="886" t="s">
        <v>942</v>
      </c>
      <c r="B23" s="887"/>
      <c r="C23" s="887"/>
      <c r="D23" s="890">
        <f>'Co-Digestion Calcs'!D14</f>
        <v>0</v>
      </c>
      <c r="F23" s="893"/>
      <c r="G23" s="893"/>
      <c r="H23" s="893"/>
    </row>
    <row r="24" spans="1:10" x14ac:dyDescent="0.35">
      <c r="A24" s="886" t="s">
        <v>943</v>
      </c>
      <c r="B24" s="887"/>
      <c r="C24" s="887"/>
      <c r="D24" s="890">
        <f>'Co-Digestion Calcs'!D15</f>
        <v>0</v>
      </c>
      <c r="F24" s="893"/>
      <c r="G24" s="893"/>
      <c r="H24" s="893"/>
    </row>
    <row r="25" spans="1:10" x14ac:dyDescent="0.35">
      <c r="A25" s="886" t="s">
        <v>944</v>
      </c>
      <c r="B25" s="887"/>
      <c r="C25" s="887"/>
      <c r="D25" s="890">
        <f>'Co-Digestion Calcs'!D16</f>
        <v>0</v>
      </c>
      <c r="F25" s="893"/>
      <c r="G25" s="893"/>
      <c r="H25" s="893"/>
    </row>
    <row r="26" spans="1:10" x14ac:dyDescent="0.35">
      <c r="A26" s="886" t="s">
        <v>945</v>
      </c>
      <c r="B26" s="887"/>
      <c r="C26" s="887"/>
      <c r="D26" s="890">
        <f>'Co-Digestion Calcs'!D17</f>
        <v>0</v>
      </c>
      <c r="F26" s="893"/>
      <c r="G26" s="893"/>
      <c r="H26" s="893"/>
    </row>
    <row r="27" spans="1:10" x14ac:dyDescent="0.35">
      <c r="A27" s="886" t="s">
        <v>946</v>
      </c>
      <c r="B27" s="887"/>
      <c r="C27" s="887"/>
      <c r="D27" s="890">
        <f>'Co-Digestion Calcs'!D18</f>
        <v>0</v>
      </c>
      <c r="F27" s="893"/>
      <c r="G27" s="893"/>
      <c r="H27" s="893"/>
    </row>
    <row r="28" spans="1:10" x14ac:dyDescent="0.35">
      <c r="A28" s="886" t="s">
        <v>947</v>
      </c>
      <c r="B28" s="887"/>
      <c r="C28" s="887"/>
      <c r="D28" s="890">
        <f>'Co-Digestion Calcs'!D19</f>
        <v>0</v>
      </c>
      <c r="F28" s="893"/>
      <c r="G28" s="893"/>
      <c r="H28" s="893"/>
    </row>
    <row r="29" spans="1:10" x14ac:dyDescent="0.35">
      <c r="A29" s="886" t="s">
        <v>948</v>
      </c>
      <c r="B29" s="887"/>
      <c r="C29" s="887"/>
      <c r="D29" s="890">
        <f>'Co-Digestion Calcs'!D20</f>
        <v>0</v>
      </c>
      <c r="F29" s="893"/>
      <c r="G29" s="893"/>
      <c r="H29" s="893"/>
    </row>
    <row r="30" spans="1:10" x14ac:dyDescent="0.35">
      <c r="A30" s="886" t="s">
        <v>949</v>
      </c>
      <c r="B30" s="887"/>
      <c r="C30" s="887"/>
      <c r="D30" s="890">
        <f>'Co-Digestion Calcs'!D21</f>
        <v>0</v>
      </c>
      <c r="F30" s="893"/>
      <c r="G30" s="893"/>
      <c r="H30" s="893"/>
    </row>
    <row r="31" spans="1:10" x14ac:dyDescent="0.35">
      <c r="A31" s="886" t="s">
        <v>950</v>
      </c>
      <c r="B31" s="887"/>
      <c r="C31" s="887"/>
      <c r="D31" s="890">
        <f>'Co-Digestion Calcs'!D22</f>
        <v>0</v>
      </c>
      <c r="F31" s="893"/>
      <c r="G31" s="893"/>
      <c r="H31" s="893"/>
    </row>
    <row r="32" spans="1:10" x14ac:dyDescent="0.35">
      <c r="A32" s="886" t="s">
        <v>0</v>
      </c>
      <c r="B32" s="895"/>
      <c r="C32" s="895"/>
      <c r="D32" s="896">
        <f>SUM(D22:D31)</f>
        <v>0</v>
      </c>
      <c r="F32" s="893"/>
      <c r="G32" s="893"/>
      <c r="H32" s="893"/>
    </row>
    <row r="33" spans="3:8" x14ac:dyDescent="0.35">
      <c r="E33" s="893"/>
      <c r="F33" s="893"/>
      <c r="G33" s="893"/>
      <c r="H33" s="897"/>
    </row>
    <row r="34" spans="3:8" x14ac:dyDescent="0.35">
      <c r="C34" s="898"/>
    </row>
  </sheetData>
  <sheetProtection algorithmName="SHA-512" hashValue="uwt080Kg8JU9Swf0e3GiNHbEOFPxj/w5m+ZaoHNKkqjw44C2pT5Ny4TSOgg+OWng7j5Vokggpx71vyaPQdpq5g==" saltValue="G2lU73n9Mgzu6/J5fYaO1A==" spinCount="100000" sheet="1" objects="1" scenarios="1"/>
  <mergeCells count="14">
    <mergeCell ref="A19:B19"/>
    <mergeCell ref="C19:D19"/>
    <mergeCell ref="A16:B16"/>
    <mergeCell ref="C16:D16"/>
    <mergeCell ref="A18:B18"/>
    <mergeCell ref="C18:D18"/>
    <mergeCell ref="A17:B17"/>
    <mergeCell ref="C17:D17"/>
    <mergeCell ref="F9:G9"/>
    <mergeCell ref="A14:B14"/>
    <mergeCell ref="C14:D14"/>
    <mergeCell ref="A15:B15"/>
    <mergeCell ref="C15:D15"/>
    <mergeCell ref="A11:E11"/>
  </mergeCells>
  <conditionalFormatting sqref="E17">
    <cfRule type="expression" dxfId="19" priority="9">
      <formula>ISNUMBER(SEARCH("Electricity Generation",$C$14))</formula>
    </cfRule>
  </conditionalFormatting>
  <conditionalFormatting sqref="A17:B17">
    <cfRule type="expression" dxfId="18" priority="8">
      <formula>ISNUMBER(SEARCH("Electricity Generation",$C$16))</formula>
    </cfRule>
  </conditionalFormatting>
  <conditionalFormatting sqref="C17:D17">
    <cfRule type="expression" dxfId="17" priority="7">
      <formula>ISNUMBER(SEARCH("Electricity Generation",$C$16))</formula>
    </cfRule>
  </conditionalFormatting>
  <conditionalFormatting sqref="A18:B18">
    <cfRule type="expression" dxfId="16" priority="6">
      <formula>ISNUMBER(SEARCH("Vehicle Fuel",$C$16))</formula>
    </cfRule>
  </conditionalFormatting>
  <conditionalFormatting sqref="C18:D18">
    <cfRule type="expression" dxfId="15" priority="5">
      <formula>ISNUMBER(SEARCH("Vehicle Fuel",$C$16))</formula>
    </cfRule>
  </conditionalFormatting>
  <conditionalFormatting sqref="A19:B19">
    <cfRule type="expression" dxfId="14" priority="3">
      <formula>ISNUMBER(SEARCH("RNG",$C$18))</formula>
    </cfRule>
    <cfRule type="expression" dxfId="13" priority="4">
      <formula>ISNUMBER(SEARCH("DME",$C$18))</formula>
    </cfRule>
  </conditionalFormatting>
  <conditionalFormatting sqref="C19:D19">
    <cfRule type="expression" dxfId="12" priority="1">
      <formula>ISNUMBER(SEARCH("RNG",$C$18))</formula>
    </cfRule>
    <cfRule type="expression" dxfId="11" priority="2">
      <formula>ISNUMBER(SEARCH("DME",$C$18))</formula>
    </cfRule>
  </conditionalFormatting>
  <hyperlinks>
    <hyperlink ref="A11:E11" r:id="rId1" display="A step-by-step user guide, including project examples, for this Benefits Calculator Tool is available here." xr:uid="{2E268619-24CA-47B2-B4BB-DC70B013F43E}"/>
  </hyperlinks>
  <pageMargins left="0" right="0.7" top="0" bottom="0.75" header="0.3" footer="0.3"/>
  <pageSetup scale="50" orientation="landscape" r:id="rId2"/>
  <headerFooter>
    <oddFooter>&amp;LDRAFT January XX, 2019&amp;CPage &amp;P of &amp;N&amp;RCo-Digestion of Organics at a Wastewater Treatment Facility Worksheet</oddFooter>
  </headerFooter>
  <drawing r:id="rId3"/>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00000000-0002-0000-0400-000000000000}">
          <x14:formula1>
            <xm:f>Misc!$C$1:$C$2</xm:f>
          </x14:formula1>
          <xm:sqref>C14:D14</xm:sqref>
        </x14:dataValidation>
        <x14:dataValidation type="list" allowBlank="1" showInputMessage="1" showErrorMessage="1" xr:uid="{00000000-0002-0000-0400-000001000000}">
          <x14:formula1>
            <xm:f>Misc!$C$8:$C$10</xm:f>
          </x14:formula1>
          <xm:sqref>C16</xm:sqref>
        </x14:dataValidation>
        <x14:dataValidation type="list" allowBlank="1" showInputMessage="1" showErrorMessage="1" xr:uid="{00000000-0002-0000-0400-000002000000}">
          <x14:formula1>
            <xm:f>Misc!$C$4:$C$6</xm:f>
          </x14:formula1>
          <xm:sqref>C15:D15</xm:sqref>
        </x14:dataValidation>
        <x14:dataValidation type="list" allowBlank="1" showInputMessage="1" showErrorMessage="1" xr:uid="{00000000-0002-0000-0400-000003000000}">
          <x14:formula1>
            <xm:f>Misc!$C$15:$C$16</xm:f>
          </x14:formula1>
          <xm:sqref>C19:D19</xm:sqref>
        </x14:dataValidation>
        <x14:dataValidation type="list" allowBlank="1" showInputMessage="1" showErrorMessage="1" xr:uid="{00000000-0002-0000-0400-000004000000}">
          <x14:formula1>
            <xm:f>Misc!$C$18:$C$20</xm:f>
          </x14:formula1>
          <xm:sqref>C18:D18</xm:sqref>
        </x14:dataValidation>
        <x14:dataValidation type="list" allowBlank="1" showInputMessage="1" showErrorMessage="1" xr:uid="{00000000-0002-0000-0400-000005000000}">
          <x14:formula1>
            <xm:f>Misc!$C$22:$C$25</xm:f>
          </x14:formula1>
          <xm:sqref>C17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pageSetUpPr fitToPage="1"/>
  </sheetPr>
  <dimension ref="A1:T47"/>
  <sheetViews>
    <sheetView showGridLines="0" showRuler="0" zoomScaleNormal="100" workbookViewId="0">
      <selection activeCell="A11" sqref="A11:E11"/>
    </sheetView>
  </sheetViews>
  <sheetFormatPr defaultColWidth="9.15234375" defaultRowHeight="14.15" x14ac:dyDescent="0.35"/>
  <cols>
    <col min="1" max="1" width="44.3828125" style="868" bestFit="1" customWidth="1"/>
    <col min="2" max="3" width="22.69140625" style="868" customWidth="1"/>
    <col min="4" max="4" width="26.84375" style="868" customWidth="1"/>
    <col min="5" max="5" width="18.69140625" style="868" customWidth="1"/>
    <col min="6" max="6" width="22.69140625" style="868" customWidth="1"/>
    <col min="7" max="8" width="19.69140625" style="868" customWidth="1"/>
    <col min="9" max="9" width="21.69140625" style="868" customWidth="1"/>
    <col min="10" max="10" width="22.69140625" style="868" customWidth="1"/>
    <col min="11" max="15" width="13.3046875" style="868" customWidth="1"/>
    <col min="16" max="18" width="9.15234375" style="868" customWidth="1"/>
    <col min="19" max="16384" width="9.15234375" style="868"/>
  </cols>
  <sheetData>
    <row r="1" spans="1:20" ht="20.149999999999999" x14ac:dyDescent="0.35">
      <c r="B1" s="903"/>
      <c r="C1" s="869" t="s">
        <v>411</v>
      </c>
      <c r="E1" s="903"/>
      <c r="F1" s="903"/>
      <c r="G1" s="903"/>
      <c r="H1" s="903"/>
      <c r="I1" s="903"/>
    </row>
    <row r="2" spans="1:20" x14ac:dyDescent="0.35">
      <c r="C2" s="872"/>
    </row>
    <row r="3" spans="1:20" ht="20.149999999999999" x14ac:dyDescent="0.35">
      <c r="C3" s="869" t="s">
        <v>1083</v>
      </c>
    </row>
    <row r="4" spans="1:20" ht="20.149999999999999" x14ac:dyDescent="0.35">
      <c r="C4" s="874" t="s">
        <v>1116</v>
      </c>
    </row>
    <row r="5" spans="1:20" x14ac:dyDescent="0.35">
      <c r="C5" s="872"/>
    </row>
    <row r="6" spans="1:20" ht="20.149999999999999" x14ac:dyDescent="0.35">
      <c r="C6" s="869" t="s">
        <v>413</v>
      </c>
    </row>
    <row r="7" spans="1:20" ht="18" x14ac:dyDescent="0.45">
      <c r="D7" s="877"/>
    </row>
    <row r="8" spans="1:20" ht="18" x14ac:dyDescent="0.45">
      <c r="P8" s="877"/>
    </row>
    <row r="9" spans="1:20" x14ac:dyDescent="0.35">
      <c r="K9" s="881"/>
      <c r="L9" s="879"/>
      <c r="M9" s="879"/>
      <c r="N9" s="879"/>
      <c r="O9" s="879"/>
      <c r="P9" s="879"/>
      <c r="Q9" s="879"/>
      <c r="R9" s="879"/>
      <c r="S9" s="879"/>
      <c r="T9" s="879"/>
    </row>
    <row r="10" spans="1:20" ht="15.45" x14ac:dyDescent="0.4">
      <c r="A10" s="851" t="s">
        <v>407</v>
      </c>
      <c r="B10" s="851"/>
      <c r="C10" s="850"/>
      <c r="D10" s="850"/>
      <c r="F10" s="878"/>
      <c r="G10" s="878"/>
    </row>
    <row r="11" spans="1:20" ht="15" customHeight="1" x14ac:dyDescent="0.35">
      <c r="A11" s="1075" t="s">
        <v>1092</v>
      </c>
      <c r="B11" s="1076"/>
      <c r="C11" s="1076"/>
      <c r="D11" s="1076"/>
      <c r="E11" s="1077"/>
      <c r="F11" s="879"/>
      <c r="G11" s="879"/>
    </row>
    <row r="12" spans="1:20" ht="15.45" x14ac:dyDescent="0.35">
      <c r="A12" s="880"/>
      <c r="B12" s="880"/>
      <c r="C12" s="880"/>
      <c r="D12" s="880"/>
      <c r="E12" s="881"/>
      <c r="F12" s="879"/>
      <c r="G12" s="879"/>
    </row>
    <row r="13" spans="1:20" ht="18.45" thickBot="1" x14ac:dyDescent="0.5">
      <c r="A13" s="882" t="s">
        <v>35</v>
      </c>
    </row>
    <row r="14" spans="1:20" ht="15.9" thickBot="1" x14ac:dyDescent="0.45">
      <c r="A14" s="1110" t="s">
        <v>210</v>
      </c>
      <c r="B14" s="1111"/>
      <c r="C14" s="1111"/>
      <c r="D14" s="1111"/>
      <c r="E14" s="1111"/>
      <c r="F14" s="1112"/>
      <c r="G14" s="904"/>
      <c r="H14" s="904"/>
      <c r="I14" s="904"/>
      <c r="J14" s="904"/>
      <c r="K14" s="905"/>
      <c r="L14" s="883"/>
      <c r="M14" s="883"/>
      <c r="N14" s="883"/>
    </row>
    <row r="15" spans="1:20" ht="71.150000000000006" thickBot="1" x14ac:dyDescent="0.4">
      <c r="A15" s="906" t="s">
        <v>48</v>
      </c>
      <c r="B15" s="907" t="s">
        <v>191</v>
      </c>
      <c r="C15" s="908" t="s">
        <v>1097</v>
      </c>
      <c r="D15" s="908" t="s">
        <v>1098</v>
      </c>
      <c r="E15" s="907" t="s">
        <v>49</v>
      </c>
      <c r="F15" s="909" t="s">
        <v>212</v>
      </c>
    </row>
    <row r="16" spans="1:20" x14ac:dyDescent="0.35">
      <c r="A16" s="910"/>
      <c r="B16" s="911"/>
      <c r="C16" s="911"/>
      <c r="D16" s="912"/>
      <c r="E16" s="911" t="s">
        <v>189</v>
      </c>
      <c r="F16" s="913">
        <f>'Food Calcs'!Z4</f>
        <v>0</v>
      </c>
    </row>
    <row r="17" spans="1:6" x14ac:dyDescent="0.35">
      <c r="A17" s="914"/>
      <c r="B17" s="915"/>
      <c r="C17" s="915"/>
      <c r="D17" s="916"/>
      <c r="E17" s="915" t="s">
        <v>189</v>
      </c>
      <c r="F17" s="917">
        <f>'Food Calcs'!Z5</f>
        <v>0</v>
      </c>
    </row>
    <row r="18" spans="1:6" x14ac:dyDescent="0.35">
      <c r="A18" s="914"/>
      <c r="B18" s="915"/>
      <c r="C18" s="915"/>
      <c r="D18" s="916"/>
      <c r="E18" s="915" t="s">
        <v>189</v>
      </c>
      <c r="F18" s="917">
        <f>'Food Calcs'!Z6</f>
        <v>0</v>
      </c>
    </row>
    <row r="19" spans="1:6" x14ac:dyDescent="0.35">
      <c r="A19" s="914"/>
      <c r="B19" s="915"/>
      <c r="C19" s="915"/>
      <c r="D19" s="916"/>
      <c r="E19" s="915" t="s">
        <v>189</v>
      </c>
      <c r="F19" s="917">
        <f>'Food Calcs'!Z7</f>
        <v>0</v>
      </c>
    </row>
    <row r="20" spans="1:6" x14ac:dyDescent="0.35">
      <c r="A20" s="914"/>
      <c r="B20" s="915"/>
      <c r="C20" s="915"/>
      <c r="D20" s="916"/>
      <c r="E20" s="915" t="s">
        <v>189</v>
      </c>
      <c r="F20" s="917">
        <f>'Food Calcs'!Z8</f>
        <v>0</v>
      </c>
    </row>
    <row r="21" spans="1:6" x14ac:dyDescent="0.35">
      <c r="A21" s="914"/>
      <c r="B21" s="915"/>
      <c r="C21" s="915"/>
      <c r="D21" s="916"/>
      <c r="E21" s="915" t="s">
        <v>189</v>
      </c>
      <c r="F21" s="917">
        <f>'Food Calcs'!Z9</f>
        <v>0</v>
      </c>
    </row>
    <row r="22" spans="1:6" x14ac:dyDescent="0.35">
      <c r="A22" s="914"/>
      <c r="B22" s="915"/>
      <c r="C22" s="915"/>
      <c r="D22" s="916"/>
      <c r="E22" s="915" t="s">
        <v>189</v>
      </c>
      <c r="F22" s="917">
        <f>'Food Calcs'!Z10</f>
        <v>0</v>
      </c>
    </row>
    <row r="23" spans="1:6" x14ac:dyDescent="0.35">
      <c r="A23" s="914"/>
      <c r="B23" s="915"/>
      <c r="C23" s="915"/>
      <c r="D23" s="916"/>
      <c r="E23" s="915" t="s">
        <v>189</v>
      </c>
      <c r="F23" s="917">
        <f>'Food Calcs'!Z11</f>
        <v>0</v>
      </c>
    </row>
    <row r="24" spans="1:6" x14ac:dyDescent="0.35">
      <c r="A24" s="914"/>
      <c r="B24" s="915"/>
      <c r="C24" s="915"/>
      <c r="D24" s="916"/>
      <c r="E24" s="915" t="s">
        <v>189</v>
      </c>
      <c r="F24" s="917">
        <f>'Food Calcs'!Z12</f>
        <v>0</v>
      </c>
    </row>
    <row r="25" spans="1:6" ht="14.6" thickBot="1" x14ac:dyDescent="0.4">
      <c r="A25" s="918"/>
      <c r="B25" s="919"/>
      <c r="C25" s="919"/>
      <c r="D25" s="920"/>
      <c r="E25" s="919" t="s">
        <v>189</v>
      </c>
      <c r="F25" s="921">
        <f>'Food Calcs'!Z13</f>
        <v>0</v>
      </c>
    </row>
    <row r="26" spans="1:6" ht="14.6" thickBot="1" x14ac:dyDescent="0.4"/>
    <row r="27" spans="1:6" ht="15.9" thickBot="1" x14ac:dyDescent="0.45">
      <c r="A27" s="1113" t="s">
        <v>211</v>
      </c>
      <c r="B27" s="1114"/>
      <c r="C27" s="1115"/>
    </row>
    <row r="28" spans="1:6" ht="57" thickBot="1" x14ac:dyDescent="0.4">
      <c r="A28" s="906" t="s">
        <v>196</v>
      </c>
      <c r="B28" s="907" t="s">
        <v>197</v>
      </c>
      <c r="C28" s="909" t="s">
        <v>213</v>
      </c>
    </row>
    <row r="29" spans="1:6" x14ac:dyDescent="0.35">
      <c r="A29" s="910"/>
      <c r="B29" s="911"/>
      <c r="C29" s="913">
        <f>'Food Calcs'!J16</f>
        <v>0</v>
      </c>
    </row>
    <row r="30" spans="1:6" x14ac:dyDescent="0.35">
      <c r="A30" s="910"/>
      <c r="B30" s="915"/>
      <c r="C30" s="913">
        <f>'Food Calcs'!J17</f>
        <v>0</v>
      </c>
    </row>
    <row r="31" spans="1:6" x14ac:dyDescent="0.35">
      <c r="A31" s="910"/>
      <c r="B31" s="915"/>
      <c r="C31" s="913">
        <f>'Food Calcs'!J18</f>
        <v>0</v>
      </c>
    </row>
    <row r="32" spans="1:6" x14ac:dyDescent="0.35">
      <c r="A32" s="910"/>
      <c r="B32" s="915"/>
      <c r="C32" s="913">
        <f>'Food Calcs'!J19</f>
        <v>0</v>
      </c>
    </row>
    <row r="33" spans="1:6" x14ac:dyDescent="0.35">
      <c r="A33" s="910"/>
      <c r="B33" s="915"/>
      <c r="C33" s="913">
        <f>'Food Calcs'!J20</f>
        <v>0</v>
      </c>
    </row>
    <row r="34" spans="1:6" ht="14.6" thickBot="1" x14ac:dyDescent="0.4">
      <c r="A34" s="922"/>
      <c r="B34" s="919"/>
      <c r="C34" s="923">
        <f>'Food Calcs'!J21</f>
        <v>0</v>
      </c>
    </row>
    <row r="35" spans="1:6" ht="14.6" thickBot="1" x14ac:dyDescent="0.4"/>
    <row r="36" spans="1:6" ht="45" customHeight="1" thickBot="1" x14ac:dyDescent="0.4">
      <c r="A36" s="924" t="s">
        <v>1078</v>
      </c>
      <c r="B36" s="925" t="s">
        <v>3</v>
      </c>
      <c r="C36" s="925" t="s">
        <v>42</v>
      </c>
      <c r="D36" s="925" t="s">
        <v>38</v>
      </c>
      <c r="E36" s="926" t="s">
        <v>1099</v>
      </c>
    </row>
    <row r="37" spans="1:6" x14ac:dyDescent="0.35">
      <c r="A37" s="927" t="s">
        <v>941</v>
      </c>
      <c r="B37" s="911"/>
      <c r="C37" s="911"/>
      <c r="D37" s="928">
        <f>SUM(B37+C37)</f>
        <v>0</v>
      </c>
      <c r="E37" s="929">
        <f>'Food Calcs'!I26</f>
        <v>0</v>
      </c>
    </row>
    <row r="38" spans="1:6" x14ac:dyDescent="0.35">
      <c r="A38" s="927" t="s">
        <v>942</v>
      </c>
      <c r="B38" s="915"/>
      <c r="C38" s="915"/>
      <c r="D38" s="930">
        <f t="shared" ref="D38:D46" si="0">SUM(B38+C38)</f>
        <v>0</v>
      </c>
      <c r="E38" s="931">
        <f>'Food Calcs'!I27</f>
        <v>0</v>
      </c>
    </row>
    <row r="39" spans="1:6" x14ac:dyDescent="0.35">
      <c r="A39" s="927" t="s">
        <v>943</v>
      </c>
      <c r="B39" s="915"/>
      <c r="C39" s="915"/>
      <c r="D39" s="930">
        <f t="shared" si="0"/>
        <v>0</v>
      </c>
      <c r="E39" s="931">
        <f>'Food Calcs'!I28</f>
        <v>0</v>
      </c>
    </row>
    <row r="40" spans="1:6" x14ac:dyDescent="0.35">
      <c r="A40" s="927" t="s">
        <v>944</v>
      </c>
      <c r="B40" s="915"/>
      <c r="C40" s="915"/>
      <c r="D40" s="930">
        <f t="shared" si="0"/>
        <v>0</v>
      </c>
      <c r="E40" s="931">
        <f>'Food Calcs'!I29</f>
        <v>0</v>
      </c>
    </row>
    <row r="41" spans="1:6" x14ac:dyDescent="0.35">
      <c r="A41" s="927" t="s">
        <v>945</v>
      </c>
      <c r="B41" s="915"/>
      <c r="C41" s="915"/>
      <c r="D41" s="930">
        <f t="shared" si="0"/>
        <v>0</v>
      </c>
      <c r="E41" s="931">
        <f>'Food Calcs'!I30</f>
        <v>0</v>
      </c>
    </row>
    <row r="42" spans="1:6" x14ac:dyDescent="0.35">
      <c r="A42" s="927" t="s">
        <v>946</v>
      </c>
      <c r="B42" s="915"/>
      <c r="C42" s="915"/>
      <c r="D42" s="930">
        <f t="shared" si="0"/>
        <v>0</v>
      </c>
      <c r="E42" s="931">
        <f>'Food Calcs'!I31</f>
        <v>0</v>
      </c>
    </row>
    <row r="43" spans="1:6" x14ac:dyDescent="0.35">
      <c r="A43" s="927" t="s">
        <v>947</v>
      </c>
      <c r="B43" s="915"/>
      <c r="C43" s="915"/>
      <c r="D43" s="930">
        <f t="shared" si="0"/>
        <v>0</v>
      </c>
      <c r="E43" s="931">
        <f>'Food Calcs'!I32</f>
        <v>0</v>
      </c>
    </row>
    <row r="44" spans="1:6" x14ac:dyDescent="0.35">
      <c r="A44" s="927" t="s">
        <v>948</v>
      </c>
      <c r="B44" s="915"/>
      <c r="C44" s="915"/>
      <c r="D44" s="930">
        <f t="shared" si="0"/>
        <v>0</v>
      </c>
      <c r="E44" s="931">
        <f>'Food Calcs'!I33</f>
        <v>0</v>
      </c>
    </row>
    <row r="45" spans="1:6" x14ac:dyDescent="0.35">
      <c r="A45" s="927" t="s">
        <v>949</v>
      </c>
      <c r="B45" s="915"/>
      <c r="C45" s="915"/>
      <c r="D45" s="930">
        <f t="shared" si="0"/>
        <v>0</v>
      </c>
      <c r="E45" s="931">
        <f>'Food Calcs'!I34</f>
        <v>0</v>
      </c>
    </row>
    <row r="46" spans="1:6" x14ac:dyDescent="0.35">
      <c r="A46" s="927" t="s">
        <v>950</v>
      </c>
      <c r="B46" s="915"/>
      <c r="C46" s="915"/>
      <c r="D46" s="930">
        <f t="shared" si="0"/>
        <v>0</v>
      </c>
      <c r="E46" s="931">
        <f>'Food Calcs'!I35</f>
        <v>0</v>
      </c>
    </row>
    <row r="47" spans="1:6" ht="14.6" thickBot="1" x14ac:dyDescent="0.4">
      <c r="A47" s="932" t="s">
        <v>0</v>
      </c>
      <c r="B47" s="933">
        <f>SUM(B37:B46)</f>
        <v>0</v>
      </c>
      <c r="C47" s="933">
        <f>SUM(C37:C46)</f>
        <v>0</v>
      </c>
      <c r="D47" s="933">
        <f>SUM(D37:D46)</f>
        <v>0</v>
      </c>
      <c r="E47" s="934">
        <f>SUM(E37:E46)</f>
        <v>0</v>
      </c>
      <c r="F47" s="935"/>
    </row>
  </sheetData>
  <sheetProtection algorithmName="SHA-512" hashValue="CK6DPSWQ6tdw1FuQOQEEY8cQu0UTKNYMGdVOQ1McXrQyZZQwXb9t67FRdH8yL1+umMNLy4DyYKNmo9XMstyDow==" saltValue="uzLh7J2kxGMgdWanzlitXw==" spinCount="100000" sheet="1" objects="1" scenarios="1"/>
  <dataConsolidate/>
  <mergeCells count="3">
    <mergeCell ref="A14:F14"/>
    <mergeCell ref="A27:C27"/>
    <mergeCell ref="A11:E11"/>
  </mergeCells>
  <conditionalFormatting sqref="E47">
    <cfRule type="cellIs" dxfId="10" priority="1" operator="lessThanOrEqual">
      <formula>0</formula>
    </cfRule>
  </conditionalFormatting>
  <dataValidations count="1">
    <dataValidation type="whole" operator="greaterThan" allowBlank="1" showInputMessage="1" showErrorMessage="1" sqref="B16:B25 B29:B34" xr:uid="{00000000-0002-0000-0500-000000000000}">
      <formula1>0</formula1>
    </dataValidation>
  </dataValidations>
  <hyperlinks>
    <hyperlink ref="A11:E11" r:id="rId1" display="A step-by-step user guide, including project examples, for this Benefits Calculator Tool is available here." xr:uid="{81A55582-BF0E-45CF-BB2B-D8606D7708B3}"/>
  </hyperlinks>
  <pageMargins left="4.1666666666666699E-2" right="0.7" top="0" bottom="0.75" header="0.3" footer="0.3"/>
  <pageSetup scale="53" orientation="landscape" r:id="rId2"/>
  <headerFooter>
    <oddFooter>&amp;LDRAFT January XX, 2019&amp;CPage &amp;P of &amp;N&amp;RFood Waste Prevention Worksheet</oddFooter>
  </headerFooter>
  <drawing r:id="rId3"/>
  <extLst>
    <ext xmlns:x14="http://schemas.microsoft.com/office/spreadsheetml/2009/9/main" uri="{78C0D931-6437-407d-A8EE-F0AAD7539E65}">
      <x14:conditionalFormattings>
        <x14:conditionalFormatting xmlns:xm="http://schemas.microsoft.com/office/excel/2006/main">
          <x14:cfRule type="expression" priority="21" id="{079CEDAE-55E2-4016-873A-1A86DDD0B73A}">
            <xm:f>OR($A$16=Misc!$A$1,$A$16=Misc!$A$2,$A$16=Misc!$A$3)</xm:f>
            <x14:dxf>
              <fill>
                <patternFill>
                  <bgColor theme="1"/>
                </patternFill>
              </fill>
            </x14:dxf>
          </x14:cfRule>
          <xm:sqref>C16:E16</xm:sqref>
        </x14:conditionalFormatting>
        <x14:conditionalFormatting xmlns:xm="http://schemas.microsoft.com/office/excel/2006/main">
          <x14:cfRule type="expression" priority="20" id="{7E86AECD-3768-47A3-8BE7-9F5B114A98BC}">
            <xm:f>OR($A$17=Misc!$A$1,$A$17=Misc!$A$2,$A$17=Misc!$A$3)</xm:f>
            <x14:dxf>
              <fill>
                <patternFill>
                  <bgColor theme="1"/>
                </patternFill>
              </fill>
            </x14:dxf>
          </x14:cfRule>
          <xm:sqref>C17:E17</xm:sqref>
        </x14:conditionalFormatting>
        <x14:conditionalFormatting xmlns:xm="http://schemas.microsoft.com/office/excel/2006/main">
          <x14:cfRule type="expression" priority="19" id="{64200202-120D-4CBD-9BB7-15B2072136CF}">
            <xm:f>OR($A$18=Misc!$A$1,$A$18=Misc!$A$2,$A$18=Misc!$A$3)</xm:f>
            <x14:dxf>
              <fill>
                <patternFill>
                  <bgColor theme="1"/>
                </patternFill>
              </fill>
            </x14:dxf>
          </x14:cfRule>
          <xm:sqref>C18:E18</xm:sqref>
        </x14:conditionalFormatting>
        <x14:conditionalFormatting xmlns:xm="http://schemas.microsoft.com/office/excel/2006/main">
          <x14:cfRule type="expression" priority="18" id="{BB32EB9E-D703-4ADA-B6D7-C3EE952C1FFE}">
            <xm:f>OR($A$19=Misc!$A$1,$A$19=Misc!$A$2,$A$19=Misc!$A$3)</xm:f>
            <x14:dxf>
              <fill>
                <patternFill>
                  <bgColor theme="1"/>
                </patternFill>
              </fill>
            </x14:dxf>
          </x14:cfRule>
          <xm:sqref>C19:E19</xm:sqref>
        </x14:conditionalFormatting>
        <x14:conditionalFormatting xmlns:xm="http://schemas.microsoft.com/office/excel/2006/main">
          <x14:cfRule type="expression" priority="17" id="{3581E119-3C27-4AFF-B435-12C6889ED85A}">
            <xm:f>OR($A$20=Misc!$A$1,$A$20=Misc!$A$2,$A$20=Misc!$A$3)</xm:f>
            <x14:dxf>
              <fill>
                <patternFill>
                  <bgColor theme="1"/>
                </patternFill>
              </fill>
            </x14:dxf>
          </x14:cfRule>
          <xm:sqref>C20:E20</xm:sqref>
        </x14:conditionalFormatting>
        <x14:conditionalFormatting xmlns:xm="http://schemas.microsoft.com/office/excel/2006/main">
          <x14:cfRule type="expression" priority="12" id="{DC21041E-1247-4FAC-8679-A1BD0A3192D6}">
            <xm:f>OR($A$25=Misc!$A$1,$A$25=Misc!$A$2,$A$25=Misc!$A$3)</xm:f>
            <x14:dxf>
              <fill>
                <patternFill>
                  <bgColor theme="1"/>
                </patternFill>
              </fill>
            </x14:dxf>
          </x14:cfRule>
          <xm:sqref>C25:E25</xm:sqref>
        </x14:conditionalFormatting>
        <x14:conditionalFormatting xmlns:xm="http://schemas.microsoft.com/office/excel/2006/main">
          <x14:cfRule type="expression" priority="13" id="{1858A18B-B76E-476F-A751-640F3A0110E5}">
            <xm:f>OR($A$24=Misc!$A$1,$A$24=Misc!$A$2,$A$24=Misc!$A$3)</xm:f>
            <x14:dxf>
              <fill>
                <patternFill>
                  <bgColor theme="1"/>
                </patternFill>
              </fill>
            </x14:dxf>
          </x14:cfRule>
          <xm:sqref>C24:E24</xm:sqref>
        </x14:conditionalFormatting>
        <x14:conditionalFormatting xmlns:xm="http://schemas.microsoft.com/office/excel/2006/main">
          <x14:cfRule type="expression" priority="14" id="{2E911F67-A067-430F-887F-4C79D55A4175}">
            <xm:f>OR($A$23=Misc!$A$1,$A$23=Misc!$A$2,$A$23=Misc!$A$3)</xm:f>
            <x14:dxf>
              <fill>
                <patternFill>
                  <bgColor theme="1"/>
                </patternFill>
              </fill>
            </x14:dxf>
          </x14:cfRule>
          <xm:sqref>C23:E23</xm:sqref>
        </x14:conditionalFormatting>
        <x14:conditionalFormatting xmlns:xm="http://schemas.microsoft.com/office/excel/2006/main">
          <x14:cfRule type="expression" priority="15" id="{580C2BA7-3509-42E4-95F2-A5113C19FE26}">
            <xm:f>OR($A$22=Misc!$A$1,$A$22=Misc!$A$2,$A$22=Misc!$A$3)</xm:f>
            <x14:dxf>
              <fill>
                <patternFill>
                  <bgColor theme="1"/>
                </patternFill>
              </fill>
            </x14:dxf>
          </x14:cfRule>
          <xm:sqref>C22:E22</xm:sqref>
        </x14:conditionalFormatting>
        <x14:conditionalFormatting xmlns:xm="http://schemas.microsoft.com/office/excel/2006/main">
          <x14:cfRule type="expression" priority="16" id="{81648F68-A0CA-47C5-A996-331607E615D8}">
            <xm:f>OR($A$21=Misc!$A$1,$A$21=Misc!$A$2,$A$21=Misc!$A$3)</xm:f>
            <x14:dxf>
              <fill>
                <patternFill>
                  <bgColor theme="1"/>
                </patternFill>
              </fill>
            </x14:dxf>
          </x14:cfRule>
          <xm:sqref>C21:E21</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1000000}">
          <x14:formula1>
            <xm:f>Misc!$A$1:$A$12</xm:f>
          </x14:formula1>
          <xm:sqref>A16:A25</xm:sqref>
        </x14:dataValidation>
        <x14:dataValidation type="list" allowBlank="1" showInputMessage="1" showErrorMessage="1" xr:uid="{00000000-0002-0000-0500-000002000000}">
          <x14:formula1>
            <xm:f>Misc!$A$35:$A$54</xm:f>
          </x14:formula1>
          <xm:sqref>A29:A34</xm:sqref>
        </x14:dataValidation>
        <x14:dataValidation type="list" allowBlank="1" showInputMessage="1" showErrorMessage="1" xr:uid="{00000000-0002-0000-0500-000003000000}">
          <x14:formula1>
            <xm:f>'GHG ERFs'!$A$89:$A$163</xm:f>
          </x14:formula1>
          <xm:sqref>E16:E25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pageSetUpPr fitToPage="1"/>
  </sheetPr>
  <dimension ref="B1:M20"/>
  <sheetViews>
    <sheetView showGridLines="0" showRuler="0" zoomScaleNormal="100" workbookViewId="0">
      <selection activeCell="B11" sqref="B11:F11"/>
    </sheetView>
  </sheetViews>
  <sheetFormatPr defaultColWidth="9.15234375" defaultRowHeight="14.15" x14ac:dyDescent="0.35"/>
  <cols>
    <col min="1" max="1" width="4.15234375" style="868" customWidth="1"/>
    <col min="2" max="2" width="34.15234375" style="868" customWidth="1"/>
    <col min="3" max="3" width="32.3828125" style="868" customWidth="1"/>
    <col min="4" max="4" width="28.53515625" style="868" customWidth="1"/>
    <col min="5" max="5" width="27.3828125" style="868" customWidth="1"/>
    <col min="6" max="6" width="26.15234375" style="868" customWidth="1"/>
    <col min="7" max="10" width="24.69140625" style="868" customWidth="1"/>
    <col min="11" max="11" width="21.69140625" style="868" hidden="1" customWidth="1"/>
    <col min="12" max="12" width="20.69140625" style="868" hidden="1" customWidth="1"/>
    <col min="13" max="13" width="23.69140625" style="868" hidden="1" customWidth="1"/>
    <col min="14" max="14" width="18.53515625" style="868" customWidth="1"/>
    <col min="15" max="16" width="9.15234375" style="868" customWidth="1"/>
    <col min="17" max="16384" width="9.15234375" style="868"/>
  </cols>
  <sheetData>
    <row r="1" spans="2:12" ht="20.149999999999999" x14ac:dyDescent="0.35">
      <c r="D1" s="869" t="s">
        <v>411</v>
      </c>
      <c r="E1" s="870"/>
      <c r="G1" s="871"/>
      <c r="H1" s="871"/>
      <c r="I1" s="871"/>
      <c r="J1" s="871"/>
    </row>
    <row r="2" spans="2:12" x14ac:dyDescent="0.35">
      <c r="D2" s="872"/>
      <c r="E2" s="870"/>
      <c r="G2" s="873"/>
      <c r="H2" s="873"/>
      <c r="I2" s="873"/>
      <c r="J2" s="873"/>
    </row>
    <row r="3" spans="2:12" ht="20.149999999999999" x14ac:dyDescent="0.35">
      <c r="D3" s="869" t="s">
        <v>1083</v>
      </c>
      <c r="E3" s="870"/>
      <c r="G3" s="871"/>
      <c r="H3" s="871"/>
      <c r="I3" s="871"/>
      <c r="J3" s="871"/>
    </row>
    <row r="4" spans="2:12" ht="20.149999999999999" x14ac:dyDescent="0.35">
      <c r="D4" s="874" t="s">
        <v>1116</v>
      </c>
      <c r="E4" s="870"/>
      <c r="G4" s="875"/>
      <c r="H4" s="875"/>
      <c r="I4" s="875"/>
      <c r="J4" s="875"/>
    </row>
    <row r="5" spans="2:12" x14ac:dyDescent="0.35">
      <c r="D5" s="872"/>
      <c r="E5" s="870"/>
      <c r="G5" s="873"/>
      <c r="H5" s="873"/>
      <c r="I5" s="873"/>
      <c r="J5" s="873"/>
    </row>
    <row r="6" spans="2:12" ht="20.149999999999999" x14ac:dyDescent="0.35">
      <c r="D6" s="869" t="s">
        <v>413</v>
      </c>
      <c r="G6" s="871"/>
      <c r="H6" s="871"/>
      <c r="I6" s="871"/>
      <c r="J6" s="871"/>
    </row>
    <row r="7" spans="2:12" ht="18" x14ac:dyDescent="0.45">
      <c r="B7" s="876"/>
      <c r="C7" s="876"/>
      <c r="D7" s="876"/>
      <c r="F7" s="877"/>
    </row>
    <row r="8" spans="2:12" ht="18" x14ac:dyDescent="0.45">
      <c r="B8" s="876"/>
      <c r="C8" s="876"/>
      <c r="D8" s="876"/>
      <c r="F8" s="877"/>
    </row>
    <row r="9" spans="2:12" x14ac:dyDescent="0.35">
      <c r="G9" s="1103"/>
      <c r="H9" s="1103"/>
    </row>
    <row r="10" spans="2:12" ht="15.45" x14ac:dyDescent="0.4">
      <c r="B10" s="851" t="s">
        <v>407</v>
      </c>
      <c r="C10" s="851"/>
      <c r="D10" s="850"/>
      <c r="E10" s="850"/>
      <c r="G10" s="878"/>
      <c r="H10" s="878"/>
    </row>
    <row r="11" spans="2:12" ht="15" customHeight="1" x14ac:dyDescent="0.35">
      <c r="B11" s="1075" t="s">
        <v>1092</v>
      </c>
      <c r="C11" s="1076"/>
      <c r="D11" s="1076"/>
      <c r="E11" s="1076"/>
      <c r="F11" s="1077"/>
      <c r="G11" s="879"/>
      <c r="H11" s="879"/>
    </row>
    <row r="12" spans="2:12" ht="15.45" x14ac:dyDescent="0.35">
      <c r="B12" s="880"/>
      <c r="C12" s="880"/>
      <c r="D12" s="880"/>
      <c r="E12" s="880"/>
      <c r="F12" s="881"/>
      <c r="G12" s="879"/>
      <c r="H12" s="879"/>
    </row>
    <row r="13" spans="2:12" ht="18" x14ac:dyDescent="0.45">
      <c r="B13" s="882" t="s">
        <v>410</v>
      </c>
      <c r="C13" s="882"/>
      <c r="D13" s="883"/>
      <c r="E13" s="883"/>
      <c r="F13" s="883"/>
      <c r="G13" s="883"/>
      <c r="H13" s="883"/>
      <c r="I13" s="883"/>
      <c r="J13" s="883"/>
      <c r="K13" s="883"/>
    </row>
    <row r="14" spans="2:12" ht="72" x14ac:dyDescent="0.35">
      <c r="B14" s="884" t="s">
        <v>1078</v>
      </c>
      <c r="C14" s="884" t="s">
        <v>1077</v>
      </c>
      <c r="D14" s="884" t="s">
        <v>956</v>
      </c>
      <c r="E14" s="884" t="s">
        <v>957</v>
      </c>
      <c r="F14" s="885" t="s">
        <v>1096</v>
      </c>
      <c r="H14" s="883"/>
      <c r="I14" s="883"/>
      <c r="J14" s="883"/>
      <c r="K14" s="883"/>
      <c r="L14" s="883"/>
    </row>
    <row r="15" spans="2:12" x14ac:dyDescent="0.35">
      <c r="B15" s="886" t="s">
        <v>941</v>
      </c>
      <c r="C15" s="887"/>
      <c r="D15" s="888"/>
      <c r="E15" s="889" t="str">
        <f>IF(C15&gt;0,'Community Compost Calcs'!E5,"")</f>
        <v/>
      </c>
      <c r="F15" s="890">
        <f>'Community Compost Calcs'!F5</f>
        <v>0</v>
      </c>
      <c r="H15" s="891"/>
      <c r="I15" s="892"/>
      <c r="J15" s="892"/>
    </row>
    <row r="16" spans="2:12" x14ac:dyDescent="0.35">
      <c r="B16" s="886" t="s">
        <v>942</v>
      </c>
      <c r="C16" s="887"/>
      <c r="D16" s="888"/>
      <c r="E16" s="889" t="str">
        <f>IF(C16&gt;0,'Community Compost Calcs'!E6,"")</f>
        <v/>
      </c>
      <c r="F16" s="890">
        <f>'Community Compost Calcs'!F6</f>
        <v>0</v>
      </c>
      <c r="G16" s="893"/>
      <c r="H16" s="893"/>
      <c r="I16" s="897"/>
    </row>
    <row r="17" spans="2:6" x14ac:dyDescent="0.35">
      <c r="B17" s="886" t="s">
        <v>943</v>
      </c>
      <c r="C17" s="887"/>
      <c r="D17" s="888"/>
      <c r="E17" s="889" t="str">
        <f>IF(C17&gt;0,'Community Compost Calcs'!E7,"")</f>
        <v/>
      </c>
      <c r="F17" s="890">
        <f>'Community Compost Calcs'!F7</f>
        <v>0</v>
      </c>
    </row>
    <row r="18" spans="2:6" x14ac:dyDescent="0.35">
      <c r="B18" s="886" t="s">
        <v>944</v>
      </c>
      <c r="C18" s="887"/>
      <c r="D18" s="888"/>
      <c r="E18" s="889" t="str">
        <f>IF(C18&gt;0,'Community Compost Calcs'!E8,"")</f>
        <v/>
      </c>
      <c r="F18" s="890">
        <f>'Community Compost Calcs'!F8</f>
        <v>0</v>
      </c>
    </row>
    <row r="19" spans="2:6" x14ac:dyDescent="0.35">
      <c r="B19" s="886" t="s">
        <v>945</v>
      </c>
      <c r="C19" s="887"/>
      <c r="D19" s="888"/>
      <c r="E19" s="889" t="str">
        <f>IF(C19&gt;0,'Community Compost Calcs'!E9,"")</f>
        <v/>
      </c>
      <c r="F19" s="890">
        <f>'Community Compost Calcs'!F9</f>
        <v>0</v>
      </c>
    </row>
    <row r="20" spans="2:6" x14ac:dyDescent="0.35">
      <c r="E20" s="886" t="s">
        <v>0</v>
      </c>
      <c r="F20" s="936">
        <f>SUM(F15:F19)</f>
        <v>0</v>
      </c>
    </row>
  </sheetData>
  <sheetProtection algorithmName="SHA-512" hashValue="/oTd4XWPsMtHYhmTlmzEFI2uDwu3cCLzHf5g41Ee3LktCi9R/C1aTYVfyZr7HNF+oEudCcNSNv7Fb1NT196HvA==" saltValue="b1Q9bt/+diWbuojVUStUBw==" spinCount="100000" sheet="1" objects="1" scenarios="1"/>
  <mergeCells count="2">
    <mergeCell ref="G9:H9"/>
    <mergeCell ref="B11:F11"/>
  </mergeCells>
  <dataValidations count="1">
    <dataValidation type="decimal" allowBlank="1" showInputMessage="1" showErrorMessage="1" sqref="D15:D19" xr:uid="{00000000-0002-0000-0600-000000000000}">
      <formula1>0</formula1>
      <formula2>1</formula2>
    </dataValidation>
  </dataValidations>
  <hyperlinks>
    <hyperlink ref="B11:F11" r:id="rId1" display="A step-by-step user guide, including project examples, for this Benefits Calculator Tool is available here." xr:uid="{291C5374-C2C9-4BD9-9918-89E4F7661B30}"/>
  </hyperlinks>
  <pageMargins left="0" right="0.7" top="0" bottom="0.75" header="0.3" footer="0.3"/>
  <pageSetup scale="52" orientation="landscape" r:id="rId2"/>
  <headerFooter>
    <oddFooter>&amp;LDRAFT January XX, 2019&amp;CPage &amp;P of &amp;N&amp;RCompost Facility Worksheet</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pageSetUpPr fitToPage="1"/>
  </sheetPr>
  <dimension ref="A1:L69"/>
  <sheetViews>
    <sheetView showGridLines="0" showRuler="0" zoomScaleNormal="100" zoomScaleSheetLayoutView="55" workbookViewId="0">
      <selection activeCell="B10" sqref="B10:F10"/>
    </sheetView>
  </sheetViews>
  <sheetFormatPr defaultColWidth="9.15234375" defaultRowHeight="14.15" x14ac:dyDescent="0.35"/>
  <cols>
    <col min="1" max="1" width="2.84375" style="938" customWidth="1"/>
    <col min="2" max="2" width="19.23046875" style="938" customWidth="1"/>
    <col min="3" max="3" width="30.69140625" style="938" customWidth="1"/>
    <col min="4" max="4" width="24.69140625" style="938" customWidth="1"/>
    <col min="5" max="7" width="29.69140625" style="938" customWidth="1"/>
    <col min="8" max="11" width="24.69140625" style="938" customWidth="1"/>
    <col min="12" max="12" width="16.69140625" style="938" customWidth="1"/>
    <col min="13" max="16384" width="9.15234375" style="938"/>
  </cols>
  <sheetData>
    <row r="1" spans="1:12" s="937" customFormat="1" ht="18.75" customHeight="1" x14ac:dyDescent="0.35">
      <c r="B1" s="1131" t="s">
        <v>411</v>
      </c>
      <c r="C1" s="1132"/>
      <c r="D1" s="1132"/>
      <c r="E1" s="1132"/>
      <c r="F1" s="1132"/>
      <c r="G1" s="1132"/>
      <c r="H1" s="1132"/>
      <c r="I1" s="1132"/>
      <c r="J1" s="1132"/>
      <c r="K1" s="1133"/>
    </row>
    <row r="2" spans="1:12" s="937" customFormat="1" ht="18.75" customHeight="1" x14ac:dyDescent="0.35">
      <c r="B2" s="1134"/>
      <c r="C2" s="1135"/>
      <c r="D2" s="1135"/>
      <c r="E2" s="1135"/>
      <c r="F2" s="1135"/>
      <c r="G2" s="1135"/>
      <c r="H2" s="1135"/>
      <c r="I2" s="1135"/>
      <c r="J2" s="1135"/>
      <c r="K2" s="1136"/>
    </row>
    <row r="3" spans="1:12" s="937" customFormat="1" ht="18.75" customHeight="1" x14ac:dyDescent="0.35">
      <c r="B3" s="1137" t="s">
        <v>1083</v>
      </c>
      <c r="C3" s="1138"/>
      <c r="D3" s="1138"/>
      <c r="E3" s="1138"/>
      <c r="F3" s="1138"/>
      <c r="G3" s="1138"/>
      <c r="H3" s="1138"/>
      <c r="I3" s="1138"/>
      <c r="J3" s="1138"/>
      <c r="K3" s="1139"/>
    </row>
    <row r="4" spans="1:12" s="937" customFormat="1" ht="18.75" customHeight="1" x14ac:dyDescent="0.35">
      <c r="B4" s="1140" t="s">
        <v>1116</v>
      </c>
      <c r="C4" s="1141"/>
      <c r="D4" s="1141"/>
      <c r="E4" s="1141"/>
      <c r="F4" s="1141"/>
      <c r="G4" s="1141"/>
      <c r="H4" s="1141"/>
      <c r="I4" s="1141"/>
      <c r="J4" s="1141"/>
      <c r="K4" s="1142"/>
    </row>
    <row r="5" spans="1:12" s="937" customFormat="1" ht="18.75" customHeight="1" x14ac:dyDescent="0.35">
      <c r="B5" s="1134"/>
      <c r="C5" s="1135"/>
      <c r="D5" s="1135"/>
      <c r="E5" s="1135"/>
      <c r="F5" s="1135"/>
      <c r="G5" s="1135"/>
      <c r="H5" s="1135"/>
      <c r="I5" s="1135"/>
      <c r="J5" s="1135"/>
      <c r="K5" s="1136"/>
    </row>
    <row r="6" spans="1:12" s="937" customFormat="1" ht="18.75" customHeight="1" x14ac:dyDescent="0.35">
      <c r="B6" s="1137" t="s">
        <v>413</v>
      </c>
      <c r="C6" s="1138"/>
      <c r="D6" s="1138"/>
      <c r="E6" s="1138"/>
      <c r="F6" s="1138"/>
      <c r="G6" s="1138"/>
      <c r="H6" s="1138"/>
      <c r="I6" s="1138"/>
      <c r="J6" s="1138"/>
      <c r="K6" s="1139"/>
    </row>
    <row r="7" spans="1:12" ht="18.75" customHeight="1" x14ac:dyDescent="0.45">
      <c r="B7" s="939"/>
      <c r="C7" s="940"/>
      <c r="D7" s="940"/>
      <c r="E7" s="941"/>
      <c r="F7" s="941"/>
      <c r="G7" s="941"/>
      <c r="H7" s="941"/>
      <c r="I7" s="941"/>
      <c r="J7" s="941"/>
      <c r="K7" s="942"/>
      <c r="L7" s="943"/>
    </row>
    <row r="8" spans="1:12" ht="18.75" customHeight="1" x14ac:dyDescent="0.45">
      <c r="B8" s="1143"/>
      <c r="C8" s="1144"/>
      <c r="D8" s="1144"/>
      <c r="E8" s="1144"/>
      <c r="F8" s="1144"/>
      <c r="G8" s="1144"/>
      <c r="H8" s="1144"/>
      <c r="I8" s="1144"/>
      <c r="J8" s="1144"/>
      <c r="K8" s="1145"/>
      <c r="L8" s="943"/>
    </row>
    <row r="9" spans="1:12" s="947" customFormat="1" ht="18.75" customHeight="1" x14ac:dyDescent="0.4">
      <c r="A9" s="944"/>
      <c r="B9" s="945" t="s">
        <v>407</v>
      </c>
      <c r="C9" s="946"/>
      <c r="K9" s="948"/>
    </row>
    <row r="10" spans="1:12" s="949" customFormat="1" ht="18.75" customHeight="1" x14ac:dyDescent="0.4">
      <c r="B10" s="1075" t="s">
        <v>1092</v>
      </c>
      <c r="C10" s="1076"/>
      <c r="D10" s="1076"/>
      <c r="E10" s="1076"/>
      <c r="F10" s="1077"/>
      <c r="G10" s="950"/>
    </row>
    <row r="11" spans="1:12" s="949" customFormat="1" ht="18.75" customHeight="1" x14ac:dyDescent="0.4">
      <c r="B11" s="1048"/>
      <c r="C11" s="1048"/>
      <c r="D11" s="1048"/>
      <c r="E11" s="1048"/>
      <c r="F11" s="1048"/>
      <c r="G11" s="950"/>
    </row>
    <row r="12" spans="1:12" s="1042" customFormat="1" ht="15" customHeight="1" x14ac:dyDescent="0.4">
      <c r="B12" s="1043" t="s">
        <v>1118</v>
      </c>
    </row>
    <row r="13" spans="1:12" s="1042" customFormat="1" ht="15" customHeight="1" x14ac:dyDescent="0.4">
      <c r="B13" s="1044" t="s">
        <v>1123</v>
      </c>
      <c r="C13" s="1045"/>
      <c r="D13" s="1045"/>
      <c r="E13" s="1045"/>
      <c r="F13" s="1045"/>
    </row>
    <row r="14" spans="1:12" s="1042" customFormat="1" ht="15" customHeight="1" x14ac:dyDescent="0.4">
      <c r="B14" s="1044" t="s">
        <v>1122</v>
      </c>
      <c r="C14" s="1045"/>
      <c r="D14" s="1045"/>
      <c r="E14" s="1045"/>
      <c r="F14" s="1045"/>
    </row>
    <row r="15" spans="1:12" s="1042" customFormat="1" ht="15.45" x14ac:dyDescent="0.4">
      <c r="B15" s="1070" t="s">
        <v>1120</v>
      </c>
      <c r="C15" s="1046" t="s">
        <v>1119</v>
      </c>
      <c r="D15" s="1049" t="s">
        <v>1121</v>
      </c>
      <c r="E15" s="1047"/>
      <c r="F15" s="1045"/>
    </row>
    <row r="16" spans="1:12" ht="18.75" customHeight="1" x14ac:dyDescent="0.35">
      <c r="B16" s="939"/>
      <c r="C16" s="940"/>
      <c r="D16" s="940"/>
      <c r="E16" s="951"/>
      <c r="F16" s="951"/>
      <c r="G16" s="951"/>
      <c r="H16" s="951"/>
      <c r="I16" s="947"/>
      <c r="J16" s="947"/>
      <c r="K16" s="948"/>
      <c r="L16" s="952"/>
    </row>
    <row r="17" spans="2:12" s="953" customFormat="1" ht="18.75" customHeight="1" x14ac:dyDescent="0.4">
      <c r="B17" s="954" t="s">
        <v>1022</v>
      </c>
      <c r="C17" s="955"/>
      <c r="D17" s="955"/>
      <c r="E17" s="956"/>
      <c r="F17" s="956"/>
      <c r="G17" s="956"/>
      <c r="H17" s="956"/>
      <c r="I17" s="957"/>
      <c r="J17" s="947"/>
      <c r="K17" s="958"/>
    </row>
    <row r="18" spans="2:12" s="953" customFormat="1" ht="18.75" customHeight="1" x14ac:dyDescent="0.4">
      <c r="B18" s="1146" t="s">
        <v>1023</v>
      </c>
      <c r="C18" s="1147"/>
      <c r="D18" s="1147"/>
      <c r="E18" s="1147"/>
      <c r="F18" s="1147"/>
      <c r="G18" s="1147"/>
      <c r="H18" s="1147"/>
      <c r="I18" s="1147"/>
      <c r="J18" s="1147"/>
      <c r="K18" s="1148"/>
    </row>
    <row r="19" spans="2:12" s="953" customFormat="1" ht="6" customHeight="1" thickBot="1" x14ac:dyDescent="0.45">
      <c r="B19" s="959"/>
      <c r="C19" s="956"/>
      <c r="D19" s="956"/>
      <c r="E19" s="956"/>
      <c r="F19" s="956"/>
      <c r="G19" s="956"/>
      <c r="H19" s="956"/>
      <c r="I19" s="957"/>
      <c r="J19" s="947"/>
      <c r="K19" s="958"/>
    </row>
    <row r="20" spans="2:12" s="953" customFormat="1" ht="18.75" customHeight="1" x14ac:dyDescent="0.4">
      <c r="B20" s="1149" t="s">
        <v>1024</v>
      </c>
      <c r="C20" s="1150"/>
      <c r="D20" s="1150"/>
      <c r="E20" s="1150"/>
      <c r="F20" s="1150"/>
      <c r="G20" s="1150"/>
      <c r="H20" s="960"/>
      <c r="I20" s="956"/>
      <c r="J20" s="947"/>
      <c r="K20" s="961"/>
    </row>
    <row r="21" spans="2:12" s="953" customFormat="1" ht="18.75" customHeight="1" x14ac:dyDescent="0.4">
      <c r="B21" s="1151" t="s">
        <v>1025</v>
      </c>
      <c r="C21" s="1152"/>
      <c r="D21" s="1152"/>
      <c r="E21" s="1152"/>
      <c r="F21" s="1152"/>
      <c r="G21" s="1152"/>
      <c r="H21" s="962"/>
      <c r="I21" s="956"/>
      <c r="J21" s="947"/>
      <c r="K21" s="963"/>
    </row>
    <row r="22" spans="2:12" s="953" customFormat="1" ht="18.75" customHeight="1" thickBot="1" x14ac:dyDescent="0.45">
      <c r="B22" s="1129" t="s">
        <v>1026</v>
      </c>
      <c r="C22" s="1130"/>
      <c r="D22" s="1130"/>
      <c r="E22" s="1130"/>
      <c r="F22" s="1130"/>
      <c r="G22" s="1130"/>
      <c r="H22" s="964" t="str">
        <f>IF((H20-H21)*40=0,"0",(H20-H21)*40)</f>
        <v>0</v>
      </c>
      <c r="I22" s="956"/>
      <c r="J22" s="947"/>
      <c r="K22" s="963"/>
    </row>
    <row r="23" spans="2:12" ht="18.75" customHeight="1" x14ac:dyDescent="0.4">
      <c r="B23" s="939"/>
      <c r="C23" s="940"/>
      <c r="D23" s="956"/>
      <c r="E23" s="951"/>
      <c r="F23" s="956"/>
      <c r="G23" s="951"/>
      <c r="H23" s="951"/>
      <c r="I23" s="947"/>
      <c r="J23" s="947"/>
      <c r="K23" s="948"/>
      <c r="L23" s="952"/>
    </row>
    <row r="24" spans="2:12" s="953" customFormat="1" ht="18.75" customHeight="1" x14ac:dyDescent="0.4">
      <c r="B24" s="954" t="s">
        <v>1027</v>
      </c>
      <c r="C24" s="955"/>
      <c r="D24" s="955"/>
      <c r="E24" s="956"/>
      <c r="F24" s="956"/>
      <c r="G24" s="956"/>
      <c r="H24" s="956"/>
      <c r="I24" s="956"/>
      <c r="J24" s="956"/>
      <c r="K24" s="965"/>
    </row>
    <row r="25" spans="2:12" s="953" customFormat="1" ht="18.75" customHeight="1" x14ac:dyDescent="0.4">
      <c r="B25" s="1120" t="s">
        <v>1028</v>
      </c>
      <c r="C25" s="1121"/>
      <c r="D25" s="1121"/>
      <c r="E25" s="1121"/>
      <c r="F25" s="1121"/>
      <c r="G25" s="1121"/>
      <c r="H25" s="1121"/>
      <c r="I25" s="1121"/>
      <c r="J25" s="1121"/>
      <c r="K25" s="1122"/>
    </row>
    <row r="26" spans="2:12" s="953" customFormat="1" ht="6" customHeight="1" thickBot="1" x14ac:dyDescent="0.45">
      <c r="B26" s="959"/>
      <c r="C26" s="956"/>
      <c r="D26" s="956"/>
      <c r="E26" s="956"/>
      <c r="F26" s="956"/>
      <c r="G26" s="956"/>
      <c r="H26" s="956"/>
      <c r="I26" s="956"/>
      <c r="J26" s="956"/>
      <c r="K26" s="965"/>
    </row>
    <row r="27" spans="2:12" s="953" customFormat="1" ht="100" customHeight="1" x14ac:dyDescent="0.4">
      <c r="B27" s="966" t="s">
        <v>1029</v>
      </c>
      <c r="C27" s="967" t="s">
        <v>1030</v>
      </c>
      <c r="D27" s="967" t="s">
        <v>1031</v>
      </c>
      <c r="E27" s="967" t="s">
        <v>1100</v>
      </c>
      <c r="F27" s="967" t="s">
        <v>1032</v>
      </c>
      <c r="G27" s="967" t="s">
        <v>1033</v>
      </c>
      <c r="H27" s="967" t="s">
        <v>1101</v>
      </c>
      <c r="I27" s="967" t="s">
        <v>1102</v>
      </c>
      <c r="J27" s="967" t="s">
        <v>1034</v>
      </c>
      <c r="K27" s="968" t="s">
        <v>1035</v>
      </c>
    </row>
    <row r="28" spans="2:12" s="953" customFormat="1" ht="21" customHeight="1" x14ac:dyDescent="0.4">
      <c r="B28" s="969"/>
      <c r="C28" s="970"/>
      <c r="D28" s="971"/>
      <c r="E28" s="972"/>
      <c r="F28" s="972"/>
      <c r="G28" s="972"/>
      <c r="H28" s="972"/>
      <c r="I28" s="972"/>
      <c r="J28" s="972"/>
      <c r="K28" s="973"/>
    </row>
    <row r="29" spans="2:12" s="953" customFormat="1" ht="21" customHeight="1" x14ac:dyDescent="0.4">
      <c r="B29" s="969"/>
      <c r="C29" s="970"/>
      <c r="D29" s="971"/>
      <c r="E29" s="972"/>
      <c r="F29" s="972"/>
      <c r="G29" s="972"/>
      <c r="H29" s="972"/>
      <c r="I29" s="972"/>
      <c r="J29" s="972"/>
      <c r="K29" s="973"/>
    </row>
    <row r="30" spans="2:12" s="953" customFormat="1" ht="21" customHeight="1" x14ac:dyDescent="0.4">
      <c r="B30" s="969"/>
      <c r="C30" s="974"/>
      <c r="D30" s="971"/>
      <c r="E30" s="972"/>
      <c r="F30" s="972"/>
      <c r="G30" s="972"/>
      <c r="H30" s="972"/>
      <c r="I30" s="972"/>
      <c r="J30" s="972"/>
      <c r="K30" s="973"/>
    </row>
    <row r="31" spans="2:12" s="953" customFormat="1" ht="21" customHeight="1" x14ac:dyDescent="0.4">
      <c r="B31" s="969"/>
      <c r="C31" s="974"/>
      <c r="D31" s="971"/>
      <c r="E31" s="972"/>
      <c r="F31" s="972"/>
      <c r="G31" s="972"/>
      <c r="H31" s="972"/>
      <c r="I31" s="972"/>
      <c r="J31" s="972"/>
      <c r="K31" s="973"/>
    </row>
    <row r="32" spans="2:12" s="953" customFormat="1" ht="21" customHeight="1" x14ac:dyDescent="0.4">
      <c r="B32" s="969"/>
      <c r="C32" s="974"/>
      <c r="D32" s="971"/>
      <c r="E32" s="972"/>
      <c r="F32" s="972"/>
      <c r="G32" s="972"/>
      <c r="H32" s="972"/>
      <c r="I32" s="972"/>
      <c r="J32" s="972"/>
      <c r="K32" s="973"/>
    </row>
    <row r="33" spans="2:12" s="953" customFormat="1" ht="21" customHeight="1" x14ac:dyDescent="0.4">
      <c r="B33" s="969"/>
      <c r="C33" s="974"/>
      <c r="D33" s="971"/>
      <c r="E33" s="972"/>
      <c r="F33" s="972"/>
      <c r="G33" s="972"/>
      <c r="H33" s="972"/>
      <c r="I33" s="972"/>
      <c r="J33" s="972"/>
      <c r="K33" s="973"/>
    </row>
    <row r="34" spans="2:12" s="953" customFormat="1" ht="21" customHeight="1" x14ac:dyDescent="0.4">
      <c r="B34" s="969"/>
      <c r="C34" s="974"/>
      <c r="D34" s="971"/>
      <c r="E34" s="972"/>
      <c r="F34" s="972"/>
      <c r="G34" s="972"/>
      <c r="H34" s="972"/>
      <c r="I34" s="972"/>
      <c r="J34" s="972"/>
      <c r="K34" s="973"/>
    </row>
    <row r="35" spans="2:12" s="953" customFormat="1" ht="21" customHeight="1" x14ac:dyDescent="0.4">
      <c r="B35" s="969"/>
      <c r="C35" s="974"/>
      <c r="D35" s="971"/>
      <c r="E35" s="972"/>
      <c r="F35" s="972"/>
      <c r="G35" s="972"/>
      <c r="H35" s="972"/>
      <c r="I35" s="972"/>
      <c r="J35" s="972"/>
      <c r="K35" s="973"/>
    </row>
    <row r="36" spans="2:12" s="953" customFormat="1" ht="21" customHeight="1" x14ac:dyDescent="0.4">
      <c r="B36" s="969"/>
      <c r="C36" s="974"/>
      <c r="D36" s="971"/>
      <c r="E36" s="972"/>
      <c r="F36" s="972"/>
      <c r="G36" s="972"/>
      <c r="H36" s="972"/>
      <c r="I36" s="972"/>
      <c r="J36" s="972"/>
      <c r="K36" s="973"/>
    </row>
    <row r="37" spans="2:12" s="953" customFormat="1" ht="21" customHeight="1" x14ac:dyDescent="0.4">
      <c r="B37" s="969"/>
      <c r="C37" s="974"/>
      <c r="D37" s="971"/>
      <c r="E37" s="972"/>
      <c r="F37" s="972"/>
      <c r="G37" s="972"/>
      <c r="H37" s="972"/>
      <c r="I37" s="972"/>
      <c r="J37" s="972"/>
      <c r="K37" s="973"/>
    </row>
    <row r="38" spans="2:12" s="953" customFormat="1" ht="21" customHeight="1" x14ac:dyDescent="0.4">
      <c r="B38" s="969"/>
      <c r="C38" s="974"/>
      <c r="D38" s="971"/>
      <c r="E38" s="972"/>
      <c r="F38" s="972"/>
      <c r="G38" s="972"/>
      <c r="H38" s="972"/>
      <c r="I38" s="972"/>
      <c r="J38" s="972"/>
      <c r="K38" s="973"/>
    </row>
    <row r="39" spans="2:12" s="953" customFormat="1" ht="21" customHeight="1" x14ac:dyDescent="0.4">
      <c r="B39" s="969"/>
      <c r="C39" s="974"/>
      <c r="D39" s="971"/>
      <c r="E39" s="972"/>
      <c r="F39" s="972"/>
      <c r="G39" s="972"/>
      <c r="H39" s="972"/>
      <c r="I39" s="972"/>
      <c r="J39" s="972"/>
      <c r="K39" s="973"/>
    </row>
    <row r="40" spans="2:12" s="953" customFormat="1" ht="21" customHeight="1" x14ac:dyDescent="0.4">
      <c r="B40" s="969"/>
      <c r="C40" s="974"/>
      <c r="D40" s="971"/>
      <c r="E40" s="972"/>
      <c r="F40" s="972"/>
      <c r="G40" s="972"/>
      <c r="H40" s="972"/>
      <c r="I40" s="972"/>
      <c r="J40" s="972"/>
      <c r="K40" s="973"/>
      <c r="L40" s="956"/>
    </row>
    <row r="41" spans="2:12" s="953" customFormat="1" ht="21" customHeight="1" x14ac:dyDescent="0.4">
      <c r="B41" s="969"/>
      <c r="C41" s="974"/>
      <c r="D41" s="971"/>
      <c r="E41" s="972"/>
      <c r="F41" s="972"/>
      <c r="G41" s="972"/>
      <c r="H41" s="972"/>
      <c r="I41" s="972"/>
      <c r="J41" s="972"/>
      <c r="K41" s="973"/>
      <c r="L41" s="956"/>
    </row>
    <row r="42" spans="2:12" s="953" customFormat="1" ht="21" customHeight="1" x14ac:dyDescent="0.4">
      <c r="B42" s="969"/>
      <c r="C42" s="974"/>
      <c r="D42" s="971"/>
      <c r="E42" s="972"/>
      <c r="F42" s="972"/>
      <c r="G42" s="972"/>
      <c r="H42" s="972"/>
      <c r="I42" s="972"/>
      <c r="J42" s="972"/>
      <c r="K42" s="973"/>
      <c r="L42" s="956"/>
    </row>
    <row r="43" spans="2:12" s="953" customFormat="1" ht="21" customHeight="1" x14ac:dyDescent="0.4">
      <c r="B43" s="969"/>
      <c r="C43" s="974"/>
      <c r="D43" s="971"/>
      <c r="E43" s="972"/>
      <c r="F43" s="972"/>
      <c r="G43" s="972"/>
      <c r="H43" s="972"/>
      <c r="I43" s="972"/>
      <c r="J43" s="972"/>
      <c r="K43" s="973"/>
      <c r="L43" s="956"/>
    </row>
    <row r="44" spans="2:12" s="953" customFormat="1" ht="21" customHeight="1" x14ac:dyDescent="0.4">
      <c r="B44" s="969"/>
      <c r="C44" s="974"/>
      <c r="D44" s="971"/>
      <c r="E44" s="972"/>
      <c r="F44" s="972"/>
      <c r="G44" s="972"/>
      <c r="H44" s="972"/>
      <c r="I44" s="972"/>
      <c r="J44" s="972"/>
      <c r="K44" s="973"/>
      <c r="L44" s="956"/>
    </row>
    <row r="45" spans="2:12" s="953" customFormat="1" ht="21" customHeight="1" x14ac:dyDescent="0.4">
      <c r="B45" s="969"/>
      <c r="C45" s="974"/>
      <c r="D45" s="971"/>
      <c r="E45" s="972"/>
      <c r="F45" s="972"/>
      <c r="G45" s="972"/>
      <c r="H45" s="972"/>
      <c r="I45" s="972"/>
      <c r="J45" s="972"/>
      <c r="K45" s="973"/>
      <c r="L45" s="956"/>
    </row>
    <row r="46" spans="2:12" s="953" customFormat="1" ht="21" customHeight="1" x14ac:dyDescent="0.4">
      <c r="B46" s="969"/>
      <c r="C46" s="974"/>
      <c r="D46" s="971"/>
      <c r="E46" s="972"/>
      <c r="F46" s="972"/>
      <c r="G46" s="972"/>
      <c r="H46" s="972"/>
      <c r="I46" s="972"/>
      <c r="J46" s="972"/>
      <c r="K46" s="973"/>
      <c r="L46" s="956"/>
    </row>
    <row r="47" spans="2:12" s="953" customFormat="1" ht="21" customHeight="1" x14ac:dyDescent="0.4">
      <c r="B47" s="969"/>
      <c r="C47" s="974"/>
      <c r="D47" s="971"/>
      <c r="E47" s="972"/>
      <c r="F47" s="972"/>
      <c r="G47" s="972"/>
      <c r="H47" s="972"/>
      <c r="I47" s="972"/>
      <c r="J47" s="972"/>
      <c r="K47" s="973"/>
      <c r="L47" s="956"/>
    </row>
    <row r="48" spans="2:12" s="953" customFormat="1" ht="21" customHeight="1" x14ac:dyDescent="0.4">
      <c r="B48" s="969"/>
      <c r="C48" s="974"/>
      <c r="D48" s="971"/>
      <c r="E48" s="972"/>
      <c r="F48" s="972"/>
      <c r="G48" s="972"/>
      <c r="H48" s="972"/>
      <c r="I48" s="972"/>
      <c r="J48" s="972"/>
      <c r="K48" s="973"/>
      <c r="L48" s="956"/>
    </row>
    <row r="49" spans="2:12" s="953" customFormat="1" ht="21" customHeight="1" x14ac:dyDescent="0.4">
      <c r="B49" s="969"/>
      <c r="C49" s="974"/>
      <c r="D49" s="971"/>
      <c r="E49" s="972"/>
      <c r="F49" s="972"/>
      <c r="G49" s="972"/>
      <c r="H49" s="972"/>
      <c r="I49" s="972"/>
      <c r="J49" s="972"/>
      <c r="K49" s="973"/>
      <c r="L49" s="956"/>
    </row>
    <row r="50" spans="2:12" s="953" customFormat="1" ht="21" customHeight="1" x14ac:dyDescent="0.4">
      <c r="B50" s="969"/>
      <c r="C50" s="974"/>
      <c r="D50" s="971"/>
      <c r="E50" s="972"/>
      <c r="F50" s="972"/>
      <c r="G50" s="972"/>
      <c r="H50" s="972"/>
      <c r="I50" s="972"/>
      <c r="J50" s="972"/>
      <c r="K50" s="973"/>
      <c r="L50" s="956"/>
    </row>
    <row r="51" spans="2:12" s="953" customFormat="1" ht="21" customHeight="1" x14ac:dyDescent="0.4">
      <c r="B51" s="969"/>
      <c r="C51" s="974"/>
      <c r="D51" s="971"/>
      <c r="E51" s="972"/>
      <c r="F51" s="972"/>
      <c r="G51" s="972"/>
      <c r="H51" s="972"/>
      <c r="I51" s="972"/>
      <c r="J51" s="972"/>
      <c r="K51" s="973"/>
      <c r="L51" s="956"/>
    </row>
    <row r="52" spans="2:12" s="953" customFormat="1" ht="21" customHeight="1" x14ac:dyDescent="0.4">
      <c r="B52" s="969"/>
      <c r="C52" s="974"/>
      <c r="D52" s="971"/>
      <c r="E52" s="972"/>
      <c r="F52" s="972"/>
      <c r="G52" s="972"/>
      <c r="H52" s="972"/>
      <c r="I52" s="972"/>
      <c r="J52" s="972"/>
      <c r="K52" s="973"/>
      <c r="L52" s="956"/>
    </row>
    <row r="53" spans="2:12" s="953" customFormat="1" ht="21" customHeight="1" x14ac:dyDescent="0.4">
      <c r="B53" s="969"/>
      <c r="C53" s="974"/>
      <c r="D53" s="971"/>
      <c r="E53" s="972"/>
      <c r="F53" s="972"/>
      <c r="G53" s="972"/>
      <c r="H53" s="972"/>
      <c r="I53" s="972"/>
      <c r="J53" s="972"/>
      <c r="K53" s="973"/>
      <c r="L53" s="956"/>
    </row>
    <row r="54" spans="2:12" s="953" customFormat="1" ht="21" customHeight="1" x14ac:dyDescent="0.4">
      <c r="B54" s="969"/>
      <c r="C54" s="974"/>
      <c r="D54" s="971"/>
      <c r="E54" s="972"/>
      <c r="F54" s="972"/>
      <c r="G54" s="972"/>
      <c r="H54" s="972"/>
      <c r="I54" s="972"/>
      <c r="J54" s="972"/>
      <c r="K54" s="973"/>
      <c r="L54" s="956"/>
    </row>
    <row r="55" spans="2:12" s="953" customFormat="1" ht="21" customHeight="1" x14ac:dyDescent="0.4">
      <c r="B55" s="969"/>
      <c r="C55" s="974"/>
      <c r="D55" s="971"/>
      <c r="E55" s="972"/>
      <c r="F55" s="972"/>
      <c r="G55" s="972"/>
      <c r="H55" s="972"/>
      <c r="I55" s="972"/>
      <c r="J55" s="972"/>
      <c r="K55" s="973"/>
      <c r="L55" s="956"/>
    </row>
    <row r="56" spans="2:12" s="953" customFormat="1" ht="21" customHeight="1" x14ac:dyDescent="0.4">
      <c r="B56" s="969"/>
      <c r="C56" s="974"/>
      <c r="D56" s="971"/>
      <c r="E56" s="972"/>
      <c r="F56" s="972"/>
      <c r="G56" s="972"/>
      <c r="H56" s="972"/>
      <c r="I56" s="972"/>
      <c r="J56" s="972"/>
      <c r="K56" s="973"/>
      <c r="L56" s="956"/>
    </row>
    <row r="57" spans="2:12" s="953" customFormat="1" ht="21" customHeight="1" x14ac:dyDescent="0.4">
      <c r="B57" s="969"/>
      <c r="C57" s="974"/>
      <c r="D57" s="971"/>
      <c r="E57" s="972"/>
      <c r="F57" s="972"/>
      <c r="G57" s="972"/>
      <c r="H57" s="972"/>
      <c r="I57" s="972"/>
      <c r="J57" s="972"/>
      <c r="K57" s="973"/>
      <c r="L57" s="956"/>
    </row>
    <row r="58" spans="2:12" s="953" customFormat="1" ht="21" customHeight="1" thickBot="1" x14ac:dyDescent="0.45">
      <c r="B58" s="1123" t="s">
        <v>1036</v>
      </c>
      <c r="C58" s="1124"/>
      <c r="D58" s="975">
        <f>SUM(D28:D57)</f>
        <v>0</v>
      </c>
      <c r="E58" s="976">
        <f t="shared" ref="E58:K58" si="0">SUM(E28:E57)</f>
        <v>0</v>
      </c>
      <c r="F58" s="976">
        <f t="shared" si="0"/>
        <v>0</v>
      </c>
      <c r="G58" s="976">
        <f t="shared" si="0"/>
        <v>0</v>
      </c>
      <c r="H58" s="976">
        <f t="shared" si="0"/>
        <v>0</v>
      </c>
      <c r="I58" s="976">
        <f t="shared" si="0"/>
        <v>0</v>
      </c>
      <c r="J58" s="976">
        <f t="shared" si="0"/>
        <v>0</v>
      </c>
      <c r="K58" s="977">
        <f t="shared" si="0"/>
        <v>0</v>
      </c>
      <c r="L58" s="978"/>
    </row>
    <row r="59" spans="2:12" s="984" customFormat="1" ht="14.6" thickBot="1" x14ac:dyDescent="0.4">
      <c r="B59" s="979"/>
      <c r="C59" s="980"/>
      <c r="D59" s="980"/>
      <c r="E59" s="981"/>
      <c r="F59" s="981"/>
      <c r="G59" s="981"/>
      <c r="H59" s="981"/>
      <c r="I59" s="981"/>
      <c r="J59" s="981"/>
      <c r="K59" s="982"/>
      <c r="L59" s="983"/>
    </row>
    <row r="60" spans="2:12" ht="21" customHeight="1" x14ac:dyDescent="0.35">
      <c r="B60" s="939"/>
      <c r="C60" s="940"/>
      <c r="D60" s="940"/>
      <c r="E60" s="940"/>
      <c r="F60" s="940"/>
      <c r="G60" s="1125" t="s">
        <v>1103</v>
      </c>
      <c r="H60" s="1126"/>
      <c r="I60" s="1126"/>
      <c r="J60" s="1126"/>
      <c r="K60" s="985">
        <f>(($E$58*(1-'GHG ERFs'!B217)^('GHG ERFs'!B218-'GHG ERFs'!B219))/'GHG ERFs'!A201)</f>
        <v>0</v>
      </c>
    </row>
    <row r="61" spans="2:12" ht="21" customHeight="1" x14ac:dyDescent="0.35">
      <c r="B61" s="939"/>
      <c r="C61" s="940"/>
      <c r="D61" s="940"/>
      <c r="E61" s="940"/>
      <c r="F61" s="940"/>
      <c r="G61" s="1116" t="s">
        <v>1104</v>
      </c>
      <c r="H61" s="1117"/>
      <c r="I61" s="1117"/>
      <c r="J61" s="1117"/>
      <c r="K61" s="986">
        <f>(($F$58*'GHG ERFs'!B222)+($G$58*'GHG ERFs'!A211*'GHG ERFs'!B223))*(1-'GHG ERFs'!B217)^('GHG ERFs'!B218-'GHG ERFs'!B219)</f>
        <v>0</v>
      </c>
    </row>
    <row r="62" spans="2:12" ht="21" customHeight="1" x14ac:dyDescent="0.35">
      <c r="B62" s="939"/>
      <c r="C62" s="940"/>
      <c r="D62" s="940"/>
      <c r="E62" s="940"/>
      <c r="F62" s="940"/>
      <c r="G62" s="1116" t="s">
        <v>1105</v>
      </c>
      <c r="H62" s="1117"/>
      <c r="I62" s="1117"/>
      <c r="J62" s="1117"/>
      <c r="K62" s="986">
        <f>($K$60+$K$61)*'GHG ERFs'!B231</f>
        <v>0</v>
      </c>
    </row>
    <row r="63" spans="2:12" ht="21" customHeight="1" x14ac:dyDescent="0.35">
      <c r="B63" s="939"/>
      <c r="C63" s="940"/>
      <c r="D63" s="940"/>
      <c r="E63" s="940"/>
      <c r="F63" s="940"/>
      <c r="G63" s="1153" t="s">
        <v>1106</v>
      </c>
      <c r="H63" s="1154"/>
      <c r="I63" s="1154"/>
      <c r="J63" s="1154"/>
      <c r="K63" s="986">
        <f>($I$58*((1-'GHG ERFs'!B217)^('GHG ERFs'!B218-'GHG ERFs'!B219))+(($F$58*'GHG ERFs'!B226+$G$58*'GHG ERFs'!B229)*((1-'GHG ERFs'!B217)^('GHG ERFs'!B218-'GHG ERFs'!B219))))</f>
        <v>0</v>
      </c>
    </row>
    <row r="64" spans="2:12" ht="21" customHeight="1" x14ac:dyDescent="0.35">
      <c r="B64" s="939"/>
      <c r="C64" s="940"/>
      <c r="D64" s="940"/>
      <c r="E64" s="940"/>
      <c r="F64" s="940"/>
      <c r="G64" s="1153" t="s">
        <v>1037</v>
      </c>
      <c r="H64" s="1154"/>
      <c r="I64" s="1154"/>
      <c r="J64" s="1154"/>
      <c r="K64" s="986">
        <f>($H$58*(1-'GHG ERFs'!B217)^('GHG ERFs'!B218-'GHG ERFs'!B219))+(($F$58*'GHG ERFs'!B225+$G$58*'GHG ERFs'!B228)*(1-'GHG ERFs'!B217)^('GHG ERFs'!B218-'GHG ERFs'!B219))</f>
        <v>0</v>
      </c>
    </row>
    <row r="65" spans="2:11" ht="21" customHeight="1" x14ac:dyDescent="0.35">
      <c r="B65" s="939"/>
      <c r="C65" s="940"/>
      <c r="D65" s="940"/>
      <c r="E65" s="940"/>
      <c r="F65" s="940"/>
      <c r="G65" s="1153" t="s">
        <v>1038</v>
      </c>
      <c r="H65" s="1154"/>
      <c r="I65" s="1154"/>
      <c r="J65" s="1154"/>
      <c r="K65" s="986">
        <f>($F$58*'GHG ERFs'!B224+$G$58*'GHG ERFs'!B227)*(1-'GHG ERFs'!B217)^('GHG ERFs'!B218-'GHG ERFs'!B219)</f>
        <v>0</v>
      </c>
    </row>
    <row r="66" spans="2:11" ht="21.75" customHeight="1" x14ac:dyDescent="0.35">
      <c r="B66" s="939"/>
      <c r="C66" s="940"/>
      <c r="D66" s="940"/>
      <c r="E66" s="940"/>
      <c r="F66" s="940"/>
      <c r="G66" s="1116" t="s">
        <v>1107</v>
      </c>
      <c r="H66" s="1117"/>
      <c r="I66" s="1117"/>
      <c r="J66" s="1117"/>
      <c r="K66" s="987">
        <f>$H$22+($J$58+$K$58)*(1-'GHG ERFs'!B217)^('GHG ERFs'!B218-'GHG ERFs'!B219)</f>
        <v>0</v>
      </c>
    </row>
    <row r="67" spans="2:11" ht="21" customHeight="1" x14ac:dyDescent="0.35">
      <c r="B67" s="939"/>
      <c r="C67" s="940"/>
      <c r="D67" s="940"/>
      <c r="E67" s="940"/>
      <c r="F67" s="940"/>
      <c r="G67" s="1118" t="s">
        <v>1039</v>
      </c>
      <c r="H67" s="1119"/>
      <c r="I67" s="1119"/>
      <c r="J67" s="1119"/>
      <c r="K67" s="988">
        <f>$F$58*(1-'GHG ERFs'!B217)^('GHG ERFs'!B218-'GHG ERFs'!B219)</f>
        <v>0</v>
      </c>
    </row>
    <row r="68" spans="2:11" ht="22.5" customHeight="1" thickBot="1" x14ac:dyDescent="0.4">
      <c r="B68" s="939"/>
      <c r="C68" s="940"/>
      <c r="D68" s="940"/>
      <c r="E68" s="940"/>
      <c r="F68" s="940"/>
      <c r="G68" s="1127" t="s">
        <v>1040</v>
      </c>
      <c r="H68" s="1128"/>
      <c r="I68" s="1128"/>
      <c r="J68" s="1128"/>
      <c r="K68" s="989">
        <f>$G$58*'GHG ERFs'!A211*(1-'GHG ERFs'!B217)^('GHG ERFs'!B218-'GHG ERFs'!B219)</f>
        <v>0</v>
      </c>
    </row>
    <row r="69" spans="2:11" ht="20.25" customHeight="1" x14ac:dyDescent="0.35">
      <c r="B69" s="990"/>
      <c r="C69" s="991"/>
      <c r="D69" s="991"/>
      <c r="E69" s="991"/>
      <c r="F69" s="991"/>
    </row>
  </sheetData>
  <sheetProtection algorithmName="SHA-512" hashValue="N35S4QcyQye2yTYDh4p6tGsBVoacJUw/lZmnvrTQTeTj5nC9ywcTfKl5LRbXaUXNg+oZRkNoUGJzZ7Ri/X64gw==" saltValue="Sqoh0aKT/tCUM+dHmbJnQw==" spinCount="100000" sheet="1" objects="1" scenarios="1"/>
  <mergeCells count="23">
    <mergeCell ref="G68:J68"/>
    <mergeCell ref="B22:G22"/>
    <mergeCell ref="B1:K1"/>
    <mergeCell ref="B2:K2"/>
    <mergeCell ref="B3:K3"/>
    <mergeCell ref="B4:K4"/>
    <mergeCell ref="B5:K5"/>
    <mergeCell ref="B6:K6"/>
    <mergeCell ref="B8:K8"/>
    <mergeCell ref="B10:F10"/>
    <mergeCell ref="B18:K18"/>
    <mergeCell ref="B20:G20"/>
    <mergeCell ref="B21:G21"/>
    <mergeCell ref="G63:J63"/>
    <mergeCell ref="G64:J64"/>
    <mergeCell ref="G65:J65"/>
    <mergeCell ref="G66:J66"/>
    <mergeCell ref="G67:J67"/>
    <mergeCell ref="B25:K25"/>
    <mergeCell ref="B58:C58"/>
    <mergeCell ref="G60:J60"/>
    <mergeCell ref="G61:J61"/>
    <mergeCell ref="G62:J62"/>
  </mergeCells>
  <hyperlinks>
    <hyperlink ref="D15" r:id="rId1" tooltip="Link to i-Tree Planting Tool" xr:uid="{00000000-0004-0000-0700-000000000000}"/>
    <hyperlink ref="B10:F10" r:id="rId2" display="A step-by-step user guide, including project examples, for this Benefits Calculator Tool is available here." xr:uid="{92084CAF-B739-4EF8-B609-94BB28443D7F}"/>
  </hyperlinks>
  <pageMargins left="0" right="0.7" top="0" bottom="0.75" header="0.3" footer="0.3"/>
  <pageSetup scale="41" orientation="landscape" r:id="rId3"/>
  <headerFooter>
    <oddFooter>&amp;L&amp;12DRAFT January XX, 2019&amp;CPage &amp;P of &amp;N&amp;R&amp;A</oddFooter>
  </headerFooter>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pageSetUpPr fitToPage="1"/>
  </sheetPr>
  <dimension ref="B1:AA163"/>
  <sheetViews>
    <sheetView showGridLines="0" zoomScaleNormal="100" workbookViewId="0">
      <selection activeCell="E13" sqref="E13:F13"/>
    </sheetView>
  </sheetViews>
  <sheetFormatPr defaultColWidth="9.15234375" defaultRowHeight="14.15" x14ac:dyDescent="0.35"/>
  <cols>
    <col min="1" max="1" width="4.3046875" style="850" customWidth="1"/>
    <col min="2" max="6" width="33.3046875" style="850" customWidth="1"/>
    <col min="7" max="7" width="4.3046875" style="850" customWidth="1"/>
    <col min="8" max="8" width="34.53515625" style="850" bestFit="1" customWidth="1"/>
    <col min="9" max="9" width="19.3828125" style="850" customWidth="1"/>
    <col min="10" max="10" width="16.84375" style="850" customWidth="1"/>
    <col min="11" max="11" width="14.15234375" style="850" customWidth="1"/>
    <col min="12" max="12" width="31.69140625" style="850" customWidth="1"/>
    <col min="13" max="16384" width="9.15234375" style="850"/>
  </cols>
  <sheetData>
    <row r="1" spans="2:27" ht="18.75" customHeight="1" x14ac:dyDescent="0.35">
      <c r="B1" s="1071" t="s">
        <v>411</v>
      </c>
      <c r="C1" s="1071"/>
      <c r="D1" s="1071"/>
      <c r="E1" s="1071"/>
      <c r="F1" s="1071"/>
    </row>
    <row r="2" spans="2:27" ht="15" customHeight="1" x14ac:dyDescent="0.35">
      <c r="B2" s="1072"/>
      <c r="C2" s="1072"/>
      <c r="D2" s="1072"/>
      <c r="E2" s="1072"/>
      <c r="F2" s="1072"/>
    </row>
    <row r="3" spans="2:27" ht="18.75" customHeight="1" x14ac:dyDescent="0.35">
      <c r="B3" s="1071" t="s">
        <v>1083</v>
      </c>
      <c r="C3" s="1071"/>
      <c r="D3" s="1071"/>
      <c r="E3" s="1071"/>
      <c r="F3" s="1071"/>
    </row>
    <row r="4" spans="2:27" ht="18.75" customHeight="1" x14ac:dyDescent="0.35">
      <c r="B4" s="1073" t="s">
        <v>1116</v>
      </c>
      <c r="C4" s="1073"/>
      <c r="D4" s="1073"/>
      <c r="E4" s="1073"/>
      <c r="F4" s="1073"/>
    </row>
    <row r="5" spans="2:27" ht="15" customHeight="1" x14ac:dyDescent="0.35">
      <c r="B5" s="1072"/>
      <c r="C5" s="1072"/>
      <c r="D5" s="1072"/>
      <c r="E5" s="1072"/>
      <c r="F5" s="1072"/>
    </row>
    <row r="6" spans="2:27" ht="18.75" customHeight="1" x14ac:dyDescent="0.35">
      <c r="B6" s="1071" t="s">
        <v>413</v>
      </c>
      <c r="C6" s="1071"/>
      <c r="D6" s="1071"/>
      <c r="E6" s="1071"/>
      <c r="F6" s="1071"/>
    </row>
    <row r="7" spans="2:27" ht="15" customHeight="1" x14ac:dyDescent="0.35"/>
    <row r="8" spans="2:27" ht="15" customHeight="1" x14ac:dyDescent="0.35">
      <c r="B8" s="1157" t="s">
        <v>433</v>
      </c>
      <c r="C8" s="1157"/>
      <c r="D8" s="1157"/>
      <c r="E8" s="1157"/>
      <c r="F8" s="1157"/>
    </row>
    <row r="9" spans="2:27" ht="15" customHeight="1" x14ac:dyDescent="0.4">
      <c r="B9" s="1158" t="s">
        <v>434</v>
      </c>
      <c r="C9" s="1158"/>
      <c r="D9" s="1158"/>
      <c r="E9" s="1159" t="str">
        <f>IF('Project Info'!E14="","",'Project Info'!E14)</f>
        <v/>
      </c>
      <c r="F9" s="1159"/>
    </row>
    <row r="10" spans="2:27" ht="15" customHeight="1" x14ac:dyDescent="0.4">
      <c r="B10" s="1158" t="s">
        <v>1108</v>
      </c>
      <c r="C10" s="1158"/>
      <c r="D10" s="1158"/>
      <c r="E10" s="1160">
        <f>'Project Info'!E20</f>
        <v>0</v>
      </c>
      <c r="F10" s="1160"/>
    </row>
    <row r="11" spans="2:27" ht="15" customHeight="1" x14ac:dyDescent="0.4">
      <c r="B11" s="1158" t="s">
        <v>435</v>
      </c>
      <c r="C11" s="1158"/>
      <c r="D11" s="1158"/>
      <c r="E11" s="1160">
        <f>'Project Info'!E21</f>
        <v>0</v>
      </c>
      <c r="F11" s="1160"/>
    </row>
    <row r="12" spans="2:27" ht="15" customHeight="1" x14ac:dyDescent="0.4">
      <c r="B12" s="1158" t="s">
        <v>436</v>
      </c>
      <c r="C12" s="1158"/>
      <c r="D12" s="1158"/>
      <c r="E12" s="1160">
        <f>'Project Info'!E22</f>
        <v>0</v>
      </c>
      <c r="F12" s="1160"/>
    </row>
    <row r="13" spans="2:27" ht="15" customHeight="1" x14ac:dyDescent="0.4">
      <c r="B13" s="1158" t="s">
        <v>437</v>
      </c>
      <c r="C13" s="1158"/>
      <c r="D13" s="1158"/>
      <c r="E13" s="1160">
        <f>'Project Info'!E23</f>
        <v>0</v>
      </c>
      <c r="F13" s="1160"/>
    </row>
    <row r="14" spans="2:27" ht="15" customHeight="1" x14ac:dyDescent="0.4">
      <c r="B14" s="992"/>
      <c r="C14" s="992"/>
      <c r="D14" s="992"/>
      <c r="E14" s="992"/>
      <c r="F14" s="992"/>
      <c r="G14" s="855"/>
      <c r="H14" s="855"/>
      <c r="I14" s="855"/>
      <c r="J14" s="855"/>
      <c r="K14" s="855"/>
      <c r="L14" s="855"/>
      <c r="M14" s="855"/>
      <c r="N14" s="855"/>
      <c r="O14" s="855"/>
      <c r="P14" s="855"/>
      <c r="Q14" s="855"/>
      <c r="R14" s="855"/>
      <c r="S14" s="855"/>
      <c r="T14" s="855"/>
      <c r="U14" s="855"/>
      <c r="V14" s="855"/>
      <c r="W14" s="855"/>
      <c r="X14" s="855"/>
      <c r="Y14" s="856"/>
      <c r="Z14" s="856"/>
      <c r="AA14" s="855"/>
    </row>
    <row r="15" spans="2:27" ht="15" customHeight="1" x14ac:dyDescent="0.4">
      <c r="B15" s="1157" t="s">
        <v>31</v>
      </c>
      <c r="C15" s="1157"/>
      <c r="D15" s="1157"/>
      <c r="E15" s="1157"/>
      <c r="F15" s="1157"/>
      <c r="G15" s="855"/>
      <c r="H15" s="855"/>
      <c r="I15" s="855"/>
      <c r="J15" s="855"/>
      <c r="K15" s="855"/>
    </row>
    <row r="16" spans="2:27" s="994" customFormat="1" ht="15" customHeight="1" x14ac:dyDescent="0.4">
      <c r="B16" s="1155" t="s">
        <v>1125</v>
      </c>
      <c r="C16" s="1155"/>
      <c r="D16" s="1155"/>
      <c r="E16" s="1156">
        <f>IFERROR(E17*(E10/E13),0)</f>
        <v>0</v>
      </c>
      <c r="F16" s="1156"/>
      <c r="G16" s="993"/>
      <c r="H16" s="993"/>
      <c r="I16" s="993"/>
      <c r="J16" s="993"/>
      <c r="K16" s="993"/>
    </row>
    <row r="17" spans="2:11" s="994" customFormat="1" ht="15" customHeight="1" x14ac:dyDescent="0.4">
      <c r="B17" s="1155" t="s">
        <v>1109</v>
      </c>
      <c r="C17" s="1155"/>
      <c r="D17" s="1155"/>
      <c r="E17" s="1156">
        <f>SUM(Compost!G25,'Standalone AD'!E30,'Co-Digestion'!D32,Food!E47,'Community Compost'!F20,'Tree Planting'!K60,'Tree Planting'!K61,-'Tree Planting'!K62)</f>
        <v>0</v>
      </c>
      <c r="F17" s="1159"/>
      <c r="G17" s="993"/>
      <c r="H17" s="993"/>
      <c r="I17" s="993"/>
      <c r="J17" s="993"/>
      <c r="K17" s="993"/>
    </row>
    <row r="18" spans="2:11" s="994" customFormat="1" ht="15" customHeight="1" x14ac:dyDescent="0.4">
      <c r="B18" s="1161" t="s">
        <v>1126</v>
      </c>
      <c r="C18" s="1161"/>
      <c r="D18" s="1161"/>
      <c r="E18" s="1164">
        <f>IFERROR(E17/E10,0)</f>
        <v>0</v>
      </c>
      <c r="F18" s="1164"/>
      <c r="G18" s="993"/>
      <c r="H18" s="993"/>
      <c r="I18" s="993"/>
      <c r="J18" s="993"/>
      <c r="K18" s="993"/>
    </row>
    <row r="19" spans="2:11" s="994" customFormat="1" ht="15" customHeight="1" x14ac:dyDescent="0.4">
      <c r="B19" s="1161" t="s">
        <v>1110</v>
      </c>
      <c r="C19" s="1161"/>
      <c r="D19" s="1161"/>
      <c r="E19" s="1164">
        <f>IFERROR(E17/E13,0)</f>
        <v>0</v>
      </c>
      <c r="F19" s="1164"/>
      <c r="G19" s="993"/>
      <c r="H19" s="993"/>
      <c r="I19" s="993"/>
      <c r="J19" s="993"/>
      <c r="K19" s="993"/>
    </row>
    <row r="20" spans="2:11" ht="15" customHeight="1" x14ac:dyDescent="0.4">
      <c r="B20" s="1161" t="s">
        <v>1127</v>
      </c>
      <c r="C20" s="1161"/>
      <c r="D20" s="1161"/>
      <c r="E20" s="1162">
        <f>IFERROR(E10/E17,0)</f>
        <v>0</v>
      </c>
      <c r="F20" s="1163"/>
      <c r="G20" s="855"/>
      <c r="H20" s="855"/>
      <c r="I20" s="855"/>
      <c r="J20" s="855"/>
      <c r="K20" s="855"/>
    </row>
    <row r="21" spans="2:11" ht="15" customHeight="1" x14ac:dyDescent="0.4">
      <c r="B21" s="1161" t="s">
        <v>1111</v>
      </c>
      <c r="C21" s="1161"/>
      <c r="D21" s="1161"/>
      <c r="E21" s="1162">
        <f>IFERROR(E13/E17,0)</f>
        <v>0</v>
      </c>
      <c r="F21" s="1163"/>
      <c r="G21" s="855"/>
      <c r="H21" s="855"/>
      <c r="I21" s="855"/>
      <c r="J21" s="855"/>
      <c r="K21" s="855"/>
    </row>
    <row r="22" spans="2:11" ht="15" customHeight="1" x14ac:dyDescent="0.4">
      <c r="B22" s="995"/>
      <c r="C22" s="995"/>
      <c r="D22" s="995"/>
      <c r="E22" s="995"/>
      <c r="F22" s="995"/>
      <c r="G22" s="855"/>
      <c r="H22" s="855"/>
      <c r="I22" s="855"/>
      <c r="J22" s="855"/>
      <c r="K22" s="855"/>
    </row>
    <row r="23" spans="2:11" ht="15" customHeight="1" x14ac:dyDescent="0.4">
      <c r="B23" s="995"/>
      <c r="C23" s="995"/>
      <c r="D23" s="995"/>
      <c r="E23" s="995"/>
      <c r="F23" s="995"/>
      <c r="G23" s="855"/>
      <c r="H23" s="855"/>
      <c r="I23" s="855"/>
      <c r="J23" s="855"/>
      <c r="K23" s="855"/>
    </row>
    <row r="24" spans="2:11" ht="15" customHeight="1" x14ac:dyDescent="0.4">
      <c r="B24" s="995"/>
      <c r="C24" s="995"/>
      <c r="D24" s="995"/>
      <c r="E24" s="995"/>
      <c r="F24" s="995"/>
      <c r="G24" s="855"/>
      <c r="H24" s="855"/>
      <c r="I24" s="855"/>
      <c r="J24" s="855"/>
      <c r="K24" s="855"/>
    </row>
    <row r="25" spans="2:11" ht="15" customHeight="1" x14ac:dyDescent="0.4">
      <c r="B25" s="995"/>
      <c r="C25" s="995"/>
      <c r="D25" s="995"/>
      <c r="E25" s="995"/>
      <c r="F25" s="995"/>
      <c r="G25" s="855"/>
      <c r="H25" s="855"/>
      <c r="I25" s="855"/>
      <c r="J25" s="855"/>
      <c r="K25" s="855"/>
    </row>
    <row r="26" spans="2:11" ht="15" customHeight="1" x14ac:dyDescent="0.4">
      <c r="B26" s="996"/>
      <c r="C26" s="996"/>
      <c r="D26" s="996"/>
      <c r="E26" s="996"/>
      <c r="F26" s="996"/>
      <c r="G26" s="855"/>
      <c r="H26" s="855"/>
      <c r="I26" s="855"/>
      <c r="J26" s="855"/>
      <c r="K26" s="855"/>
    </row>
    <row r="27" spans="2:11" ht="15" customHeight="1" x14ac:dyDescent="0.4">
      <c r="B27" s="997"/>
      <c r="C27" s="997"/>
      <c r="D27" s="997"/>
      <c r="E27" s="997"/>
      <c r="F27" s="997"/>
      <c r="G27" s="855"/>
      <c r="H27" s="855"/>
      <c r="I27" s="855"/>
      <c r="J27" s="855"/>
      <c r="K27" s="855"/>
    </row>
    <row r="28" spans="2:11" ht="15" customHeight="1" x14ac:dyDescent="0.4">
      <c r="B28" s="998"/>
      <c r="C28" s="998"/>
      <c r="D28" s="998"/>
      <c r="E28" s="998"/>
      <c r="F28" s="998"/>
      <c r="G28" s="855"/>
      <c r="H28" s="855"/>
      <c r="I28" s="855"/>
      <c r="J28" s="855"/>
      <c r="K28" s="855"/>
    </row>
    <row r="29" spans="2:11" ht="15" customHeight="1" x14ac:dyDescent="0.4">
      <c r="B29" s="998"/>
      <c r="C29" s="998"/>
      <c r="D29" s="998"/>
      <c r="E29" s="998"/>
      <c r="F29" s="998"/>
      <c r="G29" s="855"/>
      <c r="H29" s="855"/>
      <c r="I29" s="855"/>
      <c r="J29" s="855"/>
      <c r="K29" s="855"/>
    </row>
    <row r="30" spans="2:11" ht="15" customHeight="1" x14ac:dyDescent="0.4">
      <c r="B30" s="998"/>
      <c r="C30" s="998"/>
      <c r="D30" s="998"/>
      <c r="E30" s="998"/>
      <c r="F30" s="998"/>
      <c r="G30" s="855"/>
      <c r="H30" s="855"/>
      <c r="I30" s="855"/>
      <c r="J30" s="855"/>
      <c r="K30" s="855"/>
    </row>
    <row r="31" spans="2:11" ht="15" customHeight="1" x14ac:dyDescent="0.4">
      <c r="B31" s="998"/>
      <c r="C31" s="998"/>
      <c r="D31" s="998"/>
      <c r="E31" s="998"/>
      <c r="F31" s="998"/>
      <c r="G31" s="855"/>
      <c r="H31" s="855"/>
      <c r="I31" s="855"/>
      <c r="J31" s="855"/>
      <c r="K31" s="855"/>
    </row>
    <row r="32" spans="2:11" ht="15" customHeight="1" x14ac:dyDescent="0.4">
      <c r="B32" s="998"/>
      <c r="C32" s="998"/>
      <c r="D32" s="998"/>
      <c r="E32" s="998"/>
      <c r="F32" s="998"/>
      <c r="G32" s="855"/>
      <c r="H32" s="855"/>
      <c r="I32" s="855"/>
      <c r="J32" s="855"/>
      <c r="K32" s="855"/>
    </row>
    <row r="33" spans="2:11" ht="15" customHeight="1" x14ac:dyDescent="0.4">
      <c r="B33" s="998"/>
      <c r="C33" s="998"/>
      <c r="D33" s="998"/>
      <c r="E33" s="998"/>
      <c r="F33" s="998"/>
      <c r="G33" s="855"/>
      <c r="H33" s="855"/>
      <c r="I33" s="855"/>
      <c r="J33" s="855"/>
      <c r="K33" s="855"/>
    </row>
    <row r="34" spans="2:11" ht="15" customHeight="1" x14ac:dyDescent="0.4">
      <c r="B34" s="998"/>
      <c r="C34" s="998"/>
      <c r="D34" s="998"/>
      <c r="E34" s="998"/>
      <c r="F34" s="998"/>
      <c r="G34" s="855"/>
      <c r="H34" s="855"/>
      <c r="I34" s="855"/>
      <c r="J34" s="855"/>
      <c r="K34" s="855"/>
    </row>
    <row r="35" spans="2:11" ht="15" customHeight="1" x14ac:dyDescent="0.4">
      <c r="B35" s="998"/>
      <c r="C35" s="998"/>
      <c r="D35" s="998"/>
      <c r="E35" s="998"/>
      <c r="F35" s="998"/>
      <c r="G35" s="855"/>
      <c r="H35" s="855"/>
      <c r="I35" s="855"/>
      <c r="J35" s="855"/>
      <c r="K35" s="855"/>
    </row>
    <row r="36" spans="2:11" ht="15" customHeight="1" x14ac:dyDescent="0.4">
      <c r="B36" s="999"/>
      <c r="C36" s="999"/>
      <c r="D36" s="999"/>
      <c r="E36" s="999"/>
      <c r="F36" s="999"/>
      <c r="G36" s="855"/>
      <c r="H36" s="855"/>
      <c r="I36" s="855"/>
      <c r="J36" s="855"/>
      <c r="K36" s="855"/>
    </row>
    <row r="37" spans="2:11" ht="15" customHeight="1" x14ac:dyDescent="0.4">
      <c r="B37" s="999"/>
      <c r="C37" s="999"/>
      <c r="D37" s="999"/>
      <c r="E37" s="999"/>
      <c r="F37" s="999"/>
      <c r="G37" s="855"/>
      <c r="H37" s="855"/>
      <c r="I37" s="855"/>
      <c r="J37" s="855"/>
      <c r="K37" s="855"/>
    </row>
    <row r="38" spans="2:11" ht="15" customHeight="1" x14ac:dyDescent="0.4">
      <c r="B38" s="1000"/>
      <c r="C38" s="1000"/>
      <c r="D38" s="1000"/>
      <c r="E38" s="1000"/>
      <c r="F38" s="999"/>
      <c r="G38" s="855"/>
      <c r="H38" s="855"/>
      <c r="I38" s="855"/>
      <c r="J38" s="855"/>
      <c r="K38" s="855"/>
    </row>
    <row r="39" spans="2:11" ht="15" customHeight="1" x14ac:dyDescent="0.4">
      <c r="B39" s="1001"/>
      <c r="C39" s="1001"/>
      <c r="D39" s="1001"/>
      <c r="E39" s="1001"/>
      <c r="F39" s="1001"/>
      <c r="G39" s="855"/>
      <c r="H39" s="855"/>
      <c r="I39" s="855"/>
      <c r="J39" s="855"/>
      <c r="K39" s="855"/>
    </row>
    <row r="40" spans="2:11" ht="15" customHeight="1" x14ac:dyDescent="0.4">
      <c r="B40" s="1001"/>
      <c r="C40" s="1001"/>
      <c r="D40" s="1001"/>
      <c r="E40" s="1001"/>
      <c r="F40" s="1001"/>
      <c r="G40" s="855"/>
      <c r="H40" s="855"/>
      <c r="I40" s="855"/>
      <c r="J40" s="855"/>
      <c r="K40" s="855"/>
    </row>
    <row r="41" spans="2:11" ht="15" customHeight="1" x14ac:dyDescent="0.4">
      <c r="B41" s="1001"/>
      <c r="C41" s="1001"/>
      <c r="D41" s="1001"/>
      <c r="E41" s="1001"/>
      <c r="F41" s="1001"/>
      <c r="G41" s="855"/>
      <c r="H41" s="855"/>
      <c r="I41" s="855"/>
      <c r="J41" s="855"/>
      <c r="K41" s="855"/>
    </row>
    <row r="42" spans="2:11" ht="15" customHeight="1" x14ac:dyDescent="0.4">
      <c r="G42" s="855"/>
      <c r="H42" s="855"/>
      <c r="I42" s="855"/>
      <c r="J42" s="855"/>
      <c r="K42" s="855"/>
    </row>
    <row r="43" spans="2:11" ht="15" customHeight="1" x14ac:dyDescent="0.4">
      <c r="G43" s="855"/>
      <c r="H43" s="855"/>
      <c r="I43" s="855"/>
      <c r="J43" s="855"/>
      <c r="K43" s="855"/>
    </row>
    <row r="44" spans="2:11" ht="15" customHeight="1" x14ac:dyDescent="0.4">
      <c r="G44" s="855"/>
      <c r="H44" s="855"/>
      <c r="I44" s="855"/>
      <c r="J44" s="855"/>
      <c r="K44" s="855"/>
    </row>
    <row r="45" spans="2:11" ht="15" customHeight="1" x14ac:dyDescent="0.4">
      <c r="G45" s="855"/>
      <c r="H45" s="855"/>
      <c r="I45" s="855"/>
      <c r="J45" s="855"/>
      <c r="K45" s="855"/>
    </row>
    <row r="46" spans="2:11" ht="15" customHeight="1" x14ac:dyDescent="0.4">
      <c r="G46" s="855"/>
      <c r="H46" s="855"/>
      <c r="I46" s="855"/>
      <c r="J46" s="855"/>
      <c r="K46" s="855"/>
    </row>
    <row r="47" spans="2:11" ht="15" customHeight="1" x14ac:dyDescent="0.4">
      <c r="G47" s="855"/>
      <c r="H47" s="855"/>
      <c r="I47" s="855"/>
      <c r="J47" s="855"/>
      <c r="K47" s="855"/>
    </row>
    <row r="48" spans="2:11" ht="15" customHeight="1" x14ac:dyDescent="0.4">
      <c r="G48" s="855"/>
      <c r="H48" s="855"/>
      <c r="I48" s="855"/>
      <c r="J48" s="855"/>
      <c r="K48" s="855"/>
    </row>
    <row r="49" spans="7:11" ht="15" customHeight="1" x14ac:dyDescent="0.4">
      <c r="G49" s="855"/>
      <c r="H49" s="855"/>
      <c r="I49" s="855"/>
      <c r="J49" s="855"/>
      <c r="K49" s="855"/>
    </row>
    <row r="50" spans="7:11" ht="15" customHeight="1" x14ac:dyDescent="0.4">
      <c r="G50" s="855"/>
      <c r="H50" s="855"/>
      <c r="I50" s="855"/>
      <c r="J50" s="855"/>
      <c r="K50" s="855"/>
    </row>
    <row r="51" spans="7:11" ht="15" customHeight="1" x14ac:dyDescent="0.4">
      <c r="G51" s="855"/>
      <c r="H51" s="855"/>
      <c r="I51" s="855"/>
      <c r="J51" s="855"/>
      <c r="K51" s="855"/>
    </row>
    <row r="52" spans="7:11" ht="15" customHeight="1" x14ac:dyDescent="0.4">
      <c r="G52" s="855"/>
      <c r="H52" s="855"/>
      <c r="I52" s="855"/>
      <c r="J52" s="855"/>
      <c r="K52" s="855"/>
    </row>
    <row r="53" spans="7:11" ht="15" customHeight="1" x14ac:dyDescent="0.4">
      <c r="G53" s="855"/>
      <c r="H53" s="855"/>
      <c r="I53" s="855"/>
      <c r="J53" s="855"/>
      <c r="K53" s="855"/>
    </row>
    <row r="54" spans="7:11" ht="15" customHeight="1" x14ac:dyDescent="0.4">
      <c r="G54" s="855"/>
      <c r="H54" s="855"/>
      <c r="I54" s="855"/>
      <c r="J54" s="855"/>
      <c r="K54" s="855"/>
    </row>
    <row r="55" spans="7:11" ht="15" customHeight="1" x14ac:dyDescent="0.4">
      <c r="G55" s="855"/>
      <c r="H55" s="855"/>
      <c r="I55" s="855"/>
      <c r="J55" s="855"/>
      <c r="K55" s="855"/>
    </row>
    <row r="56" spans="7:11" ht="15" customHeight="1" x14ac:dyDescent="0.4">
      <c r="G56" s="855"/>
      <c r="H56" s="855"/>
      <c r="I56" s="855"/>
      <c r="J56" s="855"/>
      <c r="K56" s="855"/>
    </row>
    <row r="57" spans="7:11" ht="15" customHeight="1" x14ac:dyDescent="0.4">
      <c r="G57" s="855"/>
      <c r="H57" s="855"/>
      <c r="I57" s="855"/>
      <c r="J57" s="855"/>
      <c r="K57" s="855"/>
    </row>
    <row r="58" spans="7:11" ht="15" customHeight="1" x14ac:dyDescent="0.4">
      <c r="G58" s="855"/>
      <c r="H58" s="855"/>
      <c r="I58" s="855"/>
      <c r="J58" s="855"/>
      <c r="K58" s="855"/>
    </row>
    <row r="59" spans="7:11" ht="15.45" x14ac:dyDescent="0.4">
      <c r="G59" s="855"/>
      <c r="H59" s="855"/>
      <c r="I59" s="855"/>
      <c r="J59" s="855"/>
      <c r="K59" s="855"/>
    </row>
    <row r="60" spans="7:11" ht="15.45" x14ac:dyDescent="0.4">
      <c r="G60" s="855"/>
      <c r="H60" s="855"/>
      <c r="I60" s="855"/>
      <c r="J60" s="855"/>
      <c r="K60" s="855"/>
    </row>
    <row r="61" spans="7:11" ht="15.45" x14ac:dyDescent="0.4">
      <c r="G61" s="855"/>
      <c r="H61" s="855"/>
      <c r="I61" s="855"/>
      <c r="J61" s="855"/>
      <c r="K61" s="855"/>
    </row>
    <row r="62" spans="7:11" ht="15.45" x14ac:dyDescent="0.4">
      <c r="G62" s="855"/>
      <c r="H62" s="855"/>
      <c r="I62" s="855"/>
      <c r="J62" s="855"/>
      <c r="K62" s="855"/>
    </row>
    <row r="63" spans="7:11" ht="15.45" x14ac:dyDescent="0.4">
      <c r="G63" s="855"/>
      <c r="H63" s="855"/>
      <c r="I63" s="855"/>
      <c r="J63" s="855"/>
      <c r="K63" s="855"/>
    </row>
    <row r="64" spans="7:11" ht="15.45" x14ac:dyDescent="0.4">
      <c r="G64" s="855"/>
      <c r="H64" s="855"/>
      <c r="I64" s="855"/>
      <c r="J64" s="855"/>
      <c r="K64" s="855"/>
    </row>
    <row r="65" spans="7:11" ht="15.45" x14ac:dyDescent="0.4">
      <c r="G65" s="855"/>
      <c r="H65" s="855"/>
      <c r="I65" s="855"/>
      <c r="J65" s="855"/>
      <c r="K65" s="855"/>
    </row>
    <row r="66" spans="7:11" ht="15.45" x14ac:dyDescent="0.4">
      <c r="G66" s="855"/>
      <c r="H66" s="855"/>
      <c r="I66" s="855"/>
      <c r="J66" s="855"/>
      <c r="K66" s="855"/>
    </row>
    <row r="67" spans="7:11" ht="15.45" x14ac:dyDescent="0.4">
      <c r="G67" s="855"/>
      <c r="H67" s="855"/>
      <c r="I67" s="855"/>
      <c r="J67" s="855"/>
      <c r="K67" s="855"/>
    </row>
    <row r="68" spans="7:11" ht="15.45" x14ac:dyDescent="0.4">
      <c r="G68" s="855"/>
      <c r="H68" s="855"/>
      <c r="I68" s="855"/>
      <c r="J68" s="855"/>
      <c r="K68" s="855"/>
    </row>
    <row r="69" spans="7:11" ht="15.45" x14ac:dyDescent="0.4">
      <c r="G69" s="855"/>
      <c r="H69" s="855"/>
      <c r="I69" s="855"/>
      <c r="J69" s="855"/>
      <c r="K69" s="855"/>
    </row>
    <row r="70" spans="7:11" ht="15.45" x14ac:dyDescent="0.4">
      <c r="G70" s="855"/>
      <c r="H70" s="855"/>
      <c r="I70" s="855"/>
      <c r="J70" s="855"/>
      <c r="K70" s="855"/>
    </row>
    <row r="71" spans="7:11" ht="15.45" x14ac:dyDescent="0.4">
      <c r="G71" s="855"/>
      <c r="H71" s="855"/>
      <c r="I71" s="855"/>
      <c r="J71" s="855"/>
      <c r="K71" s="855"/>
    </row>
    <row r="72" spans="7:11" ht="15.45" x14ac:dyDescent="0.4">
      <c r="G72" s="855"/>
      <c r="H72" s="855"/>
      <c r="I72" s="855"/>
      <c r="J72" s="855"/>
      <c r="K72" s="855"/>
    </row>
    <row r="73" spans="7:11" ht="15.45" x14ac:dyDescent="0.4">
      <c r="G73" s="855"/>
      <c r="H73" s="855"/>
      <c r="I73" s="855"/>
      <c r="J73" s="855"/>
      <c r="K73" s="855"/>
    </row>
    <row r="74" spans="7:11" ht="15.45" x14ac:dyDescent="0.4">
      <c r="G74" s="855"/>
      <c r="H74" s="855"/>
      <c r="I74" s="855"/>
      <c r="J74" s="855"/>
      <c r="K74" s="855"/>
    </row>
    <row r="75" spans="7:11" ht="15.45" x14ac:dyDescent="0.4">
      <c r="G75" s="855"/>
      <c r="H75" s="855"/>
      <c r="I75" s="855"/>
      <c r="J75" s="855"/>
      <c r="K75" s="855"/>
    </row>
    <row r="76" spans="7:11" ht="15.45" x14ac:dyDescent="0.4">
      <c r="G76" s="855"/>
      <c r="H76" s="855"/>
      <c r="I76" s="855"/>
      <c r="J76" s="855"/>
      <c r="K76" s="855"/>
    </row>
    <row r="77" spans="7:11" ht="15.45" x14ac:dyDescent="0.4">
      <c r="G77" s="855"/>
      <c r="H77" s="855"/>
      <c r="I77" s="855"/>
      <c r="J77" s="855"/>
      <c r="K77" s="855"/>
    </row>
    <row r="78" spans="7:11" ht="15.45" x14ac:dyDescent="0.4">
      <c r="G78" s="855"/>
      <c r="H78" s="855"/>
      <c r="I78" s="855"/>
      <c r="J78" s="855"/>
      <c r="K78" s="855"/>
    </row>
    <row r="79" spans="7:11" ht="15.45" x14ac:dyDescent="0.4">
      <c r="G79" s="855"/>
      <c r="H79" s="855"/>
      <c r="I79" s="855"/>
      <c r="J79" s="855"/>
      <c r="K79" s="855"/>
    </row>
    <row r="80" spans="7:11" ht="15.45" x14ac:dyDescent="0.4">
      <c r="G80" s="855"/>
      <c r="H80" s="855"/>
      <c r="I80" s="855"/>
      <c r="J80" s="855"/>
      <c r="K80" s="855"/>
    </row>
    <row r="81" spans="7:11" ht="15.45" x14ac:dyDescent="0.4">
      <c r="G81" s="855"/>
      <c r="H81" s="855"/>
      <c r="I81" s="855"/>
      <c r="J81" s="855"/>
      <c r="K81" s="855"/>
    </row>
    <row r="82" spans="7:11" ht="15.45" x14ac:dyDescent="0.4">
      <c r="G82" s="855"/>
      <c r="H82" s="855"/>
      <c r="I82" s="855"/>
      <c r="J82" s="855"/>
      <c r="K82" s="855"/>
    </row>
    <row r="83" spans="7:11" ht="15.45" x14ac:dyDescent="0.4">
      <c r="G83" s="855"/>
      <c r="H83" s="855"/>
      <c r="I83" s="855"/>
      <c r="J83" s="855"/>
      <c r="K83" s="855"/>
    </row>
    <row r="84" spans="7:11" ht="15.45" x14ac:dyDescent="0.4">
      <c r="G84" s="855"/>
      <c r="H84" s="855"/>
      <c r="I84" s="855"/>
      <c r="J84" s="855"/>
      <c r="K84" s="855"/>
    </row>
    <row r="85" spans="7:11" ht="15.45" x14ac:dyDescent="0.4">
      <c r="G85" s="855"/>
      <c r="H85" s="855"/>
      <c r="I85" s="855"/>
      <c r="J85" s="855"/>
      <c r="K85" s="855"/>
    </row>
    <row r="86" spans="7:11" ht="15.45" x14ac:dyDescent="0.4">
      <c r="G86" s="855"/>
      <c r="H86" s="855"/>
      <c r="I86" s="855"/>
      <c r="J86" s="855"/>
      <c r="K86" s="855"/>
    </row>
    <row r="87" spans="7:11" ht="15.45" x14ac:dyDescent="0.4">
      <c r="G87" s="855"/>
      <c r="H87" s="855"/>
      <c r="I87" s="855"/>
      <c r="J87" s="855"/>
      <c r="K87" s="855"/>
    </row>
    <row r="88" spans="7:11" ht="15.45" x14ac:dyDescent="0.4">
      <c r="G88" s="855"/>
      <c r="H88" s="855"/>
      <c r="I88" s="855"/>
      <c r="J88" s="855"/>
      <c r="K88" s="855"/>
    </row>
    <row r="89" spans="7:11" ht="15.45" x14ac:dyDescent="0.4">
      <c r="G89" s="855"/>
      <c r="H89" s="855"/>
      <c r="I89" s="855"/>
      <c r="J89" s="855"/>
      <c r="K89" s="855"/>
    </row>
    <row r="90" spans="7:11" ht="15.45" x14ac:dyDescent="0.4">
      <c r="G90" s="855"/>
      <c r="H90" s="855"/>
      <c r="I90" s="855"/>
      <c r="J90" s="855"/>
      <c r="K90" s="855"/>
    </row>
    <row r="91" spans="7:11" ht="15.45" x14ac:dyDescent="0.4">
      <c r="G91" s="855"/>
      <c r="H91" s="855"/>
      <c r="I91" s="855"/>
      <c r="J91" s="855"/>
      <c r="K91" s="855"/>
    </row>
    <row r="92" spans="7:11" ht="15.45" x14ac:dyDescent="0.4">
      <c r="G92" s="855"/>
      <c r="H92" s="855"/>
      <c r="I92" s="855"/>
      <c r="J92" s="855"/>
      <c r="K92" s="855"/>
    </row>
    <row r="93" spans="7:11" ht="15.45" x14ac:dyDescent="0.4">
      <c r="G93" s="855"/>
      <c r="H93" s="855"/>
      <c r="I93" s="855"/>
      <c r="J93" s="855"/>
      <c r="K93" s="855"/>
    </row>
    <row r="94" spans="7:11" ht="15.45" x14ac:dyDescent="0.4">
      <c r="G94" s="855"/>
      <c r="H94" s="855"/>
      <c r="I94" s="855"/>
      <c r="J94" s="855"/>
      <c r="K94" s="855"/>
    </row>
    <row r="95" spans="7:11" ht="15.45" x14ac:dyDescent="0.4">
      <c r="G95" s="855"/>
      <c r="H95" s="855"/>
      <c r="I95" s="855"/>
      <c r="J95" s="855"/>
      <c r="K95" s="855"/>
    </row>
    <row r="96" spans="7:11" ht="15.45" x14ac:dyDescent="0.4">
      <c r="G96" s="855"/>
      <c r="H96" s="855"/>
      <c r="I96" s="855"/>
      <c r="J96" s="855"/>
      <c r="K96" s="855"/>
    </row>
    <row r="97" spans="7:11" ht="15.45" x14ac:dyDescent="0.4">
      <c r="G97" s="855"/>
      <c r="H97" s="855"/>
      <c r="I97" s="855"/>
      <c r="J97" s="855"/>
      <c r="K97" s="855"/>
    </row>
    <row r="98" spans="7:11" ht="15.45" x14ac:dyDescent="0.4">
      <c r="G98" s="855"/>
      <c r="H98" s="855"/>
      <c r="I98" s="855"/>
      <c r="J98" s="855"/>
      <c r="K98" s="855"/>
    </row>
    <row r="99" spans="7:11" ht="15.45" x14ac:dyDescent="0.4">
      <c r="G99" s="855"/>
      <c r="H99" s="855"/>
      <c r="I99" s="855"/>
      <c r="J99" s="855"/>
      <c r="K99" s="855"/>
    </row>
    <row r="100" spans="7:11" ht="15.45" x14ac:dyDescent="0.4">
      <c r="G100" s="855"/>
      <c r="H100" s="855"/>
      <c r="I100" s="855"/>
      <c r="J100" s="855"/>
      <c r="K100" s="855"/>
    </row>
    <row r="101" spans="7:11" ht="15.45" x14ac:dyDescent="0.4">
      <c r="G101" s="855"/>
      <c r="H101" s="855"/>
      <c r="I101" s="855"/>
      <c r="J101" s="855"/>
      <c r="K101" s="855"/>
    </row>
    <row r="102" spans="7:11" ht="15.45" x14ac:dyDescent="0.4">
      <c r="G102" s="855"/>
      <c r="H102" s="855"/>
      <c r="I102" s="855"/>
      <c r="J102" s="855"/>
      <c r="K102" s="855"/>
    </row>
    <row r="103" spans="7:11" ht="15.45" x14ac:dyDescent="0.4">
      <c r="G103" s="855"/>
      <c r="H103" s="855"/>
      <c r="I103" s="855"/>
      <c r="J103" s="855"/>
      <c r="K103" s="855"/>
    </row>
    <row r="104" spans="7:11" ht="15.45" x14ac:dyDescent="0.4">
      <c r="G104" s="855"/>
      <c r="H104" s="855"/>
      <c r="I104" s="855"/>
      <c r="J104" s="855"/>
      <c r="K104" s="855"/>
    </row>
    <row r="105" spans="7:11" ht="15.45" x14ac:dyDescent="0.4">
      <c r="G105" s="855"/>
      <c r="H105" s="855"/>
      <c r="I105" s="855"/>
      <c r="J105" s="855"/>
      <c r="K105" s="855"/>
    </row>
    <row r="106" spans="7:11" ht="15.45" x14ac:dyDescent="0.4">
      <c r="G106" s="855"/>
      <c r="H106" s="855"/>
      <c r="I106" s="855"/>
      <c r="J106" s="855"/>
      <c r="K106" s="855"/>
    </row>
    <row r="107" spans="7:11" ht="15.45" x14ac:dyDescent="0.4">
      <c r="G107" s="855"/>
      <c r="H107" s="855"/>
      <c r="I107" s="855"/>
      <c r="J107" s="855"/>
      <c r="K107" s="855"/>
    </row>
    <row r="108" spans="7:11" ht="15.45" x14ac:dyDescent="0.4">
      <c r="G108" s="855"/>
      <c r="H108" s="855"/>
      <c r="I108" s="855"/>
      <c r="J108" s="855"/>
      <c r="K108" s="855"/>
    </row>
    <row r="109" spans="7:11" ht="15.45" x14ac:dyDescent="0.4">
      <c r="G109" s="855"/>
      <c r="H109" s="855"/>
      <c r="I109" s="855"/>
      <c r="J109" s="855"/>
      <c r="K109" s="855"/>
    </row>
    <row r="110" spans="7:11" ht="15.45" x14ac:dyDescent="0.4">
      <c r="G110" s="855"/>
      <c r="H110" s="855"/>
      <c r="I110" s="855"/>
      <c r="J110" s="855"/>
      <c r="K110" s="855"/>
    </row>
    <row r="111" spans="7:11" ht="15.45" x14ac:dyDescent="0.4">
      <c r="G111" s="855"/>
      <c r="H111" s="855"/>
      <c r="I111" s="855"/>
      <c r="J111" s="855"/>
      <c r="K111" s="855"/>
    </row>
    <row r="112" spans="7:11" ht="15.45" x14ac:dyDescent="0.4">
      <c r="G112" s="855"/>
      <c r="H112" s="855"/>
      <c r="I112" s="855"/>
      <c r="J112" s="855"/>
      <c r="K112" s="855"/>
    </row>
    <row r="113" spans="7:11" ht="15.45" x14ac:dyDescent="0.4">
      <c r="G113" s="855"/>
      <c r="H113" s="855"/>
      <c r="I113" s="855"/>
      <c r="J113" s="855"/>
      <c r="K113" s="855"/>
    </row>
    <row r="114" spans="7:11" ht="15.45" x14ac:dyDescent="0.4">
      <c r="G114" s="855"/>
      <c r="H114" s="855"/>
      <c r="I114" s="855"/>
      <c r="J114" s="855"/>
      <c r="K114" s="855"/>
    </row>
    <row r="115" spans="7:11" ht="15.45" x14ac:dyDescent="0.4">
      <c r="G115" s="855"/>
      <c r="H115" s="855"/>
      <c r="I115" s="855"/>
      <c r="J115" s="855"/>
      <c r="K115" s="855"/>
    </row>
    <row r="116" spans="7:11" ht="15.45" x14ac:dyDescent="0.4">
      <c r="G116" s="855"/>
      <c r="H116" s="855"/>
      <c r="I116" s="855"/>
      <c r="J116" s="855"/>
      <c r="K116" s="855"/>
    </row>
    <row r="117" spans="7:11" ht="15.45" x14ac:dyDescent="0.4">
      <c r="G117" s="855"/>
      <c r="H117" s="855"/>
      <c r="I117" s="855"/>
      <c r="J117" s="855"/>
      <c r="K117" s="855"/>
    </row>
    <row r="118" spans="7:11" ht="15.45" x14ac:dyDescent="0.4">
      <c r="G118" s="855"/>
      <c r="H118" s="855"/>
      <c r="I118" s="855"/>
      <c r="J118" s="855"/>
      <c r="K118" s="855"/>
    </row>
    <row r="119" spans="7:11" ht="15.45" x14ac:dyDescent="0.4">
      <c r="G119" s="855"/>
      <c r="H119" s="855"/>
      <c r="I119" s="855"/>
      <c r="J119" s="855"/>
      <c r="K119" s="855"/>
    </row>
    <row r="120" spans="7:11" ht="15.45" x14ac:dyDescent="0.4">
      <c r="G120" s="855"/>
      <c r="H120" s="855"/>
      <c r="I120" s="855"/>
      <c r="J120" s="855"/>
      <c r="K120" s="855"/>
    </row>
    <row r="121" spans="7:11" ht="15.45" x14ac:dyDescent="0.4">
      <c r="G121" s="855"/>
      <c r="H121" s="855"/>
      <c r="I121" s="855"/>
      <c r="J121" s="855"/>
      <c r="K121" s="855"/>
    </row>
    <row r="122" spans="7:11" ht="15.45" x14ac:dyDescent="0.4">
      <c r="G122" s="855"/>
      <c r="H122" s="855"/>
      <c r="I122" s="855"/>
      <c r="J122" s="855"/>
      <c r="K122" s="855"/>
    </row>
    <row r="123" spans="7:11" ht="15.45" x14ac:dyDescent="0.4">
      <c r="G123" s="855"/>
      <c r="H123" s="855"/>
      <c r="I123" s="855"/>
      <c r="J123" s="855"/>
      <c r="K123" s="855"/>
    </row>
    <row r="124" spans="7:11" ht="15.45" x14ac:dyDescent="0.4">
      <c r="G124" s="855"/>
      <c r="H124" s="855"/>
      <c r="I124" s="855"/>
      <c r="J124" s="855"/>
      <c r="K124" s="855"/>
    </row>
    <row r="125" spans="7:11" ht="15.45" x14ac:dyDescent="0.4">
      <c r="G125" s="855"/>
      <c r="H125" s="855"/>
      <c r="I125" s="855"/>
      <c r="J125" s="855"/>
      <c r="K125" s="855"/>
    </row>
    <row r="126" spans="7:11" ht="15.45" x14ac:dyDescent="0.4">
      <c r="G126" s="855"/>
      <c r="H126" s="855"/>
      <c r="I126" s="855"/>
      <c r="J126" s="855"/>
      <c r="K126" s="855"/>
    </row>
    <row r="127" spans="7:11" ht="15.45" x14ac:dyDescent="0.4">
      <c r="G127" s="855"/>
      <c r="H127" s="855"/>
      <c r="I127" s="855"/>
      <c r="J127" s="855"/>
      <c r="K127" s="855"/>
    </row>
    <row r="128" spans="7:11" ht="15.45" x14ac:dyDescent="0.4">
      <c r="G128" s="855"/>
      <c r="H128" s="855"/>
      <c r="I128" s="855"/>
      <c r="J128" s="855"/>
      <c r="K128" s="855"/>
    </row>
    <row r="129" spans="7:11" ht="15.45" x14ac:dyDescent="0.4">
      <c r="G129" s="855"/>
      <c r="H129" s="855"/>
      <c r="I129" s="855"/>
      <c r="J129" s="855"/>
      <c r="K129" s="855"/>
    </row>
    <row r="130" spans="7:11" ht="15.45" x14ac:dyDescent="0.4">
      <c r="G130" s="855"/>
      <c r="H130" s="855"/>
      <c r="I130" s="855"/>
      <c r="J130" s="855"/>
      <c r="K130" s="855"/>
    </row>
    <row r="131" spans="7:11" ht="15.45" x14ac:dyDescent="0.4">
      <c r="G131" s="855"/>
      <c r="H131" s="855"/>
      <c r="I131" s="855"/>
      <c r="J131" s="855"/>
      <c r="K131" s="855"/>
    </row>
    <row r="132" spans="7:11" ht="15.45" x14ac:dyDescent="0.4">
      <c r="G132" s="855"/>
      <c r="H132" s="855"/>
      <c r="I132" s="855"/>
      <c r="J132" s="855"/>
      <c r="K132" s="855"/>
    </row>
    <row r="133" spans="7:11" ht="15.45" x14ac:dyDescent="0.4">
      <c r="G133" s="855"/>
      <c r="H133" s="855"/>
      <c r="I133" s="855"/>
      <c r="J133" s="855"/>
      <c r="K133" s="855"/>
    </row>
    <row r="134" spans="7:11" ht="15.45" x14ac:dyDescent="0.4">
      <c r="G134" s="855"/>
      <c r="H134" s="855"/>
      <c r="I134" s="855"/>
      <c r="J134" s="855"/>
      <c r="K134" s="855"/>
    </row>
    <row r="135" spans="7:11" ht="15.45" x14ac:dyDescent="0.4">
      <c r="G135" s="855"/>
      <c r="H135" s="855"/>
      <c r="I135" s="855"/>
      <c r="J135" s="855"/>
      <c r="K135" s="855"/>
    </row>
    <row r="136" spans="7:11" ht="15.45" x14ac:dyDescent="0.4">
      <c r="G136" s="855"/>
      <c r="H136" s="855"/>
      <c r="I136" s="855"/>
      <c r="J136" s="855"/>
      <c r="K136" s="855"/>
    </row>
    <row r="137" spans="7:11" ht="15.45" x14ac:dyDescent="0.4">
      <c r="G137" s="855"/>
      <c r="H137" s="855"/>
      <c r="I137" s="855"/>
      <c r="J137" s="855"/>
      <c r="K137" s="855"/>
    </row>
    <row r="138" spans="7:11" ht="15.45" x14ac:dyDescent="0.4">
      <c r="G138" s="855"/>
      <c r="H138" s="855"/>
      <c r="I138" s="855"/>
      <c r="J138" s="855"/>
      <c r="K138" s="855"/>
    </row>
    <row r="139" spans="7:11" ht="15.45" x14ac:dyDescent="0.4">
      <c r="G139" s="855"/>
      <c r="H139" s="855"/>
      <c r="I139" s="855"/>
      <c r="J139" s="855"/>
      <c r="K139" s="855"/>
    </row>
    <row r="140" spans="7:11" ht="15.45" x14ac:dyDescent="0.4">
      <c r="G140" s="855"/>
      <c r="H140" s="855"/>
      <c r="I140" s="855"/>
      <c r="J140" s="855"/>
      <c r="K140" s="855"/>
    </row>
    <row r="141" spans="7:11" ht="15.45" x14ac:dyDescent="0.4">
      <c r="G141" s="855"/>
      <c r="H141" s="855"/>
      <c r="I141" s="855"/>
      <c r="J141" s="855"/>
      <c r="K141" s="855"/>
    </row>
    <row r="142" spans="7:11" ht="15.45" x14ac:dyDescent="0.4">
      <c r="G142" s="855"/>
      <c r="H142" s="855"/>
      <c r="I142" s="855"/>
      <c r="J142" s="855"/>
      <c r="K142" s="855"/>
    </row>
    <row r="143" spans="7:11" ht="15.45" x14ac:dyDescent="0.4">
      <c r="G143" s="855"/>
      <c r="H143" s="855"/>
      <c r="I143" s="855"/>
      <c r="J143" s="855"/>
      <c r="K143" s="855"/>
    </row>
    <row r="144" spans="7:11" ht="15.45" x14ac:dyDescent="0.4">
      <c r="G144" s="855"/>
      <c r="H144" s="855"/>
      <c r="I144" s="855"/>
      <c r="J144" s="855"/>
      <c r="K144" s="855"/>
    </row>
    <row r="145" spans="7:11" ht="15.45" x14ac:dyDescent="0.4">
      <c r="G145" s="855"/>
      <c r="H145" s="855"/>
      <c r="I145" s="855"/>
      <c r="J145" s="855"/>
      <c r="K145" s="855"/>
    </row>
    <row r="146" spans="7:11" ht="15.45" x14ac:dyDescent="0.4">
      <c r="G146" s="855"/>
      <c r="H146" s="855"/>
      <c r="I146" s="855"/>
      <c r="J146" s="855"/>
      <c r="K146" s="855"/>
    </row>
    <row r="147" spans="7:11" ht="15.45" x14ac:dyDescent="0.4">
      <c r="G147" s="855"/>
      <c r="H147" s="855"/>
      <c r="I147" s="855"/>
      <c r="J147" s="855"/>
      <c r="K147" s="855"/>
    </row>
    <row r="148" spans="7:11" ht="15.45" x14ac:dyDescent="0.4">
      <c r="G148" s="855"/>
      <c r="H148" s="855"/>
      <c r="I148" s="855"/>
      <c r="J148" s="855"/>
      <c r="K148" s="855"/>
    </row>
    <row r="149" spans="7:11" ht="15.45" x14ac:dyDescent="0.4">
      <c r="G149" s="855"/>
      <c r="H149" s="855"/>
      <c r="I149" s="855"/>
      <c r="J149" s="855"/>
      <c r="K149" s="855"/>
    </row>
    <row r="150" spans="7:11" ht="15.45" x14ac:dyDescent="0.4">
      <c r="G150" s="855"/>
      <c r="H150" s="855"/>
      <c r="I150" s="855"/>
      <c r="J150" s="855"/>
      <c r="K150" s="855"/>
    </row>
    <row r="151" spans="7:11" ht="15.45" x14ac:dyDescent="0.4">
      <c r="G151" s="855"/>
      <c r="H151" s="855"/>
      <c r="I151" s="855"/>
      <c r="J151" s="855"/>
      <c r="K151" s="855"/>
    </row>
    <row r="152" spans="7:11" ht="15.45" x14ac:dyDescent="0.4">
      <c r="G152" s="855"/>
      <c r="H152" s="855"/>
      <c r="I152" s="855"/>
      <c r="J152" s="855"/>
      <c r="K152" s="855"/>
    </row>
    <row r="153" spans="7:11" ht="15.45" x14ac:dyDescent="0.4">
      <c r="G153" s="855"/>
      <c r="H153" s="855"/>
      <c r="I153" s="855"/>
      <c r="J153" s="855"/>
      <c r="K153" s="855"/>
    </row>
    <row r="154" spans="7:11" ht="15.45" x14ac:dyDescent="0.4">
      <c r="G154" s="855"/>
      <c r="H154" s="855"/>
      <c r="I154" s="855"/>
      <c r="J154" s="855"/>
      <c r="K154" s="855"/>
    </row>
    <row r="155" spans="7:11" ht="15.45" x14ac:dyDescent="0.4">
      <c r="G155" s="855"/>
      <c r="H155" s="855"/>
      <c r="I155" s="855"/>
      <c r="J155" s="855"/>
      <c r="K155" s="855"/>
    </row>
    <row r="156" spans="7:11" ht="15.45" x14ac:dyDescent="0.4">
      <c r="G156" s="855"/>
      <c r="H156" s="855"/>
      <c r="I156" s="855"/>
      <c r="J156" s="855"/>
      <c r="K156" s="855"/>
    </row>
    <row r="157" spans="7:11" ht="15.45" x14ac:dyDescent="0.4">
      <c r="G157" s="855"/>
      <c r="H157" s="855"/>
      <c r="I157" s="855"/>
      <c r="J157" s="855"/>
      <c r="K157" s="855"/>
    </row>
    <row r="158" spans="7:11" ht="15.45" x14ac:dyDescent="0.4">
      <c r="G158" s="855"/>
      <c r="H158" s="855"/>
      <c r="I158" s="855"/>
      <c r="J158" s="855"/>
      <c r="K158" s="855"/>
    </row>
    <row r="159" spans="7:11" ht="15.45" x14ac:dyDescent="0.4">
      <c r="G159" s="855"/>
      <c r="H159" s="855"/>
      <c r="I159" s="855"/>
      <c r="J159" s="855"/>
      <c r="K159" s="855"/>
    </row>
    <row r="160" spans="7:11" ht="15.45" x14ac:dyDescent="0.4">
      <c r="G160" s="855"/>
      <c r="H160" s="855"/>
      <c r="I160" s="855"/>
      <c r="J160" s="855"/>
      <c r="K160" s="855"/>
    </row>
    <row r="161" spans="7:11" ht="15.45" x14ac:dyDescent="0.4">
      <c r="G161" s="855"/>
      <c r="H161" s="855"/>
      <c r="I161" s="855"/>
      <c r="J161" s="855"/>
      <c r="K161" s="855"/>
    </row>
    <row r="162" spans="7:11" ht="15.45" x14ac:dyDescent="0.4">
      <c r="G162" s="855"/>
      <c r="H162" s="855"/>
      <c r="I162" s="855"/>
      <c r="J162" s="855"/>
      <c r="K162" s="855"/>
    </row>
    <row r="163" spans="7:11" ht="15.45" x14ac:dyDescent="0.4">
      <c r="G163" s="855"/>
      <c r="H163" s="855"/>
      <c r="I163" s="855"/>
      <c r="J163" s="855"/>
      <c r="K163" s="855"/>
    </row>
  </sheetData>
  <sheetProtection algorithmName="SHA-512" hashValue="50h+Q+wXD0biP/ydTvK+brU8AGxM28mtbPBdtWHdcKiYexXDqiamqYzDYd9UyiJElSa1mqS5dm34gFOQ2thFAw==" saltValue="yhCLXNHRqIszE6VDv2kMTQ==" spinCount="100000" sheet="1" objects="1" scenarios="1"/>
  <mergeCells count="30">
    <mergeCell ref="B20:D20"/>
    <mergeCell ref="B21:D21"/>
    <mergeCell ref="E20:F20"/>
    <mergeCell ref="E21:F21"/>
    <mergeCell ref="B17:D17"/>
    <mergeCell ref="E17:F17"/>
    <mergeCell ref="B18:D18"/>
    <mergeCell ref="E18:F18"/>
    <mergeCell ref="B19:D19"/>
    <mergeCell ref="E19:F19"/>
    <mergeCell ref="B16:D16"/>
    <mergeCell ref="E16:F16"/>
    <mergeCell ref="B8:F8"/>
    <mergeCell ref="B9:D9"/>
    <mergeCell ref="E9:F9"/>
    <mergeCell ref="B10:D10"/>
    <mergeCell ref="E10:F10"/>
    <mergeCell ref="B11:D11"/>
    <mergeCell ref="E11:F11"/>
    <mergeCell ref="B12:D12"/>
    <mergeCell ref="E12:F12"/>
    <mergeCell ref="B13:D13"/>
    <mergeCell ref="E13:F13"/>
    <mergeCell ref="B15:F15"/>
    <mergeCell ref="B6:F6"/>
    <mergeCell ref="B1:F1"/>
    <mergeCell ref="B2:F2"/>
    <mergeCell ref="B3:F3"/>
    <mergeCell ref="B4:F4"/>
    <mergeCell ref="B5:F5"/>
  </mergeCells>
  <pageMargins left="0.7" right="0.7" top="0.98479166666666662" bottom="0.75" header="0.3" footer="0.3"/>
  <pageSetup scale="73" fitToHeight="0" orientation="landscape" r:id="rId1"/>
  <headerFooter>
    <oddHeader>&amp;C&amp;G</oddHeader>
    <oddFooter>&amp;L&amp;"Arial,Regular"&amp;12&amp;K000000DRAFT January XX, 2019&amp;C&amp;"Arial,Regular"&amp;12Page &amp;P of &amp;N&amp;R&amp;"Arial,Regular"&amp;12&amp;K000000&amp;A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14</vt:i4>
      </vt:variant>
    </vt:vector>
  </HeadingPairs>
  <TitlesOfParts>
    <vt:vector size="40" baseType="lpstr">
      <vt:lpstr>Read Me</vt:lpstr>
      <vt:lpstr>Project Info</vt:lpstr>
      <vt:lpstr>Compost</vt:lpstr>
      <vt:lpstr>Standalone AD</vt:lpstr>
      <vt:lpstr>Co-Digestion</vt:lpstr>
      <vt:lpstr>Food</vt:lpstr>
      <vt:lpstr>Community Compost</vt:lpstr>
      <vt:lpstr>Tree Planting</vt:lpstr>
      <vt:lpstr>GHG Summary</vt:lpstr>
      <vt:lpstr>Co-benefit Summary</vt:lpstr>
      <vt:lpstr>Documentation</vt:lpstr>
      <vt:lpstr>GHG ERFs</vt:lpstr>
      <vt:lpstr>Co-Ben ERFs</vt:lpstr>
      <vt:lpstr>Compost ERF</vt:lpstr>
      <vt:lpstr>Standalone AD ERF</vt:lpstr>
      <vt:lpstr>Co-Digestion ERF</vt:lpstr>
      <vt:lpstr>Food ERF</vt:lpstr>
      <vt:lpstr>Composting Calcs</vt:lpstr>
      <vt:lpstr>Standalone AD Co-ben</vt:lpstr>
      <vt:lpstr>Standalone AD Calcs</vt:lpstr>
      <vt:lpstr>Co-Digestion Co-ben</vt:lpstr>
      <vt:lpstr>Community Compost Calcs</vt:lpstr>
      <vt:lpstr>Co-Digestion Calcs</vt:lpstr>
      <vt:lpstr>Food Calcs</vt:lpstr>
      <vt:lpstr>Factors</vt:lpstr>
      <vt:lpstr>Misc</vt:lpstr>
      <vt:lpstr>EquipmentType</vt:lpstr>
      <vt:lpstr>EquipmentType2</vt:lpstr>
      <vt:lpstr>'Co-Ben ERFs'!Print_Area</vt:lpstr>
      <vt:lpstr>'Co-Digestion'!Print_Area</vt:lpstr>
      <vt:lpstr>'Community Compost'!Print_Area</vt:lpstr>
      <vt:lpstr>Compost!Print_Area</vt:lpstr>
      <vt:lpstr>Documentation!Print_Area</vt:lpstr>
      <vt:lpstr>Food!Print_Area</vt:lpstr>
      <vt:lpstr>'GHG ERFs'!Print_Area</vt:lpstr>
      <vt:lpstr>'GHG Summary'!Print_Area</vt:lpstr>
      <vt:lpstr>'Project Info'!Print_Area</vt:lpstr>
      <vt:lpstr>'Standalone AD'!Print_Area</vt:lpstr>
      <vt:lpstr>'Co-Ben ERFs'!RefrigerantTypes</vt:lpstr>
      <vt:lpstr>RefrigerantTypes</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V. Bede</dc:creator>
  <cp:lastModifiedBy>Ryan Huft</cp:lastModifiedBy>
  <cp:lastPrinted>2020-01-16T17:15:03Z</cp:lastPrinted>
  <dcterms:created xsi:type="dcterms:W3CDTF">2015-06-16T15:51:10Z</dcterms:created>
  <dcterms:modified xsi:type="dcterms:W3CDTF">2020-06-17T15:47:22Z</dcterms:modified>
</cp:coreProperties>
</file>